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drawings/drawing5.xml" ContentType="application/vnd.openxmlformats-officedocument.drawing+xml"/>
  <Override PartName="/xl/pivotTables/pivotTable2.xml" ContentType="application/vnd.openxmlformats-officedocument.spreadsheetml.pivotTable+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1.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pivotTables/pivotTable1.xml" ContentType="application/vnd.openxmlformats-officedocument.spreadsheetml.pivotTable+xml"/>
  <Override PartName="/xl/worksheets/sheet10.xml" ContentType="application/vnd.openxmlformats-officedocument.spreadsheetml.worksheet+xml"/>
  <Override PartName="/xl/worksheets/sheet22.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1.xml" ContentType="application/vnd.openxmlformats-officedocument.spreadsheetml.worksheet+xml"/>
  <Override PartName="/xl/worksheets/sheet15.xml" ContentType="application/vnd.openxmlformats-officedocument.spreadsheetml.worksheet+xml"/>
  <Override PartName="/xl/worksheets/sheet13.xml" ContentType="application/vnd.openxmlformats-officedocument.spreadsheetml.worksheet+xml"/>
  <Override PartName="/xl/worksheets/sheet16.xml" ContentType="application/vnd.openxmlformats-officedocument.spreadsheetml.worksheet+xml"/>
  <Override PartName="/xl/worksheets/sheet14.xml" ContentType="application/vnd.openxmlformats-officedocument.spreadsheetml.worksheet+xml"/>
  <Override PartName="/customXml/itemProps3.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customXml/itemProps5.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connections.xml" ContentType="application/vnd.openxmlformats-officedocument.spreadsheetml.connections+xml"/>
  <Override PartName="/docProps/app.xml" ContentType="application/vnd.openxmlformats-officedocument.extended-properties+xml"/>
  <Override PartName="/xl/comments11.xml" ContentType="application/vnd.openxmlformats-officedocument.spreadsheetml.comments+xml"/>
  <Override PartName="/xl/comments10.xml" ContentType="application/vnd.openxmlformats-officedocument.spreadsheetml.comments+xml"/>
  <Override PartName="/xl/comments3.xml" ContentType="application/vnd.openxmlformats-officedocument.spreadsheetml.comments+xml"/>
  <Override PartName="/xl/comments12.xml" ContentType="application/vnd.openxmlformats-officedocument.spreadsheetml.comments+xml"/>
  <Override PartName="/xl/comments14.xml" ContentType="application/vnd.openxmlformats-officedocument.spreadsheetml.comments+xml"/>
  <Override PartName="/xl/comments13.xml" ContentType="application/vnd.openxmlformats-officedocument.spreadsheetml.comments+xml"/>
  <Override PartName="/xl/comments9.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15.xml" ContentType="application/vnd.openxmlformats-officedocument.spreadsheetml.comments+xml"/>
  <Override PartName="/xl/comments22.xml" ContentType="application/vnd.openxmlformats-officedocument.spreadsheetml.comments+xml"/>
  <Override PartName="/xl/comments21.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xl/comments24.xml" ContentType="application/vnd.openxmlformats-officedocument.spreadsheetml.comments+xml"/>
  <Override PartName="/xl/metadata.xml" ContentType="application/vnd.openxmlformats-officedocument.spreadsheetml.sheetMetadata+xml"/>
  <Override PartName="/xl/comments20.xml" ContentType="application/vnd.openxmlformats-officedocument.spreadsheetml.comments+xml"/>
  <Override PartName="/xl/comments16.xml" ContentType="application/vnd.openxmlformats-officedocument.spreadsheetml.comments+xml"/>
  <Override PartName="/xl/comments2.xml" ContentType="application/vnd.openxmlformats-officedocument.spreadsheetml.comments+xml"/>
  <Override PartName="/xl/comments17.xml" ContentType="application/vnd.openxmlformats-officedocument.spreadsheetml.comments+xml"/>
  <Override PartName="/xl/comments19.xml" ContentType="application/vnd.openxmlformats-officedocument.spreadsheetml.comments+xml"/>
  <Override PartName="/xl/comments18.xml" ContentType="application/vnd.openxmlformats-officedocument.spreadsheetml.comments+xml"/>
  <Override PartName="/xl/comments1.xml" ContentType="application/vnd.openxmlformats-officedocument.spreadsheetml.comments+xml"/>
  <Override PartName="/customXml/itemProps1.xml" ContentType="application/vnd.openxmlformats-officedocument.customXml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mc:AlternateContent xmlns:mc="http://schemas.openxmlformats.org/markup-compatibility/2006">
    <mc:Choice Requires="x15">
      <x15ac:absPath xmlns:x15ac="http://schemas.microsoft.com/office/spreadsheetml/2010/11/ac" url="H:\2-Budget &amp; Administration\WUTC_Filing_Program_Planning\2020-2021 Biennium\Exhibits\Exhibit 10_NEEA plan\"/>
    </mc:Choice>
  </mc:AlternateContent>
  <workbookProtection workbookAlgorithmName="SHA-512" workbookHashValue="4yZ+59dMFDyd9qkTZ1fQWMDM7Gv/9XPnnyq5hJHzwkjcrGQcPuaPFSejAVY8OEK2ZIGPrPJTSpSllGfb84jnmw==" workbookSaltValue="c57FKBUS7wcQagVmMBpssw==" workbookSpinCount="100000" lockStructure="1"/>
  <bookViews>
    <workbookView xWindow="0" yWindow="0" windowWidth="20400" windowHeight="7572" tabRatio="603" activeTab="4"/>
  </bookViews>
  <sheets>
    <sheet name="Copyright Notice" sheetId="47" r:id="rId1"/>
    <sheet name="Cover Page" sheetId="33" r:id="rId2"/>
    <sheet name="Outline" sheetId="35" r:id="rId3"/>
    <sheet name="Summary 2020-21 scratch" sheetId="40" state="hidden" r:id="rId4"/>
    <sheet name="Summary 2020-21" sheetId="50" r:id="rId5"/>
    <sheet name=" Summary by Program 2020-21" sheetId="39" r:id="rId6"/>
    <sheet name="C&amp;S List" sheetId="46" r:id="rId7"/>
    <sheet name="Data Sources 20-21" sheetId="49" r:id="rId8"/>
    <sheet name="Methodology" sheetId="26" r:id="rId9"/>
    <sheet name="Common Qs" sheetId="48" r:id="rId10"/>
    <sheet name="Selection" sheetId="29" state="hidden" r:id="rId11"/>
    <sheet name=" Summary by Program" sheetId="1" state="hidden" r:id="rId12"/>
    <sheet name="Overview" sheetId="34" state="hidden" r:id="rId13"/>
    <sheet name="Summary" sheetId="28" state="hidden" r:id="rId14"/>
    <sheet name="Key Assumptions 18-19" sheetId="32" state="hidden" r:id="rId15"/>
    <sheet name="List" sheetId="30" state="hidden" r:id="rId16"/>
    <sheet name="Programs" sheetId="6" state="hidden" r:id="rId17"/>
    <sheet name="Funder Share Table" sheetId="27" state="hidden" r:id="rId18"/>
    <sheet name="DHP" sheetId="14" r:id="rId19"/>
    <sheet name="HPWH" sheetId="15" r:id="rId20"/>
    <sheet name="Clothes_Dryers" sheetId="17" r:id="rId21"/>
    <sheet name="Codes" sheetId="8" r:id="rId22"/>
    <sheet name="Res_Lighting" sheetId="16" r:id="rId23"/>
    <sheet name="Homes_Vol" sheetId="23" r:id="rId24"/>
    <sheet name="Room_AC" sheetId="21" r:id="rId25"/>
    <sheet name="Soundbars" sheetId="22" r:id="rId26"/>
    <sheet name="Standards" sheetId="24" r:id="rId27"/>
    <sheet name="Clothes_Washers" sheetId="18" r:id="rId28"/>
    <sheet name="Frig_Freezers" sheetId="20" r:id="rId29"/>
    <sheet name="BOC" sheetId="5" r:id="rId30"/>
    <sheet name="Com_Lighting" sheetId="11" r:id="rId31"/>
    <sheet name="Commissioning" sheetId="7" r:id="rId32"/>
    <sheet name="Commercial_Desktops" sheetId="9" r:id="rId33"/>
    <sheet name="Other_ES_Products" sheetId="36" r:id="rId34"/>
    <sheet name="Motor_Rewinds" sheetId="10" r:id="rId35"/>
    <sheet name="CRES" sheetId="13" r:id="rId36"/>
    <sheet name="Market Adoption Units" sheetId="19" state="hidden" r:id="rId37"/>
    <sheet name="2. Report Detail 7thPP" sheetId="3" state="hidden" r:id="rId38"/>
    <sheet name="Ind_Lighting" sheetId="25" r:id="rId39"/>
    <sheet name="Window_Attachmts" sheetId="37" r:id="rId40"/>
    <sheet name="XMP" sheetId="38" r:id="rId41"/>
    <sheet name="Manufactured Homes" sheetId="45" r:id="rId42"/>
  </sheets>
  <externalReferences>
    <externalReference r:id="rId43"/>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788</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37" hidden="1">'2. Report Detail 7thPP'!$A$3:$AB$213</definedName>
    <definedName name="_xlnm._FilterDatabase" localSheetId="29" hidden="1">BOC!$A$5:$W$9</definedName>
    <definedName name="_xlnm._FilterDatabase" localSheetId="20" hidden="1">Clothes_Dryers!$A$5:$Z$29</definedName>
    <definedName name="_xlnm._FilterDatabase" localSheetId="27" hidden="1">Clothes_Washers!$A$5:$AD$29</definedName>
    <definedName name="_xlnm._FilterDatabase" localSheetId="21" hidden="1">Codes!$A$6:$X$59</definedName>
    <definedName name="_xlnm._FilterDatabase" localSheetId="30" hidden="1">Com_Lighting!$A$6:$AA$18</definedName>
    <definedName name="_xlnm._FilterDatabase" localSheetId="32" hidden="1">Commercial_Desktops!$A$5:$X$12</definedName>
    <definedName name="_xlnm._FilterDatabase" localSheetId="31" hidden="1">Commissioning!$A$5:$Y$13</definedName>
    <definedName name="_xlnm._FilterDatabase" localSheetId="35" hidden="1">CRES!$A$5:$W$9</definedName>
    <definedName name="_xlnm._FilterDatabase" localSheetId="7" hidden="1">'Data Sources 20-21'!$A$3:$P$96</definedName>
    <definedName name="_xlnm._FilterDatabase" localSheetId="18" hidden="1">DHP!$A$4:$W$18</definedName>
    <definedName name="_xlnm._FilterDatabase" localSheetId="28" hidden="1">Frig_Freezers!$H$5:$V$61</definedName>
    <definedName name="_xlnm._FilterDatabase" localSheetId="23" hidden="1">Homes_Vol!$A$5:$AF$113</definedName>
    <definedName name="_xlnm._FilterDatabase" localSheetId="19" hidden="1">HPWH!$A$5:$AU$69</definedName>
    <definedName name="_xlnm._FilterDatabase" localSheetId="38" hidden="1">Ind_Lighting!$A$5:$AA$13</definedName>
    <definedName name="_xlnm._FilterDatabase" localSheetId="14" hidden="1">'Key Assumptions 18-19'!$A$3:$P$79</definedName>
    <definedName name="_xlnm._FilterDatabase" localSheetId="34" hidden="1">Motor_Rewinds!$A$5:$AE$9</definedName>
    <definedName name="_xlnm._FilterDatabase" localSheetId="33" hidden="1">Other_ES_Products!$A$5:$W$17</definedName>
    <definedName name="_xlnm._FilterDatabase" localSheetId="22" hidden="1">Res_Lighting!$A$5:$BK$22</definedName>
    <definedName name="_xlnm._FilterDatabase" localSheetId="24" hidden="1">Room_AC!$A$5:$AD$9</definedName>
    <definedName name="_xlnm._FilterDatabase" localSheetId="25" hidden="1">Soundbars!$A$4:$AD$19</definedName>
    <definedName name="_xlnm._FilterDatabase" localSheetId="26" hidden="1">Standards!$A$5:$AA$25</definedName>
    <definedName name="_Key1" localSheetId="5" hidden="1">#REF!</definedName>
    <definedName name="_Key1" localSheetId="7" hidden="1">#REF!</definedName>
    <definedName name="_Key1" localSheetId="41" hidden="1">#REF!</definedName>
    <definedName name="_Key1" localSheetId="33" hidden="1">#REF!</definedName>
    <definedName name="_Key1" localSheetId="4" hidden="1">#REF!</definedName>
    <definedName name="_Key1" localSheetId="3" hidden="1">#REF!</definedName>
    <definedName name="_Key1" hidden="1">#REF!</definedName>
    <definedName name="_Order1" hidden="1">255</definedName>
    <definedName name="_Sort" localSheetId="5" hidden="1">#REF!</definedName>
    <definedName name="_Sort" localSheetId="7" hidden="1">#REF!</definedName>
    <definedName name="_Sort" localSheetId="41" hidden="1">#REF!</definedName>
    <definedName name="_Sort" localSheetId="33" hidden="1">#REF!</definedName>
    <definedName name="_Sort" localSheetId="4" hidden="1">#REF!</definedName>
    <definedName name="_Sort" localSheetId="3" hidden="1">#REF!</definedName>
    <definedName name="_Sort" hidden="1">#REF!</definedName>
    <definedName name="Adjustments">HPWH!$H$257</definedName>
    <definedName name="Allocation_list" localSheetId="12">[1]Lists!$E$2:$E$5</definedName>
    <definedName name="Baseline_List" localSheetId="3">#REF!</definedName>
    <definedName name="HiLo_List" localSheetId="3">#REF!</definedName>
    <definedName name="hpwh7thpp" localSheetId="3">HPWH!#REF!</definedName>
    <definedName name="hpwhrtf">HPWH!$H$94</definedName>
    <definedName name="Period_list" localSheetId="12">[1]Lists!$D$2:$D$10</definedName>
    <definedName name="Period_List">List!$D$2:$D$8</definedName>
    <definedName name="_xlnm.Print_Area" localSheetId="7">'Data Sources 20-21'!$C$2:$M$78</definedName>
    <definedName name="_xlnm.Print_Area" localSheetId="14">'Key Assumptions 18-19'!$C$2:$M$76</definedName>
    <definedName name="_xlnm.Print_Titles" localSheetId="7">'Data Sources 20-21'!$2:$3</definedName>
    <definedName name="_xlnm.Print_Titles" localSheetId="14">'Key Assumptions 18-19'!$2:$3</definedName>
    <definedName name="Product_List" localSheetId="3">#REF!</definedName>
    <definedName name="ProductList" localSheetId="3">#REF!</definedName>
    <definedName name="Ramp_list" localSheetId="3">#REF!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cenario_List" localSheetId="3">#REF!</definedName>
    <definedName name="Source_list">List!$I$2:$I$5</definedName>
    <definedName name="Stakeholders_List">List!$A$2:$A$27</definedName>
    <definedName name="State_list" localSheetId="12">[1]Lists!$B$2:$B$6</definedName>
    <definedName name="State_List">List!$B$2:$B$6</definedName>
    <definedName name="tier_list" localSheetId="3">#REF!</definedName>
    <definedName name="Year_List" localSheetId="12">[1]Lists!$F$2:$F$8</definedName>
    <definedName name="Year_list">List!$F$2:$F$5</definedName>
  </definedNames>
  <calcPr calcId="162913"/>
  <pivotCaches>
    <pivotCache cacheId="0" r:id="rId44"/>
    <pivotCache cacheId="1" r:id="rId4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4" i="50" l="1"/>
  <c r="A5" i="50"/>
  <c r="M35" i="39" l="1"/>
  <c r="I35" i="39"/>
  <c r="C35" i="39"/>
  <c r="I29" i="39"/>
  <c r="C36" i="39"/>
  <c r="I36" i="39"/>
  <c r="O36" i="39"/>
  <c r="V36" i="39"/>
  <c r="T36" i="39"/>
  <c r="R35" i="39"/>
  <c r="Q36" i="39" l="1"/>
  <c r="K35" i="39"/>
  <c r="W36" i="39"/>
  <c r="AD36" i="39" l="1"/>
  <c r="A6" i="50"/>
  <c r="A1" i="50"/>
  <c r="AB36" i="39"/>
  <c r="Z36" i="39"/>
  <c r="P36" i="39" l="1"/>
  <c r="AC36" i="39"/>
  <c r="N36" i="39"/>
  <c r="J91" i="49"/>
  <c r="K91" i="49" s="1"/>
  <c r="J93" i="49"/>
  <c r="H18" i="8"/>
  <c r="H19" i="8"/>
  <c r="H20" i="8"/>
  <c r="H21" i="8"/>
  <c r="E18" i="8"/>
  <c r="E19" i="8"/>
  <c r="E20" i="8"/>
  <c r="E21" i="8"/>
  <c r="B18" i="8"/>
  <c r="B19" i="8"/>
  <c r="B20" i="8"/>
  <c r="B21" i="8"/>
  <c r="J92" i="49"/>
  <c r="J94" i="49"/>
  <c r="K94" i="49" s="1"/>
  <c r="H23" i="8"/>
  <c r="H22" i="8"/>
  <c r="H30" i="8"/>
  <c r="E23" i="8"/>
  <c r="E22" i="8"/>
  <c r="E30" i="8"/>
  <c r="B22" i="8"/>
  <c r="B23" i="8"/>
  <c r="B31" i="8"/>
  <c r="B30" i="8"/>
  <c r="K93" i="49"/>
  <c r="U22" i="8" l="1"/>
  <c r="T22" i="8"/>
  <c r="V22" i="8" l="1"/>
  <c r="M36" i="49"/>
  <c r="J89" i="49" l="1"/>
  <c r="H49" i="8"/>
  <c r="H58" i="8"/>
  <c r="H50" i="8"/>
  <c r="E49" i="8"/>
  <c r="E58" i="8"/>
  <c r="E50" i="8"/>
  <c r="B49" i="8"/>
  <c r="B58" i="8"/>
  <c r="B50" i="8"/>
  <c r="K89" i="49"/>
  <c r="T58" i="8" l="1"/>
  <c r="T49" i="8"/>
  <c r="U49" i="8" l="1"/>
  <c r="V49" i="8" s="1"/>
  <c r="U58" i="8"/>
  <c r="V58" i="8" s="1"/>
  <c r="I105" i="14" l="1"/>
  <c r="I106" i="14"/>
  <c r="I107" i="14"/>
  <c r="I108" i="14"/>
  <c r="I109" i="14"/>
  <c r="I110" i="14"/>
  <c r="I111" i="14"/>
  <c r="I112" i="14"/>
  <c r="I104" i="14"/>
  <c r="S63" i="14"/>
  <c r="S62" i="14"/>
  <c r="S61" i="14"/>
  <c r="S60" i="14"/>
  <c r="S59" i="14"/>
  <c r="S58" i="14"/>
  <c r="S57" i="14"/>
  <c r="S56" i="14"/>
  <c r="S55" i="14"/>
  <c r="S54" i="14"/>
  <c r="S53" i="14"/>
  <c r="S52" i="14"/>
  <c r="S51" i="14"/>
  <c r="S50" i="14"/>
  <c r="S49" i="14"/>
  <c r="S48" i="14"/>
  <c r="S47" i="14"/>
  <c r="S46" i="14"/>
  <c r="S45" i="14"/>
  <c r="S44" i="14"/>
  <c r="S43" i="14"/>
  <c r="S42" i="14"/>
  <c r="S41" i="14"/>
  <c r="S40" i="14"/>
  <c r="S39" i="14"/>
  <c r="S38" i="14"/>
  <c r="S37" i="14"/>
  <c r="S36" i="14"/>
  <c r="S35" i="14"/>
  <c r="S34" i="14"/>
  <c r="S33" i="14"/>
  <c r="S32" i="14"/>
  <c r="S31" i="14"/>
  <c r="S30" i="14"/>
  <c r="S29" i="14"/>
  <c r="S28" i="14"/>
  <c r="J59" i="9" l="1"/>
  <c r="J62" i="9" l="1"/>
  <c r="J61" i="9"/>
  <c r="S12" i="9" s="1"/>
  <c r="J86" i="49" l="1"/>
  <c r="K86" i="49" s="1"/>
  <c r="H51" i="8"/>
  <c r="H52" i="8"/>
  <c r="E51" i="8"/>
  <c r="E52" i="8"/>
  <c r="B51" i="8"/>
  <c r="B52" i="8"/>
  <c r="T51" i="8" l="1"/>
  <c r="U51" i="8"/>
  <c r="V51" i="8" l="1"/>
  <c r="Q53" i="22" l="1"/>
  <c r="Y66" i="21"/>
  <c r="Q52" i="22" l="1"/>
  <c r="Q56" i="22" s="1"/>
  <c r="J70" i="49"/>
  <c r="K70" i="49" s="1"/>
  <c r="J69" i="49"/>
  <c r="K69" i="49" s="1"/>
  <c r="J68" i="49"/>
  <c r="K68" i="49" s="1"/>
  <c r="J67" i="49"/>
  <c r="K67" i="49" s="1"/>
  <c r="J64" i="49"/>
  <c r="K64" i="49" s="1"/>
  <c r="J63" i="49"/>
  <c r="K63" i="49" s="1"/>
  <c r="J62" i="49"/>
  <c r="K62" i="49" s="1"/>
  <c r="J61" i="49"/>
  <c r="K61" i="49" s="1"/>
  <c r="J60" i="49"/>
  <c r="K60" i="49" s="1"/>
  <c r="J59" i="49"/>
  <c r="K59" i="49" s="1"/>
  <c r="R35" i="20"/>
  <c r="J66" i="49"/>
  <c r="K66" i="49" s="1"/>
  <c r="J65" i="49"/>
  <c r="K65" i="49" s="1"/>
  <c r="J49" i="49"/>
  <c r="K49" i="49" s="1"/>
  <c r="J48" i="49"/>
  <c r="K48" i="49" s="1"/>
  <c r="J47" i="49"/>
  <c r="K47" i="49" s="1"/>
  <c r="J46" i="49"/>
  <c r="K46" i="49" s="1"/>
  <c r="J45" i="49"/>
  <c r="K45" i="49" s="1"/>
  <c r="J44" i="49"/>
  <c r="K44" i="49" s="1"/>
  <c r="J58" i="49"/>
  <c r="K58" i="49" s="1"/>
  <c r="J57" i="49"/>
  <c r="K57" i="49" s="1"/>
  <c r="J56" i="49"/>
  <c r="K56" i="49" s="1"/>
  <c r="J55" i="49"/>
  <c r="K55" i="49" s="1"/>
  <c r="R16" i="22" l="1"/>
  <c r="R15" i="22"/>
  <c r="K54" i="49" l="1"/>
  <c r="K72" i="49"/>
  <c r="K5" i="49"/>
  <c r="J15" i="40" l="1"/>
  <c r="I15" i="40"/>
  <c r="H15" i="40"/>
  <c r="H21" i="40"/>
  <c r="J21" i="40"/>
  <c r="I21" i="40"/>
  <c r="K25" i="40"/>
  <c r="M23" i="40"/>
  <c r="M24" i="40"/>
  <c r="M22" i="40"/>
  <c r="L25" i="40"/>
  <c r="L21" i="40"/>
  <c r="K21" i="40"/>
  <c r="L15" i="40"/>
  <c r="K15" i="40"/>
  <c r="M17" i="40"/>
  <c r="M16" i="40"/>
  <c r="M15" i="40" l="1"/>
  <c r="M25" i="40"/>
  <c r="M21" i="40"/>
  <c r="X26" i="39"/>
  <c r="R26" i="39"/>
  <c r="A1" i="47" l="1"/>
  <c r="R28" i="18" l="1"/>
  <c r="R29" i="18" s="1"/>
  <c r="R27" i="18"/>
  <c r="R25" i="18"/>
  <c r="R26" i="18" s="1"/>
  <c r="R24" i="18"/>
  <c r="R23" i="18"/>
  <c r="R22" i="18"/>
  <c r="R21" i="18"/>
  <c r="R20" i="18"/>
  <c r="R19" i="18"/>
  <c r="R18" i="18"/>
  <c r="R13" i="22" l="1"/>
  <c r="P43" i="20" l="1"/>
  <c r="R43" i="20"/>
  <c r="T122" i="20"/>
  <c r="S29" i="17"/>
  <c r="S28" i="17"/>
  <c r="S27" i="17"/>
  <c r="S26" i="17"/>
  <c r="S25" i="17"/>
  <c r="S24" i="17"/>
  <c r="S23" i="17"/>
  <c r="S22" i="17"/>
  <c r="S21" i="17"/>
  <c r="S20" i="17"/>
  <c r="S19" i="17"/>
  <c r="S18" i="17"/>
  <c r="C21" i="40" l="1"/>
  <c r="D21" i="40"/>
  <c r="E21" i="40"/>
  <c r="F21" i="40"/>
  <c r="G21" i="40"/>
  <c r="B21" i="40"/>
  <c r="C15" i="40" l="1"/>
  <c r="D15" i="40"/>
  <c r="E15" i="40"/>
  <c r="F15" i="40"/>
  <c r="G15" i="40"/>
  <c r="B15" i="40"/>
  <c r="J36" i="49" l="1"/>
  <c r="K36" i="49" s="1"/>
  <c r="J95" i="49" l="1"/>
  <c r="K95" i="49" s="1"/>
  <c r="H43" i="8"/>
  <c r="E43" i="8"/>
  <c r="B43" i="8"/>
  <c r="J35" i="49" l="1"/>
  <c r="J96" i="49"/>
  <c r="K96" i="49" s="1"/>
  <c r="K92" i="49"/>
  <c r="J90" i="49"/>
  <c r="K90" i="49" s="1"/>
  <c r="J37" i="49" l="1"/>
  <c r="K37" i="49" s="1"/>
  <c r="K35" i="49"/>
  <c r="J87" i="49"/>
  <c r="K87" i="49" s="1"/>
  <c r="J9" i="49"/>
  <c r="H35" i="8"/>
  <c r="E35" i="8"/>
  <c r="B35" i="8"/>
  <c r="K9" i="49"/>
  <c r="H40" i="8"/>
  <c r="E40" i="8"/>
  <c r="B40" i="8"/>
  <c r="H44" i="8" l="1"/>
  <c r="E44" i="8"/>
  <c r="B44" i="8"/>
  <c r="H59" i="8"/>
  <c r="E59" i="8"/>
  <c r="B59" i="8"/>
  <c r="E57" i="8"/>
  <c r="H57" i="8"/>
  <c r="B57" i="8"/>
  <c r="T124" i="10" l="1"/>
  <c r="P124" i="10"/>
  <c r="U124" i="10" s="1"/>
  <c r="V124" i="10" s="1"/>
  <c r="M124" i="10"/>
  <c r="I124" i="10"/>
  <c r="N124" i="10" s="1"/>
  <c r="O124" i="10" s="1"/>
  <c r="T123" i="10"/>
  <c r="P123" i="10"/>
  <c r="U123" i="10" s="1"/>
  <c r="V123" i="10" s="1"/>
  <c r="M123" i="10"/>
  <c r="I123" i="10"/>
  <c r="N123" i="10" s="1"/>
  <c r="O123" i="10" s="1"/>
  <c r="T122" i="10"/>
  <c r="P122" i="10"/>
  <c r="U122" i="10" s="1"/>
  <c r="V122" i="10" s="1"/>
  <c r="M122" i="10"/>
  <c r="I122" i="10"/>
  <c r="N122" i="10" s="1"/>
  <c r="O122" i="10" s="1"/>
  <c r="T121" i="10"/>
  <c r="P121" i="10"/>
  <c r="U121" i="10" s="1"/>
  <c r="V121" i="10" s="1"/>
  <c r="M121" i="10"/>
  <c r="I121" i="10"/>
  <c r="N121" i="10" s="1"/>
  <c r="O121" i="10" s="1"/>
  <c r="T120" i="10"/>
  <c r="P120" i="10"/>
  <c r="U120" i="10" s="1"/>
  <c r="V120" i="10" s="1"/>
  <c r="M120" i="10"/>
  <c r="I120" i="10"/>
  <c r="N120" i="10" s="1"/>
  <c r="O120" i="10" s="1"/>
  <c r="T119" i="10"/>
  <c r="P119" i="10"/>
  <c r="U119" i="10" s="1"/>
  <c r="V119" i="10" s="1"/>
  <c r="M119" i="10"/>
  <c r="I119" i="10"/>
  <c r="N119" i="10" s="1"/>
  <c r="O119" i="10" s="1"/>
  <c r="T118" i="10"/>
  <c r="P118" i="10"/>
  <c r="U118" i="10" s="1"/>
  <c r="V118" i="10" s="1"/>
  <c r="M118" i="10"/>
  <c r="I118" i="10"/>
  <c r="N118" i="10" s="1"/>
  <c r="O118" i="10" s="1"/>
  <c r="T117" i="10"/>
  <c r="P117" i="10"/>
  <c r="U117" i="10" s="1"/>
  <c r="V117" i="10" s="1"/>
  <c r="M117" i="10"/>
  <c r="I117" i="10"/>
  <c r="N117" i="10" s="1"/>
  <c r="O117" i="10" s="1"/>
  <c r="T116" i="10"/>
  <c r="P116" i="10"/>
  <c r="U116" i="10" s="1"/>
  <c r="V116" i="10" s="1"/>
  <c r="M116" i="10"/>
  <c r="I116" i="10"/>
  <c r="N116" i="10" s="1"/>
  <c r="O116" i="10" s="1"/>
  <c r="T115" i="10"/>
  <c r="P115" i="10"/>
  <c r="U115" i="10" s="1"/>
  <c r="V115" i="10" s="1"/>
  <c r="M115" i="10"/>
  <c r="I115" i="10"/>
  <c r="N115" i="10" s="1"/>
  <c r="O115" i="10" s="1"/>
  <c r="T114" i="10"/>
  <c r="P114" i="10"/>
  <c r="U114" i="10" s="1"/>
  <c r="V114" i="10" s="1"/>
  <c r="M114" i="10"/>
  <c r="I114" i="10"/>
  <c r="N114" i="10" s="1"/>
  <c r="O114" i="10" s="1"/>
  <c r="T113" i="10"/>
  <c r="P113" i="10"/>
  <c r="U113" i="10" s="1"/>
  <c r="V113" i="10" s="1"/>
  <c r="M113" i="10"/>
  <c r="I113" i="10"/>
  <c r="N113" i="10" s="1"/>
  <c r="O113" i="10" s="1"/>
  <c r="T112" i="10"/>
  <c r="P112" i="10"/>
  <c r="U112" i="10" s="1"/>
  <c r="V112" i="10" s="1"/>
  <c r="M112" i="10"/>
  <c r="I112" i="10"/>
  <c r="N112" i="10" s="1"/>
  <c r="O112" i="10" s="1"/>
  <c r="T111" i="10"/>
  <c r="P111" i="10"/>
  <c r="U111" i="10" s="1"/>
  <c r="V111" i="10" s="1"/>
  <c r="M111" i="10"/>
  <c r="I111" i="10"/>
  <c r="N111" i="10" s="1"/>
  <c r="O111" i="10" s="1"/>
  <c r="T110" i="10"/>
  <c r="P110" i="10"/>
  <c r="U110" i="10" s="1"/>
  <c r="V110" i="10" s="1"/>
  <c r="M110" i="10"/>
  <c r="I110" i="10"/>
  <c r="N110" i="10" s="1"/>
  <c r="O110" i="10" s="1"/>
  <c r="T109" i="10"/>
  <c r="P109" i="10"/>
  <c r="U109" i="10" s="1"/>
  <c r="V109" i="10" s="1"/>
  <c r="M109" i="10"/>
  <c r="I109" i="10"/>
  <c r="N109" i="10" s="1"/>
  <c r="O109" i="10" s="1"/>
  <c r="T108" i="10"/>
  <c r="P108" i="10"/>
  <c r="U108" i="10" s="1"/>
  <c r="V108" i="10" s="1"/>
  <c r="M108" i="10"/>
  <c r="I108" i="10"/>
  <c r="N108" i="10" s="1"/>
  <c r="O108" i="10" s="1"/>
  <c r="T107" i="10"/>
  <c r="P107" i="10"/>
  <c r="U107" i="10" s="1"/>
  <c r="V107" i="10" s="1"/>
  <c r="M107" i="10"/>
  <c r="I107" i="10"/>
  <c r="N107" i="10" s="1"/>
  <c r="O107" i="10" s="1"/>
  <c r="T106" i="10"/>
  <c r="P106" i="10"/>
  <c r="U106" i="10" s="1"/>
  <c r="V106" i="10" s="1"/>
  <c r="M106" i="10"/>
  <c r="I106" i="10"/>
  <c r="N106" i="10" s="1"/>
  <c r="O106" i="10" s="1"/>
  <c r="T105" i="10"/>
  <c r="P105" i="10"/>
  <c r="U105" i="10" s="1"/>
  <c r="V105" i="10" s="1"/>
  <c r="M105" i="10"/>
  <c r="I105" i="10"/>
  <c r="N105" i="10" s="1"/>
  <c r="O105" i="10" s="1"/>
  <c r="T104" i="10"/>
  <c r="P104" i="10"/>
  <c r="U104" i="10" s="1"/>
  <c r="V104" i="10" s="1"/>
  <c r="M104" i="10"/>
  <c r="I104" i="10"/>
  <c r="N104" i="10" s="1"/>
  <c r="O104" i="10" s="1"/>
  <c r="T103" i="10"/>
  <c r="P103" i="10"/>
  <c r="U103" i="10" s="1"/>
  <c r="V103" i="10" s="1"/>
  <c r="M103" i="10"/>
  <c r="I103" i="10"/>
  <c r="N103" i="10" s="1"/>
  <c r="O103" i="10" s="1"/>
  <c r="T102" i="10"/>
  <c r="P102" i="10"/>
  <c r="U102" i="10" s="1"/>
  <c r="V102" i="10" s="1"/>
  <c r="M102" i="10"/>
  <c r="I102" i="10"/>
  <c r="N102" i="10" s="1"/>
  <c r="O102" i="10" s="1"/>
  <c r="T101" i="10"/>
  <c r="P101" i="10"/>
  <c r="U101" i="10" s="1"/>
  <c r="V101" i="10" s="1"/>
  <c r="M101" i="10"/>
  <c r="I101" i="10"/>
  <c r="N101" i="10" s="1"/>
  <c r="O101" i="10" s="1"/>
  <c r="T100" i="10"/>
  <c r="P100" i="10"/>
  <c r="U100" i="10" s="1"/>
  <c r="V100" i="10" s="1"/>
  <c r="M100" i="10"/>
  <c r="I100" i="10"/>
  <c r="N100" i="10" s="1"/>
  <c r="O100" i="10" s="1"/>
  <c r="T99" i="10"/>
  <c r="P99" i="10"/>
  <c r="U99" i="10" s="1"/>
  <c r="V99" i="10" s="1"/>
  <c r="M99" i="10"/>
  <c r="I99" i="10"/>
  <c r="N99" i="10" s="1"/>
  <c r="O99" i="10" s="1"/>
  <c r="T98" i="10"/>
  <c r="P98" i="10"/>
  <c r="U98" i="10" s="1"/>
  <c r="V98" i="10" s="1"/>
  <c r="M98" i="10"/>
  <c r="I98" i="10"/>
  <c r="N98" i="10" s="1"/>
  <c r="O98" i="10" s="1"/>
  <c r="T97" i="10"/>
  <c r="P97" i="10"/>
  <c r="U97" i="10" s="1"/>
  <c r="V97" i="10" s="1"/>
  <c r="M97" i="10"/>
  <c r="I97" i="10"/>
  <c r="N97" i="10" s="1"/>
  <c r="O97" i="10" s="1"/>
  <c r="T96" i="10"/>
  <c r="P96" i="10"/>
  <c r="U96" i="10" s="1"/>
  <c r="V96" i="10" s="1"/>
  <c r="M96" i="10"/>
  <c r="I96" i="10"/>
  <c r="N96" i="10" s="1"/>
  <c r="O96" i="10" s="1"/>
  <c r="T95" i="10"/>
  <c r="P95" i="10"/>
  <c r="U95" i="10" s="1"/>
  <c r="V95" i="10" s="1"/>
  <c r="M95" i="10"/>
  <c r="I95" i="10"/>
  <c r="N95" i="10" s="1"/>
  <c r="O95" i="10" s="1"/>
  <c r="T94" i="10"/>
  <c r="P94" i="10"/>
  <c r="U94" i="10" s="1"/>
  <c r="V94" i="10" s="1"/>
  <c r="M94" i="10"/>
  <c r="I94" i="10"/>
  <c r="N94" i="10" s="1"/>
  <c r="O94" i="10" s="1"/>
  <c r="T93" i="10"/>
  <c r="P93" i="10"/>
  <c r="U93" i="10" s="1"/>
  <c r="V93" i="10" s="1"/>
  <c r="M93" i="10"/>
  <c r="I93" i="10"/>
  <c r="N93" i="10" s="1"/>
  <c r="O93" i="10" s="1"/>
  <c r="T92" i="10"/>
  <c r="P92" i="10"/>
  <c r="U92" i="10" s="1"/>
  <c r="V92" i="10" s="1"/>
  <c r="M92" i="10"/>
  <c r="I92" i="10"/>
  <c r="N92" i="10" s="1"/>
  <c r="O92" i="10" s="1"/>
  <c r="T91" i="10"/>
  <c r="P91" i="10"/>
  <c r="U91" i="10" s="1"/>
  <c r="V91" i="10" s="1"/>
  <c r="M91" i="10"/>
  <c r="I91" i="10"/>
  <c r="N91" i="10" s="1"/>
  <c r="O91" i="10" s="1"/>
  <c r="P166" i="10" l="1"/>
  <c r="P165" i="10"/>
  <c r="P164" i="10"/>
  <c r="P163" i="10"/>
  <c r="P162" i="10"/>
  <c r="P161" i="10"/>
  <c r="P160" i="10"/>
  <c r="P159" i="10"/>
  <c r="P158" i="10"/>
  <c r="P157" i="10"/>
  <c r="P156" i="10"/>
  <c r="P155" i="10"/>
  <c r="P154" i="10"/>
  <c r="P153" i="10"/>
  <c r="P152" i="10"/>
  <c r="P151" i="10"/>
  <c r="P150" i="10"/>
  <c r="P149" i="10"/>
  <c r="P148" i="10"/>
  <c r="P147" i="10"/>
  <c r="P146" i="10"/>
  <c r="P145" i="10"/>
  <c r="P144" i="10"/>
  <c r="P143" i="10"/>
  <c r="P142" i="10"/>
  <c r="P141" i="10"/>
  <c r="P140" i="10"/>
  <c r="P139" i="10"/>
  <c r="P138" i="10"/>
  <c r="P137" i="10"/>
  <c r="P136" i="10"/>
  <c r="P135" i="10"/>
  <c r="P134" i="10"/>
  <c r="P133" i="10"/>
  <c r="I166" i="10"/>
  <c r="I165" i="10"/>
  <c r="I164" i="10"/>
  <c r="I163" i="10"/>
  <c r="I162" i="10"/>
  <c r="I161" i="10"/>
  <c r="I160" i="10"/>
  <c r="I159" i="10"/>
  <c r="I158" i="10"/>
  <c r="I157" i="10"/>
  <c r="I156" i="10"/>
  <c r="I155" i="10"/>
  <c r="I154" i="10"/>
  <c r="I153" i="10"/>
  <c r="I152" i="10"/>
  <c r="I151" i="10"/>
  <c r="I150" i="10"/>
  <c r="I149" i="10"/>
  <c r="I148" i="10"/>
  <c r="I147" i="10"/>
  <c r="I146" i="10"/>
  <c r="I145" i="10"/>
  <c r="I144" i="10"/>
  <c r="I143" i="10"/>
  <c r="I142" i="10"/>
  <c r="I141" i="10"/>
  <c r="I140" i="10"/>
  <c r="I139" i="10"/>
  <c r="I138" i="10"/>
  <c r="I137" i="10"/>
  <c r="I136" i="10"/>
  <c r="I135" i="10"/>
  <c r="I134" i="10"/>
  <c r="I133" i="10"/>
  <c r="G44" i="40" l="1"/>
  <c r="D44" i="40"/>
  <c r="C45" i="40"/>
  <c r="D45" i="40"/>
  <c r="E45" i="40"/>
  <c r="F45" i="40"/>
  <c r="G45" i="40"/>
  <c r="H45" i="40"/>
  <c r="I45" i="40"/>
  <c r="K45" i="40"/>
  <c r="L45" i="40"/>
  <c r="C46" i="40"/>
  <c r="D46" i="40"/>
  <c r="E46" i="40"/>
  <c r="F46" i="40"/>
  <c r="G46" i="40"/>
  <c r="H46" i="40"/>
  <c r="I46" i="40"/>
  <c r="K46" i="40"/>
  <c r="L46" i="40"/>
  <c r="C47" i="40"/>
  <c r="D47" i="40"/>
  <c r="E47" i="40"/>
  <c r="F47" i="40"/>
  <c r="G47" i="40"/>
  <c r="H47" i="40"/>
  <c r="I47" i="40"/>
  <c r="B46" i="40"/>
  <c r="B47" i="40"/>
  <c r="B45" i="40"/>
  <c r="M42" i="40" l="1"/>
  <c r="M41" i="40"/>
  <c r="J42" i="40"/>
  <c r="J41" i="40"/>
  <c r="M44" i="40" l="1"/>
  <c r="J44" i="40"/>
  <c r="J46" i="40"/>
  <c r="J45" i="40"/>
  <c r="AD33" i="39" l="1"/>
  <c r="AD31" i="39"/>
  <c r="AD22" i="39"/>
  <c r="AD17" i="39"/>
  <c r="AD16" i="39"/>
  <c r="AD13" i="39"/>
  <c r="AD8" i="39"/>
  <c r="B2" i="40" s="1"/>
  <c r="AD7" i="39"/>
  <c r="H3" i="39"/>
  <c r="P29" i="17" l="1"/>
  <c r="P28" i="17"/>
  <c r="P27" i="17"/>
  <c r="P26" i="17"/>
  <c r="P24" i="17"/>
  <c r="P23" i="17"/>
  <c r="P22" i="17"/>
  <c r="P21" i="17"/>
  <c r="P20" i="17"/>
  <c r="P18" i="17"/>
  <c r="P19" i="17"/>
  <c r="P25" i="17"/>
  <c r="S29" i="18"/>
  <c r="P29" i="18"/>
  <c r="P28" i="18"/>
  <c r="P27" i="18"/>
  <c r="P25" i="18"/>
  <c r="P24" i="18"/>
  <c r="P23" i="18"/>
  <c r="P20" i="18"/>
  <c r="Y78" i="21"/>
  <c r="Y70" i="21"/>
  <c r="Y84" i="21"/>
  <c r="X84" i="21"/>
  <c r="Z84" i="21" s="1"/>
  <c r="AA84" i="21" s="1"/>
  <c r="Y82" i="21"/>
  <c r="X82" i="21"/>
  <c r="Z82" i="21" s="1"/>
  <c r="AA82" i="21" s="1"/>
  <c r="Y80" i="21"/>
  <c r="X80" i="21"/>
  <c r="Z80" i="21" s="1"/>
  <c r="AA80" i="21" s="1"/>
  <c r="X78" i="21"/>
  <c r="AB78" i="21" s="1"/>
  <c r="Y76" i="21"/>
  <c r="X76" i="21"/>
  <c r="Z76" i="21" s="1"/>
  <c r="AA76" i="21" s="1"/>
  <c r="Y74" i="21"/>
  <c r="X74" i="21"/>
  <c r="Z74" i="21" s="1"/>
  <c r="Y64" i="21"/>
  <c r="X72" i="21"/>
  <c r="AB72" i="21" s="1"/>
  <c r="X70" i="21"/>
  <c r="AB70" i="21" s="1"/>
  <c r="X68" i="21"/>
  <c r="AB68" i="21" s="1"/>
  <c r="X66" i="21"/>
  <c r="X64" i="21"/>
  <c r="AB64" i="21" s="1"/>
  <c r="Y72" i="21"/>
  <c r="Y68" i="21"/>
  <c r="Z66" i="21" l="1"/>
  <c r="AA66" i="21" s="1"/>
  <c r="AB66" i="21"/>
  <c r="AB76" i="21"/>
  <c r="AA74" i="21"/>
  <c r="AB80" i="21"/>
  <c r="Z78" i="21"/>
  <c r="AA78" i="21" s="1"/>
  <c r="AB84" i="21"/>
  <c r="AB74" i="21"/>
  <c r="AB82" i="21"/>
  <c r="Z72" i="21"/>
  <c r="AA72" i="21" s="1"/>
  <c r="Z64" i="21"/>
  <c r="AA64" i="21" s="1"/>
  <c r="Z68" i="21"/>
  <c r="AA68" i="21" s="1"/>
  <c r="Z70" i="21"/>
  <c r="AA70" i="21" s="1"/>
  <c r="AB87" i="21" l="1"/>
  <c r="R8" i="21" s="1"/>
  <c r="J71" i="49" s="1"/>
  <c r="R9" i="21" l="1"/>
  <c r="K71" i="49" s="1"/>
  <c r="R41" i="20" l="1"/>
  <c r="R39" i="20"/>
  <c r="R37" i="20"/>
  <c r="P7" i="10" l="1"/>
  <c r="P6" i="10"/>
  <c r="O6" i="10" l="1"/>
  <c r="Q38" i="10" l="1"/>
  <c r="R6" i="10" s="1"/>
  <c r="J14" i="49" s="1"/>
  <c r="Q37" i="10"/>
  <c r="Q36" i="10"/>
  <c r="R7" i="10" l="1"/>
  <c r="K14" i="49" s="1"/>
  <c r="L489" i="15"/>
  <c r="M489" i="15" s="1"/>
  <c r="L488" i="15"/>
  <c r="M488" i="15" s="1"/>
  <c r="S43" i="20" l="1"/>
  <c r="S44" i="20"/>
  <c r="S45" i="20"/>
  <c r="R45" i="20"/>
  <c r="V207" i="20"/>
  <c r="P45" i="20"/>
  <c r="P41" i="20"/>
  <c r="P39" i="20"/>
  <c r="P38" i="20"/>
  <c r="P37" i="20"/>
  <c r="P35" i="20"/>
  <c r="S42" i="20"/>
  <c r="Q15" i="16"/>
  <c r="Q16" i="16"/>
  <c r="Q17" i="16"/>
  <c r="Q18" i="16"/>
  <c r="Q19" i="16"/>
  <c r="Q20" i="16"/>
  <c r="Q21" i="16"/>
  <c r="Q14" i="16"/>
  <c r="M372" i="16"/>
  <c r="M359" i="16"/>
  <c r="M360" i="16"/>
  <c r="M361" i="16"/>
  <c r="M362" i="16"/>
  <c r="M363" i="16"/>
  <c r="M364" i="16"/>
  <c r="M365" i="16"/>
  <c r="M366" i="16"/>
  <c r="M367" i="16"/>
  <c r="M368" i="16"/>
  <c r="M369" i="16"/>
  <c r="M370" i="16"/>
  <c r="M371" i="16"/>
  <c r="M358" i="16"/>
  <c r="M267" i="16"/>
  <c r="M268" i="16"/>
  <c r="M269" i="16"/>
  <c r="M270" i="16"/>
  <c r="M271" i="16"/>
  <c r="M272" i="16"/>
  <c r="M273" i="16"/>
  <c r="M274" i="16"/>
  <c r="N274" i="16" s="1"/>
  <c r="M275" i="16"/>
  <c r="M276" i="16"/>
  <c r="M277" i="16"/>
  <c r="M278" i="16"/>
  <c r="M279" i="16"/>
  <c r="M280" i="16"/>
  <c r="M266" i="16"/>
  <c r="AN392" i="16"/>
  <c r="AM392" i="16"/>
  <c r="AE392" i="16"/>
  <c r="T392" i="16"/>
  <c r="AF392" i="16" s="1"/>
  <c r="AN391" i="16"/>
  <c r="AM391" i="16"/>
  <c r="AE391" i="16"/>
  <c r="T391" i="16"/>
  <c r="AF391" i="16" s="1"/>
  <c r="AN390" i="16"/>
  <c r="AM390" i="16"/>
  <c r="AE390" i="16"/>
  <c r="T390" i="16"/>
  <c r="AF390" i="16" s="1"/>
  <c r="AN389" i="16"/>
  <c r="AM389" i="16"/>
  <c r="AE389" i="16"/>
  <c r="T389" i="16"/>
  <c r="AF389" i="16" s="1"/>
  <c r="AN388" i="16"/>
  <c r="AM388" i="16"/>
  <c r="AE388" i="16"/>
  <c r="T388" i="16"/>
  <c r="AF388" i="16" s="1"/>
  <c r="AN387" i="16"/>
  <c r="AM387" i="16"/>
  <c r="AE387" i="16"/>
  <c r="T387" i="16"/>
  <c r="AF387" i="16" s="1"/>
  <c r="AN386" i="16"/>
  <c r="AM386" i="16"/>
  <c r="AE386" i="16"/>
  <c r="T386" i="16"/>
  <c r="AF386" i="16" s="1"/>
  <c r="AN385" i="16"/>
  <c r="AM385" i="16"/>
  <c r="AE385" i="16"/>
  <c r="T385" i="16"/>
  <c r="AF385" i="16" s="1"/>
  <c r="AN384" i="16"/>
  <c r="AM384" i="16"/>
  <c r="AE384" i="16"/>
  <c r="T384" i="16"/>
  <c r="AF384" i="16" s="1"/>
  <c r="AN383" i="16"/>
  <c r="AM383" i="16"/>
  <c r="AE383" i="16"/>
  <c r="T383" i="16"/>
  <c r="AF383" i="16" s="1"/>
  <c r="AN382" i="16"/>
  <c r="AM382" i="16"/>
  <c r="AE382" i="16"/>
  <c r="T382" i="16"/>
  <c r="AF382" i="16" s="1"/>
  <c r="AN381" i="16"/>
  <c r="AM381" i="16"/>
  <c r="AE381" i="16"/>
  <c r="T381" i="16"/>
  <c r="AF381" i="16" s="1"/>
  <c r="AN380" i="16"/>
  <c r="AM380" i="16"/>
  <c r="AE380" i="16"/>
  <c r="T380" i="16"/>
  <c r="AF380" i="16" s="1"/>
  <c r="AN379" i="16"/>
  <c r="AM379" i="16"/>
  <c r="AE379" i="16"/>
  <c r="T379" i="16"/>
  <c r="AF379" i="16" s="1"/>
  <c r="AN378" i="16"/>
  <c r="AM378" i="16"/>
  <c r="AE378" i="16"/>
  <c r="T378" i="16"/>
  <c r="AF378" i="16" s="1"/>
  <c r="M348" i="16"/>
  <c r="L348" i="16"/>
  <c r="M347" i="16"/>
  <c r="L347" i="16"/>
  <c r="M346" i="16"/>
  <c r="L346" i="16"/>
  <c r="M345" i="16"/>
  <c r="L345" i="16"/>
  <c r="M344" i="16"/>
  <c r="L344" i="16"/>
  <c r="M343" i="16"/>
  <c r="L343" i="16"/>
  <c r="M342" i="16"/>
  <c r="L342" i="16"/>
  <c r="M340" i="16"/>
  <c r="L340" i="16"/>
  <c r="K340" i="16"/>
  <c r="J340" i="16"/>
  <c r="AF312" i="16"/>
  <c r="AE312" i="16"/>
  <c r="AF311" i="16"/>
  <c r="AE311" i="16"/>
  <c r="AF310" i="16"/>
  <c r="AE310" i="16"/>
  <c r="AF309" i="16"/>
  <c r="AE309" i="16"/>
  <c r="AF308" i="16"/>
  <c r="AE308" i="16"/>
  <c r="AF307" i="16"/>
  <c r="AE307" i="16"/>
  <c r="AF306" i="16"/>
  <c r="AE306" i="16"/>
  <c r="AF305" i="16"/>
  <c r="AE305" i="16"/>
  <c r="AG305" i="16" s="1"/>
  <c r="AH305" i="16" s="1"/>
  <c r="AI305" i="16" s="1"/>
  <c r="L273" i="16" s="1"/>
  <c r="N273" i="16" s="1"/>
  <c r="AF304" i="16"/>
  <c r="AE304" i="16"/>
  <c r="AF303" i="16"/>
  <c r="O303" i="16"/>
  <c r="AE303" i="16" s="1"/>
  <c r="AF302" i="16"/>
  <c r="O302" i="16"/>
  <c r="AE302" i="16" s="1"/>
  <c r="AF301" i="16"/>
  <c r="O301" i="16"/>
  <c r="AE301" i="16" s="1"/>
  <c r="AG301" i="16" s="1"/>
  <c r="AH301" i="16" s="1"/>
  <c r="AI301" i="16" s="1"/>
  <c r="L269" i="16" s="1"/>
  <c r="N269" i="16" s="1"/>
  <c r="AF300" i="16"/>
  <c r="AE300" i="16"/>
  <c r="AF299" i="16"/>
  <c r="AE299" i="16"/>
  <c r="AF298" i="16"/>
  <c r="AE298" i="16"/>
  <c r="N278" i="16"/>
  <c r="K271" i="16"/>
  <c r="K270" i="16"/>
  <c r="K269" i="16"/>
  <c r="N268" i="16"/>
  <c r="P256" i="16"/>
  <c r="O256" i="16"/>
  <c r="N256" i="16"/>
  <c r="M256" i="16"/>
  <c r="L256" i="16"/>
  <c r="K256" i="16"/>
  <c r="P239" i="16"/>
  <c r="O239" i="16"/>
  <c r="N239" i="16"/>
  <c r="M239" i="16"/>
  <c r="L239" i="16"/>
  <c r="K239" i="16"/>
  <c r="AG303" i="16" l="1"/>
  <c r="AH303" i="16" s="1"/>
  <c r="AI303" i="16" s="1"/>
  <c r="L271" i="16" s="1"/>
  <c r="N271" i="16" s="1"/>
  <c r="AG300" i="16"/>
  <c r="AH300" i="16" s="1"/>
  <c r="AI300" i="16" s="1"/>
  <c r="AG304" i="16"/>
  <c r="AH304" i="16" s="1"/>
  <c r="AI304" i="16" s="1"/>
  <c r="L272" i="16" s="1"/>
  <c r="N272" i="16" s="1"/>
  <c r="AG312" i="16"/>
  <c r="AH312" i="16" s="1"/>
  <c r="AI312" i="16" s="1"/>
  <c r="L280" i="16" s="1"/>
  <c r="N280" i="16" s="1"/>
  <c r="AG389" i="16"/>
  <c r="AH389" i="16" s="1"/>
  <c r="AG391" i="16"/>
  <c r="AH391" i="16" s="1"/>
  <c r="AI391" i="16" s="1"/>
  <c r="AG379" i="16"/>
  <c r="AH379" i="16" s="1"/>
  <c r="AK379" i="16" s="1"/>
  <c r="AG387" i="16"/>
  <c r="AH387" i="16" s="1"/>
  <c r="AK387" i="16" s="1"/>
  <c r="AG309" i="16"/>
  <c r="AH309" i="16" s="1"/>
  <c r="AI309" i="16" s="1"/>
  <c r="L277" i="16" s="1"/>
  <c r="N277" i="16" s="1"/>
  <c r="S357" i="16"/>
  <c r="AG306" i="16"/>
  <c r="AH306" i="16" s="1"/>
  <c r="AI306" i="16" s="1"/>
  <c r="AG311" i="16"/>
  <c r="AH311" i="16" s="1"/>
  <c r="AI311" i="16" s="1"/>
  <c r="L279" i="16" s="1"/>
  <c r="N279" i="16" s="1"/>
  <c r="AG392" i="16"/>
  <c r="AH392" i="16" s="1"/>
  <c r="AK392" i="16" s="1"/>
  <c r="S265" i="16"/>
  <c r="AG383" i="16"/>
  <c r="AH383" i="16" s="1"/>
  <c r="AK383" i="16" s="1"/>
  <c r="AG299" i="16"/>
  <c r="AH299" i="16" s="1"/>
  <c r="AI299" i="16" s="1"/>
  <c r="L267" i="16" s="1"/>
  <c r="N267" i="16" s="1"/>
  <c r="AG302" i="16"/>
  <c r="AH302" i="16" s="1"/>
  <c r="AI302" i="16" s="1"/>
  <c r="L270" i="16" s="1"/>
  <c r="N270" i="16" s="1"/>
  <c r="P265" i="16" s="1"/>
  <c r="AG307" i="16"/>
  <c r="AH307" i="16" s="1"/>
  <c r="AI307" i="16" s="1"/>
  <c r="L275" i="16" s="1"/>
  <c r="N275" i="16" s="1"/>
  <c r="AG310" i="16"/>
  <c r="AH310" i="16" s="1"/>
  <c r="AI310" i="16" s="1"/>
  <c r="AG388" i="16"/>
  <c r="AH388" i="16" s="1"/>
  <c r="AK388" i="16" s="1"/>
  <c r="AG384" i="16"/>
  <c r="AH384" i="16" s="1"/>
  <c r="AI384" i="16" s="1"/>
  <c r="AG385" i="16"/>
  <c r="AH385" i="16" s="1"/>
  <c r="AK385" i="16" s="1"/>
  <c r="AG298" i="16"/>
  <c r="AH298" i="16" s="1"/>
  <c r="AI298" i="16" s="1"/>
  <c r="L266" i="16" s="1"/>
  <c r="N266" i="16" s="1"/>
  <c r="AG308" i="16"/>
  <c r="AH308" i="16" s="1"/>
  <c r="AI308" i="16" s="1"/>
  <c r="L276" i="16" s="1"/>
  <c r="N276" i="16" s="1"/>
  <c r="AG380" i="16"/>
  <c r="AH380" i="16" s="1"/>
  <c r="AK380" i="16" s="1"/>
  <c r="AG381" i="16"/>
  <c r="AH381" i="16" s="1"/>
  <c r="AK381" i="16" s="1"/>
  <c r="AG378" i="16"/>
  <c r="AH378" i="16" s="1"/>
  <c r="AI388" i="16"/>
  <c r="AG390" i="16"/>
  <c r="AH390" i="16" s="1"/>
  <c r="AI380" i="16"/>
  <c r="AG382" i="16"/>
  <c r="AH382" i="16" s="1"/>
  <c r="AK389" i="16"/>
  <c r="AI389" i="16"/>
  <c r="L369" i="16" s="1"/>
  <c r="N369" i="16" s="1"/>
  <c r="AI379" i="16"/>
  <c r="AG386" i="16"/>
  <c r="AH386" i="16" s="1"/>
  <c r="AI383" i="16" l="1"/>
  <c r="AO383" i="16" s="1"/>
  <c r="AI381" i="16"/>
  <c r="L361" i="16" s="1"/>
  <c r="N361" i="16" s="1"/>
  <c r="AK391" i="16"/>
  <c r="AI387" i="16"/>
  <c r="L367" i="16" s="1"/>
  <c r="N367" i="16" s="1"/>
  <c r="AK384" i="16"/>
  <c r="AI385" i="16"/>
  <c r="L365" i="16" s="1"/>
  <c r="N365" i="16" s="1"/>
  <c r="AI392" i="16"/>
  <c r="Q265" i="16"/>
  <c r="AO389" i="16"/>
  <c r="AO381" i="16"/>
  <c r="AO391" i="16"/>
  <c r="L371" i="16"/>
  <c r="N371" i="16" s="1"/>
  <c r="AO379" i="16"/>
  <c r="L359" i="16"/>
  <c r="N359" i="16" s="1"/>
  <c r="AO392" i="16"/>
  <c r="L372" i="16"/>
  <c r="N372" i="16" s="1"/>
  <c r="AO384" i="16"/>
  <c r="L364" i="16"/>
  <c r="N364" i="16" s="1"/>
  <c r="AI382" i="16"/>
  <c r="AK382" i="16"/>
  <c r="L360" i="16"/>
  <c r="N360" i="16" s="1"/>
  <c r="AO380" i="16"/>
  <c r="L368" i="16"/>
  <c r="N368" i="16" s="1"/>
  <c r="AO388" i="16"/>
  <c r="AI386" i="16"/>
  <c r="AK386" i="16"/>
  <c r="AI390" i="16"/>
  <c r="AK390" i="16"/>
  <c r="AI378" i="16"/>
  <c r="AK378" i="16"/>
  <c r="L363" i="16" l="1"/>
  <c r="N363" i="16" s="1"/>
  <c r="AO387" i="16"/>
  <c r="AO385" i="16"/>
  <c r="L366" i="16"/>
  <c r="N366" i="16" s="1"/>
  <c r="AO386" i="16"/>
  <c r="AO382" i="16"/>
  <c r="L362" i="16"/>
  <c r="N362" i="16" s="1"/>
  <c r="P357" i="16" s="1"/>
  <c r="L358" i="16"/>
  <c r="N358" i="16" s="1"/>
  <c r="AO378" i="16"/>
  <c r="AO390" i="16"/>
  <c r="L370" i="16"/>
  <c r="N370" i="16" s="1"/>
  <c r="Q357" i="16" l="1"/>
  <c r="Q5" i="15"/>
  <c r="O310" i="15"/>
  <c r="N310" i="15"/>
  <c r="M310" i="15"/>
  <c r="L310" i="15"/>
  <c r="S310" i="15"/>
  <c r="R310" i="15"/>
  <c r="Q310" i="15"/>
  <c r="P310" i="15"/>
  <c r="L325" i="15"/>
  <c r="L326" i="15"/>
  <c r="L327" i="15"/>
  <c r="L328" i="15"/>
  <c r="L329" i="15"/>
  <c r="L330" i="15"/>
  <c r="L331" i="15"/>
  <c r="L332" i="15"/>
  <c r="L333" i="15"/>
  <c r="L334" i="15"/>
  <c r="L335" i="15"/>
  <c r="L324" i="15"/>
  <c r="L487" i="15"/>
  <c r="M487" i="15" s="1"/>
  <c r="L486" i="15"/>
  <c r="M486" i="15" s="1"/>
  <c r="K451" i="15"/>
  <c r="S422" i="15"/>
  <c r="R422" i="15"/>
  <c r="S421" i="15"/>
  <c r="R421" i="15"/>
  <c r="L414" i="15"/>
  <c r="L413" i="15"/>
  <c r="L412" i="15"/>
  <c r="L411" i="15"/>
  <c r="L410" i="15"/>
  <c r="L409" i="15"/>
  <c r="L408" i="15"/>
  <c r="L407" i="15"/>
  <c r="J395" i="15"/>
  <c r="V375" i="15"/>
  <c r="W375" i="15" s="1"/>
  <c r="U375" i="15"/>
  <c r="T375" i="15"/>
  <c r="S375" i="15"/>
  <c r="V374" i="15"/>
  <c r="U374" i="15"/>
  <c r="T374" i="15"/>
  <c r="S374" i="15"/>
  <c r="V373" i="15"/>
  <c r="W373" i="15" s="1"/>
  <c r="U373" i="15"/>
  <c r="T373" i="15"/>
  <c r="S373" i="15"/>
  <c r="V372" i="15"/>
  <c r="W372" i="15" s="1"/>
  <c r="U372" i="15"/>
  <c r="T372" i="15"/>
  <c r="S372" i="15"/>
  <c r="V371" i="15"/>
  <c r="W371" i="15" s="1"/>
  <c r="U371" i="15"/>
  <c r="T371" i="15"/>
  <c r="S371" i="15"/>
  <c r="V370" i="15"/>
  <c r="W370" i="15" s="1"/>
  <c r="U370" i="15"/>
  <c r="T370" i="15"/>
  <c r="S370" i="15"/>
  <c r="V369" i="15"/>
  <c r="W369" i="15" s="1"/>
  <c r="U369" i="15"/>
  <c r="T369" i="15"/>
  <c r="S369" i="15"/>
  <c r="V368" i="15"/>
  <c r="W368" i="15" s="1"/>
  <c r="U368" i="15"/>
  <c r="T368" i="15"/>
  <c r="S368" i="15"/>
  <c r="V367" i="15"/>
  <c r="W367" i="15" s="1"/>
  <c r="U367" i="15"/>
  <c r="T367" i="15"/>
  <c r="S367" i="15"/>
  <c r="V366" i="15"/>
  <c r="U366" i="15"/>
  <c r="T366" i="15"/>
  <c r="S366" i="15"/>
  <c r="V365" i="15"/>
  <c r="W365" i="15" s="1"/>
  <c r="U365" i="15"/>
  <c r="T365" i="15"/>
  <c r="S365" i="15"/>
  <c r="V364" i="15"/>
  <c r="W364" i="15" s="1"/>
  <c r="U364" i="15"/>
  <c r="T364" i="15"/>
  <c r="S364" i="15"/>
  <c r="V363" i="15"/>
  <c r="W363" i="15" s="1"/>
  <c r="U363" i="15"/>
  <c r="T363" i="15"/>
  <c r="S363" i="15"/>
  <c r="V362" i="15"/>
  <c r="U362" i="15"/>
  <c r="T362" i="15"/>
  <c r="S362" i="15"/>
  <c r="V361" i="15"/>
  <c r="W361" i="15" s="1"/>
  <c r="U361" i="15"/>
  <c r="T361" i="15"/>
  <c r="S361" i="15"/>
  <c r="V360" i="15"/>
  <c r="W360" i="15" s="1"/>
  <c r="U360" i="15"/>
  <c r="T360" i="15"/>
  <c r="S360" i="15"/>
  <c r="V359" i="15"/>
  <c r="W359" i="15" s="1"/>
  <c r="U359" i="15"/>
  <c r="T359" i="15"/>
  <c r="S359" i="15"/>
  <c r="V358" i="15"/>
  <c r="W358" i="15" s="1"/>
  <c r="U358" i="15"/>
  <c r="T358" i="15"/>
  <c r="S358" i="15"/>
  <c r="V357" i="15"/>
  <c r="W357" i="15" s="1"/>
  <c r="U357" i="15"/>
  <c r="T357" i="15"/>
  <c r="S357" i="15"/>
  <c r="V356" i="15"/>
  <c r="W356" i="15" s="1"/>
  <c r="U356" i="15"/>
  <c r="T356" i="15"/>
  <c r="S356" i="15"/>
  <c r="V355" i="15"/>
  <c r="W355" i="15" s="1"/>
  <c r="U355" i="15"/>
  <c r="T355" i="15"/>
  <c r="S355" i="15"/>
  <c r="V354" i="15"/>
  <c r="U354" i="15"/>
  <c r="T354" i="15"/>
  <c r="S354" i="15"/>
  <c r="V353" i="15"/>
  <c r="W353" i="15" s="1"/>
  <c r="U353" i="15"/>
  <c r="T353" i="15"/>
  <c r="S353" i="15"/>
  <c r="V352" i="15"/>
  <c r="W352" i="15" s="1"/>
  <c r="U352" i="15"/>
  <c r="T352" i="15"/>
  <c r="S352" i="15"/>
  <c r="Q329" i="15"/>
  <c r="P329" i="15"/>
  <c r="K309" i="15"/>
  <c r="K308" i="15"/>
  <c r="K307" i="15"/>
  <c r="K306" i="15"/>
  <c r="W366" i="15" l="1"/>
  <c r="W362" i="15"/>
  <c r="W354" i="15"/>
  <c r="W374" i="15"/>
  <c r="Q4" i="14" l="1"/>
  <c r="L219" i="10" l="1"/>
  <c r="K219" i="10"/>
  <c r="J219" i="10"/>
  <c r="I219" i="10"/>
  <c r="P216" i="10" l="1"/>
  <c r="O216" i="10"/>
  <c r="N216" i="10"/>
  <c r="M216" i="10"/>
  <c r="P215" i="10"/>
  <c r="O215" i="10"/>
  <c r="N215" i="10"/>
  <c r="M215" i="10"/>
  <c r="P214" i="10"/>
  <c r="O214" i="10"/>
  <c r="N214" i="10"/>
  <c r="M214" i="10"/>
  <c r="P213" i="10"/>
  <c r="O213" i="10"/>
  <c r="N213" i="10"/>
  <c r="M213" i="10"/>
  <c r="P212" i="10"/>
  <c r="O212" i="10"/>
  <c r="N212" i="10"/>
  <c r="M212" i="10"/>
  <c r="P211" i="10"/>
  <c r="O211" i="10"/>
  <c r="N211" i="10"/>
  <c r="M211" i="10"/>
  <c r="P210" i="10"/>
  <c r="O210" i="10"/>
  <c r="N210" i="10"/>
  <c r="M210" i="10"/>
  <c r="P209" i="10"/>
  <c r="O209" i="10"/>
  <c r="N209" i="10"/>
  <c r="M209" i="10"/>
  <c r="P208" i="10"/>
  <c r="O208" i="10"/>
  <c r="N208" i="10"/>
  <c r="M208" i="10"/>
  <c r="P207" i="10"/>
  <c r="O207" i="10"/>
  <c r="N207" i="10"/>
  <c r="M207" i="10"/>
  <c r="P206" i="10"/>
  <c r="O206" i="10"/>
  <c r="N206" i="10"/>
  <c r="M206" i="10"/>
  <c r="P205" i="10"/>
  <c r="O205" i="10"/>
  <c r="N205" i="10"/>
  <c r="M205" i="10"/>
  <c r="P204" i="10"/>
  <c r="O204" i="10"/>
  <c r="N204" i="10"/>
  <c r="M204" i="10"/>
  <c r="P203" i="10"/>
  <c r="O203" i="10"/>
  <c r="N203" i="10"/>
  <c r="M203" i="10"/>
  <c r="P202" i="10"/>
  <c r="O202" i="10"/>
  <c r="N202" i="10"/>
  <c r="M202" i="10"/>
  <c r="P201" i="10"/>
  <c r="O201" i="10"/>
  <c r="N201" i="10"/>
  <c r="M201" i="10"/>
  <c r="P200" i="10"/>
  <c r="O200" i="10"/>
  <c r="N200" i="10"/>
  <c r="M200" i="10"/>
  <c r="P199" i="10"/>
  <c r="O199" i="10"/>
  <c r="N199" i="10"/>
  <c r="M199" i="10"/>
  <c r="P198" i="10"/>
  <c r="O198" i="10"/>
  <c r="N198" i="10"/>
  <c r="M198" i="10"/>
  <c r="P197" i="10"/>
  <c r="O197" i="10"/>
  <c r="N197" i="10"/>
  <c r="M197" i="10"/>
  <c r="P196" i="10"/>
  <c r="O196" i="10"/>
  <c r="N196" i="10"/>
  <c r="M196" i="10"/>
  <c r="P195" i="10"/>
  <c r="O195" i="10"/>
  <c r="N195" i="10"/>
  <c r="M195" i="10"/>
  <c r="P194" i="10"/>
  <c r="O194" i="10"/>
  <c r="N194" i="10"/>
  <c r="M194" i="10"/>
  <c r="P193" i="10"/>
  <c r="O193" i="10"/>
  <c r="N193" i="10"/>
  <c r="M193" i="10"/>
  <c r="P192" i="10"/>
  <c r="O192" i="10"/>
  <c r="N192" i="10"/>
  <c r="M192" i="10"/>
  <c r="P191" i="10"/>
  <c r="O191" i="10"/>
  <c r="N191" i="10"/>
  <c r="M191" i="10"/>
  <c r="P190" i="10"/>
  <c r="O190" i="10"/>
  <c r="N190" i="10"/>
  <c r="M190" i="10"/>
  <c r="P189" i="10"/>
  <c r="O189" i="10"/>
  <c r="N189" i="10"/>
  <c r="M189" i="10"/>
  <c r="P188" i="10"/>
  <c r="O188" i="10"/>
  <c r="N188" i="10"/>
  <c r="M188" i="10"/>
  <c r="P187" i="10"/>
  <c r="O187" i="10"/>
  <c r="N187" i="10"/>
  <c r="M187" i="10"/>
  <c r="P186" i="10"/>
  <c r="O186" i="10"/>
  <c r="N186" i="10"/>
  <c r="M186" i="10"/>
  <c r="P185" i="10"/>
  <c r="O185" i="10"/>
  <c r="N185" i="10"/>
  <c r="M185" i="10"/>
  <c r="P184" i="10"/>
  <c r="O184" i="10"/>
  <c r="N184" i="10"/>
  <c r="M184" i="10"/>
  <c r="P183" i="10"/>
  <c r="O183" i="10"/>
  <c r="N183" i="10"/>
  <c r="M183" i="10"/>
  <c r="L217" i="10"/>
  <c r="K217" i="10"/>
  <c r="J217" i="10"/>
  <c r="I217" i="10"/>
  <c r="P219" i="10" l="1"/>
  <c r="M219" i="10"/>
  <c r="N219" i="10"/>
  <c r="O219" i="10"/>
  <c r="N217" i="10"/>
  <c r="M217" i="10"/>
  <c r="O217" i="10"/>
  <c r="Q185" i="10"/>
  <c r="Q187" i="10"/>
  <c r="Q188" i="10"/>
  <c r="Q189" i="10"/>
  <c r="Q190" i="10"/>
  <c r="Q191" i="10"/>
  <c r="Q192" i="10"/>
  <c r="Q193" i="10"/>
  <c r="Q194" i="10"/>
  <c r="Q195" i="10"/>
  <c r="Q196" i="10"/>
  <c r="Q197" i="10"/>
  <c r="Q198" i="10"/>
  <c r="Q199" i="10"/>
  <c r="Q200" i="10"/>
  <c r="Q202" i="10"/>
  <c r="R201" i="10"/>
  <c r="R199" i="10"/>
  <c r="R197" i="10"/>
  <c r="R195" i="10"/>
  <c r="R185" i="10"/>
  <c r="Q215" i="10"/>
  <c r="Q212" i="10"/>
  <c r="R203" i="10"/>
  <c r="R205" i="10"/>
  <c r="R207" i="10"/>
  <c r="Q201" i="10" l="1"/>
  <c r="R187" i="10"/>
  <c r="R191" i="10"/>
  <c r="Q184" i="10"/>
  <c r="R184" i="10"/>
  <c r="R192" i="10"/>
  <c r="Q209" i="10"/>
  <c r="R189" i="10"/>
  <c r="R193" i="10"/>
  <c r="R209" i="10"/>
  <c r="R212" i="10"/>
  <c r="R200" i="10"/>
  <c r="R204" i="10"/>
  <c r="Q186" i="10"/>
  <c r="Q207" i="10"/>
  <c r="P217" i="10"/>
  <c r="R183" i="10"/>
  <c r="Q204" i="10"/>
  <c r="R188" i="10"/>
  <c r="R196" i="10"/>
  <c r="Q203" i="10"/>
  <c r="R215" i="10"/>
  <c r="Q183" i="10"/>
  <c r="Q206" i="10"/>
  <c r="R186" i="10"/>
  <c r="R190" i="10"/>
  <c r="R194" i="10"/>
  <c r="R198" i="10"/>
  <c r="R202" i="10"/>
  <c r="R206" i="10"/>
  <c r="Q205" i="10"/>
  <c r="Q219" i="10" l="1"/>
  <c r="X102" i="10" s="1"/>
  <c r="X104" i="10" s="1"/>
  <c r="R219" i="10"/>
  <c r="Y102" i="10" s="1"/>
  <c r="Q217" i="10"/>
  <c r="R217" i="10"/>
  <c r="C2" i="45" l="1"/>
  <c r="U166" i="10" l="1"/>
  <c r="V166" i="10" s="1"/>
  <c r="T166" i="10"/>
  <c r="N166" i="10"/>
  <c r="O166" i="10" s="1"/>
  <c r="M166" i="10"/>
  <c r="U165" i="10"/>
  <c r="V165" i="10" s="1"/>
  <c r="T165" i="10"/>
  <c r="N165" i="10"/>
  <c r="O165" i="10" s="1"/>
  <c r="M165" i="10"/>
  <c r="U164" i="10"/>
  <c r="V164" i="10" s="1"/>
  <c r="T164" i="10"/>
  <c r="N164" i="10"/>
  <c r="O164" i="10" s="1"/>
  <c r="M164" i="10"/>
  <c r="U163" i="10"/>
  <c r="V163" i="10" s="1"/>
  <c r="T163" i="10"/>
  <c r="N163" i="10"/>
  <c r="O163" i="10" s="1"/>
  <c r="M163" i="10"/>
  <c r="U162" i="10"/>
  <c r="V162" i="10" s="1"/>
  <c r="T162" i="10"/>
  <c r="N162" i="10"/>
  <c r="O162" i="10" s="1"/>
  <c r="M162" i="10"/>
  <c r="U161" i="10"/>
  <c r="V161" i="10" s="1"/>
  <c r="T161" i="10"/>
  <c r="N161" i="10"/>
  <c r="O161" i="10" s="1"/>
  <c r="M161" i="10"/>
  <c r="U160" i="10"/>
  <c r="V160" i="10" s="1"/>
  <c r="T160" i="10"/>
  <c r="N160" i="10"/>
  <c r="O160" i="10" s="1"/>
  <c r="M160" i="10"/>
  <c r="U159" i="10"/>
  <c r="V159" i="10" s="1"/>
  <c r="T159" i="10"/>
  <c r="N159" i="10"/>
  <c r="O159" i="10" s="1"/>
  <c r="M159" i="10"/>
  <c r="U158" i="10"/>
  <c r="V158" i="10" s="1"/>
  <c r="T158" i="10"/>
  <c r="N158" i="10"/>
  <c r="O158" i="10" s="1"/>
  <c r="M158" i="10"/>
  <c r="U157" i="10"/>
  <c r="V157" i="10" s="1"/>
  <c r="T157" i="10"/>
  <c r="N157" i="10"/>
  <c r="O157" i="10" s="1"/>
  <c r="M157" i="10"/>
  <c r="U156" i="10"/>
  <c r="V156" i="10" s="1"/>
  <c r="T156" i="10"/>
  <c r="N156" i="10"/>
  <c r="O156" i="10" s="1"/>
  <c r="M156" i="10"/>
  <c r="U155" i="10"/>
  <c r="V155" i="10" s="1"/>
  <c r="T155" i="10"/>
  <c r="N155" i="10"/>
  <c r="O155" i="10" s="1"/>
  <c r="M155" i="10"/>
  <c r="U154" i="10"/>
  <c r="V154" i="10" s="1"/>
  <c r="T154" i="10"/>
  <c r="N154" i="10"/>
  <c r="O154" i="10" s="1"/>
  <c r="M154" i="10"/>
  <c r="U153" i="10"/>
  <c r="V153" i="10" s="1"/>
  <c r="T153" i="10"/>
  <c r="N153" i="10"/>
  <c r="O153" i="10" s="1"/>
  <c r="M153" i="10"/>
  <c r="U152" i="10"/>
  <c r="V152" i="10" s="1"/>
  <c r="T152" i="10"/>
  <c r="N152" i="10"/>
  <c r="O152" i="10" s="1"/>
  <c r="M152" i="10"/>
  <c r="U151" i="10"/>
  <c r="V151" i="10" s="1"/>
  <c r="T151" i="10"/>
  <c r="N151" i="10"/>
  <c r="O151" i="10" s="1"/>
  <c r="M151" i="10"/>
  <c r="U150" i="10"/>
  <c r="V150" i="10" s="1"/>
  <c r="T150" i="10"/>
  <c r="N150" i="10"/>
  <c r="O150" i="10" s="1"/>
  <c r="M150" i="10"/>
  <c r="U149" i="10"/>
  <c r="V149" i="10" s="1"/>
  <c r="T149" i="10"/>
  <c r="N149" i="10"/>
  <c r="O149" i="10" s="1"/>
  <c r="M149" i="10"/>
  <c r="U148" i="10"/>
  <c r="V148" i="10" s="1"/>
  <c r="T148" i="10"/>
  <c r="N148" i="10"/>
  <c r="O148" i="10" s="1"/>
  <c r="M148" i="10"/>
  <c r="U147" i="10"/>
  <c r="V147" i="10" s="1"/>
  <c r="T147" i="10"/>
  <c r="N147" i="10"/>
  <c r="O147" i="10" s="1"/>
  <c r="M147" i="10"/>
  <c r="U146" i="10"/>
  <c r="V146" i="10" s="1"/>
  <c r="T146" i="10"/>
  <c r="N146" i="10"/>
  <c r="O146" i="10" s="1"/>
  <c r="M146" i="10"/>
  <c r="U145" i="10"/>
  <c r="V145" i="10" s="1"/>
  <c r="T145" i="10"/>
  <c r="N145" i="10"/>
  <c r="O145" i="10" s="1"/>
  <c r="M145" i="10"/>
  <c r="U144" i="10"/>
  <c r="V144" i="10" s="1"/>
  <c r="T144" i="10"/>
  <c r="N144" i="10"/>
  <c r="O144" i="10" s="1"/>
  <c r="M144" i="10"/>
  <c r="U143" i="10"/>
  <c r="V143" i="10" s="1"/>
  <c r="T143" i="10"/>
  <c r="N143" i="10"/>
  <c r="O143" i="10" s="1"/>
  <c r="M143" i="10"/>
  <c r="U142" i="10"/>
  <c r="V142" i="10" s="1"/>
  <c r="T142" i="10"/>
  <c r="N142" i="10"/>
  <c r="O142" i="10" s="1"/>
  <c r="M142" i="10"/>
  <c r="U141" i="10"/>
  <c r="V141" i="10" s="1"/>
  <c r="T141" i="10"/>
  <c r="N141" i="10"/>
  <c r="O141" i="10" s="1"/>
  <c r="M141" i="10"/>
  <c r="U140" i="10"/>
  <c r="V140" i="10" s="1"/>
  <c r="T140" i="10"/>
  <c r="N140" i="10"/>
  <c r="O140" i="10" s="1"/>
  <c r="M140" i="10"/>
  <c r="U139" i="10"/>
  <c r="V139" i="10" s="1"/>
  <c r="T139" i="10"/>
  <c r="N139" i="10"/>
  <c r="O139" i="10" s="1"/>
  <c r="M139" i="10"/>
  <c r="U138" i="10"/>
  <c r="V138" i="10" s="1"/>
  <c r="T138" i="10"/>
  <c r="N138" i="10"/>
  <c r="O138" i="10" s="1"/>
  <c r="M138" i="10"/>
  <c r="U137" i="10"/>
  <c r="V137" i="10" s="1"/>
  <c r="T137" i="10"/>
  <c r="N137" i="10"/>
  <c r="O137" i="10" s="1"/>
  <c r="M137" i="10"/>
  <c r="U136" i="10"/>
  <c r="V136" i="10" s="1"/>
  <c r="T136" i="10"/>
  <c r="N136" i="10"/>
  <c r="O136" i="10" s="1"/>
  <c r="M136" i="10"/>
  <c r="U135" i="10"/>
  <c r="V135" i="10" s="1"/>
  <c r="T135" i="10"/>
  <c r="N135" i="10"/>
  <c r="O135" i="10" s="1"/>
  <c r="M135" i="10"/>
  <c r="U134" i="10"/>
  <c r="V134" i="10" s="1"/>
  <c r="T134" i="10"/>
  <c r="N134" i="10"/>
  <c r="O134" i="10" s="1"/>
  <c r="M134" i="10"/>
  <c r="U133" i="10"/>
  <c r="V133" i="10" s="1"/>
  <c r="T133" i="10"/>
  <c r="N133" i="10"/>
  <c r="O133" i="10" s="1"/>
  <c r="M133" i="10"/>
  <c r="Y144" i="10" l="1"/>
  <c r="X144" i="10"/>
  <c r="P64" i="16"/>
  <c r="O64" i="16"/>
  <c r="N64" i="16"/>
  <c r="M64" i="16"/>
  <c r="L64" i="16"/>
  <c r="K64" i="16"/>
  <c r="P47" i="16"/>
  <c r="O47" i="16"/>
  <c r="N47" i="16"/>
  <c r="M47" i="16"/>
  <c r="L47" i="16"/>
  <c r="K47" i="16"/>
  <c r="X146" i="10" l="1"/>
  <c r="M11" i="40"/>
  <c r="M46" i="40" s="1"/>
  <c r="M10" i="40"/>
  <c r="M45" i="40" s="1"/>
  <c r="R9" i="10" l="1"/>
  <c r="R8" i="10"/>
  <c r="S28" i="18"/>
  <c r="A1" i="40" l="1"/>
  <c r="A6" i="40"/>
  <c r="A5" i="40"/>
  <c r="A4" i="40"/>
  <c r="S88" i="15" l="1"/>
  <c r="R88" i="15"/>
  <c r="Q88" i="15"/>
  <c r="P88" i="15"/>
  <c r="L289" i="15"/>
  <c r="M289" i="15" s="1"/>
  <c r="L290" i="15"/>
  <c r="M290" i="15" s="1"/>
  <c r="L288" i="15"/>
  <c r="P61" i="20" l="1"/>
  <c r="P60" i="20"/>
  <c r="P59" i="20"/>
  <c r="P58" i="20"/>
  <c r="P57" i="20"/>
  <c r="P56" i="20"/>
  <c r="P55" i="20"/>
  <c r="P54" i="20"/>
  <c r="P53" i="20"/>
  <c r="P52" i="20"/>
  <c r="P51" i="20"/>
  <c r="P50" i="20"/>
  <c r="P49" i="20"/>
  <c r="P48" i="20"/>
  <c r="P47" i="20"/>
  <c r="P46" i="20"/>
  <c r="P44" i="20"/>
  <c r="P42" i="20"/>
  <c r="P40" i="20"/>
  <c r="P36" i="20"/>
  <c r="P34" i="20"/>
  <c r="S47" i="20"/>
  <c r="S48" i="20"/>
  <c r="S49" i="20"/>
  <c r="S50" i="20"/>
  <c r="S51" i="20"/>
  <c r="S52" i="20"/>
  <c r="S53" i="20"/>
  <c r="S54" i="20"/>
  <c r="S55" i="20"/>
  <c r="S56" i="20"/>
  <c r="S57" i="20"/>
  <c r="S58" i="20"/>
  <c r="S59" i="20"/>
  <c r="S60" i="20"/>
  <c r="S61" i="20"/>
  <c r="S46" i="20"/>
  <c r="S40" i="20"/>
  <c r="S38" i="20"/>
  <c r="S36" i="20"/>
  <c r="S34" i="20"/>
  <c r="V208" i="20"/>
  <c r="V209" i="20" s="1"/>
  <c r="R44" i="20" l="1"/>
  <c r="R12" i="22"/>
  <c r="S13" i="25"/>
  <c r="S12" i="25"/>
  <c r="S11" i="25"/>
  <c r="S10" i="25"/>
  <c r="S9" i="25"/>
  <c r="S8" i="25"/>
  <c r="S7" i="25"/>
  <c r="S6" i="25"/>
  <c r="P13" i="25"/>
  <c r="P12" i="25"/>
  <c r="P11" i="25"/>
  <c r="P10" i="25"/>
  <c r="P9" i="25"/>
  <c r="P8" i="25"/>
  <c r="P7" i="25"/>
  <c r="P6" i="25"/>
  <c r="K83" i="25"/>
  <c r="K82" i="25"/>
  <c r="S18" i="11"/>
  <c r="S17" i="11"/>
  <c r="S16" i="11"/>
  <c r="S15" i="11"/>
  <c r="S12" i="11"/>
  <c r="S11" i="11"/>
  <c r="S10" i="11"/>
  <c r="S9" i="11"/>
  <c r="P18" i="11"/>
  <c r="P17" i="11"/>
  <c r="P16" i="11"/>
  <c r="P15" i="11"/>
  <c r="P12" i="11"/>
  <c r="P11" i="11"/>
  <c r="P10" i="11"/>
  <c r="P9" i="11"/>
  <c r="K82" i="11"/>
  <c r="K81" i="11"/>
  <c r="J54" i="49" l="1"/>
  <c r="J72" i="49"/>
  <c r="J84" i="49"/>
  <c r="J82" i="49"/>
  <c r="J83" i="49"/>
  <c r="J80" i="49"/>
  <c r="J81" i="49"/>
  <c r="J85" i="49"/>
  <c r="K84" i="49"/>
  <c r="K82" i="49"/>
  <c r="K83" i="49"/>
  <c r="K80" i="49"/>
  <c r="K81" i="49"/>
  <c r="K85" i="49"/>
  <c r="M7" i="9" l="1"/>
  <c r="M9" i="9"/>
  <c r="M6" i="9"/>
  <c r="S9" i="9" l="1"/>
  <c r="M8" i="9"/>
  <c r="M10" i="9"/>
  <c r="M11" i="9" l="1"/>
  <c r="B25" i="24"/>
  <c r="E25" i="24"/>
  <c r="B18" i="24"/>
  <c r="E18" i="24"/>
  <c r="E24" i="24"/>
  <c r="B24" i="24"/>
  <c r="E23" i="24"/>
  <c r="B23" i="24"/>
  <c r="H22" i="24"/>
  <c r="E22" i="24"/>
  <c r="B22" i="24"/>
  <c r="E21" i="24"/>
  <c r="B21" i="24"/>
  <c r="E20" i="24"/>
  <c r="B20" i="24"/>
  <c r="E19" i="24"/>
  <c r="B19" i="24"/>
  <c r="E17" i="24" l="1"/>
  <c r="B17" i="24"/>
  <c r="E16" i="24"/>
  <c r="B16" i="24"/>
  <c r="E15" i="24"/>
  <c r="B15" i="24"/>
  <c r="E14" i="24"/>
  <c r="B14" i="24"/>
  <c r="E13" i="24"/>
  <c r="B13" i="24"/>
  <c r="E12" i="24"/>
  <c r="B12" i="24"/>
  <c r="J7" i="49"/>
  <c r="J8" i="49"/>
  <c r="J10" i="49"/>
  <c r="K6" i="49"/>
  <c r="K7" i="49"/>
  <c r="K8" i="49"/>
  <c r="K10" i="49"/>
  <c r="J38" i="49"/>
  <c r="K38" i="49" s="1"/>
  <c r="J6" i="49"/>
  <c r="H45" i="8"/>
  <c r="E45" i="8"/>
  <c r="B45" i="8"/>
  <c r="H46" i="8"/>
  <c r="E46" i="8"/>
  <c r="B46" i="8"/>
  <c r="H48" i="8"/>
  <c r="E48" i="8"/>
  <c r="B48" i="8"/>
  <c r="H56" i="8"/>
  <c r="E56" i="8"/>
  <c r="B56" i="8"/>
  <c r="H53" i="8"/>
  <c r="E53" i="8"/>
  <c r="B53" i="8"/>
  <c r="H47" i="8"/>
  <c r="E47" i="8"/>
  <c r="B47" i="8"/>
  <c r="H55" i="8"/>
  <c r="E55" i="8"/>
  <c r="B55" i="8"/>
  <c r="H42" i="8"/>
  <c r="E42" i="8"/>
  <c r="B42" i="8"/>
  <c r="H31" i="8"/>
  <c r="E31" i="8"/>
  <c r="H54" i="8"/>
  <c r="E54" i="8"/>
  <c r="B54" i="8"/>
  <c r="H41" i="8"/>
  <c r="E41" i="8"/>
  <c r="B41" i="8"/>
  <c r="X39" i="8"/>
  <c r="H39" i="8"/>
  <c r="E39" i="8"/>
  <c r="B39" i="8"/>
  <c r="H38" i="8"/>
  <c r="E38" i="8"/>
  <c r="B38" i="8"/>
  <c r="H37" i="8"/>
  <c r="E37" i="8"/>
  <c r="B37" i="8"/>
  <c r="H36" i="8"/>
  <c r="E36" i="8"/>
  <c r="B36" i="8"/>
  <c r="H34" i="8"/>
  <c r="E34" i="8"/>
  <c r="B34" i="8"/>
  <c r="H33" i="8"/>
  <c r="E33" i="8"/>
  <c r="B33" i="8"/>
  <c r="H32" i="8"/>
  <c r="E32" i="8"/>
  <c r="B32" i="8"/>
  <c r="U32" i="8" l="1"/>
  <c r="T32" i="8"/>
  <c r="H13" i="25"/>
  <c r="E13" i="25"/>
  <c r="B13" i="25"/>
  <c r="H12" i="25"/>
  <c r="E12" i="25"/>
  <c r="B12" i="25"/>
  <c r="H11" i="25"/>
  <c r="E11" i="25"/>
  <c r="B11" i="25"/>
  <c r="H10" i="25"/>
  <c r="E10" i="25"/>
  <c r="B10" i="25"/>
  <c r="H9" i="13"/>
  <c r="E9" i="13"/>
  <c r="B9" i="13"/>
  <c r="H8" i="13"/>
  <c r="E8" i="13"/>
  <c r="B8" i="13"/>
  <c r="H9" i="10"/>
  <c r="E9" i="10"/>
  <c r="B9" i="10"/>
  <c r="H8" i="10"/>
  <c r="E8" i="10"/>
  <c r="B8" i="10"/>
  <c r="H17" i="36"/>
  <c r="E17" i="36"/>
  <c r="B17" i="36"/>
  <c r="S16" i="36"/>
  <c r="H16" i="36"/>
  <c r="E16" i="36"/>
  <c r="B16" i="36"/>
  <c r="H15" i="36"/>
  <c r="E15" i="36"/>
  <c r="B15" i="36"/>
  <c r="S14" i="36"/>
  <c r="H14" i="36"/>
  <c r="E14" i="36"/>
  <c r="B14" i="36"/>
  <c r="H13" i="36"/>
  <c r="E13" i="36"/>
  <c r="B13" i="36"/>
  <c r="H12" i="36"/>
  <c r="E12" i="36"/>
  <c r="B12" i="36"/>
  <c r="H9" i="9"/>
  <c r="E9" i="9"/>
  <c r="B9" i="9"/>
  <c r="H8" i="9"/>
  <c r="E8" i="9"/>
  <c r="B8" i="9"/>
  <c r="H13" i="7"/>
  <c r="E13" i="7"/>
  <c r="B13" i="7"/>
  <c r="H12" i="7"/>
  <c r="E12" i="7"/>
  <c r="B12" i="7"/>
  <c r="H11" i="7"/>
  <c r="E11" i="7"/>
  <c r="B11" i="7"/>
  <c r="H10" i="7"/>
  <c r="E10" i="7"/>
  <c r="B10" i="7"/>
  <c r="S17" i="36" l="1"/>
  <c r="V32" i="8"/>
  <c r="H16" i="22" l="1"/>
  <c r="E16" i="22"/>
  <c r="B16" i="22"/>
  <c r="H15" i="22"/>
  <c r="E15" i="22"/>
  <c r="B15" i="22"/>
  <c r="H14" i="22"/>
  <c r="E14" i="22"/>
  <c r="B14" i="22"/>
  <c r="H13" i="22"/>
  <c r="E13" i="22"/>
  <c r="B13" i="22"/>
  <c r="H12" i="22"/>
  <c r="E12" i="22"/>
  <c r="B12" i="22"/>
  <c r="H11" i="22"/>
  <c r="E11" i="22"/>
  <c r="B11" i="22"/>
  <c r="H18" i="11"/>
  <c r="E18" i="11"/>
  <c r="B18" i="11"/>
  <c r="H17" i="11"/>
  <c r="E17" i="11"/>
  <c r="B17" i="11"/>
  <c r="H16" i="11"/>
  <c r="E16" i="11"/>
  <c r="B16" i="11"/>
  <c r="H15" i="11"/>
  <c r="E15" i="11"/>
  <c r="B15" i="11"/>
  <c r="H14" i="11"/>
  <c r="E14" i="11"/>
  <c r="B14" i="11"/>
  <c r="H13" i="11"/>
  <c r="E13" i="11"/>
  <c r="B13" i="11"/>
  <c r="H9" i="5"/>
  <c r="E9" i="5"/>
  <c r="B9" i="5"/>
  <c r="H8" i="5"/>
  <c r="E8" i="5"/>
  <c r="B8" i="5"/>
  <c r="H29" i="17"/>
  <c r="E29" i="17"/>
  <c r="B29" i="17"/>
  <c r="H28" i="17"/>
  <c r="E28" i="17"/>
  <c r="B28" i="17"/>
  <c r="H27" i="17"/>
  <c r="E27" i="17"/>
  <c r="B27" i="17"/>
  <c r="H26" i="17"/>
  <c r="E26" i="17"/>
  <c r="B26" i="17"/>
  <c r="H25" i="17"/>
  <c r="E25" i="17"/>
  <c r="B25" i="17"/>
  <c r="H24" i="17"/>
  <c r="E24" i="17"/>
  <c r="B24" i="17"/>
  <c r="H23" i="17"/>
  <c r="E23" i="17"/>
  <c r="B23" i="17"/>
  <c r="H22" i="17"/>
  <c r="E22" i="17"/>
  <c r="B22" i="17"/>
  <c r="H21" i="17"/>
  <c r="E21" i="17"/>
  <c r="B21" i="17"/>
  <c r="H20" i="17"/>
  <c r="E20" i="17"/>
  <c r="B20" i="17"/>
  <c r="H19" i="17"/>
  <c r="E19" i="17"/>
  <c r="B19" i="17"/>
  <c r="H18" i="17"/>
  <c r="E18" i="17"/>
  <c r="B18" i="17"/>
  <c r="S19" i="18"/>
  <c r="S20" i="18"/>
  <c r="S21" i="18"/>
  <c r="S22" i="18"/>
  <c r="S23" i="18"/>
  <c r="S24" i="18"/>
  <c r="S25" i="18"/>
  <c r="S26" i="18"/>
  <c r="S27" i="18"/>
  <c r="S18" i="18"/>
  <c r="T11" i="22" l="1"/>
  <c r="U11" i="22"/>
  <c r="U14" i="22"/>
  <c r="T14" i="22"/>
  <c r="V11" i="22" l="1"/>
  <c r="V14" i="22"/>
  <c r="I112" i="18" l="1"/>
  <c r="O119" i="18" s="1"/>
  <c r="P119" i="18" s="1"/>
  <c r="N118" i="18"/>
  <c r="N119" i="18"/>
  <c r="N120" i="18"/>
  <c r="N121" i="18"/>
  <c r="N122" i="18"/>
  <c r="N123" i="18"/>
  <c r="N124" i="18"/>
  <c r="N125" i="18"/>
  <c r="O121" i="18" l="1"/>
  <c r="P121" i="18" s="1"/>
  <c r="O120" i="18"/>
  <c r="P120" i="18" s="1"/>
  <c r="O125" i="18"/>
  <c r="P125" i="18" s="1"/>
  <c r="O124" i="18"/>
  <c r="P124" i="18" s="1"/>
  <c r="O123" i="18"/>
  <c r="P123" i="18" s="1"/>
  <c r="O118" i="18"/>
  <c r="P118" i="18" s="1"/>
  <c r="O122" i="18"/>
  <c r="P122" i="18" s="1"/>
  <c r="H29" i="18"/>
  <c r="E29" i="18"/>
  <c r="B29" i="18"/>
  <c r="H28" i="18"/>
  <c r="E28" i="18"/>
  <c r="B28" i="18"/>
  <c r="H27" i="18"/>
  <c r="E27" i="18"/>
  <c r="B27" i="18"/>
  <c r="H26" i="18"/>
  <c r="E26" i="18"/>
  <c r="B26" i="18"/>
  <c r="H25" i="18"/>
  <c r="E25" i="18"/>
  <c r="B25" i="18"/>
  <c r="H24" i="18"/>
  <c r="E24" i="18"/>
  <c r="B24" i="18"/>
  <c r="H23" i="18"/>
  <c r="E23" i="18"/>
  <c r="B23" i="18"/>
  <c r="H22" i="18"/>
  <c r="E22" i="18"/>
  <c r="B22" i="18"/>
  <c r="H21" i="18"/>
  <c r="E21" i="18"/>
  <c r="B21" i="18"/>
  <c r="H20" i="18"/>
  <c r="E20" i="18"/>
  <c r="B20" i="18"/>
  <c r="H19" i="18"/>
  <c r="E19" i="18"/>
  <c r="B19" i="18"/>
  <c r="H18" i="18"/>
  <c r="E18" i="18"/>
  <c r="B18" i="18"/>
  <c r="H9" i="21" l="1"/>
  <c r="E9" i="21"/>
  <c r="B9" i="21"/>
  <c r="H8" i="21"/>
  <c r="E8" i="21"/>
  <c r="B8" i="21"/>
  <c r="R61" i="20" l="1"/>
  <c r="R60" i="20"/>
  <c r="R53" i="20"/>
  <c r="R52" i="20"/>
  <c r="R32" i="20"/>
  <c r="R59" i="20"/>
  <c r="R58" i="20"/>
  <c r="R57" i="20"/>
  <c r="R56" i="20"/>
  <c r="R55" i="20"/>
  <c r="R54" i="20"/>
  <c r="R51" i="20"/>
  <c r="R49" i="20"/>
  <c r="R47" i="20"/>
  <c r="R50" i="20"/>
  <c r="R48" i="20"/>
  <c r="R46" i="20"/>
  <c r="R42" i="20"/>
  <c r="R40" i="20"/>
  <c r="R38" i="20"/>
  <c r="R36" i="20"/>
  <c r="R34" i="20"/>
  <c r="E61" i="20" l="1"/>
  <c r="B61" i="20"/>
  <c r="E60" i="20"/>
  <c r="B60" i="20"/>
  <c r="H59" i="20"/>
  <c r="E59" i="20"/>
  <c r="B59" i="20"/>
  <c r="H58" i="20"/>
  <c r="E58" i="20"/>
  <c r="B58" i="20"/>
  <c r="H57" i="20"/>
  <c r="E57" i="20"/>
  <c r="B57" i="20"/>
  <c r="H56" i="20"/>
  <c r="E56" i="20"/>
  <c r="B56" i="20"/>
  <c r="H55" i="20"/>
  <c r="E55" i="20"/>
  <c r="B55" i="20"/>
  <c r="H54" i="20"/>
  <c r="E54" i="20"/>
  <c r="B54" i="20"/>
  <c r="E53" i="20"/>
  <c r="B53" i="20"/>
  <c r="E52" i="20"/>
  <c r="B52" i="20"/>
  <c r="H51" i="20"/>
  <c r="E51" i="20"/>
  <c r="B51" i="20"/>
  <c r="H50" i="20"/>
  <c r="E50" i="20"/>
  <c r="B50" i="20"/>
  <c r="H49" i="20"/>
  <c r="E49" i="20"/>
  <c r="B49" i="20"/>
  <c r="H48" i="20"/>
  <c r="E48" i="20"/>
  <c r="B48" i="20"/>
  <c r="H47" i="20"/>
  <c r="E47" i="20"/>
  <c r="B47" i="20"/>
  <c r="H46" i="20"/>
  <c r="E46" i="20"/>
  <c r="B46" i="20"/>
  <c r="H45" i="20"/>
  <c r="E45" i="20"/>
  <c r="B45" i="20"/>
  <c r="H44" i="20"/>
  <c r="E44" i="20"/>
  <c r="B44" i="20"/>
  <c r="H43" i="20"/>
  <c r="E43" i="20"/>
  <c r="B43" i="20"/>
  <c r="H42" i="20"/>
  <c r="E42" i="20"/>
  <c r="B42" i="20"/>
  <c r="H41" i="20"/>
  <c r="E41" i="20"/>
  <c r="B41" i="20"/>
  <c r="H40" i="20"/>
  <c r="E40" i="20"/>
  <c r="B40" i="20"/>
  <c r="H39" i="20"/>
  <c r="E39" i="20"/>
  <c r="B39" i="20"/>
  <c r="H38" i="20"/>
  <c r="E38" i="20"/>
  <c r="B38" i="20"/>
  <c r="H37" i="20"/>
  <c r="E37" i="20"/>
  <c r="B37" i="20"/>
  <c r="H36" i="20"/>
  <c r="E36" i="20"/>
  <c r="B36" i="20"/>
  <c r="H35" i="20"/>
  <c r="E35" i="20"/>
  <c r="B35" i="20"/>
  <c r="H34" i="20"/>
  <c r="E34" i="20"/>
  <c r="B34" i="20"/>
  <c r="O21" i="16" l="1"/>
  <c r="H21" i="16"/>
  <c r="E21" i="16"/>
  <c r="B21" i="16"/>
  <c r="O20" i="16"/>
  <c r="H20" i="16"/>
  <c r="E20" i="16"/>
  <c r="B20" i="16"/>
  <c r="H19" i="16"/>
  <c r="E19" i="16"/>
  <c r="B19" i="16"/>
  <c r="H18" i="16"/>
  <c r="B18" i="16"/>
  <c r="O17" i="16"/>
  <c r="H17" i="16"/>
  <c r="E17" i="16"/>
  <c r="B17" i="16"/>
  <c r="O16" i="16"/>
  <c r="H16" i="16"/>
  <c r="E16" i="16"/>
  <c r="B16" i="16"/>
  <c r="H15" i="16"/>
  <c r="E15" i="16"/>
  <c r="B15" i="16"/>
  <c r="H14" i="16"/>
  <c r="B14" i="16"/>
  <c r="H69" i="15"/>
  <c r="E69" i="15"/>
  <c r="B69" i="15"/>
  <c r="H68" i="15"/>
  <c r="E68" i="15"/>
  <c r="B68" i="15"/>
  <c r="H67" i="15"/>
  <c r="E67" i="15"/>
  <c r="B67" i="15"/>
  <c r="H66" i="15"/>
  <c r="E66" i="15"/>
  <c r="B66" i="15"/>
  <c r="H65" i="15"/>
  <c r="E65" i="15"/>
  <c r="B65" i="15"/>
  <c r="H64" i="15"/>
  <c r="E64" i="15"/>
  <c r="B64" i="15"/>
  <c r="H63" i="15"/>
  <c r="E63" i="15"/>
  <c r="B63" i="15"/>
  <c r="H62" i="15"/>
  <c r="E62" i="15"/>
  <c r="B62" i="15"/>
  <c r="H61" i="15"/>
  <c r="E61" i="15"/>
  <c r="B61" i="15"/>
  <c r="H60" i="15"/>
  <c r="E60" i="15"/>
  <c r="B60" i="15"/>
  <c r="H59" i="15"/>
  <c r="E59" i="15"/>
  <c r="B59" i="15"/>
  <c r="H58" i="15"/>
  <c r="E58" i="15"/>
  <c r="B58" i="15"/>
  <c r="H57" i="15"/>
  <c r="E57" i="15"/>
  <c r="B57" i="15"/>
  <c r="H56" i="15"/>
  <c r="E56" i="15"/>
  <c r="B56" i="15"/>
  <c r="H55" i="15"/>
  <c r="E55" i="15"/>
  <c r="B55" i="15"/>
  <c r="H54" i="15"/>
  <c r="E54" i="15"/>
  <c r="B54" i="15"/>
  <c r="H53" i="15"/>
  <c r="E53" i="15"/>
  <c r="B53" i="15"/>
  <c r="H52" i="15"/>
  <c r="E52" i="15"/>
  <c r="B52" i="15"/>
  <c r="H51" i="15"/>
  <c r="E51" i="15"/>
  <c r="B51" i="15"/>
  <c r="H50" i="15"/>
  <c r="E50" i="15"/>
  <c r="B50" i="15"/>
  <c r="H49" i="15"/>
  <c r="E49" i="15"/>
  <c r="B49" i="15"/>
  <c r="H48" i="15"/>
  <c r="E48" i="15"/>
  <c r="B48" i="15"/>
  <c r="H47" i="15"/>
  <c r="E47" i="15"/>
  <c r="B47" i="15"/>
  <c r="H46" i="15"/>
  <c r="E46" i="15"/>
  <c r="B46" i="15"/>
  <c r="H45" i="15"/>
  <c r="E45" i="15"/>
  <c r="B45" i="15"/>
  <c r="H44" i="15"/>
  <c r="E44" i="15"/>
  <c r="B44" i="15"/>
  <c r="H43" i="15"/>
  <c r="E43" i="15"/>
  <c r="B43" i="15"/>
  <c r="H42" i="15"/>
  <c r="E42" i="15"/>
  <c r="B42" i="15"/>
  <c r="H41" i="15"/>
  <c r="E41" i="15"/>
  <c r="B41" i="15"/>
  <c r="H40" i="15"/>
  <c r="E40" i="15"/>
  <c r="B40" i="15"/>
  <c r="H39" i="15"/>
  <c r="E39" i="15"/>
  <c r="B39" i="15"/>
  <c r="X38" i="15"/>
  <c r="H38" i="15"/>
  <c r="E38" i="15"/>
  <c r="B38" i="15"/>
  <c r="H16" i="14"/>
  <c r="E16" i="14"/>
  <c r="B16" i="14"/>
  <c r="H15" i="14"/>
  <c r="E15" i="14"/>
  <c r="B15" i="14"/>
  <c r="H14" i="14"/>
  <c r="E14" i="14"/>
  <c r="B14" i="14"/>
  <c r="H13" i="14"/>
  <c r="E13" i="14"/>
  <c r="B13" i="14"/>
  <c r="H12" i="14"/>
  <c r="E12" i="14"/>
  <c r="B12" i="14"/>
  <c r="H11" i="14"/>
  <c r="E11" i="14"/>
  <c r="B11" i="14"/>
  <c r="O33" i="39"/>
  <c r="I33" i="39"/>
  <c r="C33" i="39"/>
  <c r="O32" i="39"/>
  <c r="I32" i="39"/>
  <c r="C32" i="39"/>
  <c r="O31" i="39"/>
  <c r="I31" i="39"/>
  <c r="C31" i="39"/>
  <c r="M29" i="39"/>
  <c r="C29" i="39"/>
  <c r="M28" i="39"/>
  <c r="I28" i="39"/>
  <c r="C28" i="39"/>
  <c r="O27" i="39"/>
  <c r="I27" i="39"/>
  <c r="C27" i="39"/>
  <c r="O26" i="39"/>
  <c r="O25" i="39"/>
  <c r="I25" i="39"/>
  <c r="G26" i="39"/>
  <c r="F26" i="39"/>
  <c r="E26" i="39"/>
  <c r="D26" i="39"/>
  <c r="C25" i="39"/>
  <c r="O24" i="39"/>
  <c r="I24" i="39"/>
  <c r="C24" i="39"/>
  <c r="O23" i="39"/>
  <c r="I23" i="39"/>
  <c r="C23" i="39"/>
  <c r="O22" i="39"/>
  <c r="I22" i="39"/>
  <c r="C22" i="39"/>
  <c r="O21" i="39"/>
  <c r="C21" i="39"/>
  <c r="O18" i="39"/>
  <c r="C18" i="39"/>
  <c r="O17" i="39"/>
  <c r="C17" i="39"/>
  <c r="O16" i="39"/>
  <c r="I16" i="39"/>
  <c r="C16" i="39"/>
  <c r="O15" i="39"/>
  <c r="C15" i="39"/>
  <c r="M14" i="39"/>
  <c r="I14" i="39"/>
  <c r="C14" i="39"/>
  <c r="O13" i="39"/>
  <c r="I13" i="39"/>
  <c r="C13" i="39"/>
  <c r="M11" i="39"/>
  <c r="I11" i="39"/>
  <c r="C11" i="39"/>
  <c r="O10" i="39"/>
  <c r="O9" i="39"/>
  <c r="O8" i="39"/>
  <c r="I8" i="39"/>
  <c r="C8" i="39"/>
  <c r="O7" i="39"/>
  <c r="I7" i="39"/>
  <c r="C7" i="39"/>
  <c r="Z10" i="39"/>
  <c r="T10" i="39"/>
  <c r="R29" i="39"/>
  <c r="Z33" i="39"/>
  <c r="T24" i="39"/>
  <c r="T25" i="39"/>
  <c r="T26" i="39"/>
  <c r="T9" i="39"/>
  <c r="T7" i="39"/>
  <c r="V22" i="39"/>
  <c r="X11" i="39"/>
  <c r="Z7" i="39"/>
  <c r="AB31" i="39"/>
  <c r="Z8" i="39"/>
  <c r="V33" i="39"/>
  <c r="T27" i="39"/>
  <c r="V14" i="39"/>
  <c r="V11" i="39"/>
  <c r="X14" i="39"/>
  <c r="Z9" i="39"/>
  <c r="AB11" i="39"/>
  <c r="Z23" i="39"/>
  <c r="AB33" i="39"/>
  <c r="AB7" i="39"/>
  <c r="Z26" i="39"/>
  <c r="AB14" i="39"/>
  <c r="V28" i="39"/>
  <c r="T13" i="39"/>
  <c r="V32" i="39"/>
  <c r="P38" i="15" l="1"/>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AC14" i="39"/>
  <c r="Q33" i="39"/>
  <c r="P33" i="39"/>
  <c r="W33" i="39"/>
  <c r="W22" i="39"/>
  <c r="Q22" i="39"/>
  <c r="Q28" i="39"/>
  <c r="W28" i="39"/>
  <c r="Q32" i="39"/>
  <c r="W32" i="39"/>
  <c r="AC33" i="39"/>
  <c r="AC7" i="39"/>
  <c r="AC11" i="39"/>
  <c r="N9" i="39"/>
  <c r="N26" i="39"/>
  <c r="N7" i="39"/>
  <c r="AC31" i="39"/>
  <c r="N10" i="39"/>
  <c r="Q11" i="39"/>
  <c r="P11" i="39"/>
  <c r="W14" i="39"/>
  <c r="Q14" i="39"/>
  <c r="P14" i="39"/>
  <c r="T32" i="39"/>
  <c r="R28" i="39"/>
  <c r="Z31" i="39"/>
  <c r="V31" i="39"/>
  <c r="Z24" i="39"/>
  <c r="AB8" i="39"/>
  <c r="T31" i="39"/>
  <c r="R14" i="39"/>
  <c r="Z32" i="39"/>
  <c r="T8" i="39"/>
  <c r="AB28" i="39"/>
  <c r="X29" i="39"/>
  <c r="T23" i="39"/>
  <c r="X28" i="39"/>
  <c r="Z13" i="39"/>
  <c r="V8" i="39"/>
  <c r="AB23" i="39"/>
  <c r="AB24" i="39"/>
  <c r="V7" i="39"/>
  <c r="V27" i="39"/>
  <c r="AB22" i="39"/>
  <c r="R11" i="39"/>
  <c r="T33" i="39"/>
  <c r="AB32" i="39"/>
  <c r="Z27" i="39"/>
  <c r="T22" i="39"/>
  <c r="V23" i="39"/>
  <c r="Z22" i="39"/>
  <c r="V24" i="39"/>
  <c r="AB27" i="39"/>
  <c r="AC8" i="39" l="1"/>
  <c r="AC23" i="39"/>
  <c r="N13" i="39"/>
  <c r="N8" i="39"/>
  <c r="AC27" i="39"/>
  <c r="N31" i="39"/>
  <c r="N27" i="39"/>
  <c r="P23" i="39"/>
  <c r="Q23" i="39"/>
  <c r="W23" i="39"/>
  <c r="N23" i="39"/>
  <c r="W27" i="39"/>
  <c r="P27" i="39"/>
  <c r="Q27" i="39"/>
  <c r="P32" i="39"/>
  <c r="AC32" i="39"/>
  <c r="N32" i="39"/>
  <c r="AC24" i="39"/>
  <c r="Q8" i="39"/>
  <c r="P8" i="39"/>
  <c r="K11" i="39"/>
  <c r="AC28" i="39"/>
  <c r="P28" i="39"/>
  <c r="Q7" i="39"/>
  <c r="P7" i="39"/>
  <c r="K28" i="39"/>
  <c r="Q24" i="39"/>
  <c r="P24" i="39"/>
  <c r="W24" i="39"/>
  <c r="AC22" i="39"/>
  <c r="P22" i="39"/>
  <c r="N24" i="39"/>
  <c r="N33" i="39"/>
  <c r="N22" i="39"/>
  <c r="K14" i="39"/>
  <c r="K29" i="39"/>
  <c r="Q31" i="39"/>
  <c r="P31" i="39"/>
  <c r="W31" i="39"/>
  <c r="H60" i="23" l="1"/>
  <c r="H61" i="23"/>
  <c r="H62" i="23"/>
  <c r="H63" i="23"/>
  <c r="H64" i="23"/>
  <c r="H65" i="23"/>
  <c r="H66" i="23"/>
  <c r="H67" i="23"/>
  <c r="H68" i="23"/>
  <c r="H69" i="23"/>
  <c r="H70" i="23"/>
  <c r="H71" i="23"/>
  <c r="H72" i="23"/>
  <c r="H73" i="23"/>
  <c r="H74" i="23"/>
  <c r="H75" i="23"/>
  <c r="H76" i="23"/>
  <c r="H77" i="23"/>
  <c r="H78" i="23"/>
  <c r="H79" i="23"/>
  <c r="H80" i="23"/>
  <c r="H81" i="23"/>
  <c r="H82" i="23"/>
  <c r="H83" i="23"/>
  <c r="H84" i="23"/>
  <c r="H85" i="23"/>
  <c r="H86" i="23"/>
  <c r="H87" i="23"/>
  <c r="H88" i="23"/>
  <c r="H89" i="23"/>
  <c r="H90" i="23"/>
  <c r="H91" i="23"/>
  <c r="H92" i="23"/>
  <c r="H93" i="23"/>
  <c r="H94" i="23"/>
  <c r="H95" i="23"/>
  <c r="H96" i="23"/>
  <c r="H97" i="23"/>
  <c r="H98" i="23"/>
  <c r="H99" i="23"/>
  <c r="H100" i="23"/>
  <c r="H101" i="23"/>
  <c r="H102" i="23"/>
  <c r="H103" i="23"/>
  <c r="H104" i="23"/>
  <c r="H105" i="23"/>
  <c r="H106" i="23"/>
  <c r="H107" i="23"/>
  <c r="H108" i="23"/>
  <c r="H109" i="23"/>
  <c r="H110" i="23"/>
  <c r="H111" i="23"/>
  <c r="H112" i="23"/>
  <c r="H113" i="23"/>
  <c r="B60" i="23"/>
  <c r="E60" i="23"/>
  <c r="B61" i="23"/>
  <c r="E61" i="23"/>
  <c r="B62" i="23"/>
  <c r="E62" i="23"/>
  <c r="B63" i="23"/>
  <c r="E63" i="23"/>
  <c r="B64" i="23"/>
  <c r="E64" i="23"/>
  <c r="B65" i="23"/>
  <c r="E65" i="23"/>
  <c r="B66" i="23"/>
  <c r="E66" i="23"/>
  <c r="B67" i="23"/>
  <c r="E67" i="23"/>
  <c r="B68" i="23"/>
  <c r="E68" i="23"/>
  <c r="B69" i="23"/>
  <c r="E69" i="23"/>
  <c r="B70" i="23"/>
  <c r="E70" i="23"/>
  <c r="B71" i="23"/>
  <c r="E71" i="23"/>
  <c r="B72" i="23"/>
  <c r="E72" i="23"/>
  <c r="B73" i="23"/>
  <c r="E73" i="23"/>
  <c r="B74" i="23"/>
  <c r="E74" i="23"/>
  <c r="B75" i="23"/>
  <c r="E75" i="23"/>
  <c r="B76" i="23"/>
  <c r="E76" i="23"/>
  <c r="B77" i="23"/>
  <c r="E77" i="23"/>
  <c r="B78" i="23"/>
  <c r="E78" i="23"/>
  <c r="B79" i="23"/>
  <c r="E79" i="23"/>
  <c r="B80" i="23"/>
  <c r="E80" i="23"/>
  <c r="B81" i="23"/>
  <c r="E81" i="23"/>
  <c r="B82" i="23"/>
  <c r="E82" i="23"/>
  <c r="B83" i="23"/>
  <c r="E83" i="23"/>
  <c r="B84" i="23"/>
  <c r="E84" i="23"/>
  <c r="B85" i="23"/>
  <c r="E85" i="23"/>
  <c r="B86" i="23"/>
  <c r="E86" i="23"/>
  <c r="B87" i="23"/>
  <c r="E87" i="23"/>
  <c r="B88" i="23"/>
  <c r="E88" i="23"/>
  <c r="B89" i="23"/>
  <c r="E89" i="23"/>
  <c r="B90" i="23"/>
  <c r="E90" i="23"/>
  <c r="B91" i="23"/>
  <c r="E91" i="23"/>
  <c r="B92" i="23"/>
  <c r="E92" i="23"/>
  <c r="B93" i="23"/>
  <c r="E93" i="23"/>
  <c r="B94" i="23"/>
  <c r="E94" i="23"/>
  <c r="B95" i="23"/>
  <c r="E95" i="23"/>
  <c r="B96" i="23"/>
  <c r="E96" i="23"/>
  <c r="B97" i="23"/>
  <c r="E97" i="23"/>
  <c r="B98" i="23"/>
  <c r="E98" i="23"/>
  <c r="B99" i="23"/>
  <c r="E99" i="23"/>
  <c r="B100" i="23"/>
  <c r="E100" i="23"/>
  <c r="B101" i="23"/>
  <c r="E101" i="23"/>
  <c r="B102" i="23"/>
  <c r="E102" i="23"/>
  <c r="B103" i="23"/>
  <c r="E103" i="23"/>
  <c r="B104" i="23"/>
  <c r="E104" i="23"/>
  <c r="B105" i="23"/>
  <c r="E105" i="23"/>
  <c r="B106" i="23"/>
  <c r="E106" i="23"/>
  <c r="B107" i="23"/>
  <c r="E107" i="23"/>
  <c r="B108" i="23"/>
  <c r="E108" i="23"/>
  <c r="B109" i="23"/>
  <c r="E109" i="23"/>
  <c r="B110" i="23"/>
  <c r="E110" i="23"/>
  <c r="B111" i="23"/>
  <c r="E111" i="23"/>
  <c r="B112" i="23"/>
  <c r="E112" i="23"/>
  <c r="B113" i="23"/>
  <c r="E113" i="23"/>
  <c r="S11" i="9" l="1"/>
  <c r="J88" i="49" s="1"/>
  <c r="S10" i="9"/>
  <c r="K88" i="49"/>
  <c r="T60" i="23"/>
  <c r="U112" i="23"/>
  <c r="T110" i="23"/>
  <c r="T107" i="23"/>
  <c r="T106" i="23"/>
  <c r="T103" i="23"/>
  <c r="T98" i="23"/>
  <c r="T90" i="23"/>
  <c r="T87" i="23"/>
  <c r="T79" i="23"/>
  <c r="U77" i="23"/>
  <c r="U73" i="23"/>
  <c r="T71" i="23"/>
  <c r="T63" i="23"/>
  <c r="U61" i="23"/>
  <c r="T101" i="23"/>
  <c r="T97" i="23"/>
  <c r="T89" i="23"/>
  <c r="T85" i="23"/>
  <c r="T77" i="23"/>
  <c r="U76" i="23"/>
  <c r="T74" i="23"/>
  <c r="T73" i="23"/>
  <c r="U70" i="23"/>
  <c r="U62" i="23"/>
  <c r="T61" i="23"/>
  <c r="U60" i="23"/>
  <c r="T112" i="23"/>
  <c r="T109" i="23"/>
  <c r="T108" i="23"/>
  <c r="T104" i="23"/>
  <c r="T100" i="23"/>
  <c r="T88" i="23"/>
  <c r="T76" i="23"/>
  <c r="U110" i="23"/>
  <c r="U108" i="23"/>
  <c r="U106" i="23"/>
  <c r="U104" i="23"/>
  <c r="U101" i="23"/>
  <c r="U100" i="23"/>
  <c r="U98" i="23"/>
  <c r="U97" i="23"/>
  <c r="U90" i="23"/>
  <c r="U89" i="23"/>
  <c r="U88" i="23"/>
  <c r="U85" i="23"/>
  <c r="U79" i="23" l="1"/>
  <c r="V79" i="23" s="1"/>
  <c r="V60" i="23"/>
  <c r="V110" i="23"/>
  <c r="V106" i="23"/>
  <c r="U107" i="23"/>
  <c r="V107" i="23" s="1"/>
  <c r="V90" i="23"/>
  <c r="U63" i="23"/>
  <c r="V63" i="23" s="1"/>
  <c r="U71" i="23"/>
  <c r="V71" i="23" s="1"/>
  <c r="V112" i="23"/>
  <c r="V98" i="23"/>
  <c r="V76" i="23"/>
  <c r="V73" i="23"/>
  <c r="V97" i="23"/>
  <c r="V101" i="23"/>
  <c r="V85" i="23"/>
  <c r="U109" i="23"/>
  <c r="V109" i="23" s="1"/>
  <c r="V100" i="23"/>
  <c r="U87" i="23"/>
  <c r="V87" i="23" s="1"/>
  <c r="U103" i="23"/>
  <c r="V103" i="23" s="1"/>
  <c r="V61" i="23"/>
  <c r="V77" i="23"/>
  <c r="U74" i="23"/>
  <c r="V74" i="23" s="1"/>
  <c r="T62" i="23"/>
  <c r="V62" i="23" s="1"/>
  <c r="V89" i="23"/>
  <c r="T70" i="23"/>
  <c r="V70" i="23" s="1"/>
  <c r="V88" i="23"/>
  <c r="V104" i="23"/>
  <c r="V108" i="23"/>
  <c r="H12" i="9" l="1"/>
  <c r="B12" i="9"/>
  <c r="E12" i="9"/>
  <c r="J34" i="22"/>
  <c r="H10" i="9"/>
  <c r="H11" i="9"/>
  <c r="B10" i="9"/>
  <c r="E10" i="9"/>
  <c r="B11" i="9"/>
  <c r="E11" i="9"/>
  <c r="M85" i="17" l="1"/>
  <c r="M100" i="17" s="1"/>
  <c r="M84" i="17"/>
  <c r="M99" i="17" s="1"/>
  <c r="M83" i="17"/>
  <c r="M98" i="17" s="1"/>
  <c r="M82" i="17"/>
  <c r="M97" i="17" s="1"/>
  <c r="M81" i="17"/>
  <c r="M96" i="17" s="1"/>
  <c r="M80" i="17"/>
  <c r="M95" i="17" s="1"/>
  <c r="M79" i="17"/>
  <c r="M94" i="17" s="1"/>
  <c r="M78" i="17"/>
  <c r="M93" i="17" s="1"/>
  <c r="Q94" i="17" s="1"/>
  <c r="M77" i="17"/>
  <c r="M92" i="17" s="1"/>
  <c r="Q93" i="17" s="1"/>
  <c r="M76" i="17"/>
  <c r="M91" i="17" s="1"/>
  <c r="M75" i="17"/>
  <c r="M90" i="17" s="1"/>
  <c r="M74" i="17"/>
  <c r="M89" i="17" s="1"/>
  <c r="Q90" i="17" s="1"/>
  <c r="Z25" i="39"/>
  <c r="Q95" i="17" l="1"/>
  <c r="Q91" i="17"/>
  <c r="R19" i="17" s="1"/>
  <c r="J74" i="49" s="1"/>
  <c r="R25" i="17"/>
  <c r="K74" i="49" s="1"/>
  <c r="R6" i="17"/>
  <c r="R24" i="17"/>
  <c r="K73" i="49" s="1"/>
  <c r="R12" i="17"/>
  <c r="R18" i="17"/>
  <c r="J73" i="49" s="1"/>
  <c r="R29" i="17"/>
  <c r="K78" i="49" s="1"/>
  <c r="R17" i="17"/>
  <c r="R11" i="17"/>
  <c r="R23" i="17"/>
  <c r="J78" i="49" s="1"/>
  <c r="R13" i="17"/>
  <c r="R7" i="17"/>
  <c r="Q92" i="17"/>
  <c r="R92" i="17" s="1"/>
  <c r="R22" i="17"/>
  <c r="J77" i="49" s="1"/>
  <c r="R28" i="17"/>
  <c r="K77" i="49" s="1"/>
  <c r="R16" i="17"/>
  <c r="R10" i="17"/>
  <c r="R21" i="17"/>
  <c r="J76" i="49" s="1"/>
  <c r="R9" i="17"/>
  <c r="R27" i="17"/>
  <c r="K76" i="49" s="1"/>
  <c r="R15" i="17"/>
  <c r="N25" i="39"/>
  <c r="R94" i="17"/>
  <c r="R90" i="17"/>
  <c r="R95" i="17"/>
  <c r="R91" i="17" l="1"/>
  <c r="R93" i="17"/>
  <c r="R26" i="17"/>
  <c r="R14" i="17"/>
  <c r="R20" i="17"/>
  <c r="R8" i="17"/>
  <c r="T28" i="17"/>
  <c r="U28" i="17"/>
  <c r="T21" i="17"/>
  <c r="U21" i="17"/>
  <c r="T27" i="17"/>
  <c r="U27" i="17"/>
  <c r="U22" i="17"/>
  <c r="T22" i="17"/>
  <c r="S218" i="15"/>
  <c r="R218" i="15"/>
  <c r="S217" i="15"/>
  <c r="R217" i="15"/>
  <c r="S216" i="15"/>
  <c r="R216" i="15"/>
  <c r="M205" i="15"/>
  <c r="N205" i="15"/>
  <c r="M206" i="15"/>
  <c r="N206" i="15"/>
  <c r="L206" i="15"/>
  <c r="L205" i="15"/>
  <c r="M204" i="15"/>
  <c r="N204" i="15"/>
  <c r="M202" i="15"/>
  <c r="N202" i="15"/>
  <c r="M203" i="15"/>
  <c r="N203" i="15"/>
  <c r="L203" i="15"/>
  <c r="L204" i="15"/>
  <c r="L202" i="15"/>
  <c r="K206" i="15"/>
  <c r="K205" i="15"/>
  <c r="K204" i="15"/>
  <c r="K203" i="15"/>
  <c r="K202" i="15"/>
  <c r="U20" i="17" l="1"/>
  <c r="J75" i="49"/>
  <c r="T26" i="17"/>
  <c r="K75" i="49"/>
  <c r="T20" i="17"/>
  <c r="U26" i="17"/>
  <c r="V28" i="17"/>
  <c r="V21" i="17"/>
  <c r="V22" i="17"/>
  <c r="V27" i="17"/>
  <c r="N207" i="15"/>
  <c r="V20" i="17" l="1"/>
  <c r="V26" i="17"/>
  <c r="S128" i="15"/>
  <c r="T128" i="15"/>
  <c r="U128" i="15"/>
  <c r="V128" i="15"/>
  <c r="W128" i="15" s="1"/>
  <c r="S129" i="15"/>
  <c r="T129" i="15"/>
  <c r="U129" i="15"/>
  <c r="V129" i="15"/>
  <c r="W129" i="15" s="1"/>
  <c r="S130" i="15"/>
  <c r="T130" i="15"/>
  <c r="U130" i="15"/>
  <c r="V130" i="15"/>
  <c r="W130" i="15" s="1"/>
  <c r="S131" i="15"/>
  <c r="T131" i="15"/>
  <c r="U131" i="15"/>
  <c r="V131" i="15"/>
  <c r="W131" i="15" s="1"/>
  <c r="S132" i="15"/>
  <c r="T132" i="15"/>
  <c r="U132" i="15"/>
  <c r="V132" i="15"/>
  <c r="W132" i="15" s="1"/>
  <c r="S133" i="15"/>
  <c r="T133" i="15"/>
  <c r="U133" i="15"/>
  <c r="V133" i="15"/>
  <c r="W133" i="15" s="1"/>
  <c r="S134" i="15"/>
  <c r="T134" i="15"/>
  <c r="U134" i="15"/>
  <c r="V134" i="15"/>
  <c r="W134" i="15" s="1"/>
  <c r="S135" i="15"/>
  <c r="T135" i="15"/>
  <c r="U135" i="15"/>
  <c r="V135" i="15"/>
  <c r="W135" i="15" s="1"/>
  <c r="S136" i="15"/>
  <c r="T136" i="15"/>
  <c r="U136" i="15"/>
  <c r="V136" i="15"/>
  <c r="W136" i="15" s="1"/>
  <c r="S137" i="15"/>
  <c r="T137" i="15"/>
  <c r="U137" i="15"/>
  <c r="V137" i="15"/>
  <c r="W137" i="15" s="1"/>
  <c r="S138" i="15"/>
  <c r="T138" i="15"/>
  <c r="U138" i="15"/>
  <c r="V138" i="15"/>
  <c r="W138" i="15" s="1"/>
  <c r="S139" i="15"/>
  <c r="T139" i="15"/>
  <c r="U139" i="15"/>
  <c r="V139" i="15"/>
  <c r="W139" i="15" s="1"/>
  <c r="S140" i="15"/>
  <c r="T140" i="15"/>
  <c r="U140" i="15"/>
  <c r="V140" i="15"/>
  <c r="W140" i="15" s="1"/>
  <c r="S141" i="15"/>
  <c r="T141" i="15"/>
  <c r="U141" i="15"/>
  <c r="V141" i="15"/>
  <c r="W141" i="15" s="1"/>
  <c r="S142" i="15"/>
  <c r="T142" i="15"/>
  <c r="U142" i="15"/>
  <c r="V142" i="15"/>
  <c r="W142" i="15" s="1"/>
  <c r="S143" i="15"/>
  <c r="T143" i="15"/>
  <c r="U143" i="15"/>
  <c r="V143" i="15"/>
  <c r="W143" i="15" s="1"/>
  <c r="S144" i="15"/>
  <c r="T144" i="15"/>
  <c r="U144" i="15"/>
  <c r="V144" i="15"/>
  <c r="W144" i="15" s="1"/>
  <c r="S145" i="15"/>
  <c r="T145" i="15"/>
  <c r="U145" i="15"/>
  <c r="V145" i="15"/>
  <c r="W145" i="15" s="1"/>
  <c r="S146" i="15"/>
  <c r="T146" i="15"/>
  <c r="U146" i="15"/>
  <c r="V146" i="15"/>
  <c r="W146" i="15" s="1"/>
  <c r="S147" i="15"/>
  <c r="T147" i="15"/>
  <c r="U147" i="15"/>
  <c r="V147" i="15"/>
  <c r="W147" i="15" s="1"/>
  <c r="S148" i="15"/>
  <c r="T148" i="15"/>
  <c r="U148" i="15"/>
  <c r="V148" i="15"/>
  <c r="W148" i="15" s="1"/>
  <c r="S149" i="15"/>
  <c r="T149" i="15"/>
  <c r="U149" i="15"/>
  <c r="V149" i="15"/>
  <c r="W149" i="15" s="1"/>
  <c r="S150" i="15"/>
  <c r="T150" i="15"/>
  <c r="U150" i="15"/>
  <c r="V150" i="15"/>
  <c r="W150" i="15" s="1"/>
  <c r="S151" i="15"/>
  <c r="T151" i="15"/>
  <c r="U151" i="15"/>
  <c r="V151" i="15"/>
  <c r="W151" i="15" s="1"/>
  <c r="S152" i="15"/>
  <c r="T152" i="15"/>
  <c r="U152" i="15"/>
  <c r="V152" i="15"/>
  <c r="W152" i="15" s="1"/>
  <c r="S153" i="15"/>
  <c r="T153" i="15"/>
  <c r="U153" i="15"/>
  <c r="V153" i="15"/>
  <c r="W153" i="15" s="1"/>
  <c r="S154" i="15"/>
  <c r="T154" i="15"/>
  <c r="U154" i="15"/>
  <c r="V154" i="15"/>
  <c r="W154" i="15" s="1"/>
  <c r="S155" i="15"/>
  <c r="T155" i="15"/>
  <c r="U155" i="15"/>
  <c r="V155" i="15"/>
  <c r="W155" i="15" s="1"/>
  <c r="S156" i="15"/>
  <c r="T156" i="15"/>
  <c r="U156" i="15"/>
  <c r="V156" i="15"/>
  <c r="W156" i="15" s="1"/>
  <c r="S157" i="15"/>
  <c r="T157" i="15"/>
  <c r="U157" i="15"/>
  <c r="V157" i="15"/>
  <c r="W157" i="15" s="1"/>
  <c r="S158" i="15"/>
  <c r="T158" i="15"/>
  <c r="U158" i="15"/>
  <c r="V158" i="15"/>
  <c r="W158" i="15" s="1"/>
  <c r="S159" i="15"/>
  <c r="T159" i="15"/>
  <c r="U159" i="15"/>
  <c r="V159" i="15"/>
  <c r="W159" i="15" s="1"/>
  <c r="S160" i="15"/>
  <c r="T160" i="15"/>
  <c r="U160" i="15"/>
  <c r="V160" i="15"/>
  <c r="W160" i="15" s="1"/>
  <c r="S161" i="15"/>
  <c r="T161" i="15"/>
  <c r="U161" i="15"/>
  <c r="V161" i="15"/>
  <c r="W161" i="15" s="1"/>
  <c r="S162" i="15"/>
  <c r="T162" i="15"/>
  <c r="U162" i="15"/>
  <c r="V162" i="15"/>
  <c r="W162" i="15" s="1"/>
  <c r="S163" i="15"/>
  <c r="T163" i="15"/>
  <c r="U163" i="15"/>
  <c r="V163" i="15"/>
  <c r="W163" i="15" s="1"/>
  <c r="S164" i="15"/>
  <c r="T164" i="15"/>
  <c r="U164" i="15"/>
  <c r="V164" i="15"/>
  <c r="W164" i="15" s="1"/>
  <c r="S165" i="15"/>
  <c r="T165" i="15"/>
  <c r="U165" i="15"/>
  <c r="V165" i="15"/>
  <c r="W165" i="15" s="1"/>
  <c r="S166" i="15"/>
  <c r="T166" i="15"/>
  <c r="U166" i="15"/>
  <c r="V166" i="15"/>
  <c r="W166" i="15" s="1"/>
  <c r="S104" i="15"/>
  <c r="T104" i="15"/>
  <c r="U104" i="15"/>
  <c r="V104" i="15"/>
  <c r="W104" i="15" s="1"/>
  <c r="S105" i="15"/>
  <c r="T105" i="15"/>
  <c r="U105" i="15"/>
  <c r="V105" i="15"/>
  <c r="W105" i="15" s="1"/>
  <c r="S106" i="15"/>
  <c r="T106" i="15"/>
  <c r="U106" i="15"/>
  <c r="V106" i="15"/>
  <c r="W106" i="15" s="1"/>
  <c r="S107" i="15"/>
  <c r="T107" i="15"/>
  <c r="U107" i="15"/>
  <c r="V107" i="15"/>
  <c r="W107" i="15" s="1"/>
  <c r="S108" i="15"/>
  <c r="T108" i="15"/>
  <c r="U108" i="15"/>
  <c r="V108" i="15"/>
  <c r="W108" i="15" s="1"/>
  <c r="S109" i="15"/>
  <c r="T109" i="15"/>
  <c r="U109" i="15"/>
  <c r="V109" i="15"/>
  <c r="W109" i="15" s="1"/>
  <c r="S110" i="15"/>
  <c r="T110" i="15"/>
  <c r="U110" i="15"/>
  <c r="V110" i="15"/>
  <c r="W110" i="15" s="1"/>
  <c r="S111" i="15"/>
  <c r="T111" i="15"/>
  <c r="U111" i="15"/>
  <c r="V111" i="15"/>
  <c r="W111" i="15" s="1"/>
  <c r="S112" i="15"/>
  <c r="T112" i="15"/>
  <c r="U112" i="15"/>
  <c r="V112" i="15"/>
  <c r="W112" i="15" s="1"/>
  <c r="S113" i="15"/>
  <c r="T113" i="15"/>
  <c r="U113" i="15"/>
  <c r="V113" i="15"/>
  <c r="W113" i="15" s="1"/>
  <c r="S114" i="15"/>
  <c r="T114" i="15"/>
  <c r="U114" i="15"/>
  <c r="V114" i="15"/>
  <c r="W114" i="15" s="1"/>
  <c r="S115" i="15"/>
  <c r="T115" i="15"/>
  <c r="U115" i="15"/>
  <c r="V115" i="15"/>
  <c r="W115" i="15" s="1"/>
  <c r="S116" i="15"/>
  <c r="T116" i="15"/>
  <c r="U116" i="15"/>
  <c r="V116" i="15"/>
  <c r="W116" i="15" s="1"/>
  <c r="S117" i="15"/>
  <c r="T117" i="15"/>
  <c r="U117" i="15"/>
  <c r="V117" i="15"/>
  <c r="W117" i="15" s="1"/>
  <c r="S118" i="15"/>
  <c r="T118" i="15"/>
  <c r="U118" i="15"/>
  <c r="V118" i="15"/>
  <c r="W118" i="15" s="1"/>
  <c r="S119" i="15"/>
  <c r="T119" i="15"/>
  <c r="U119" i="15"/>
  <c r="V119" i="15"/>
  <c r="W119" i="15" s="1"/>
  <c r="S120" i="15"/>
  <c r="T120" i="15"/>
  <c r="U120" i="15"/>
  <c r="V120" i="15"/>
  <c r="W120" i="15" s="1"/>
  <c r="S121" i="15"/>
  <c r="T121" i="15"/>
  <c r="U121" i="15"/>
  <c r="V121" i="15"/>
  <c r="W121" i="15" s="1"/>
  <c r="S122" i="15"/>
  <c r="T122" i="15"/>
  <c r="U122" i="15"/>
  <c r="V122" i="15"/>
  <c r="W122" i="15" s="1"/>
  <c r="S123" i="15"/>
  <c r="T123" i="15"/>
  <c r="U123" i="15"/>
  <c r="V123" i="15"/>
  <c r="W123" i="15" s="1"/>
  <c r="S124" i="15"/>
  <c r="T124" i="15"/>
  <c r="U124" i="15"/>
  <c r="V124" i="15"/>
  <c r="W124" i="15" s="1"/>
  <c r="S125" i="15"/>
  <c r="T125" i="15"/>
  <c r="U125" i="15"/>
  <c r="V125" i="15"/>
  <c r="W125" i="15" s="1"/>
  <c r="S126" i="15"/>
  <c r="T126" i="15"/>
  <c r="U126" i="15"/>
  <c r="V126" i="15"/>
  <c r="W126" i="15" s="1"/>
  <c r="S127" i="15"/>
  <c r="T127" i="15"/>
  <c r="U127" i="15"/>
  <c r="V127" i="15"/>
  <c r="W127" i="15" s="1"/>
  <c r="X118" i="15" l="1"/>
  <c r="X117" i="15"/>
  <c r="X116" i="15"/>
  <c r="X115" i="15"/>
  <c r="X114" i="15"/>
  <c r="X113" i="15"/>
  <c r="X112" i="15"/>
  <c r="X111" i="15"/>
  <c r="X110" i="15"/>
  <c r="X109" i="15"/>
  <c r="X108" i="15"/>
  <c r="X107" i="15"/>
  <c r="X106" i="15"/>
  <c r="X105" i="15"/>
  <c r="X104" i="15"/>
  <c r="O8" i="16"/>
  <c r="O9" i="16"/>
  <c r="O12" i="16"/>
  <c r="O13" i="16"/>
  <c r="L216" i="15" l="1"/>
  <c r="K216" i="15"/>
  <c r="M216" i="15"/>
  <c r="BK202" i="16"/>
  <c r="L185" i="16" s="1"/>
  <c r="BK203" i="16"/>
  <c r="L186" i="16" s="1"/>
  <c r="BK204" i="16"/>
  <c r="L187" i="16" s="1"/>
  <c r="BK205" i="16"/>
  <c r="L188" i="16" s="1"/>
  <c r="BK206" i="16"/>
  <c r="L189" i="16" s="1"/>
  <c r="BK207" i="16"/>
  <c r="L190" i="16" s="1"/>
  <c r="BK208" i="16"/>
  <c r="L191" i="16" s="1"/>
  <c r="BK209" i="16"/>
  <c r="L192" i="16" s="1"/>
  <c r="BK210" i="16"/>
  <c r="L193" i="16" s="1"/>
  <c r="BK211" i="16"/>
  <c r="L194" i="16" s="1"/>
  <c r="BK212" i="16"/>
  <c r="L195" i="16" s="1"/>
  <c r="BK201" i="16"/>
  <c r="L184" i="16" s="1"/>
  <c r="BI202" i="16"/>
  <c r="BI203" i="16"/>
  <c r="BI204" i="16"/>
  <c r="BI205" i="16"/>
  <c r="BI206" i="16"/>
  <c r="BI207" i="16"/>
  <c r="BI208" i="16"/>
  <c r="BI209" i="16"/>
  <c r="BI210" i="16"/>
  <c r="BI211" i="16"/>
  <c r="BI212" i="16"/>
  <c r="BI201" i="16"/>
  <c r="BK127" i="16"/>
  <c r="BK128" i="16"/>
  <c r="BK129" i="16"/>
  <c r="BK130" i="16"/>
  <c r="BK131" i="16"/>
  <c r="BK132" i="16"/>
  <c r="BK133" i="16"/>
  <c r="BK134" i="16"/>
  <c r="BK135" i="16"/>
  <c r="BK136" i="16"/>
  <c r="BK137" i="16"/>
  <c r="BK126" i="16"/>
  <c r="BI127" i="16"/>
  <c r="BI128" i="16"/>
  <c r="BI129" i="16"/>
  <c r="BI130" i="16"/>
  <c r="BI131" i="16"/>
  <c r="BI132" i="16"/>
  <c r="BI133" i="16"/>
  <c r="BI134" i="16"/>
  <c r="BI135" i="16"/>
  <c r="BI136" i="16"/>
  <c r="BI137" i="16"/>
  <c r="BI126" i="16"/>
  <c r="E14" i="16" l="1"/>
  <c r="E18" i="16"/>
  <c r="L110" i="16"/>
  <c r="L111" i="16"/>
  <c r="L112" i="16"/>
  <c r="L113" i="16"/>
  <c r="L114" i="16"/>
  <c r="L115" i="16"/>
  <c r="L116" i="16"/>
  <c r="L117" i="16"/>
  <c r="L118" i="16"/>
  <c r="L119" i="16"/>
  <c r="L120" i="16"/>
  <c r="L109" i="16"/>
  <c r="J196" i="16"/>
  <c r="M195" i="16"/>
  <c r="M194" i="16"/>
  <c r="N194" i="16" s="1"/>
  <c r="M193" i="16"/>
  <c r="N193" i="16" s="1"/>
  <c r="M192" i="16"/>
  <c r="N192" i="16" s="1"/>
  <c r="M191" i="16"/>
  <c r="M190" i="16"/>
  <c r="N190" i="16" s="1"/>
  <c r="M189" i="16"/>
  <c r="N189" i="16" s="1"/>
  <c r="M188" i="16"/>
  <c r="N188" i="16" s="1"/>
  <c r="M187" i="16"/>
  <c r="N187" i="16" s="1"/>
  <c r="M186" i="16"/>
  <c r="N186" i="16" s="1"/>
  <c r="M185" i="16"/>
  <c r="N185" i="16" s="1"/>
  <c r="M184" i="16"/>
  <c r="N184" i="16" s="1"/>
  <c r="O174" i="16"/>
  <c r="L174" i="16"/>
  <c r="O173" i="16"/>
  <c r="L173" i="16"/>
  <c r="O172" i="16"/>
  <c r="L172" i="16"/>
  <c r="O171" i="16"/>
  <c r="L171" i="16"/>
  <c r="O170" i="16"/>
  <c r="L170" i="16"/>
  <c r="O169" i="16"/>
  <c r="L169" i="16"/>
  <c r="O168" i="16"/>
  <c r="L168" i="16"/>
  <c r="O166" i="16"/>
  <c r="N166" i="16"/>
  <c r="L166" i="16"/>
  <c r="J166" i="16"/>
  <c r="J121" i="16"/>
  <c r="M120" i="16"/>
  <c r="M119" i="16"/>
  <c r="M118" i="16"/>
  <c r="M117" i="16"/>
  <c r="M116" i="16"/>
  <c r="M115" i="16"/>
  <c r="M114" i="16"/>
  <c r="M113" i="16"/>
  <c r="M112" i="16"/>
  <c r="M111" i="16"/>
  <c r="M110" i="16"/>
  <c r="M109" i="16"/>
  <c r="O11" i="16" l="1"/>
  <c r="O19" i="16"/>
  <c r="O6" i="16"/>
  <c r="O14" i="16"/>
  <c r="O7" i="16"/>
  <c r="O15" i="16"/>
  <c r="O10" i="16"/>
  <c r="O18" i="16"/>
  <c r="M196" i="16"/>
  <c r="N117" i="16"/>
  <c r="P183" i="16"/>
  <c r="N191" i="16"/>
  <c r="Q183" i="16" s="1"/>
  <c r="N195" i="16"/>
  <c r="M121" i="16"/>
  <c r="N112" i="16"/>
  <c r="N114" i="16"/>
  <c r="N113" i="16"/>
  <c r="N110" i="16"/>
  <c r="N116" i="16"/>
  <c r="N118" i="16"/>
  <c r="N115" i="16"/>
  <c r="N120" i="16"/>
  <c r="N109" i="16"/>
  <c r="N119" i="16"/>
  <c r="N111" i="16"/>
  <c r="S21" i="16" l="1"/>
  <c r="S17" i="16"/>
  <c r="S16" i="16"/>
  <c r="S20" i="16"/>
  <c r="P108" i="16"/>
  <c r="S9" i="16"/>
  <c r="S13" i="16"/>
  <c r="Q108" i="16"/>
  <c r="S8" i="16"/>
  <c r="S12" i="16"/>
  <c r="S10" i="16" l="1"/>
  <c r="S18" i="16"/>
  <c r="V18" i="16" s="1"/>
  <c r="S14" i="16"/>
  <c r="S15" i="16"/>
  <c r="S19" i="16"/>
  <c r="S6" i="16"/>
  <c r="J52" i="49" s="1"/>
  <c r="K52" i="49" s="1"/>
  <c r="U18" i="16"/>
  <c r="S7" i="16"/>
  <c r="S11" i="16"/>
  <c r="W18" i="16" l="1"/>
  <c r="J58" i="32"/>
  <c r="J56" i="32"/>
  <c r="K56" i="32" s="1"/>
  <c r="R33" i="20"/>
  <c r="R31" i="20"/>
  <c r="R30" i="20"/>
  <c r="R29" i="20"/>
  <c r="R28" i="20"/>
  <c r="R27" i="20"/>
  <c r="R26" i="20"/>
  <c r="H31" i="20"/>
  <c r="H30" i="20"/>
  <c r="H29" i="20"/>
  <c r="H28" i="20"/>
  <c r="H27" i="20"/>
  <c r="H26" i="20"/>
  <c r="E33" i="20"/>
  <c r="B33" i="20"/>
  <c r="E32" i="20"/>
  <c r="B32" i="20"/>
  <c r="E31" i="20"/>
  <c r="B31" i="20"/>
  <c r="E30" i="20"/>
  <c r="B30" i="20"/>
  <c r="E29" i="20"/>
  <c r="B29" i="20"/>
  <c r="E28" i="20"/>
  <c r="B28" i="20"/>
  <c r="E27" i="20"/>
  <c r="B27" i="20"/>
  <c r="E26" i="20"/>
  <c r="B26" i="20"/>
  <c r="B24" i="20"/>
  <c r="E24" i="20"/>
  <c r="B25" i="20"/>
  <c r="E25" i="20"/>
  <c r="G23" i="1" l="1"/>
  <c r="F23" i="1"/>
  <c r="D23" i="1"/>
  <c r="E23" i="1"/>
  <c r="L29" i="21" l="1"/>
  <c r="L19" i="21"/>
  <c r="O23" i="1" l="1"/>
  <c r="O9" i="1"/>
  <c r="O10" i="1"/>
  <c r="Z23" i="1"/>
  <c r="Z10" i="1"/>
  <c r="T10" i="1"/>
  <c r="T23" i="1"/>
  <c r="Z9" i="1"/>
  <c r="T9" i="1"/>
  <c r="N9" i="1" l="1"/>
  <c r="N10" i="1"/>
  <c r="N23" i="1"/>
  <c r="L88" i="15" l="1"/>
  <c r="M88" i="15"/>
  <c r="N88" i="15"/>
  <c r="O88" i="15"/>
  <c r="M81" i="16" l="1"/>
  <c r="U29" i="7" l="1"/>
  <c r="W29" i="7" s="1"/>
  <c r="U28" i="7"/>
  <c r="W28" i="7" s="1"/>
  <c r="U27" i="7"/>
  <c r="W27" i="7" s="1"/>
  <c r="I81" i="36" l="1"/>
  <c r="I80" i="36"/>
  <c r="H7" i="36" l="1"/>
  <c r="H8" i="36"/>
  <c r="H9" i="36"/>
  <c r="H10" i="36"/>
  <c r="H11" i="36"/>
  <c r="H6" i="36"/>
  <c r="X10" i="39"/>
  <c r="X9" i="39"/>
  <c r="R10" i="39"/>
  <c r="R9" i="39"/>
  <c r="L10" i="39" l="1"/>
  <c r="K10" i="39"/>
  <c r="L26" i="39"/>
  <c r="K26" i="39"/>
  <c r="L9" i="39"/>
  <c r="K9" i="39"/>
  <c r="K80" i="36"/>
  <c r="S15" i="36" s="1"/>
  <c r="K81" i="36"/>
  <c r="K53" i="36"/>
  <c r="I79" i="36" s="1"/>
  <c r="K79" i="36" s="1"/>
  <c r="J45" i="36"/>
  <c r="J35" i="36"/>
  <c r="S13" i="36" l="1"/>
  <c r="S12" i="36"/>
  <c r="S7" i="36"/>
  <c r="S6" i="36"/>
  <c r="S11" i="36"/>
  <c r="S10" i="36"/>
  <c r="S8" i="36"/>
  <c r="S9" i="36"/>
  <c r="J30" i="9"/>
  <c r="J37" i="32" l="1"/>
  <c r="K37" i="32" s="1"/>
  <c r="J40" i="49"/>
  <c r="K40" i="49" s="1"/>
  <c r="J38" i="32"/>
  <c r="K38" i="32" s="1"/>
  <c r="J41" i="49"/>
  <c r="K41" i="49" s="1"/>
  <c r="J36" i="32"/>
  <c r="K36" i="32" s="1"/>
  <c r="J39" i="49"/>
  <c r="K39" i="49" s="1"/>
  <c r="K38" i="9"/>
  <c r="I44" i="9" s="1"/>
  <c r="K44" i="9" s="1"/>
  <c r="S8" i="9" l="1"/>
  <c r="S7" i="9"/>
  <c r="S6" i="9"/>
  <c r="J13" i="49" s="1"/>
  <c r="K13" i="49" s="1"/>
  <c r="E11" i="36"/>
  <c r="B11" i="36"/>
  <c r="E10" i="36"/>
  <c r="B10" i="36"/>
  <c r="E9" i="36"/>
  <c r="B9" i="36"/>
  <c r="E8" i="36"/>
  <c r="B8" i="36"/>
  <c r="I2" i="36"/>
  <c r="E7" i="36"/>
  <c r="B7" i="36"/>
  <c r="E6" i="36"/>
  <c r="B6" i="36"/>
  <c r="R19" i="20" l="1"/>
  <c r="R14" i="20"/>
  <c r="K116" i="20"/>
  <c r="T134" i="20"/>
  <c r="T131" i="20"/>
  <c r="T128" i="20"/>
  <c r="T125" i="20"/>
  <c r="J116" i="20"/>
  <c r="L116" i="20" l="1"/>
  <c r="M116" i="20" s="1"/>
  <c r="R15" i="20" l="1"/>
  <c r="J38" i="22"/>
  <c r="R7" i="22" s="1"/>
  <c r="J70" i="32" s="1"/>
  <c r="J36" i="22"/>
  <c r="J37" i="22"/>
  <c r="R6" i="22" s="1"/>
  <c r="J69" i="32" s="1"/>
  <c r="R17" i="20" l="1"/>
  <c r="J60" i="32"/>
  <c r="R5" i="22"/>
  <c r="J68" i="32" s="1"/>
  <c r="L30" i="21"/>
  <c r="L31" i="21"/>
  <c r="L32" i="21"/>
  <c r="L33" i="21"/>
  <c r="L34" i="21"/>
  <c r="L35" i="21"/>
  <c r="L36" i="21"/>
  <c r="L37" i="21"/>
  <c r="H10" i="24" l="1"/>
  <c r="H11" i="24"/>
  <c r="E11" i="24"/>
  <c r="B11" i="24"/>
  <c r="E10" i="24"/>
  <c r="B10" i="24"/>
  <c r="T10" i="24" l="1"/>
  <c r="K6" i="32"/>
  <c r="J6" i="32"/>
  <c r="J32" i="32"/>
  <c r="K32" i="32" s="1"/>
  <c r="K5" i="32"/>
  <c r="U10" i="24" l="1"/>
  <c r="V10" i="24" s="1"/>
  <c r="P98" i="16" l="1"/>
  <c r="O98" i="16"/>
  <c r="N98" i="16"/>
  <c r="M98" i="16"/>
  <c r="L98" i="16"/>
  <c r="K98" i="16"/>
  <c r="L81" i="16"/>
  <c r="N81" i="16"/>
  <c r="O81" i="16"/>
  <c r="P81" i="16"/>
  <c r="K81" i="16"/>
  <c r="K58" i="32" l="1"/>
  <c r="K251" i="15"/>
  <c r="K60" i="32" l="1"/>
  <c r="R6" i="20"/>
  <c r="R20" i="20"/>
  <c r="M25" i="21"/>
  <c r="M19" i="21"/>
  <c r="M20" i="21"/>
  <c r="M21" i="21"/>
  <c r="M22" i="21"/>
  <c r="M23" i="21"/>
  <c r="M24" i="21"/>
  <c r="M26" i="21"/>
  <c r="M27" i="21"/>
  <c r="L20" i="21"/>
  <c r="L21" i="21"/>
  <c r="L22" i="21"/>
  <c r="L23" i="21"/>
  <c r="L24" i="21"/>
  <c r="L25" i="21"/>
  <c r="L26" i="21"/>
  <c r="L27" i="21"/>
  <c r="L39" i="21" l="1"/>
  <c r="R6" i="21" s="1"/>
  <c r="M39" i="21"/>
  <c r="R7" i="21" s="1"/>
  <c r="E6" i="21"/>
  <c r="J67" i="32" l="1"/>
  <c r="K67" i="32"/>
  <c r="M11" i="1"/>
  <c r="M13" i="1"/>
  <c r="M25" i="1"/>
  <c r="M26" i="1"/>
  <c r="O12" i="1"/>
  <c r="O22" i="1"/>
  <c r="H3" i="1" l="1"/>
  <c r="J11" i="32" l="1"/>
  <c r="K11" i="32" l="1"/>
  <c r="H8" i="24" l="1"/>
  <c r="H9" i="24"/>
  <c r="B9" i="24"/>
  <c r="E9" i="24"/>
  <c r="B8" i="24"/>
  <c r="E8" i="24"/>
  <c r="H21" i="15"/>
  <c r="E21" i="15"/>
  <c r="B21" i="15"/>
  <c r="H20" i="15"/>
  <c r="E20" i="15"/>
  <c r="B20" i="15"/>
  <c r="H19" i="15"/>
  <c r="E19" i="15"/>
  <c r="B19" i="15"/>
  <c r="H18" i="15"/>
  <c r="E18" i="15"/>
  <c r="B18" i="15"/>
  <c r="H17" i="15"/>
  <c r="E17" i="15"/>
  <c r="B17" i="15"/>
  <c r="H16" i="15"/>
  <c r="E16" i="15"/>
  <c r="B16" i="15"/>
  <c r="H15" i="15"/>
  <c r="E15" i="15"/>
  <c r="B15" i="15"/>
  <c r="H14" i="15"/>
  <c r="E14" i="15"/>
  <c r="B14" i="15"/>
  <c r="H13" i="15"/>
  <c r="E13" i="15"/>
  <c r="B13" i="15"/>
  <c r="H12" i="15"/>
  <c r="E12" i="15"/>
  <c r="B12" i="15"/>
  <c r="H11" i="15"/>
  <c r="E11" i="15"/>
  <c r="B11" i="15"/>
  <c r="H10" i="15"/>
  <c r="E10" i="15"/>
  <c r="B10" i="15"/>
  <c r="P30" i="15"/>
  <c r="P9" i="15"/>
  <c r="P23" i="15" l="1"/>
  <c r="P32" i="15"/>
  <c r="P8" i="15"/>
  <c r="P29" i="15"/>
  <c r="P37" i="15"/>
  <c r="P21" i="15"/>
  <c r="P22" i="15"/>
  <c r="P31" i="15"/>
  <c r="P10" i="15"/>
  <c r="P11" i="15"/>
  <c r="P12" i="15"/>
  <c r="P13" i="15"/>
  <c r="P14" i="15"/>
  <c r="P15" i="15"/>
  <c r="P16" i="15"/>
  <c r="P17" i="15"/>
  <c r="P18" i="15"/>
  <c r="P19" i="15"/>
  <c r="P20" i="15"/>
  <c r="P7" i="15"/>
  <c r="P6" i="15"/>
  <c r="P27" i="15"/>
  <c r="P35" i="15"/>
  <c r="P24" i="15"/>
  <c r="P33" i="15"/>
  <c r="P28" i="15"/>
  <c r="P36" i="15"/>
  <c r="P26" i="15"/>
  <c r="P25" i="15"/>
  <c r="P34" i="15"/>
  <c r="L469" i="15"/>
  <c r="L468" i="15"/>
  <c r="M469" i="15"/>
  <c r="Q469" i="15" s="1"/>
  <c r="K469" i="15"/>
  <c r="K468" i="15"/>
  <c r="M468" i="15"/>
  <c r="Q468" i="15" s="1"/>
  <c r="N469" i="15"/>
  <c r="R469" i="15" s="1"/>
  <c r="U469" i="15" s="1"/>
  <c r="N468" i="15"/>
  <c r="R468" i="15" s="1"/>
  <c r="U468" i="15" s="1"/>
  <c r="N467" i="15"/>
  <c r="M467" i="15"/>
  <c r="M267" i="15"/>
  <c r="Q267" i="15" s="1"/>
  <c r="M268" i="15"/>
  <c r="M269" i="15"/>
  <c r="N267" i="15"/>
  <c r="R267" i="15" s="1"/>
  <c r="N268" i="15"/>
  <c r="N269" i="15"/>
  <c r="K268" i="15"/>
  <c r="K269" i="15"/>
  <c r="L268" i="15"/>
  <c r="L269" i="15"/>
  <c r="T468" i="15" l="1"/>
  <c r="T469" i="15"/>
  <c r="Q467" i="15"/>
  <c r="T467" i="15" s="1"/>
  <c r="R467" i="15"/>
  <c r="U467" i="15" s="1"/>
  <c r="Q269" i="15"/>
  <c r="T269" i="15" s="1"/>
  <c r="R268" i="15"/>
  <c r="U268" i="15" s="1"/>
  <c r="Q268" i="15"/>
  <c r="T268" i="15" s="1"/>
  <c r="R269" i="15"/>
  <c r="U269" i="15" s="1"/>
  <c r="H26" i="15"/>
  <c r="H27" i="15"/>
  <c r="H28" i="15"/>
  <c r="M466" i="15"/>
  <c r="H29" i="15"/>
  <c r="H30" i="15"/>
  <c r="H31" i="15"/>
  <c r="H32" i="15"/>
  <c r="N466" i="15"/>
  <c r="H33" i="15"/>
  <c r="H34" i="15"/>
  <c r="H35" i="15"/>
  <c r="H36" i="15"/>
  <c r="H37" i="15"/>
  <c r="B26" i="15"/>
  <c r="E26" i="15"/>
  <c r="B27" i="15"/>
  <c r="E27" i="15"/>
  <c r="B28" i="15"/>
  <c r="E28" i="15"/>
  <c r="B29" i="15"/>
  <c r="E29" i="15"/>
  <c r="B30" i="15"/>
  <c r="E30" i="15"/>
  <c r="B31" i="15"/>
  <c r="E31" i="15"/>
  <c r="B32" i="15"/>
  <c r="E32" i="15"/>
  <c r="B33" i="15"/>
  <c r="E33" i="15"/>
  <c r="B34" i="15"/>
  <c r="E34" i="15"/>
  <c r="B35" i="15"/>
  <c r="E35" i="15"/>
  <c r="B36" i="15"/>
  <c r="E36" i="15"/>
  <c r="B37" i="15"/>
  <c r="E37" i="15"/>
  <c r="R466" i="15" l="1"/>
  <c r="U466" i="15" s="1"/>
  <c r="Q466" i="15"/>
  <c r="T466" i="15" s="1"/>
  <c r="M266" i="15"/>
  <c r="N266" i="15"/>
  <c r="R266" i="15" s="1"/>
  <c r="B31" i="23"/>
  <c r="E31" i="23"/>
  <c r="H31" i="23"/>
  <c r="B58" i="23"/>
  <c r="E58" i="23"/>
  <c r="H58" i="23"/>
  <c r="B32" i="23"/>
  <c r="E32" i="23"/>
  <c r="H32" i="23"/>
  <c r="B59" i="23"/>
  <c r="E59" i="23"/>
  <c r="H59" i="23"/>
  <c r="B57" i="23"/>
  <c r="E57" i="23"/>
  <c r="H26" i="23"/>
  <c r="H53" i="23"/>
  <c r="H27" i="23"/>
  <c r="H54" i="23"/>
  <c r="H28" i="23"/>
  <c r="H55" i="23"/>
  <c r="H29" i="23"/>
  <c r="H56" i="23"/>
  <c r="H30" i="23"/>
  <c r="H57" i="23"/>
  <c r="B26" i="23"/>
  <c r="E26" i="23"/>
  <c r="B53" i="23"/>
  <c r="E53" i="23"/>
  <c r="B27" i="23"/>
  <c r="E27" i="23"/>
  <c r="B54" i="23"/>
  <c r="E54" i="23"/>
  <c r="B28" i="23"/>
  <c r="E28" i="23"/>
  <c r="B55" i="23"/>
  <c r="E55" i="23"/>
  <c r="B29" i="23"/>
  <c r="E29" i="23"/>
  <c r="B56" i="23"/>
  <c r="E56" i="23"/>
  <c r="B30" i="23"/>
  <c r="E30" i="23"/>
  <c r="H25" i="23"/>
  <c r="H52" i="23"/>
  <c r="B25" i="23"/>
  <c r="E25" i="23"/>
  <c r="B52" i="23"/>
  <c r="E52" i="23"/>
  <c r="B22" i="23"/>
  <c r="E22" i="23"/>
  <c r="H22" i="23"/>
  <c r="B49" i="23"/>
  <c r="E49" i="23"/>
  <c r="H49" i="23"/>
  <c r="B23" i="23"/>
  <c r="E23" i="23"/>
  <c r="H23" i="23"/>
  <c r="B50" i="23"/>
  <c r="E50" i="23"/>
  <c r="H50" i="23"/>
  <c r="B24" i="23"/>
  <c r="E24" i="23"/>
  <c r="H24" i="23"/>
  <c r="B51" i="23"/>
  <c r="E51" i="23"/>
  <c r="H51" i="23"/>
  <c r="H21" i="23"/>
  <c r="H48" i="23"/>
  <c r="B21" i="23"/>
  <c r="E21" i="23"/>
  <c r="B48" i="23"/>
  <c r="E48" i="23"/>
  <c r="W28" i="23" l="1"/>
  <c r="W21" i="23"/>
  <c r="U25" i="23"/>
  <c r="W25" i="23"/>
  <c r="W29" i="23"/>
  <c r="T22" i="23"/>
  <c r="W22" i="23"/>
  <c r="W30" i="23"/>
  <c r="W26" i="23"/>
  <c r="U23" i="23"/>
  <c r="W23" i="23"/>
  <c r="T27" i="23"/>
  <c r="W27" i="23"/>
  <c r="U31" i="23"/>
  <c r="W31" i="23"/>
  <c r="W24" i="23"/>
  <c r="W32" i="23"/>
  <c r="Q266" i="15"/>
  <c r="U58" i="23"/>
  <c r="T58" i="23"/>
  <c r="U52" i="23"/>
  <c r="T52" i="23"/>
  <c r="U50" i="23"/>
  <c r="U49" i="23"/>
  <c r="T50" i="23"/>
  <c r="T49" i="23"/>
  <c r="U22" i="23" l="1"/>
  <c r="V22" i="23" s="1"/>
  <c r="T31" i="23"/>
  <c r="V31" i="23" s="1"/>
  <c r="T25" i="23"/>
  <c r="V25" i="23" s="1"/>
  <c r="U27" i="23"/>
  <c r="V27" i="23" s="1"/>
  <c r="T23" i="23"/>
  <c r="V23" i="23" s="1"/>
  <c r="V52" i="23"/>
  <c r="V58" i="23"/>
  <c r="V50" i="23"/>
  <c r="V49" i="23"/>
  <c r="O7" i="10" l="1"/>
  <c r="K467" i="15"/>
  <c r="L467" i="15"/>
  <c r="K466" i="15"/>
  <c r="L466" i="15"/>
  <c r="L266" i="15" l="1"/>
  <c r="L267" i="15"/>
  <c r="K266" i="15"/>
  <c r="X6" i="15"/>
  <c r="K267" i="15"/>
  <c r="W15" i="23"/>
  <c r="W18" i="23"/>
  <c r="W10" i="23"/>
  <c r="W6" i="23"/>
  <c r="W14" i="23"/>
  <c r="W11" i="23"/>
  <c r="W8" i="23"/>
  <c r="W20" i="23"/>
  <c r="W7" i="23"/>
  <c r="W17" i="23"/>
  <c r="W12" i="23"/>
  <c r="W9" i="23"/>
  <c r="W19" i="23"/>
  <c r="W16" i="23"/>
  <c r="T8" i="22"/>
  <c r="U8" i="22"/>
  <c r="W13" i="23"/>
  <c r="V8" i="22" l="1"/>
  <c r="H15" i="8" l="1"/>
  <c r="B15" i="8" l="1"/>
  <c r="E15" i="8" l="1"/>
  <c r="B28" i="8"/>
  <c r="E28" i="8"/>
  <c r="H28" i="8"/>
  <c r="E8" i="16" l="1"/>
  <c r="S202" i="15" l="1"/>
  <c r="S203" i="15"/>
  <c r="S204" i="15"/>
  <c r="S205" i="15"/>
  <c r="S206" i="15"/>
  <c r="S207" i="15"/>
  <c r="S208" i="15"/>
  <c r="S209" i="15"/>
  <c r="J190" i="15"/>
  <c r="U203" i="15" s="1"/>
  <c r="N408" i="15" s="1"/>
  <c r="X362" i="15" s="1"/>
  <c r="T205" i="15"/>
  <c r="M410" i="15" s="1"/>
  <c r="X367" i="15" s="1"/>
  <c r="U205" i="15"/>
  <c r="N410" i="15" s="1"/>
  <c r="X370" i="15" s="1"/>
  <c r="V205" i="15"/>
  <c r="O410" i="15" s="1"/>
  <c r="X373" i="15" s="1"/>
  <c r="T206" i="15"/>
  <c r="M411" i="15" s="1"/>
  <c r="X368" i="15" s="1"/>
  <c r="U206" i="15"/>
  <c r="N411" i="15" s="1"/>
  <c r="X371" i="15" s="1"/>
  <c r="V206" i="15"/>
  <c r="O411" i="15" s="1"/>
  <c r="X374" i="15" s="1"/>
  <c r="T207" i="15"/>
  <c r="M412" i="15" s="1"/>
  <c r="X369" i="15" s="1"/>
  <c r="U207" i="15"/>
  <c r="N412" i="15" s="1"/>
  <c r="X372" i="15" s="1"/>
  <c r="V207" i="15"/>
  <c r="O412" i="15" s="1"/>
  <c r="X375" i="15" s="1"/>
  <c r="T208" i="15"/>
  <c r="M413" i="15" s="1"/>
  <c r="X352" i="15" s="1"/>
  <c r="U208" i="15"/>
  <c r="N413" i="15" s="1"/>
  <c r="X353" i="15" s="1"/>
  <c r="V208" i="15"/>
  <c r="O413" i="15" s="1"/>
  <c r="X354" i="15" s="1"/>
  <c r="T209" i="15"/>
  <c r="M414" i="15" s="1"/>
  <c r="X355" i="15" s="1"/>
  <c r="U209" i="15"/>
  <c r="N414" i="15" s="1"/>
  <c r="X356" i="15" s="1"/>
  <c r="V209" i="15"/>
  <c r="O414" i="15" s="1"/>
  <c r="X357" i="15" s="1"/>
  <c r="R220" i="15"/>
  <c r="S220" i="15"/>
  <c r="S219" i="15"/>
  <c r="R219" i="15"/>
  <c r="N421" i="15" s="1"/>
  <c r="H17" i="17"/>
  <c r="E17" i="17"/>
  <c r="B17" i="17"/>
  <c r="H16" i="17"/>
  <c r="E16" i="17"/>
  <c r="B16" i="17"/>
  <c r="H15" i="17"/>
  <c r="E15" i="17"/>
  <c r="B15" i="17"/>
  <c r="H14" i="17"/>
  <c r="E14" i="17"/>
  <c r="B14" i="17"/>
  <c r="H13" i="17"/>
  <c r="E13" i="17"/>
  <c r="B13" i="17"/>
  <c r="H12" i="17"/>
  <c r="E12" i="17"/>
  <c r="B12" i="17"/>
  <c r="H11" i="17"/>
  <c r="E11" i="17"/>
  <c r="B11" i="17"/>
  <c r="H10" i="17"/>
  <c r="E10" i="17"/>
  <c r="B10" i="17"/>
  <c r="H9" i="17"/>
  <c r="E9" i="17"/>
  <c r="B9" i="17"/>
  <c r="H8" i="17"/>
  <c r="E8" i="17"/>
  <c r="B8" i="17"/>
  <c r="H7" i="17"/>
  <c r="E7" i="17"/>
  <c r="B7" i="17"/>
  <c r="I2" i="17"/>
  <c r="H6" i="17"/>
  <c r="E6" i="17"/>
  <c r="B6" i="17"/>
  <c r="K71" i="32"/>
  <c r="M77" i="14"/>
  <c r="L77" i="14"/>
  <c r="K77" i="14"/>
  <c r="K78" i="14" s="1"/>
  <c r="M76" i="14"/>
  <c r="L76" i="14"/>
  <c r="N72" i="14"/>
  <c r="N71" i="14"/>
  <c r="H23" i="15"/>
  <c r="E23" i="15"/>
  <c r="B23" i="15"/>
  <c r="H7" i="15"/>
  <c r="E7" i="15"/>
  <c r="B7" i="15"/>
  <c r="N152" i="14"/>
  <c r="N153" i="14"/>
  <c r="N151" i="14"/>
  <c r="N144" i="14"/>
  <c r="N145" i="14"/>
  <c r="N143" i="14"/>
  <c r="A6" i="28"/>
  <c r="A5" i="28"/>
  <c r="A4" i="28"/>
  <c r="A7" i="27"/>
  <c r="A8" i="27" s="1"/>
  <c r="A9" i="27" s="1"/>
  <c r="A10" i="27" s="1"/>
  <c r="A11" i="27" s="1"/>
  <c r="A12" i="27" s="1"/>
  <c r="I26" i="1"/>
  <c r="C26" i="1"/>
  <c r="R18" i="20"/>
  <c r="C8" i="1"/>
  <c r="C11" i="1"/>
  <c r="C12" i="1"/>
  <c r="C13" i="1"/>
  <c r="C14" i="1"/>
  <c r="C15" i="1"/>
  <c r="C16" i="1"/>
  <c r="C17" i="1"/>
  <c r="C18" i="1"/>
  <c r="C19" i="1"/>
  <c r="C20" i="1"/>
  <c r="C21" i="1"/>
  <c r="C22" i="1"/>
  <c r="C24" i="1"/>
  <c r="C25" i="1"/>
  <c r="C27" i="1"/>
  <c r="C28" i="1"/>
  <c r="C29" i="1"/>
  <c r="C30" i="1"/>
  <c r="C7" i="1"/>
  <c r="I11" i="1"/>
  <c r="I30" i="1"/>
  <c r="Q65" i="25"/>
  <c r="Q64" i="25"/>
  <c r="Q63" i="25"/>
  <c r="Q62" i="25"/>
  <c r="Q61" i="25"/>
  <c r="Q57" i="25"/>
  <c r="Q56" i="25"/>
  <c r="Q55" i="25"/>
  <c r="Q54" i="25"/>
  <c r="Q53" i="25"/>
  <c r="I48" i="25"/>
  <c r="L40" i="25"/>
  <c r="K40" i="25"/>
  <c r="J40" i="25"/>
  <c r="H9" i="25"/>
  <c r="E9" i="25"/>
  <c r="B9" i="25"/>
  <c r="H2" i="25"/>
  <c r="H8" i="25"/>
  <c r="E8" i="25"/>
  <c r="B8" i="25"/>
  <c r="I2" i="25"/>
  <c r="H7" i="25"/>
  <c r="E7" i="25"/>
  <c r="B7" i="25"/>
  <c r="H6" i="25"/>
  <c r="E6" i="25"/>
  <c r="B6" i="25"/>
  <c r="K24" i="5"/>
  <c r="K30" i="5"/>
  <c r="L30" i="5"/>
  <c r="K31" i="5"/>
  <c r="L31" i="5"/>
  <c r="P42" i="5"/>
  <c r="P43" i="5"/>
  <c r="P44" i="5"/>
  <c r="P45" i="5"/>
  <c r="P46" i="5"/>
  <c r="P47" i="5"/>
  <c r="P48" i="5"/>
  <c r="P49" i="5"/>
  <c r="P50" i="5"/>
  <c r="P51" i="5"/>
  <c r="P52" i="5"/>
  <c r="P53" i="5"/>
  <c r="P54" i="5"/>
  <c r="P55" i="5"/>
  <c r="P56" i="5"/>
  <c r="P57" i="5"/>
  <c r="P58" i="5"/>
  <c r="P59" i="5"/>
  <c r="N41" i="7"/>
  <c r="O41" i="7"/>
  <c r="M41" i="7"/>
  <c r="N63" i="7"/>
  <c r="O63" i="7"/>
  <c r="M63" i="7"/>
  <c r="R80" i="7"/>
  <c r="R79" i="7"/>
  <c r="R78" i="7"/>
  <c r="R77" i="7"/>
  <c r="R76" i="7"/>
  <c r="R75" i="7"/>
  <c r="R74" i="7"/>
  <c r="R73" i="7"/>
  <c r="R72" i="7"/>
  <c r="R71" i="7"/>
  <c r="R70" i="7"/>
  <c r="R69" i="7"/>
  <c r="R68" i="7"/>
  <c r="R67" i="7"/>
  <c r="R66" i="7"/>
  <c r="R65" i="7"/>
  <c r="R64" i="7"/>
  <c r="L64" i="7"/>
  <c r="M64" i="7" s="1"/>
  <c r="R63" i="7"/>
  <c r="R58" i="7"/>
  <c r="R57" i="7"/>
  <c r="R56" i="7"/>
  <c r="R55" i="7"/>
  <c r="R54" i="7"/>
  <c r="R53" i="7"/>
  <c r="R52" i="7"/>
  <c r="R51" i="7"/>
  <c r="R50" i="7"/>
  <c r="R49" i="7"/>
  <c r="R48" i="7"/>
  <c r="R47" i="7"/>
  <c r="R46" i="7"/>
  <c r="R45" i="7"/>
  <c r="R44" i="7"/>
  <c r="R43" i="7"/>
  <c r="R42" i="7"/>
  <c r="L42" i="7"/>
  <c r="N42" i="7" s="1"/>
  <c r="R41" i="7"/>
  <c r="Q69" i="11"/>
  <c r="Q68" i="11"/>
  <c r="Q67" i="11"/>
  <c r="Q66" i="11"/>
  <c r="Q65" i="11"/>
  <c r="Q61" i="11"/>
  <c r="Q60" i="11"/>
  <c r="Q59" i="11"/>
  <c r="Q58" i="11"/>
  <c r="Q57" i="11"/>
  <c r="I52" i="11"/>
  <c r="L44" i="11"/>
  <c r="K44" i="11"/>
  <c r="J44" i="11"/>
  <c r="I2" i="24"/>
  <c r="H7" i="24"/>
  <c r="E7" i="24"/>
  <c r="B7" i="24"/>
  <c r="H2" i="24"/>
  <c r="H6" i="24"/>
  <c r="E6" i="24"/>
  <c r="B6" i="24"/>
  <c r="H47" i="23"/>
  <c r="E47" i="23"/>
  <c r="B47" i="23"/>
  <c r="H46" i="23"/>
  <c r="E46" i="23"/>
  <c r="B46" i="23"/>
  <c r="H45" i="23"/>
  <c r="E45" i="23"/>
  <c r="B45" i="23"/>
  <c r="H44" i="23"/>
  <c r="E44" i="23"/>
  <c r="B44" i="23"/>
  <c r="H43" i="23"/>
  <c r="E43" i="23"/>
  <c r="B43" i="23"/>
  <c r="H42" i="23"/>
  <c r="E42" i="23"/>
  <c r="B42" i="23"/>
  <c r="H41" i="23"/>
  <c r="E41" i="23"/>
  <c r="B41" i="23"/>
  <c r="H40" i="23"/>
  <c r="E40" i="23"/>
  <c r="B40" i="23"/>
  <c r="H39" i="23"/>
  <c r="E39" i="23"/>
  <c r="B39" i="23"/>
  <c r="H38" i="23"/>
  <c r="E38" i="23"/>
  <c r="B38" i="23"/>
  <c r="H37" i="23"/>
  <c r="E37" i="23"/>
  <c r="B37" i="23"/>
  <c r="H36" i="23"/>
  <c r="E36" i="23"/>
  <c r="B36" i="23"/>
  <c r="H35" i="23"/>
  <c r="E35" i="23"/>
  <c r="B35" i="23"/>
  <c r="H34" i="23"/>
  <c r="E34" i="23"/>
  <c r="B34" i="23"/>
  <c r="H33" i="23"/>
  <c r="E33" i="23"/>
  <c r="B33" i="23"/>
  <c r="H20" i="23"/>
  <c r="H19" i="23"/>
  <c r="B12" i="23"/>
  <c r="E12" i="23"/>
  <c r="B13" i="23"/>
  <c r="E13" i="23"/>
  <c r="B14" i="23"/>
  <c r="E14" i="23"/>
  <c r="B15" i="23"/>
  <c r="E15" i="23"/>
  <c r="B16" i="23"/>
  <c r="E16" i="23"/>
  <c r="B17" i="23"/>
  <c r="E17" i="23"/>
  <c r="B18" i="23"/>
  <c r="E18" i="23"/>
  <c r="B19" i="23"/>
  <c r="E19" i="23"/>
  <c r="B20" i="23"/>
  <c r="E20" i="23"/>
  <c r="H12" i="23"/>
  <c r="H13" i="23"/>
  <c r="H14" i="23"/>
  <c r="H15" i="23"/>
  <c r="H16" i="23"/>
  <c r="H17" i="23"/>
  <c r="H18" i="23"/>
  <c r="H11" i="23"/>
  <c r="E11" i="23"/>
  <c r="B11" i="23"/>
  <c r="H10" i="23"/>
  <c r="E10" i="23"/>
  <c r="B10" i="23"/>
  <c r="H9" i="23"/>
  <c r="E9" i="23"/>
  <c r="B9" i="23"/>
  <c r="H8" i="23"/>
  <c r="E8" i="23"/>
  <c r="B8" i="23"/>
  <c r="I2" i="23"/>
  <c r="H7" i="23"/>
  <c r="E7" i="23"/>
  <c r="B7" i="23"/>
  <c r="H2" i="23"/>
  <c r="H6" i="23"/>
  <c r="E6" i="23"/>
  <c r="B6" i="23"/>
  <c r="E2" i="23"/>
  <c r="F3" i="23" s="1"/>
  <c r="B7" i="22"/>
  <c r="E7" i="22"/>
  <c r="H7" i="22"/>
  <c r="B8" i="22"/>
  <c r="E8" i="22"/>
  <c r="H8" i="22"/>
  <c r="B9" i="22"/>
  <c r="E9" i="22"/>
  <c r="H9" i="22"/>
  <c r="B10" i="22"/>
  <c r="E10" i="22"/>
  <c r="H10" i="22"/>
  <c r="I1" i="22"/>
  <c r="H6" i="22"/>
  <c r="E6" i="22"/>
  <c r="B6" i="22"/>
  <c r="H1" i="22"/>
  <c r="H5" i="22"/>
  <c r="E5" i="22"/>
  <c r="B5" i="22"/>
  <c r="E1" i="22"/>
  <c r="F2" i="22" s="1"/>
  <c r="I2" i="21"/>
  <c r="H7" i="21"/>
  <c r="E7" i="21"/>
  <c r="B7" i="21"/>
  <c r="H2" i="21"/>
  <c r="H6" i="21"/>
  <c r="B6" i="21"/>
  <c r="E2" i="21"/>
  <c r="F3" i="21" s="1"/>
  <c r="R25" i="20"/>
  <c r="R24" i="20"/>
  <c r="R23" i="20"/>
  <c r="R21" i="20"/>
  <c r="R22" i="20"/>
  <c r="B18" i="20"/>
  <c r="E18" i="20"/>
  <c r="H18" i="20"/>
  <c r="B19" i="20"/>
  <c r="E19" i="20"/>
  <c r="H19" i="20"/>
  <c r="B20" i="20"/>
  <c r="E20" i="20"/>
  <c r="H20" i="20"/>
  <c r="B21" i="20"/>
  <c r="E21" i="20"/>
  <c r="H21" i="20"/>
  <c r="B22" i="20"/>
  <c r="E22" i="20"/>
  <c r="H22" i="20"/>
  <c r="B23" i="20"/>
  <c r="E23" i="20"/>
  <c r="H23" i="20"/>
  <c r="R8" i="20"/>
  <c r="R16" i="20"/>
  <c r="R12" i="20"/>
  <c r="R10" i="20"/>
  <c r="B6" i="20"/>
  <c r="B7" i="20"/>
  <c r="B8" i="20"/>
  <c r="B9" i="20"/>
  <c r="B10" i="20"/>
  <c r="B11" i="20"/>
  <c r="B12" i="20"/>
  <c r="B13" i="20"/>
  <c r="B14" i="20"/>
  <c r="B15" i="20"/>
  <c r="B16" i="20"/>
  <c r="B17" i="20"/>
  <c r="I2" i="20"/>
  <c r="H17" i="20"/>
  <c r="E17" i="20"/>
  <c r="H16" i="20"/>
  <c r="E16" i="20"/>
  <c r="H15" i="20"/>
  <c r="E15" i="20"/>
  <c r="H14" i="20"/>
  <c r="E14" i="20"/>
  <c r="H13" i="20"/>
  <c r="E13" i="20"/>
  <c r="H12" i="20"/>
  <c r="E12" i="20"/>
  <c r="H11" i="20"/>
  <c r="E11" i="20"/>
  <c r="H10" i="20"/>
  <c r="E10" i="20"/>
  <c r="H9" i="20"/>
  <c r="E9" i="20"/>
  <c r="H8" i="20"/>
  <c r="E8" i="20"/>
  <c r="H7" i="20"/>
  <c r="E7" i="20"/>
  <c r="H2" i="20"/>
  <c r="H6" i="20"/>
  <c r="E6" i="20"/>
  <c r="E2" i="20"/>
  <c r="F3" i="20" s="1"/>
  <c r="E2" i="18"/>
  <c r="F3" i="18" s="1"/>
  <c r="A7" i="19"/>
  <c r="A8" i="19"/>
  <c r="A9" i="19"/>
  <c r="A10" i="19"/>
  <c r="A11" i="19"/>
  <c r="A12" i="19"/>
  <c r="A13" i="19"/>
  <c r="A14" i="19"/>
  <c r="A15" i="19"/>
  <c r="A16" i="19"/>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A109" i="19"/>
  <c r="A110" i="19"/>
  <c r="A111" i="19"/>
  <c r="A112" i="19"/>
  <c r="A113" i="19"/>
  <c r="A114" i="19"/>
  <c r="A115" i="19"/>
  <c r="A116" i="19"/>
  <c r="A117" i="19"/>
  <c r="A118" i="19"/>
  <c r="A119" i="19"/>
  <c r="A120" i="19"/>
  <c r="A121" i="19"/>
  <c r="A122" i="19"/>
  <c r="A123" i="19"/>
  <c r="A124" i="19"/>
  <c r="A125" i="19"/>
  <c r="A126" i="19"/>
  <c r="A127" i="19"/>
  <c r="A128" i="19"/>
  <c r="A129" i="19"/>
  <c r="A130" i="19"/>
  <c r="A131" i="19"/>
  <c r="A132" i="19"/>
  <c r="A133" i="19"/>
  <c r="A134" i="19"/>
  <c r="A135" i="19"/>
  <c r="A136" i="19"/>
  <c r="A137" i="19"/>
  <c r="A138" i="19"/>
  <c r="A139" i="19"/>
  <c r="A140" i="19"/>
  <c r="A141" i="19"/>
  <c r="A142" i="19"/>
  <c r="A143" i="19"/>
  <c r="A144" i="19"/>
  <c r="A145" i="19"/>
  <c r="A146" i="19"/>
  <c r="A147" i="19"/>
  <c r="A148" i="19"/>
  <c r="A149" i="19"/>
  <c r="A150" i="19"/>
  <c r="A151" i="19"/>
  <c r="A152" i="19"/>
  <c r="A153" i="19"/>
  <c r="A154" i="19"/>
  <c r="A155" i="19"/>
  <c r="A156" i="19"/>
  <c r="A157" i="19"/>
  <c r="A158" i="19"/>
  <c r="A159" i="19"/>
  <c r="A160" i="19"/>
  <c r="A161" i="19"/>
  <c r="A162" i="19"/>
  <c r="A163" i="19"/>
  <c r="A164" i="19"/>
  <c r="A165" i="19"/>
  <c r="A166" i="19"/>
  <c r="A167" i="19"/>
  <c r="A168" i="19"/>
  <c r="A169" i="19"/>
  <c r="A170" i="19"/>
  <c r="A171" i="19"/>
  <c r="A172" i="19"/>
  <c r="A173" i="19"/>
  <c r="A174" i="19"/>
  <c r="A175" i="19"/>
  <c r="A176" i="19"/>
  <c r="A177" i="19"/>
  <c r="A178" i="19"/>
  <c r="A179" i="19"/>
  <c r="A180" i="19"/>
  <c r="A181" i="19"/>
  <c r="A182" i="19"/>
  <c r="A183" i="19"/>
  <c r="A184" i="19"/>
  <c r="A185" i="19"/>
  <c r="A186" i="19"/>
  <c r="A187" i="19"/>
  <c r="A188" i="19"/>
  <c r="A189" i="19"/>
  <c r="A190" i="19"/>
  <c r="A191" i="19"/>
  <c r="A192" i="19"/>
  <c r="A193" i="19"/>
  <c r="A194" i="19"/>
  <c r="A195" i="19"/>
  <c r="A196" i="19"/>
  <c r="A197" i="19"/>
  <c r="A198" i="19"/>
  <c r="A199" i="19"/>
  <c r="A200" i="19"/>
  <c r="A201" i="19"/>
  <c r="A202" i="19"/>
  <c r="A203" i="19"/>
  <c r="A204" i="19"/>
  <c r="A205" i="19"/>
  <c r="A206" i="19"/>
  <c r="A207" i="19"/>
  <c r="A208" i="19"/>
  <c r="A209" i="19"/>
  <c r="A210" i="19"/>
  <c r="A211" i="19"/>
  <c r="A212" i="19"/>
  <c r="A213" i="19"/>
  <c r="A214" i="19"/>
  <c r="A215" i="19"/>
  <c r="A216" i="19"/>
  <c r="A217" i="19"/>
  <c r="A218" i="19"/>
  <c r="A219" i="19"/>
  <c r="A220" i="19"/>
  <c r="A221" i="19"/>
  <c r="A222" i="19"/>
  <c r="A223" i="19"/>
  <c r="A224" i="19"/>
  <c r="A225" i="19"/>
  <c r="A226" i="19"/>
  <c r="A227" i="19"/>
  <c r="A228" i="19"/>
  <c r="A229" i="19"/>
  <c r="A230" i="19"/>
  <c r="A231" i="19"/>
  <c r="A232" i="19"/>
  <c r="A233" i="19"/>
  <c r="A234" i="19"/>
  <c r="A235" i="19"/>
  <c r="A236" i="19"/>
  <c r="A237" i="19"/>
  <c r="A238" i="19"/>
  <c r="A239" i="19"/>
  <c r="A240" i="19"/>
  <c r="A241" i="19"/>
  <c r="A242" i="19"/>
  <c r="A243" i="19"/>
  <c r="A244" i="19"/>
  <c r="A245" i="19"/>
  <c r="A246" i="19"/>
  <c r="A247" i="19"/>
  <c r="A248" i="19"/>
  <c r="A249" i="19"/>
  <c r="A250" i="19"/>
  <c r="A251" i="19"/>
  <c r="A252" i="19"/>
  <c r="A253" i="19"/>
  <c r="A254" i="19"/>
  <c r="A255" i="19"/>
  <c r="A256" i="19"/>
  <c r="A257" i="19"/>
  <c r="A258" i="19"/>
  <c r="A259" i="19"/>
  <c r="A260" i="19"/>
  <c r="A261" i="19"/>
  <c r="A262" i="19"/>
  <c r="A263" i="19"/>
  <c r="A264" i="19"/>
  <c r="A265" i="19"/>
  <c r="A266" i="19"/>
  <c r="A267" i="19"/>
  <c r="A268" i="19"/>
  <c r="A269" i="19"/>
  <c r="A270" i="19"/>
  <c r="A271" i="19"/>
  <c r="A272" i="19"/>
  <c r="A273" i="19"/>
  <c r="A274" i="19"/>
  <c r="A275" i="19"/>
  <c r="A276" i="19"/>
  <c r="A277" i="19"/>
  <c r="A278" i="19"/>
  <c r="A279" i="19"/>
  <c r="A280" i="19"/>
  <c r="A281" i="19"/>
  <c r="A282" i="19"/>
  <c r="A283" i="19"/>
  <c r="A284" i="19"/>
  <c r="A285" i="19"/>
  <c r="A286" i="19"/>
  <c r="A287" i="19"/>
  <c r="A288" i="19"/>
  <c r="A289" i="19"/>
  <c r="A290" i="19"/>
  <c r="A291" i="19"/>
  <c r="A292" i="19"/>
  <c r="A293" i="19"/>
  <c r="A294" i="19"/>
  <c r="A295" i="19"/>
  <c r="A296" i="19"/>
  <c r="A297" i="19"/>
  <c r="A298" i="19"/>
  <c r="A299" i="19"/>
  <c r="A300" i="19"/>
  <c r="A301" i="19"/>
  <c r="A302" i="19"/>
  <c r="A303" i="19"/>
  <c r="A304" i="19"/>
  <c r="A305" i="19"/>
  <c r="A306" i="19"/>
  <c r="A307" i="19"/>
  <c r="A308" i="19"/>
  <c r="A309" i="19"/>
  <c r="A310" i="19"/>
  <c r="A311" i="19"/>
  <c r="A312" i="19"/>
  <c r="A313" i="19"/>
  <c r="A314" i="19"/>
  <c r="A315" i="19"/>
  <c r="A316" i="19"/>
  <c r="A317" i="19"/>
  <c r="A318" i="19"/>
  <c r="A319" i="19"/>
  <c r="A320" i="19"/>
  <c r="A321" i="19"/>
  <c r="A322" i="19"/>
  <c r="A323" i="19"/>
  <c r="A324" i="19"/>
  <c r="A325" i="19"/>
  <c r="A326" i="19"/>
  <c r="A327" i="19"/>
  <c r="A328" i="19"/>
  <c r="A329" i="19"/>
  <c r="A330" i="19"/>
  <c r="A331" i="19"/>
  <c r="A332" i="19"/>
  <c r="A333" i="19"/>
  <c r="A334" i="19"/>
  <c r="A335" i="19"/>
  <c r="A336" i="19"/>
  <c r="A337" i="19"/>
  <c r="A338" i="19"/>
  <c r="A339" i="19"/>
  <c r="A340" i="19"/>
  <c r="A341" i="19"/>
  <c r="A342" i="19"/>
  <c r="A343" i="19"/>
  <c r="A344" i="19"/>
  <c r="A345" i="19"/>
  <c r="A346" i="19"/>
  <c r="A347" i="19"/>
  <c r="A348" i="19"/>
  <c r="A349" i="19"/>
  <c r="A350" i="19"/>
  <c r="A351" i="19"/>
  <c r="A352" i="19"/>
  <c r="A353" i="19"/>
  <c r="A354" i="19"/>
  <c r="A355" i="19"/>
  <c r="A356" i="19"/>
  <c r="A357" i="19"/>
  <c r="A358" i="19"/>
  <c r="A359" i="19"/>
  <c r="A360" i="19"/>
  <c r="A361" i="19"/>
  <c r="A362" i="19"/>
  <c r="A363" i="19"/>
  <c r="A364" i="19"/>
  <c r="A365" i="19"/>
  <c r="A366" i="19"/>
  <c r="A367" i="19"/>
  <c r="A368" i="19"/>
  <c r="A369" i="19"/>
  <c r="A370" i="19"/>
  <c r="A371" i="19"/>
  <c r="A372" i="19"/>
  <c r="A373" i="19"/>
  <c r="A374" i="19"/>
  <c r="A375" i="19"/>
  <c r="A376" i="19"/>
  <c r="A377" i="19"/>
  <c r="A378" i="19"/>
  <c r="A379" i="19"/>
  <c r="A380" i="19"/>
  <c r="A381" i="19"/>
  <c r="A382" i="19"/>
  <c r="A383" i="19"/>
  <c r="A384" i="19"/>
  <c r="A385" i="19"/>
  <c r="A386" i="19"/>
  <c r="A387" i="19"/>
  <c r="A388" i="19"/>
  <c r="A389" i="19"/>
  <c r="A390" i="19"/>
  <c r="A391" i="19"/>
  <c r="A392" i="19"/>
  <c r="A393" i="19"/>
  <c r="A394" i="19"/>
  <c r="A395" i="19"/>
  <c r="A396" i="19"/>
  <c r="A397" i="19"/>
  <c r="A398" i="19"/>
  <c r="A399" i="19"/>
  <c r="A400" i="19"/>
  <c r="A401" i="19"/>
  <c r="A402" i="19"/>
  <c r="A403" i="19"/>
  <c r="A404" i="19"/>
  <c r="A405" i="19"/>
  <c r="A406" i="19"/>
  <c r="A407" i="19"/>
  <c r="A408" i="19"/>
  <c r="A409" i="19"/>
  <c r="A410" i="19"/>
  <c r="A411" i="19"/>
  <c r="A412" i="19"/>
  <c r="A413" i="19"/>
  <c r="A414" i="19"/>
  <c r="A415" i="19"/>
  <c r="A416" i="19"/>
  <c r="A417" i="19"/>
  <c r="A418" i="19"/>
  <c r="A419" i="19"/>
  <c r="A420" i="19"/>
  <c r="A421" i="19"/>
  <c r="A422" i="19"/>
  <c r="A423" i="19"/>
  <c r="A424" i="19"/>
  <c r="A425" i="19"/>
  <c r="A426" i="19"/>
  <c r="A427" i="19"/>
  <c r="A428" i="19"/>
  <c r="A429" i="19"/>
  <c r="A430" i="19"/>
  <c r="A431" i="19"/>
  <c r="A432" i="19"/>
  <c r="A433" i="19"/>
  <c r="A434" i="19"/>
  <c r="A435" i="19"/>
  <c r="A436" i="19"/>
  <c r="A437" i="19"/>
  <c r="A438" i="19"/>
  <c r="A439" i="19"/>
  <c r="A440" i="19"/>
  <c r="A441" i="19"/>
  <c r="A442" i="19"/>
  <c r="A443" i="19"/>
  <c r="A444" i="19"/>
  <c r="A445" i="19"/>
  <c r="A446" i="19"/>
  <c r="A447" i="19"/>
  <c r="A448" i="19"/>
  <c r="A449" i="19"/>
  <c r="A450" i="19"/>
  <c r="A451" i="19"/>
  <c r="A452" i="19"/>
  <c r="A453" i="19"/>
  <c r="A454" i="19"/>
  <c r="A455" i="19"/>
  <c r="A456" i="19"/>
  <c r="A457" i="19"/>
  <c r="A458" i="19"/>
  <c r="A459" i="19"/>
  <c r="A460" i="19"/>
  <c r="A461" i="19"/>
  <c r="A462" i="19"/>
  <c r="A463" i="19"/>
  <c r="A464" i="19"/>
  <c r="A465" i="19"/>
  <c r="A466" i="19"/>
  <c r="A467" i="19"/>
  <c r="A468" i="19"/>
  <c r="A469" i="19"/>
  <c r="A470" i="19"/>
  <c r="A471" i="19"/>
  <c r="A472" i="19"/>
  <c r="A473" i="19"/>
  <c r="A474" i="19"/>
  <c r="A475" i="19"/>
  <c r="A476" i="19"/>
  <c r="A477" i="19"/>
  <c r="A478" i="19"/>
  <c r="A479" i="19"/>
  <c r="A480" i="19"/>
  <c r="A481" i="19"/>
  <c r="A482" i="19"/>
  <c r="A483" i="19"/>
  <c r="A484" i="19"/>
  <c r="A485" i="19"/>
  <c r="A486" i="19"/>
  <c r="A487" i="19"/>
  <c r="A488" i="19"/>
  <c r="A489" i="19"/>
  <c r="A490" i="19"/>
  <c r="A491" i="19"/>
  <c r="A492" i="19"/>
  <c r="A493" i="19"/>
  <c r="A494" i="19"/>
  <c r="A495" i="19"/>
  <c r="A496" i="19"/>
  <c r="A497" i="19"/>
  <c r="A498" i="19"/>
  <c r="A499" i="19"/>
  <c r="A500" i="19"/>
  <c r="A501" i="19"/>
  <c r="A502" i="19"/>
  <c r="A503" i="19"/>
  <c r="A504" i="19"/>
  <c r="A505" i="19"/>
  <c r="A506" i="19"/>
  <c r="A507" i="19"/>
  <c r="A508" i="19"/>
  <c r="A509" i="19"/>
  <c r="A510" i="19"/>
  <c r="A511" i="19"/>
  <c r="A512" i="19"/>
  <c r="A513" i="19"/>
  <c r="A514" i="19"/>
  <c r="A515" i="19"/>
  <c r="A516" i="19"/>
  <c r="A517" i="19"/>
  <c r="A518" i="19"/>
  <c r="A519" i="19"/>
  <c r="A520" i="19"/>
  <c r="A521" i="19"/>
  <c r="A522" i="19"/>
  <c r="A523" i="19"/>
  <c r="A524" i="19"/>
  <c r="A525" i="19"/>
  <c r="A526" i="19"/>
  <c r="A527" i="19"/>
  <c r="A528" i="19"/>
  <c r="A529" i="19"/>
  <c r="A530" i="19"/>
  <c r="A531" i="19"/>
  <c r="A532" i="19"/>
  <c r="A533" i="19"/>
  <c r="A534" i="19"/>
  <c r="A535" i="19"/>
  <c r="A536" i="19"/>
  <c r="A537" i="19"/>
  <c r="A538" i="19"/>
  <c r="A539" i="19"/>
  <c r="A540" i="19"/>
  <c r="A541" i="19"/>
  <c r="A542" i="19"/>
  <c r="A543" i="19"/>
  <c r="A544" i="19"/>
  <c r="A545" i="19"/>
  <c r="A546" i="19"/>
  <c r="A547" i="19"/>
  <c r="A548" i="19"/>
  <c r="A549" i="19"/>
  <c r="A550" i="19"/>
  <c r="A551" i="19"/>
  <c r="A552" i="19"/>
  <c r="A553" i="19"/>
  <c r="A554" i="19"/>
  <c r="A555" i="19"/>
  <c r="A556" i="19"/>
  <c r="A557" i="19"/>
  <c r="A558" i="19"/>
  <c r="A559" i="19"/>
  <c r="A560" i="19"/>
  <c r="A561" i="19"/>
  <c r="A562" i="19"/>
  <c r="A563" i="19"/>
  <c r="A564" i="19"/>
  <c r="A565" i="19"/>
  <c r="A566" i="19"/>
  <c r="A567" i="19"/>
  <c r="A568" i="19"/>
  <c r="A569" i="19"/>
  <c r="A570" i="19"/>
  <c r="A571" i="19"/>
  <c r="A572" i="19"/>
  <c r="A573" i="19"/>
  <c r="A574" i="19"/>
  <c r="A575" i="19"/>
  <c r="A576" i="19"/>
  <c r="A577" i="19"/>
  <c r="A578" i="19"/>
  <c r="A579" i="19"/>
  <c r="A580" i="19"/>
  <c r="A581" i="19"/>
  <c r="A582" i="19"/>
  <c r="A583" i="19"/>
  <c r="A584" i="19"/>
  <c r="A585" i="19"/>
  <c r="A586" i="19"/>
  <c r="A587" i="19"/>
  <c r="A588" i="19"/>
  <c r="A589" i="19"/>
  <c r="A590" i="19"/>
  <c r="A591" i="19"/>
  <c r="A592" i="19"/>
  <c r="A593" i="19"/>
  <c r="A594" i="19"/>
  <c r="A595" i="19"/>
  <c r="A596" i="19"/>
  <c r="A597" i="19"/>
  <c r="A598" i="19"/>
  <c r="A599" i="19"/>
  <c r="A600" i="19"/>
  <c r="A601" i="19"/>
  <c r="A602" i="19"/>
  <c r="A603" i="19"/>
  <c r="A604" i="19"/>
  <c r="A605" i="19"/>
  <c r="A606" i="19"/>
  <c r="A607" i="19"/>
  <c r="A608" i="19"/>
  <c r="A609" i="19"/>
  <c r="A610" i="19"/>
  <c r="A611" i="19"/>
  <c r="A612" i="19"/>
  <c r="A613" i="19"/>
  <c r="A614" i="19"/>
  <c r="A615" i="19"/>
  <c r="A616" i="19"/>
  <c r="A617" i="19"/>
  <c r="A618" i="19"/>
  <c r="A619" i="19"/>
  <c r="A620" i="19"/>
  <c r="A621" i="19"/>
  <c r="A622" i="19"/>
  <c r="A623" i="19"/>
  <c r="A624" i="19"/>
  <c r="A625" i="19"/>
  <c r="A626" i="19"/>
  <c r="A627" i="19"/>
  <c r="A628" i="19"/>
  <c r="A629" i="19"/>
  <c r="A630" i="19"/>
  <c r="A631" i="19"/>
  <c r="A632" i="19"/>
  <c r="A633" i="19"/>
  <c r="A634" i="19"/>
  <c r="A635" i="19"/>
  <c r="A636" i="19"/>
  <c r="A637" i="19"/>
  <c r="A638" i="19"/>
  <c r="A639" i="19"/>
  <c r="A640" i="19"/>
  <c r="A641" i="19"/>
  <c r="A642" i="19"/>
  <c r="A643" i="19"/>
  <c r="A644" i="19"/>
  <c r="A645" i="19"/>
  <c r="A646" i="19"/>
  <c r="A647" i="19"/>
  <c r="A648" i="19"/>
  <c r="A649" i="19"/>
  <c r="A6" i="19"/>
  <c r="B16" i="18"/>
  <c r="E16" i="18"/>
  <c r="B17" i="18"/>
  <c r="E17" i="18"/>
  <c r="H17" i="18"/>
  <c r="H16" i="18"/>
  <c r="H15" i="18"/>
  <c r="H14" i="18"/>
  <c r="H13" i="18"/>
  <c r="H12" i="18"/>
  <c r="B12" i="18"/>
  <c r="E12" i="18"/>
  <c r="B13" i="18"/>
  <c r="E13" i="18"/>
  <c r="B14" i="18"/>
  <c r="E14" i="18"/>
  <c r="B15" i="18"/>
  <c r="E15" i="18"/>
  <c r="J57" i="18"/>
  <c r="K57" i="18"/>
  <c r="L57" i="18"/>
  <c r="I57" i="18"/>
  <c r="H11" i="18"/>
  <c r="E11" i="18"/>
  <c r="B11" i="18"/>
  <c r="H10" i="18"/>
  <c r="E10" i="18"/>
  <c r="B10" i="18"/>
  <c r="I2" i="18"/>
  <c r="H9" i="18"/>
  <c r="E9" i="18"/>
  <c r="B9" i="18"/>
  <c r="H8" i="18"/>
  <c r="E8" i="18"/>
  <c r="B8" i="18"/>
  <c r="H7" i="18"/>
  <c r="E7" i="18"/>
  <c r="B7" i="18"/>
  <c r="H2" i="18"/>
  <c r="H6" i="18"/>
  <c r="E6" i="18"/>
  <c r="B6" i="18"/>
  <c r="E7" i="5"/>
  <c r="E6" i="5"/>
  <c r="E7" i="7"/>
  <c r="E8" i="7"/>
  <c r="E9" i="7"/>
  <c r="E6" i="7"/>
  <c r="I21" i="1"/>
  <c r="I22" i="1"/>
  <c r="I24" i="1"/>
  <c r="I25" i="1"/>
  <c r="I27" i="1"/>
  <c r="I29" i="1"/>
  <c r="I28" i="1"/>
  <c r="I7" i="1"/>
  <c r="I8" i="1"/>
  <c r="I13" i="1"/>
  <c r="I12" i="1"/>
  <c r="I15" i="1"/>
  <c r="I19" i="1"/>
  <c r="I20" i="1"/>
  <c r="B8" i="16"/>
  <c r="H8" i="16"/>
  <c r="B9" i="16"/>
  <c r="E9" i="16"/>
  <c r="H9" i="16"/>
  <c r="B10" i="16"/>
  <c r="H10" i="16"/>
  <c r="B11" i="16"/>
  <c r="E11" i="16"/>
  <c r="H11" i="16"/>
  <c r="B12" i="16"/>
  <c r="E12" i="16"/>
  <c r="H12" i="16"/>
  <c r="B13" i="16"/>
  <c r="E13" i="16"/>
  <c r="H13" i="16"/>
  <c r="I2" i="16"/>
  <c r="H7" i="16"/>
  <c r="E7" i="16"/>
  <c r="B7" i="16"/>
  <c r="H6" i="16"/>
  <c r="B6" i="16"/>
  <c r="B8" i="15"/>
  <c r="E8" i="15"/>
  <c r="H8" i="15"/>
  <c r="I2" i="15"/>
  <c r="B9" i="15"/>
  <c r="E9" i="15"/>
  <c r="H9" i="15"/>
  <c r="B22" i="15"/>
  <c r="E22" i="15"/>
  <c r="H22" i="15"/>
  <c r="B24" i="15"/>
  <c r="E24" i="15"/>
  <c r="H24" i="15"/>
  <c r="B25" i="15"/>
  <c r="E25" i="15"/>
  <c r="H25" i="15"/>
  <c r="H2" i="15"/>
  <c r="H6" i="15"/>
  <c r="E6" i="15"/>
  <c r="B6" i="15"/>
  <c r="B7" i="14"/>
  <c r="E7" i="14"/>
  <c r="H7" i="14"/>
  <c r="B8" i="14"/>
  <c r="E8" i="14"/>
  <c r="H8" i="14"/>
  <c r="B9" i="14"/>
  <c r="E9" i="14"/>
  <c r="H9" i="14"/>
  <c r="B10" i="14"/>
  <c r="E10" i="14"/>
  <c r="H10" i="14"/>
  <c r="I1" i="14"/>
  <c r="H6" i="14"/>
  <c r="E6" i="14"/>
  <c r="B6" i="14"/>
  <c r="H1" i="14"/>
  <c r="H5" i="14"/>
  <c r="E5" i="14"/>
  <c r="B5" i="14"/>
  <c r="H7" i="13"/>
  <c r="E7" i="13"/>
  <c r="B7" i="13"/>
  <c r="H2" i="13"/>
  <c r="H6" i="13"/>
  <c r="E6" i="13"/>
  <c r="B6" i="13"/>
  <c r="B9" i="11"/>
  <c r="E9" i="11"/>
  <c r="H9" i="11"/>
  <c r="H3" i="11"/>
  <c r="B10" i="11"/>
  <c r="E10" i="11"/>
  <c r="H10" i="11"/>
  <c r="B11" i="11"/>
  <c r="E11" i="11"/>
  <c r="H11" i="11"/>
  <c r="B12" i="11"/>
  <c r="E12" i="11"/>
  <c r="H12" i="11"/>
  <c r="I3" i="11"/>
  <c r="H8" i="11"/>
  <c r="E8" i="11"/>
  <c r="B8" i="11"/>
  <c r="H2" i="11"/>
  <c r="H7" i="11"/>
  <c r="E7" i="11"/>
  <c r="B7" i="11"/>
  <c r="I2" i="10"/>
  <c r="H7" i="10"/>
  <c r="E7" i="10"/>
  <c r="B7" i="10"/>
  <c r="H2" i="10"/>
  <c r="H6" i="10"/>
  <c r="E6" i="10"/>
  <c r="B6" i="10"/>
  <c r="I2" i="9"/>
  <c r="H7" i="9"/>
  <c r="E7" i="9"/>
  <c r="B7" i="9"/>
  <c r="H6" i="9"/>
  <c r="E6" i="9"/>
  <c r="B6" i="9"/>
  <c r="E8" i="8"/>
  <c r="E9" i="8"/>
  <c r="E10" i="8"/>
  <c r="E11" i="8"/>
  <c r="E12" i="8"/>
  <c r="E13" i="8"/>
  <c r="E14" i="8"/>
  <c r="E29" i="8"/>
  <c r="E16" i="8"/>
  <c r="E17" i="8"/>
  <c r="E24" i="8"/>
  <c r="E25" i="8"/>
  <c r="E26" i="8"/>
  <c r="E27" i="8"/>
  <c r="E7" i="8"/>
  <c r="B29" i="8"/>
  <c r="H29" i="8"/>
  <c r="I4" i="8"/>
  <c r="B16" i="8"/>
  <c r="H16" i="8"/>
  <c r="B17" i="8"/>
  <c r="H17" i="8"/>
  <c r="B24" i="8"/>
  <c r="H24" i="8"/>
  <c r="B25" i="8"/>
  <c r="H25" i="8"/>
  <c r="B26" i="8"/>
  <c r="H26" i="8"/>
  <c r="B27" i="8"/>
  <c r="H27" i="8"/>
  <c r="B14" i="8"/>
  <c r="H14" i="8"/>
  <c r="B11" i="8"/>
  <c r="H11" i="8"/>
  <c r="B12" i="8"/>
  <c r="H12" i="8"/>
  <c r="B13" i="8"/>
  <c r="H13" i="8"/>
  <c r="H10" i="8"/>
  <c r="B10" i="8"/>
  <c r="H9" i="8"/>
  <c r="B9" i="8"/>
  <c r="H8" i="8"/>
  <c r="B8" i="8"/>
  <c r="H7" i="8"/>
  <c r="B7" i="8"/>
  <c r="H8" i="7"/>
  <c r="H9" i="7"/>
  <c r="B7" i="7"/>
  <c r="B8" i="7"/>
  <c r="B9" i="7"/>
  <c r="H7" i="7"/>
  <c r="H2" i="7"/>
  <c r="H6" i="7"/>
  <c r="B6" i="7"/>
  <c r="H7" i="5"/>
  <c r="B7" i="5"/>
  <c r="H6" i="5"/>
  <c r="B6" i="5"/>
  <c r="F150" i="3"/>
  <c r="B150" i="3"/>
  <c r="F47" i="3"/>
  <c r="B47" i="3"/>
  <c r="F100" i="3"/>
  <c r="B100" i="3"/>
  <c r="F203" i="3"/>
  <c r="B203" i="3"/>
  <c r="F202" i="3"/>
  <c r="B202" i="3"/>
  <c r="F99" i="3"/>
  <c r="B99" i="3"/>
  <c r="F84" i="3"/>
  <c r="B84" i="3"/>
  <c r="F187" i="3"/>
  <c r="B187" i="3"/>
  <c r="F83" i="3"/>
  <c r="B83" i="3"/>
  <c r="F186" i="3"/>
  <c r="B186" i="3"/>
  <c r="F106" i="3"/>
  <c r="B106" i="3"/>
  <c r="F209" i="3"/>
  <c r="B209" i="3"/>
  <c r="F98" i="3"/>
  <c r="B98" i="3"/>
  <c r="F97" i="3"/>
  <c r="B97" i="3"/>
  <c r="F56" i="3"/>
  <c r="B56" i="3"/>
  <c r="F55" i="3"/>
  <c r="B55" i="3"/>
  <c r="F16" i="3"/>
  <c r="B16" i="3"/>
  <c r="F15" i="3"/>
  <c r="B15" i="3"/>
  <c r="F14" i="3"/>
  <c r="B14" i="3"/>
  <c r="F96" i="3"/>
  <c r="B96" i="3"/>
  <c r="F95" i="3"/>
  <c r="B95" i="3"/>
  <c r="F94" i="3"/>
  <c r="B94" i="3"/>
  <c r="F93" i="3"/>
  <c r="B93" i="3"/>
  <c r="F54" i="3"/>
  <c r="B54" i="3"/>
  <c r="F53" i="3"/>
  <c r="B53" i="3"/>
  <c r="F60" i="3"/>
  <c r="B60" i="3"/>
  <c r="F59" i="3"/>
  <c r="B59" i="3"/>
  <c r="F12" i="3"/>
  <c r="B12" i="3"/>
  <c r="F11" i="3"/>
  <c r="B11" i="3"/>
  <c r="F92" i="3"/>
  <c r="B92" i="3"/>
  <c r="F91" i="3"/>
  <c r="B91" i="3"/>
  <c r="F90" i="3"/>
  <c r="B90" i="3"/>
  <c r="F89" i="3"/>
  <c r="B89" i="3"/>
  <c r="F88" i="3"/>
  <c r="B88" i="3"/>
  <c r="F52" i="3"/>
  <c r="B52" i="3"/>
  <c r="F51" i="3"/>
  <c r="B51" i="3"/>
  <c r="F201" i="3"/>
  <c r="B201" i="3"/>
  <c r="F200" i="3"/>
  <c r="B200" i="3"/>
  <c r="F159" i="3"/>
  <c r="B159" i="3"/>
  <c r="F158" i="3"/>
  <c r="B158" i="3"/>
  <c r="F119" i="3"/>
  <c r="B119" i="3"/>
  <c r="F118" i="3"/>
  <c r="B118" i="3"/>
  <c r="F117" i="3"/>
  <c r="B117" i="3"/>
  <c r="F199" i="3"/>
  <c r="B199" i="3"/>
  <c r="F198" i="3"/>
  <c r="B198" i="3"/>
  <c r="F197" i="3"/>
  <c r="B197" i="3"/>
  <c r="F196" i="3"/>
  <c r="B196" i="3"/>
  <c r="F157" i="3"/>
  <c r="B157" i="3"/>
  <c r="F156" i="3"/>
  <c r="B156" i="3"/>
  <c r="F163" i="3"/>
  <c r="B163" i="3"/>
  <c r="F162" i="3"/>
  <c r="B162" i="3"/>
  <c r="F115" i="3"/>
  <c r="B115" i="3"/>
  <c r="F114" i="3"/>
  <c r="B114" i="3"/>
  <c r="F195" i="3"/>
  <c r="B195" i="3"/>
  <c r="F194" i="3"/>
  <c r="B194" i="3"/>
  <c r="F193" i="3"/>
  <c r="B193" i="3"/>
  <c r="F192" i="3"/>
  <c r="B192" i="3"/>
  <c r="F191" i="3"/>
  <c r="B191" i="3"/>
  <c r="F155" i="3"/>
  <c r="B155" i="3"/>
  <c r="F154" i="3"/>
  <c r="B154" i="3"/>
  <c r="F87" i="3"/>
  <c r="B87" i="3"/>
  <c r="F190" i="3"/>
  <c r="B190" i="3"/>
  <c r="F105" i="3"/>
  <c r="B105" i="3"/>
  <c r="F208" i="3"/>
  <c r="B208" i="3"/>
  <c r="F104" i="3"/>
  <c r="B104" i="3"/>
  <c r="F207" i="3"/>
  <c r="B207" i="3"/>
  <c r="F103" i="3"/>
  <c r="B103" i="3"/>
  <c r="F206" i="3"/>
  <c r="B206" i="3"/>
  <c r="F102" i="3"/>
  <c r="B102" i="3"/>
  <c r="F205" i="3"/>
  <c r="B205" i="3"/>
  <c r="F86" i="3"/>
  <c r="B86" i="3"/>
  <c r="F85" i="3"/>
  <c r="B85" i="3"/>
  <c r="F82" i="3"/>
  <c r="B82" i="3"/>
  <c r="F81" i="3"/>
  <c r="B81" i="3"/>
  <c r="F80" i="3"/>
  <c r="B80" i="3"/>
  <c r="F79" i="3"/>
  <c r="B79" i="3"/>
  <c r="F78" i="3"/>
  <c r="B78" i="3"/>
  <c r="F77" i="3"/>
  <c r="B77" i="3"/>
  <c r="F76" i="3"/>
  <c r="B76" i="3"/>
  <c r="F75" i="3"/>
  <c r="B75" i="3"/>
  <c r="F74" i="3"/>
  <c r="B74" i="3"/>
  <c r="F73" i="3"/>
  <c r="B73" i="3"/>
  <c r="F189" i="3"/>
  <c r="B189" i="3"/>
  <c r="F188" i="3"/>
  <c r="B188" i="3"/>
  <c r="F185" i="3"/>
  <c r="B185" i="3"/>
  <c r="F184" i="3"/>
  <c r="B184" i="3"/>
  <c r="F183" i="3"/>
  <c r="B183" i="3"/>
  <c r="F182" i="3"/>
  <c r="B182" i="3"/>
  <c r="F181" i="3"/>
  <c r="B181" i="3"/>
  <c r="F180" i="3"/>
  <c r="B180" i="3"/>
  <c r="F179" i="3"/>
  <c r="B179" i="3"/>
  <c r="F178" i="3"/>
  <c r="B178" i="3"/>
  <c r="F177" i="3"/>
  <c r="B177" i="3"/>
  <c r="F176" i="3"/>
  <c r="B176" i="3"/>
  <c r="F46" i="3"/>
  <c r="B46" i="3"/>
  <c r="F45" i="3"/>
  <c r="B45" i="3"/>
  <c r="F44" i="3"/>
  <c r="B44" i="3"/>
  <c r="F43" i="3"/>
  <c r="B43" i="3"/>
  <c r="F149" i="3"/>
  <c r="B149" i="3"/>
  <c r="F148" i="3"/>
  <c r="B148" i="3"/>
  <c r="F147" i="3"/>
  <c r="B147" i="3"/>
  <c r="F146" i="3"/>
  <c r="B146" i="3"/>
  <c r="F19" i="3"/>
  <c r="B19" i="3"/>
  <c r="F122" i="3"/>
  <c r="B122" i="3"/>
  <c r="F72" i="3"/>
  <c r="B72" i="3"/>
  <c r="F175" i="3"/>
  <c r="B175" i="3"/>
  <c r="F71" i="3"/>
  <c r="B71" i="3"/>
  <c r="F174" i="3"/>
  <c r="B174" i="3"/>
  <c r="F70" i="3"/>
  <c r="B70" i="3"/>
  <c r="F173" i="3"/>
  <c r="B173" i="3"/>
  <c r="F69" i="3"/>
  <c r="B69" i="3"/>
  <c r="F172" i="3"/>
  <c r="B172" i="3"/>
  <c r="F68" i="3"/>
  <c r="B68" i="3"/>
  <c r="F171" i="3"/>
  <c r="B171" i="3"/>
  <c r="F67" i="3"/>
  <c r="B67" i="3"/>
  <c r="F170" i="3"/>
  <c r="B170" i="3"/>
  <c r="F66" i="3"/>
  <c r="B66" i="3"/>
  <c r="F169" i="3"/>
  <c r="B169" i="3"/>
  <c r="F65" i="3"/>
  <c r="B65" i="3"/>
  <c r="F168" i="3"/>
  <c r="B168" i="3"/>
  <c r="F64" i="3"/>
  <c r="B64" i="3"/>
  <c r="F167" i="3"/>
  <c r="B167" i="3"/>
  <c r="F63" i="3"/>
  <c r="B63" i="3"/>
  <c r="F166" i="3"/>
  <c r="B166" i="3"/>
  <c r="F62" i="3"/>
  <c r="B62" i="3"/>
  <c r="F165" i="3"/>
  <c r="B165" i="3"/>
  <c r="F61" i="3"/>
  <c r="B61" i="3"/>
  <c r="F164" i="3"/>
  <c r="B164" i="3"/>
  <c r="F35" i="3"/>
  <c r="B35" i="3"/>
  <c r="F138" i="3"/>
  <c r="B138" i="3"/>
  <c r="F34" i="3"/>
  <c r="B34" i="3"/>
  <c r="F137" i="3"/>
  <c r="B137" i="3"/>
  <c r="F33" i="3"/>
  <c r="B33" i="3"/>
  <c r="F136" i="3"/>
  <c r="B136" i="3"/>
  <c r="F32" i="3"/>
  <c r="B32" i="3"/>
  <c r="F135" i="3"/>
  <c r="B135" i="3"/>
  <c r="F101" i="3"/>
  <c r="B101" i="3"/>
  <c r="F204" i="3"/>
  <c r="B204" i="3"/>
  <c r="F24" i="3"/>
  <c r="B24" i="3"/>
  <c r="F127" i="3"/>
  <c r="B127" i="3"/>
  <c r="F23" i="3"/>
  <c r="B23" i="3"/>
  <c r="F126" i="3"/>
  <c r="B126" i="3"/>
  <c r="F22" i="3"/>
  <c r="B22" i="3"/>
  <c r="F125" i="3"/>
  <c r="B125" i="3"/>
  <c r="F28" i="3"/>
  <c r="B28" i="3"/>
  <c r="F131" i="3"/>
  <c r="B131" i="3"/>
  <c r="F27" i="3"/>
  <c r="B27" i="3"/>
  <c r="F130" i="3"/>
  <c r="B130" i="3"/>
  <c r="F26" i="3"/>
  <c r="B26" i="3"/>
  <c r="F129" i="3"/>
  <c r="B129" i="3"/>
  <c r="F25" i="3"/>
  <c r="B25" i="3"/>
  <c r="F128" i="3"/>
  <c r="B128" i="3"/>
  <c r="F58" i="3"/>
  <c r="B58" i="3"/>
  <c r="F161" i="3"/>
  <c r="B161" i="3"/>
  <c r="F57" i="3"/>
  <c r="B57" i="3"/>
  <c r="F160" i="3"/>
  <c r="B160" i="3"/>
  <c r="F10" i="3"/>
  <c r="B10" i="3"/>
  <c r="F113" i="3"/>
  <c r="B113" i="3"/>
  <c r="F9" i="3"/>
  <c r="B9" i="3"/>
  <c r="F112" i="3"/>
  <c r="B112" i="3"/>
  <c r="F8" i="3"/>
  <c r="B8" i="3"/>
  <c r="F111" i="3"/>
  <c r="B111" i="3"/>
  <c r="F7" i="3"/>
  <c r="B7" i="3"/>
  <c r="F110" i="3"/>
  <c r="B110" i="3"/>
  <c r="F6" i="3"/>
  <c r="B6" i="3"/>
  <c r="F109" i="3"/>
  <c r="B109" i="3"/>
  <c r="F5" i="3"/>
  <c r="B5" i="3"/>
  <c r="F108" i="3"/>
  <c r="B108" i="3"/>
  <c r="F30" i="3"/>
  <c r="B30" i="3"/>
  <c r="F133" i="3"/>
  <c r="B133" i="3"/>
  <c r="F21" i="3"/>
  <c r="B21" i="3"/>
  <c r="F124" i="3"/>
  <c r="B124" i="3"/>
  <c r="F20" i="3"/>
  <c r="B20" i="3"/>
  <c r="F123" i="3"/>
  <c r="B123" i="3"/>
  <c r="F38" i="3"/>
  <c r="B38" i="3"/>
  <c r="F141" i="3"/>
  <c r="B141" i="3"/>
  <c r="F37" i="3"/>
  <c r="B37" i="3"/>
  <c r="F140" i="3"/>
  <c r="B140" i="3"/>
  <c r="B48" i="3"/>
  <c r="B151" i="3"/>
  <c r="F50" i="3"/>
  <c r="B50" i="3"/>
  <c r="F153" i="3"/>
  <c r="B153" i="3"/>
  <c r="F49" i="3"/>
  <c r="B49" i="3"/>
  <c r="F152" i="3"/>
  <c r="B152" i="3"/>
  <c r="F36" i="3"/>
  <c r="B36" i="3"/>
  <c r="F139" i="3"/>
  <c r="B139" i="3"/>
  <c r="F29" i="3"/>
  <c r="B29" i="3"/>
  <c r="F132" i="3"/>
  <c r="B132" i="3"/>
  <c r="F4" i="3"/>
  <c r="B4" i="3"/>
  <c r="F107" i="3"/>
  <c r="B107" i="3"/>
  <c r="F13" i="3"/>
  <c r="B13" i="3"/>
  <c r="F116" i="3"/>
  <c r="B116" i="3"/>
  <c r="F31" i="3"/>
  <c r="B31" i="3"/>
  <c r="F134" i="3"/>
  <c r="B134" i="3"/>
  <c r="F42" i="3"/>
  <c r="B42" i="3"/>
  <c r="F145" i="3"/>
  <c r="B145" i="3"/>
  <c r="F41" i="3"/>
  <c r="B41" i="3"/>
  <c r="F144" i="3"/>
  <c r="B144" i="3"/>
  <c r="F40" i="3"/>
  <c r="B40" i="3"/>
  <c r="F143" i="3"/>
  <c r="B143" i="3"/>
  <c r="F39" i="3"/>
  <c r="B39" i="3"/>
  <c r="F142" i="3"/>
  <c r="B142" i="3"/>
  <c r="F18" i="3"/>
  <c r="B18" i="3"/>
  <c r="F121" i="3"/>
  <c r="B121" i="3"/>
  <c r="F17" i="3"/>
  <c r="B17" i="3"/>
  <c r="F120" i="3"/>
  <c r="B120" i="3"/>
  <c r="V25" i="1"/>
  <c r="T16" i="1"/>
  <c r="AB17" i="39"/>
  <c r="AB14" i="1"/>
  <c r="V16" i="1"/>
  <c r="Z30" i="1"/>
  <c r="X11" i="1"/>
  <c r="V14" i="1"/>
  <c r="AB7" i="1"/>
  <c r="AB17" i="1"/>
  <c r="T29" i="1"/>
  <c r="Z21" i="39"/>
  <c r="X13" i="1"/>
  <c r="Z15" i="39"/>
  <c r="V7" i="1"/>
  <c r="V26" i="1"/>
  <c r="Z14" i="1"/>
  <c r="R26" i="1"/>
  <c r="X26" i="1"/>
  <c r="AB29" i="1"/>
  <c r="T18" i="1"/>
  <c r="AB25" i="1"/>
  <c r="Z28" i="1"/>
  <c r="AB24" i="1"/>
  <c r="AB27" i="1"/>
  <c r="Z17" i="1"/>
  <c r="V17" i="39"/>
  <c r="V15" i="39"/>
  <c r="AB13" i="1"/>
  <c r="X25" i="1"/>
  <c r="T15" i="1"/>
  <c r="AB21" i="1"/>
  <c r="AB15" i="39"/>
  <c r="T15" i="39"/>
  <c r="T24" i="1"/>
  <c r="AB19" i="1"/>
  <c r="V16" i="39"/>
  <c r="T21" i="39"/>
  <c r="V18" i="39"/>
  <c r="Z7" i="1"/>
  <c r="AB26" i="1"/>
  <c r="V17" i="1"/>
  <c r="T17" i="1"/>
  <c r="T19" i="1"/>
  <c r="AB30" i="1"/>
  <c r="AB16" i="1"/>
  <c r="V29" i="1"/>
  <c r="V15" i="1"/>
  <c r="AB18" i="1"/>
  <c r="V18" i="1"/>
  <c r="Z16" i="1"/>
  <c r="V21" i="39"/>
  <c r="AB16" i="39"/>
  <c r="T7" i="1"/>
  <c r="V30" i="1"/>
  <c r="T16" i="39"/>
  <c r="T17" i="39"/>
  <c r="T12" i="1"/>
  <c r="T14" i="1"/>
  <c r="R25" i="1"/>
  <c r="AB18" i="39"/>
  <c r="Z15" i="1"/>
  <c r="T20" i="1"/>
  <c r="T22" i="1"/>
  <c r="T21" i="1"/>
  <c r="AB20" i="1"/>
  <c r="AB8" i="1"/>
  <c r="Z24" i="1"/>
  <c r="Z18" i="1"/>
  <c r="Z22" i="1"/>
  <c r="Z21" i="1"/>
  <c r="Z27" i="1"/>
  <c r="V27" i="1"/>
  <c r="Z18" i="39"/>
  <c r="V24" i="1"/>
  <c r="Z20" i="1"/>
  <c r="AB28" i="1"/>
  <c r="T18" i="39"/>
  <c r="V8" i="1"/>
  <c r="R13" i="1"/>
  <c r="AB15" i="1"/>
  <c r="AB11" i="1"/>
  <c r="T27" i="1"/>
  <c r="V20" i="1"/>
  <c r="AB21" i="39"/>
  <c r="Z12" i="1"/>
  <c r="Z8" i="1"/>
  <c r="Z17" i="39"/>
  <c r="V13" i="1"/>
  <c r="Z16" i="39"/>
  <c r="O421" i="15" l="1"/>
  <c r="N18" i="39"/>
  <c r="AC18" i="39"/>
  <c r="Q18" i="39"/>
  <c r="P18" i="39"/>
  <c r="W18" i="39"/>
  <c r="N21" i="39"/>
  <c r="Q21" i="39"/>
  <c r="W21" i="39"/>
  <c r="P21" i="39"/>
  <c r="AC21" i="39"/>
  <c r="N15" i="39"/>
  <c r="AC15" i="39"/>
  <c r="P15" i="39"/>
  <c r="W15" i="39"/>
  <c r="Q15" i="39"/>
  <c r="N16" i="39"/>
  <c r="W16" i="39"/>
  <c r="P16" i="39"/>
  <c r="Q16" i="39"/>
  <c r="AC16" i="39"/>
  <c r="AC17" i="39"/>
  <c r="P17" i="39"/>
  <c r="W17" i="39"/>
  <c r="Q17" i="39"/>
  <c r="N17" i="39"/>
  <c r="X123" i="15"/>
  <c r="X119" i="15"/>
  <c r="X166" i="15"/>
  <c r="X162" i="15"/>
  <c r="X158" i="15"/>
  <c r="X146" i="15"/>
  <c r="X142" i="15"/>
  <c r="X138" i="15"/>
  <c r="X134" i="15"/>
  <c r="X136" i="15"/>
  <c r="X122" i="15"/>
  <c r="X165" i="15"/>
  <c r="X161" i="15"/>
  <c r="X153" i="15"/>
  <c r="X145" i="15"/>
  <c r="X141" i="15"/>
  <c r="X137" i="15"/>
  <c r="X129" i="15"/>
  <c r="X121" i="15"/>
  <c r="X164" i="15"/>
  <c r="X160" i="15"/>
  <c r="X148" i="15"/>
  <c r="X144" i="15"/>
  <c r="X140" i="15"/>
  <c r="X124" i="15"/>
  <c r="X120" i="15"/>
  <c r="X163" i="15"/>
  <c r="X159" i="15"/>
  <c r="X147" i="15"/>
  <c r="X143" i="15"/>
  <c r="X139" i="15"/>
  <c r="X135" i="15"/>
  <c r="AD26" i="1"/>
  <c r="AD13" i="1"/>
  <c r="AD25" i="1"/>
  <c r="E6" i="16"/>
  <c r="E10" i="16"/>
  <c r="H2" i="9"/>
  <c r="R54" i="25"/>
  <c r="R60" i="11"/>
  <c r="J41" i="11" s="1"/>
  <c r="AC29" i="1"/>
  <c r="AC28" i="1"/>
  <c r="AC30" i="1"/>
  <c r="R68" i="11"/>
  <c r="R59" i="11"/>
  <c r="L41" i="11" s="1"/>
  <c r="N64" i="7"/>
  <c r="L107" i="14"/>
  <c r="L106" i="14"/>
  <c r="R65" i="25"/>
  <c r="R61" i="11"/>
  <c r="K41" i="11" s="1"/>
  <c r="L108" i="14"/>
  <c r="R66" i="11"/>
  <c r="L65" i="7"/>
  <c r="L66" i="7" s="1"/>
  <c r="L109" i="14"/>
  <c r="O64" i="7"/>
  <c r="L58" i="18"/>
  <c r="K45" i="18" s="1"/>
  <c r="Y63" i="7"/>
  <c r="R62" i="25"/>
  <c r="L105" i="14"/>
  <c r="R58" i="11"/>
  <c r="R67" i="11"/>
  <c r="R64" i="25"/>
  <c r="K58" i="18"/>
  <c r="K50" i="18" s="1"/>
  <c r="N146" i="14"/>
  <c r="L78" i="14"/>
  <c r="L79" i="14" s="1"/>
  <c r="J58" i="18"/>
  <c r="K41" i="18" s="1"/>
  <c r="Y41" i="7"/>
  <c r="N154" i="14"/>
  <c r="N76" i="14"/>
  <c r="L43" i="7"/>
  <c r="M43" i="7" s="1"/>
  <c r="K29" i="5"/>
  <c r="K32" i="5" s="1"/>
  <c r="U204" i="15"/>
  <c r="T203" i="15"/>
  <c r="H4" i="8"/>
  <c r="H2" i="8"/>
  <c r="I2" i="8"/>
  <c r="I2" i="7"/>
  <c r="I2" i="13"/>
  <c r="I2" i="11"/>
  <c r="H2" i="16"/>
  <c r="O17" i="1"/>
  <c r="N17" i="1"/>
  <c r="N14" i="1"/>
  <c r="AC16" i="1"/>
  <c r="AC15" i="1"/>
  <c r="K13" i="1"/>
  <c r="AE13" i="1" s="1"/>
  <c r="P15" i="1"/>
  <c r="W15" i="1"/>
  <c r="Q15" i="1"/>
  <c r="Q30" i="1"/>
  <c r="W30" i="1"/>
  <c r="P18" i="1"/>
  <c r="Q18" i="1"/>
  <c r="W18" i="1"/>
  <c r="AC18" i="1"/>
  <c r="N16" i="1"/>
  <c r="W17" i="1"/>
  <c r="P17" i="1"/>
  <c r="Q17" i="1"/>
  <c r="N18" i="1"/>
  <c r="O18" i="1"/>
  <c r="Q14" i="1"/>
  <c r="P14" i="1"/>
  <c r="W14" i="1"/>
  <c r="W16" i="1"/>
  <c r="P16" i="1"/>
  <c r="Q16" i="1"/>
  <c r="AC17" i="1"/>
  <c r="AC14" i="1"/>
  <c r="O27" i="1"/>
  <c r="N27" i="1"/>
  <c r="P24" i="1"/>
  <c r="W24" i="1"/>
  <c r="Q24" i="1"/>
  <c r="AC21" i="1"/>
  <c r="AC24" i="1"/>
  <c r="Q27" i="1"/>
  <c r="W27" i="1"/>
  <c r="P27" i="1"/>
  <c r="K25" i="1"/>
  <c r="AE25" i="1" s="1"/>
  <c r="N15" i="1"/>
  <c r="O15" i="1"/>
  <c r="N12" i="1"/>
  <c r="W13" i="1"/>
  <c r="Q13" i="1"/>
  <c r="P8" i="1"/>
  <c r="Q8" i="1"/>
  <c r="O7" i="1"/>
  <c r="N7" i="1"/>
  <c r="AC8" i="1"/>
  <c r="Q7" i="1"/>
  <c r="P25" i="1"/>
  <c r="W25" i="1"/>
  <c r="Q25" i="1"/>
  <c r="N20" i="1"/>
  <c r="O28" i="1"/>
  <c r="W29" i="1"/>
  <c r="Q29" i="1"/>
  <c r="P20" i="1"/>
  <c r="Q20" i="1"/>
  <c r="W20" i="1"/>
  <c r="N21" i="1"/>
  <c r="O21" i="1"/>
  <c r="N24" i="1"/>
  <c r="O24" i="1"/>
  <c r="N22" i="1"/>
  <c r="AC27" i="1"/>
  <c r="AC26" i="1"/>
  <c r="AC20" i="1"/>
  <c r="AC25" i="1"/>
  <c r="K26" i="1"/>
  <c r="AE26" i="1" s="1"/>
  <c r="P26" i="1"/>
  <c r="Q26" i="1"/>
  <c r="W26" i="1"/>
  <c r="I2" i="5"/>
  <c r="H2" i="5"/>
  <c r="H3" i="8"/>
  <c r="I3" i="8"/>
  <c r="I58" i="18"/>
  <c r="A13" i="27"/>
  <c r="R63" i="25"/>
  <c r="R55" i="25"/>
  <c r="L110" i="14"/>
  <c r="M78" i="14"/>
  <c r="L111" i="14"/>
  <c r="R56" i="25"/>
  <c r="J37" i="25" s="1"/>
  <c r="L112" i="14"/>
  <c r="K79" i="14"/>
  <c r="K80" i="14" s="1"/>
  <c r="L29" i="5"/>
  <c r="L32" i="5" s="1"/>
  <c r="R57" i="25"/>
  <c r="K37" i="25" s="1"/>
  <c r="J71" i="32"/>
  <c r="R69" i="11"/>
  <c r="M42" i="7"/>
  <c r="O42" i="7"/>
  <c r="L104" i="14"/>
  <c r="N77" i="14"/>
  <c r="H2" i="17"/>
  <c r="V202" i="15"/>
  <c r="U202" i="15"/>
  <c r="V204" i="15"/>
  <c r="T202" i="15"/>
  <c r="T204" i="15"/>
  <c r="V203" i="15"/>
  <c r="V28" i="1"/>
  <c r="R11" i="1"/>
  <c r="V21" i="1"/>
  <c r="V11" i="1"/>
  <c r="T8" i="1"/>
  <c r="T28" i="1"/>
  <c r="V19" i="1"/>
  <c r="Z19" i="1"/>
  <c r="Z29" i="1"/>
  <c r="T30" i="1"/>
  <c r="Q28" i="1" l="1"/>
  <c r="W28" i="1"/>
  <c r="P28" i="1"/>
  <c r="N28" i="1"/>
  <c r="X152" i="15"/>
  <c r="N407" i="15"/>
  <c r="X361" i="15" s="1"/>
  <c r="X131" i="15"/>
  <c r="O407" i="15"/>
  <c r="X364" i="15" s="1"/>
  <c r="X156" i="15"/>
  <c r="O408" i="15"/>
  <c r="X365" i="15" s="1"/>
  <c r="X127" i="15"/>
  <c r="M409" i="15"/>
  <c r="X360" i="15" s="1"/>
  <c r="L421" i="15"/>
  <c r="X150" i="15"/>
  <c r="M408" i="15"/>
  <c r="X359" i="15" s="1"/>
  <c r="X125" i="15"/>
  <c r="M407" i="15"/>
  <c r="X358" i="15" s="1"/>
  <c r="X130" i="15"/>
  <c r="N409" i="15"/>
  <c r="X363" i="15" s="1"/>
  <c r="X133" i="15"/>
  <c r="O409" i="15"/>
  <c r="X366" i="15" s="1"/>
  <c r="M421" i="15"/>
  <c r="R16" i="14"/>
  <c r="R13" i="14"/>
  <c r="R15" i="14"/>
  <c r="R12" i="14"/>
  <c r="R6" i="14"/>
  <c r="W6" i="14" s="1"/>
  <c r="K42" i="18"/>
  <c r="J105" i="18"/>
  <c r="K43" i="18"/>
  <c r="K48" i="18"/>
  <c r="M65" i="7"/>
  <c r="Y64" i="7"/>
  <c r="N44" i="11"/>
  <c r="X151" i="15"/>
  <c r="X132" i="15"/>
  <c r="X157" i="15"/>
  <c r="X126" i="15"/>
  <c r="X155" i="15"/>
  <c r="X154" i="15"/>
  <c r="X128" i="15"/>
  <c r="X149" i="15"/>
  <c r="AD11" i="1"/>
  <c r="K47" i="18"/>
  <c r="K46" i="18"/>
  <c r="J73" i="32"/>
  <c r="L80" i="14"/>
  <c r="U63" i="25"/>
  <c r="V65" i="25" s="1"/>
  <c r="N43" i="7"/>
  <c r="N45" i="11"/>
  <c r="N46" i="11" s="1"/>
  <c r="K49" i="18"/>
  <c r="M109" i="14"/>
  <c r="U59" i="11"/>
  <c r="U32" i="5"/>
  <c r="R7" i="5" s="1"/>
  <c r="J74" i="32"/>
  <c r="R9" i="14"/>
  <c r="M111" i="14"/>
  <c r="L287" i="15"/>
  <c r="O14" i="1"/>
  <c r="O16" i="1"/>
  <c r="O20" i="1"/>
  <c r="O29" i="1"/>
  <c r="O19" i="1"/>
  <c r="O8" i="1"/>
  <c r="J72" i="32"/>
  <c r="K72" i="32"/>
  <c r="U67" i="11"/>
  <c r="V67" i="11" s="1"/>
  <c r="N65" i="7"/>
  <c r="O65" i="7"/>
  <c r="J76" i="32"/>
  <c r="M110" i="14"/>
  <c r="N78" i="14"/>
  <c r="R7" i="14"/>
  <c r="R10" i="14"/>
  <c r="L44" i="7"/>
  <c r="O43" i="7"/>
  <c r="Y43" i="7" s="1"/>
  <c r="U31" i="5"/>
  <c r="Y42" i="7"/>
  <c r="AC13" i="1"/>
  <c r="P13" i="1"/>
  <c r="N8" i="1"/>
  <c r="P29" i="1"/>
  <c r="AC11" i="1"/>
  <c r="Q21" i="1"/>
  <c r="W21" i="1"/>
  <c r="P21" i="1"/>
  <c r="W19" i="1"/>
  <c r="Q19" i="1"/>
  <c r="P19" i="1"/>
  <c r="N19" i="1"/>
  <c r="AC7" i="1"/>
  <c r="P7" i="1"/>
  <c r="P30" i="1"/>
  <c r="O30" i="1"/>
  <c r="N30" i="1"/>
  <c r="N29" i="1"/>
  <c r="AC19" i="1"/>
  <c r="K11" i="1"/>
  <c r="AE11" i="1" s="1"/>
  <c r="Q11" i="1"/>
  <c r="P11" i="1"/>
  <c r="M108" i="14"/>
  <c r="K74" i="32"/>
  <c r="M105" i="14"/>
  <c r="L37" i="25"/>
  <c r="N41" i="25" s="1"/>
  <c r="U55" i="25"/>
  <c r="M79" i="14"/>
  <c r="N111" i="14" s="1"/>
  <c r="M106" i="14"/>
  <c r="A14" i="27"/>
  <c r="K51" i="18"/>
  <c r="K44" i="18"/>
  <c r="K40" i="18"/>
  <c r="M112" i="14"/>
  <c r="J75" i="32"/>
  <c r="K75" i="32"/>
  <c r="M104" i="14"/>
  <c r="M107" i="14"/>
  <c r="N66" i="7"/>
  <c r="L67" i="7"/>
  <c r="O66" i="7"/>
  <c r="M66" i="7"/>
  <c r="L114" i="14"/>
  <c r="K4" i="32" l="1"/>
  <c r="K4" i="49"/>
  <c r="W15" i="14"/>
  <c r="K15" i="49"/>
  <c r="W13" i="14"/>
  <c r="J16" i="49"/>
  <c r="W16" i="14"/>
  <c r="K16" i="49"/>
  <c r="W12" i="14"/>
  <c r="J15" i="49"/>
  <c r="K12" i="32"/>
  <c r="R11" i="11"/>
  <c r="R10" i="11"/>
  <c r="R9" i="11"/>
  <c r="R12" i="11"/>
  <c r="K421" i="15"/>
  <c r="Q421" i="15" s="1"/>
  <c r="V63" i="25"/>
  <c r="L51" i="18"/>
  <c r="M51" i="18" s="1"/>
  <c r="R16" i="11"/>
  <c r="J42" i="49" s="1"/>
  <c r="R15" i="11"/>
  <c r="J43" i="49" s="1"/>
  <c r="R18" i="11"/>
  <c r="K42" i="49" s="1"/>
  <c r="R17" i="11"/>
  <c r="K43" i="49" s="1"/>
  <c r="K40" i="32"/>
  <c r="R9" i="5"/>
  <c r="R8" i="5"/>
  <c r="J106" i="18"/>
  <c r="J107" i="18" s="1"/>
  <c r="L47" i="18"/>
  <c r="M47" i="18" s="1"/>
  <c r="L43" i="18"/>
  <c r="K219" i="15"/>
  <c r="W9" i="14"/>
  <c r="J12" i="32"/>
  <c r="W10" i="14"/>
  <c r="J13" i="32"/>
  <c r="W7" i="14"/>
  <c r="K13" i="32"/>
  <c r="K73" i="32"/>
  <c r="K76" i="32"/>
  <c r="L217" i="15"/>
  <c r="M217" i="15"/>
  <c r="L219" i="15"/>
  <c r="K217" i="15"/>
  <c r="M219" i="15"/>
  <c r="Q216" i="15"/>
  <c r="K80" i="15" s="1"/>
  <c r="K39" i="32"/>
  <c r="V61" i="11"/>
  <c r="V59" i="11"/>
  <c r="R6" i="5"/>
  <c r="J49" i="32"/>
  <c r="K49" i="32" s="1"/>
  <c r="V69" i="11"/>
  <c r="Y65" i="7"/>
  <c r="M80" i="14"/>
  <c r="O111" i="14" s="1"/>
  <c r="N79" i="14"/>
  <c r="O44" i="7"/>
  <c r="N44" i="7"/>
  <c r="L45" i="7"/>
  <c r="M44" i="7"/>
  <c r="N104" i="14"/>
  <c r="N109" i="14"/>
  <c r="N40" i="25"/>
  <c r="N42" i="25" s="1"/>
  <c r="N106" i="14"/>
  <c r="M114" i="14"/>
  <c r="N110" i="14"/>
  <c r="N107" i="14"/>
  <c r="N105" i="14"/>
  <c r="M67" i="7"/>
  <c r="L68" i="7"/>
  <c r="N67" i="7"/>
  <c r="O67" i="7"/>
  <c r="A15" i="27"/>
  <c r="V57" i="25"/>
  <c r="V55" i="25"/>
  <c r="N108" i="14"/>
  <c r="Y66" i="7"/>
  <c r="N112" i="14"/>
  <c r="J4" i="32" l="1"/>
  <c r="J4" i="49"/>
  <c r="M43" i="18"/>
  <c r="J40" i="32"/>
  <c r="J39" i="32"/>
  <c r="N80" i="14"/>
  <c r="R9" i="25"/>
  <c r="R8" i="25"/>
  <c r="R7" i="25"/>
  <c r="R6" i="25"/>
  <c r="K452" i="15"/>
  <c r="K305" i="15" s="1"/>
  <c r="O105" i="14"/>
  <c r="O104" i="14"/>
  <c r="R11" i="25"/>
  <c r="R10" i="25"/>
  <c r="R13" i="25"/>
  <c r="R12" i="25"/>
  <c r="P84" i="15"/>
  <c r="R84" i="15"/>
  <c r="S84" i="15"/>
  <c r="Q84" i="15"/>
  <c r="Q217" i="15"/>
  <c r="Q218" i="15" s="1"/>
  <c r="K81" i="15" s="1"/>
  <c r="O112" i="14"/>
  <c r="O106" i="14"/>
  <c r="O108" i="14"/>
  <c r="O107" i="14"/>
  <c r="Y44" i="7"/>
  <c r="Q219" i="15"/>
  <c r="O110" i="14"/>
  <c r="O109" i="14"/>
  <c r="N45" i="7"/>
  <c r="O45" i="7"/>
  <c r="L46" i="7"/>
  <c r="M45" i="7"/>
  <c r="N114" i="14"/>
  <c r="R14" i="14" s="1"/>
  <c r="K17" i="49" s="1"/>
  <c r="R12" i="18"/>
  <c r="R6" i="18"/>
  <c r="R15" i="18"/>
  <c r="R9" i="18"/>
  <c r="R10" i="18"/>
  <c r="R13" i="18"/>
  <c r="R16" i="18"/>
  <c r="R7" i="18"/>
  <c r="A16" i="27"/>
  <c r="L69" i="7"/>
  <c r="M68" i="7"/>
  <c r="N68" i="7"/>
  <c r="O68" i="7"/>
  <c r="Y67" i="7"/>
  <c r="R17" i="18" l="1"/>
  <c r="T26" i="18"/>
  <c r="R14" i="18"/>
  <c r="S309" i="15"/>
  <c r="Q309" i="15"/>
  <c r="R309" i="15"/>
  <c r="N309" i="15"/>
  <c r="P309" i="15"/>
  <c r="O309" i="15"/>
  <c r="L309" i="15"/>
  <c r="M309" i="15"/>
  <c r="R8" i="18"/>
  <c r="R11" i="18"/>
  <c r="R85" i="15"/>
  <c r="P85" i="15"/>
  <c r="S85" i="15"/>
  <c r="Q85" i="15"/>
  <c r="R8" i="14"/>
  <c r="J14" i="32" s="1"/>
  <c r="W14" i="14"/>
  <c r="U21" i="18"/>
  <c r="T21" i="18"/>
  <c r="T18" i="18"/>
  <c r="U18" i="18"/>
  <c r="Q220" i="15"/>
  <c r="K82" i="15" s="1"/>
  <c r="K252" i="15"/>
  <c r="K83" i="15" s="1"/>
  <c r="O114" i="14"/>
  <c r="Y45" i="7"/>
  <c r="M46" i="7"/>
  <c r="O46" i="7"/>
  <c r="L47" i="7"/>
  <c r="N46" i="7"/>
  <c r="M69" i="7"/>
  <c r="O69" i="7"/>
  <c r="L70" i="7"/>
  <c r="N69" i="7"/>
  <c r="A17" i="27"/>
  <c r="Y68" i="7"/>
  <c r="W8" i="14" l="1"/>
  <c r="U26" i="18"/>
  <c r="V26" i="18" s="1"/>
  <c r="R69" i="15"/>
  <c r="K21" i="49" s="1"/>
  <c r="R53" i="15"/>
  <c r="J21" i="49" s="1"/>
  <c r="R43" i="15"/>
  <c r="J29" i="49" s="1"/>
  <c r="R59" i="15"/>
  <c r="K29" i="49" s="1"/>
  <c r="R11" i="15"/>
  <c r="R37" i="15"/>
  <c r="R27" i="15"/>
  <c r="R21" i="15"/>
  <c r="R11" i="14"/>
  <c r="R87" i="15"/>
  <c r="R63" i="15" s="1"/>
  <c r="K25" i="49" s="1"/>
  <c r="P87" i="15"/>
  <c r="R47" i="15" s="1"/>
  <c r="J25" i="49" s="1"/>
  <c r="S87" i="15"/>
  <c r="R67" i="15" s="1"/>
  <c r="K33" i="49" s="1"/>
  <c r="Q87" i="15"/>
  <c r="R51" i="15" s="1"/>
  <c r="J33" i="49" s="1"/>
  <c r="J18" i="32"/>
  <c r="S86" i="15"/>
  <c r="Q86" i="15"/>
  <c r="R86" i="15"/>
  <c r="P86" i="15"/>
  <c r="V21" i="18"/>
  <c r="V18" i="18"/>
  <c r="R5" i="14"/>
  <c r="Y46" i="7"/>
  <c r="N47" i="7"/>
  <c r="M47" i="7"/>
  <c r="O47" i="7"/>
  <c r="L48" i="7"/>
  <c r="A18" i="27"/>
  <c r="Y69" i="7"/>
  <c r="N70" i="7"/>
  <c r="O70" i="7"/>
  <c r="L71" i="7"/>
  <c r="M70" i="7"/>
  <c r="W11" i="14" l="1"/>
  <c r="J17" i="49"/>
  <c r="K18" i="32"/>
  <c r="J26" i="32"/>
  <c r="K26" i="32"/>
  <c r="W5" i="14"/>
  <c r="K14" i="32"/>
  <c r="Y47" i="7"/>
  <c r="M288" i="15"/>
  <c r="M287" i="15"/>
  <c r="N48" i="7"/>
  <c r="O48" i="7"/>
  <c r="L49" i="7"/>
  <c r="M48" i="7"/>
  <c r="Y70" i="7"/>
  <c r="L72" i="7"/>
  <c r="M71" i="7"/>
  <c r="N71" i="7"/>
  <c r="O71" i="7"/>
  <c r="A19" i="27"/>
  <c r="T266" i="15" l="1"/>
  <c r="L84" i="15" s="1"/>
  <c r="Y48" i="7"/>
  <c r="U266" i="15"/>
  <c r="M86" i="15" s="1"/>
  <c r="T267" i="15"/>
  <c r="N86" i="15" s="1"/>
  <c r="U267" i="15"/>
  <c r="L50" i="7"/>
  <c r="N49" i="7"/>
  <c r="O49" i="7"/>
  <c r="M49" i="7"/>
  <c r="A20" i="27"/>
  <c r="Y71" i="7"/>
  <c r="O72" i="7"/>
  <c r="N72" i="7"/>
  <c r="L73" i="7"/>
  <c r="M72" i="7"/>
  <c r="L85" i="15" l="1"/>
  <c r="Y49" i="7"/>
  <c r="O84" i="15"/>
  <c r="O85" i="15"/>
  <c r="O87" i="15"/>
  <c r="R19" i="15" s="1"/>
  <c r="O86" i="15"/>
  <c r="M85" i="15"/>
  <c r="M84" i="15"/>
  <c r="M87" i="15"/>
  <c r="R35" i="15" s="1"/>
  <c r="N84" i="15"/>
  <c r="N85" i="15"/>
  <c r="N87" i="15"/>
  <c r="R15" i="15" s="1"/>
  <c r="L87" i="15"/>
  <c r="R31" i="15" s="1"/>
  <c r="L86" i="15"/>
  <c r="L51" i="7"/>
  <c r="M50" i="7"/>
  <c r="O50" i="7"/>
  <c r="N50" i="7"/>
  <c r="Y72" i="7"/>
  <c r="L74" i="7"/>
  <c r="M73" i="7"/>
  <c r="N73" i="7"/>
  <c r="O73" i="7"/>
  <c r="A21" i="27"/>
  <c r="Q328" i="15" l="1"/>
  <c r="Q331" i="15" s="1"/>
  <c r="K303" i="15" s="1"/>
  <c r="Y73" i="7"/>
  <c r="K22" i="32"/>
  <c r="K30" i="32"/>
  <c r="J22" i="32"/>
  <c r="J30" i="32"/>
  <c r="M51" i="7"/>
  <c r="N51" i="7"/>
  <c r="O51" i="7"/>
  <c r="L52" i="7"/>
  <c r="Y50" i="7"/>
  <c r="A22" i="27"/>
  <c r="L75" i="7"/>
  <c r="O74" i="7"/>
  <c r="M74" i="7"/>
  <c r="N74" i="7"/>
  <c r="R8" i="15" l="1"/>
  <c r="R41" i="15"/>
  <c r="J27" i="49" s="1"/>
  <c r="R57" i="15"/>
  <c r="K27" i="49" s="1"/>
  <c r="R56" i="15"/>
  <c r="K19" i="49" s="1"/>
  <c r="R40" i="15"/>
  <c r="J19" i="49" s="1"/>
  <c r="R24" i="15"/>
  <c r="R9" i="15"/>
  <c r="R25" i="15"/>
  <c r="Q307" i="15"/>
  <c r="R49" i="15" s="1"/>
  <c r="J31" i="49" s="1"/>
  <c r="S307" i="15"/>
  <c r="R65" i="15" s="1"/>
  <c r="K31" i="49" s="1"/>
  <c r="O307" i="15"/>
  <c r="R17" i="15" s="1"/>
  <c r="N307" i="15"/>
  <c r="R13" i="15" s="1"/>
  <c r="P307" i="15"/>
  <c r="R45" i="15" s="1"/>
  <c r="J23" i="49" s="1"/>
  <c r="R307" i="15"/>
  <c r="R61" i="15" s="1"/>
  <c r="K23" i="49" s="1"/>
  <c r="M307" i="15"/>
  <c r="R33" i="15" s="1"/>
  <c r="L307" i="15"/>
  <c r="R29" i="15" s="1"/>
  <c r="P328" i="15"/>
  <c r="P331" i="15" s="1"/>
  <c r="Y51" i="7"/>
  <c r="N52" i="7"/>
  <c r="L53" i="7"/>
  <c r="M52" i="7"/>
  <c r="O52" i="7"/>
  <c r="Y74" i="7"/>
  <c r="A23" i="27"/>
  <c r="L76" i="7"/>
  <c r="N75" i="7"/>
  <c r="O75" i="7"/>
  <c r="M75" i="7"/>
  <c r="J20" i="32" l="1"/>
  <c r="J24" i="32"/>
  <c r="J28" i="32"/>
  <c r="J16" i="32"/>
  <c r="K24" i="32"/>
  <c r="K20" i="32"/>
  <c r="K28" i="32"/>
  <c r="K16" i="32"/>
  <c r="K302" i="15"/>
  <c r="Q422" i="15"/>
  <c r="K304" i="15" s="1"/>
  <c r="Y52" i="7"/>
  <c r="Y75" i="7"/>
  <c r="L54" i="7"/>
  <c r="O53" i="7"/>
  <c r="N53" i="7"/>
  <c r="M53" i="7"/>
  <c r="L77" i="7"/>
  <c r="M76" i="7"/>
  <c r="N76" i="7"/>
  <c r="O76" i="7"/>
  <c r="A24" i="27"/>
  <c r="R52" i="15" l="1"/>
  <c r="J20" i="49" s="1"/>
  <c r="R10" i="15"/>
  <c r="R42" i="15"/>
  <c r="J28" i="49" s="1"/>
  <c r="R58" i="15"/>
  <c r="K28" i="49" s="1"/>
  <c r="R68" i="15"/>
  <c r="K20" i="49" s="1"/>
  <c r="R26" i="15"/>
  <c r="R36" i="15"/>
  <c r="R20" i="15"/>
  <c r="R38" i="15"/>
  <c r="J18" i="49" s="1"/>
  <c r="R54" i="15"/>
  <c r="K18" i="49" s="1"/>
  <c r="R39" i="15"/>
  <c r="J26" i="49" s="1"/>
  <c r="R55" i="15"/>
  <c r="K26" i="49" s="1"/>
  <c r="R7" i="15"/>
  <c r="R23" i="15"/>
  <c r="R22" i="15"/>
  <c r="R6" i="15"/>
  <c r="Q306" i="15"/>
  <c r="R48" i="15" s="1"/>
  <c r="J30" i="49" s="1"/>
  <c r="S306" i="15"/>
  <c r="R64" i="15" s="1"/>
  <c r="K30" i="49" s="1"/>
  <c r="N306" i="15"/>
  <c r="R12" i="15" s="1"/>
  <c r="O306" i="15"/>
  <c r="R16" i="15" s="1"/>
  <c r="R306" i="15"/>
  <c r="R60" i="15" s="1"/>
  <c r="K22" i="49" s="1"/>
  <c r="P306" i="15"/>
  <c r="R44" i="15" s="1"/>
  <c r="J22" i="49" s="1"/>
  <c r="L306" i="15"/>
  <c r="R28" i="15" s="1"/>
  <c r="M306" i="15"/>
  <c r="R32" i="15" s="1"/>
  <c r="Q308" i="15"/>
  <c r="R50" i="15" s="1"/>
  <c r="J32" i="49" s="1"/>
  <c r="S308" i="15"/>
  <c r="R66" i="15" s="1"/>
  <c r="K32" i="49" s="1"/>
  <c r="O308" i="15"/>
  <c r="R18" i="15" s="1"/>
  <c r="R308" i="15"/>
  <c r="R62" i="15" s="1"/>
  <c r="K24" i="49" s="1"/>
  <c r="N308" i="15"/>
  <c r="R14" i="15" s="1"/>
  <c r="P308" i="15"/>
  <c r="R46" i="15" s="1"/>
  <c r="J24" i="49" s="1"/>
  <c r="M308" i="15"/>
  <c r="R34" i="15" s="1"/>
  <c r="L308" i="15"/>
  <c r="R30" i="15" s="1"/>
  <c r="Y53" i="7"/>
  <c r="L55" i="7"/>
  <c r="O54" i="7"/>
  <c r="M54" i="7"/>
  <c r="N54" i="7"/>
  <c r="A25" i="27"/>
  <c r="Y76" i="7"/>
  <c r="M77" i="7"/>
  <c r="O77" i="7"/>
  <c r="N77" i="7"/>
  <c r="L78" i="7"/>
  <c r="K29" i="32" l="1"/>
  <c r="K25" i="32"/>
  <c r="J21" i="32"/>
  <c r="J27" i="32"/>
  <c r="K15" i="32"/>
  <c r="K17" i="32"/>
  <c r="J19" i="32"/>
  <c r="J17" i="32"/>
  <c r="K21" i="32"/>
  <c r="J29" i="32"/>
  <c r="J23" i="32"/>
  <c r="J25" i="32"/>
  <c r="K23" i="32"/>
  <c r="K27" i="32"/>
  <c r="K19" i="32"/>
  <c r="J15" i="32"/>
  <c r="P15" i="32"/>
  <c r="Y54" i="7"/>
  <c r="N55" i="7"/>
  <c r="M55" i="7"/>
  <c r="L56" i="7"/>
  <c r="O55" i="7"/>
  <c r="O78" i="7"/>
  <c r="L79" i="7"/>
  <c r="M78" i="7"/>
  <c r="N78" i="7"/>
  <c r="Y77" i="7"/>
  <c r="A26" i="27"/>
  <c r="Y55" i="7" l="1"/>
  <c r="N56" i="7"/>
  <c r="O56" i="7"/>
  <c r="M56" i="7"/>
  <c r="Y56" i="7" s="1"/>
  <c r="L57" i="7"/>
  <c r="Y78" i="7"/>
  <c r="L80" i="7"/>
  <c r="M79" i="7"/>
  <c r="N79" i="7"/>
  <c r="O79" i="7"/>
  <c r="A27" i="27"/>
  <c r="N57" i="7" l="1"/>
  <c r="L58" i="7"/>
  <c r="M57" i="7"/>
  <c r="O57" i="7"/>
  <c r="A28" i="27"/>
  <c r="Y79" i="7"/>
  <c r="M80" i="7"/>
  <c r="O80" i="7"/>
  <c r="N80" i="7"/>
  <c r="Y57" i="7" l="1"/>
  <c r="M58" i="7"/>
  <c r="N58" i="7"/>
  <c r="O58" i="7"/>
  <c r="Y80" i="7"/>
  <c r="J29" i="7" l="1"/>
  <c r="M29" i="7" s="1"/>
  <c r="M34" i="7" s="1"/>
  <c r="Y58" i="7"/>
  <c r="J27" i="7" s="1"/>
  <c r="M27" i="7" s="1"/>
  <c r="R13" i="7" l="1"/>
  <c r="R11" i="7"/>
  <c r="R9" i="7"/>
  <c r="R7" i="7"/>
  <c r="J28" i="7"/>
  <c r="M28" i="7" s="1"/>
  <c r="M32" i="7" s="1"/>
  <c r="J9" i="32" l="1"/>
  <c r="J12" i="49"/>
  <c r="K9" i="32"/>
  <c r="K12" i="49"/>
  <c r="R12" i="7"/>
  <c r="R10" i="7"/>
  <c r="R8" i="7"/>
  <c r="R6" i="7"/>
  <c r="J10" i="32"/>
  <c r="K10" i="32" s="1"/>
  <c r="J8" i="32" l="1"/>
  <c r="J11" i="49"/>
  <c r="K8" i="32"/>
  <c r="K11" i="49"/>
  <c r="R188" i="3"/>
  <c r="S188" i="3"/>
  <c r="R39" i="3"/>
  <c r="S39" i="3"/>
  <c r="T8" i="8"/>
  <c r="U8" i="8"/>
  <c r="R106" i="3"/>
  <c r="S106" i="3"/>
  <c r="R171" i="3"/>
  <c r="S171" i="3"/>
  <c r="R88" i="3"/>
  <c r="S88" i="3"/>
  <c r="R51" i="3"/>
  <c r="S51" i="3"/>
  <c r="R206" i="3"/>
  <c r="S206" i="3"/>
  <c r="R79" i="3"/>
  <c r="S79" i="3"/>
  <c r="R191" i="3"/>
  <c r="S191" i="3"/>
  <c r="S104" i="3"/>
  <c r="R104" i="3"/>
  <c r="R77" i="3"/>
  <c r="S77" i="3"/>
  <c r="R64" i="3"/>
  <c r="S64" i="3"/>
  <c r="R178" i="3"/>
  <c r="S178" i="3"/>
  <c r="R65" i="3"/>
  <c r="S65" i="3"/>
  <c r="R14" i="3"/>
  <c r="S14" i="3"/>
  <c r="R134" i="3"/>
  <c r="S134" i="3"/>
  <c r="R119" i="3"/>
  <c r="S119" i="3"/>
  <c r="R53" i="3"/>
  <c r="S53" i="3"/>
  <c r="S36" i="3"/>
  <c r="R36" i="3"/>
  <c r="R154" i="3"/>
  <c r="S154" i="3"/>
  <c r="R38" i="3"/>
  <c r="S38" i="3"/>
  <c r="R155" i="3"/>
  <c r="S155" i="3"/>
  <c r="R57" i="3"/>
  <c r="S57" i="3"/>
  <c r="R172" i="3"/>
  <c r="S172" i="3"/>
  <c r="R109" i="3"/>
  <c r="S109" i="3"/>
  <c r="R102" i="3"/>
  <c r="S102" i="3"/>
  <c r="S33" i="3"/>
  <c r="R33" i="3"/>
  <c r="R144" i="3"/>
  <c r="S144" i="3"/>
  <c r="R162" i="3"/>
  <c r="S162" i="3"/>
  <c r="R132" i="3"/>
  <c r="S132" i="3"/>
  <c r="R137" i="3"/>
  <c r="S137" i="3"/>
  <c r="R193" i="3"/>
  <c r="S193" i="3"/>
  <c r="R111" i="3"/>
  <c r="S111" i="3"/>
  <c r="R156" i="3"/>
  <c r="S156" i="3"/>
  <c r="R31" i="3"/>
  <c r="S31" i="3"/>
  <c r="R149" i="3"/>
  <c r="S149" i="3"/>
  <c r="R23" i="3"/>
  <c r="S23" i="3"/>
  <c r="R17" i="3"/>
  <c r="S17" i="3"/>
  <c r="R185" i="3"/>
  <c r="S185" i="3"/>
  <c r="R179" i="3"/>
  <c r="S179" i="3"/>
  <c r="R84" i="3"/>
  <c r="S84" i="3"/>
  <c r="R196" i="3"/>
  <c r="S196" i="3"/>
  <c r="R76" i="3"/>
  <c r="S76" i="3"/>
  <c r="R167" i="3"/>
  <c r="S167" i="3"/>
  <c r="R80" i="3"/>
  <c r="S80" i="3"/>
  <c r="R192" i="3"/>
  <c r="S192" i="3"/>
  <c r="R177" i="3"/>
  <c r="S177" i="3"/>
  <c r="R90" i="3"/>
  <c r="S90" i="3"/>
  <c r="R28" i="3"/>
  <c r="S28" i="3"/>
  <c r="R147" i="3"/>
  <c r="S147" i="3"/>
  <c r="R48" i="3"/>
  <c r="S48" i="3"/>
  <c r="R161" i="3"/>
  <c r="S161" i="3"/>
  <c r="R138" i="3"/>
  <c r="S138" i="3"/>
  <c r="R67" i="3"/>
  <c r="S67" i="3"/>
  <c r="R29" i="3"/>
  <c r="S29" i="3"/>
  <c r="R164" i="3"/>
  <c r="S164" i="3"/>
  <c r="R115" i="3"/>
  <c r="S115" i="3"/>
  <c r="R73" i="3"/>
  <c r="S73" i="3"/>
  <c r="R186" i="3"/>
  <c r="S186" i="3"/>
  <c r="R74" i="3"/>
  <c r="S74" i="3"/>
  <c r="R187" i="3"/>
  <c r="S187" i="3"/>
  <c r="R142" i="3"/>
  <c r="S142" i="3"/>
  <c r="R6" i="3"/>
  <c r="S6" i="3"/>
  <c r="R127" i="3"/>
  <c r="S127" i="3"/>
  <c r="R34" i="3"/>
  <c r="S34" i="3"/>
  <c r="R13" i="3"/>
  <c r="S13" i="3"/>
  <c r="R114" i="3"/>
  <c r="S114" i="3"/>
  <c r="S125" i="3"/>
  <c r="R125" i="3"/>
  <c r="R118" i="3"/>
  <c r="S118" i="3"/>
  <c r="R103" i="3"/>
  <c r="S103" i="3"/>
  <c r="R7" i="3"/>
  <c r="S7" i="3"/>
  <c r="R128" i="3"/>
  <c r="S128" i="3"/>
  <c r="R26" i="3"/>
  <c r="S26" i="3"/>
  <c r="R194" i="3"/>
  <c r="S194" i="3"/>
  <c r="R44" i="3"/>
  <c r="S44" i="3"/>
  <c r="R209" i="3"/>
  <c r="S209" i="3"/>
  <c r="R200" i="3"/>
  <c r="S200" i="3"/>
  <c r="R189" i="3"/>
  <c r="S189" i="3"/>
  <c r="R87" i="3"/>
  <c r="S87" i="3"/>
  <c r="R89" i="3"/>
  <c r="S89" i="3"/>
  <c r="R63" i="3"/>
  <c r="S63" i="3"/>
  <c r="S21" i="3"/>
  <c r="R21" i="3"/>
  <c r="R92" i="3"/>
  <c r="S92" i="3"/>
  <c r="R204" i="3"/>
  <c r="S204" i="3"/>
  <c r="R85" i="3"/>
  <c r="S85" i="3"/>
  <c r="S197" i="3"/>
  <c r="R197" i="3"/>
  <c r="R152" i="3"/>
  <c r="S152" i="3"/>
  <c r="S35" i="3"/>
  <c r="R35" i="3"/>
  <c r="R201" i="3"/>
  <c r="S201" i="3"/>
  <c r="R163" i="3"/>
  <c r="S163" i="3"/>
  <c r="S66" i="3"/>
  <c r="R66" i="3"/>
  <c r="R180" i="3"/>
  <c r="S180" i="3"/>
  <c r="R58" i="3"/>
  <c r="S58" i="3"/>
  <c r="S173" i="3"/>
  <c r="R173" i="3"/>
  <c r="S50" i="3"/>
  <c r="R50" i="3"/>
  <c r="R166" i="3"/>
  <c r="S166" i="3"/>
  <c r="R95" i="3"/>
  <c r="S95" i="3"/>
  <c r="R207" i="3"/>
  <c r="S207" i="3"/>
  <c r="R120" i="3"/>
  <c r="S120" i="3"/>
  <c r="R153" i="3"/>
  <c r="S153" i="3"/>
  <c r="R157" i="3"/>
  <c r="S157" i="3"/>
  <c r="R19" i="3"/>
  <c r="S19" i="3"/>
  <c r="S40" i="3"/>
  <c r="R40" i="3"/>
  <c r="S5" i="3"/>
  <c r="R5" i="3"/>
  <c r="R129" i="3"/>
  <c r="S129" i="3"/>
  <c r="R143" i="3"/>
  <c r="S143" i="3"/>
  <c r="R68" i="3"/>
  <c r="S68" i="3"/>
  <c r="R15" i="3"/>
  <c r="S15" i="3"/>
  <c r="R135" i="3"/>
  <c r="S135" i="3"/>
  <c r="R43" i="3"/>
  <c r="S43" i="3"/>
  <c r="R122" i="3"/>
  <c r="S122" i="3"/>
  <c r="R123" i="3"/>
  <c r="S123" i="3"/>
  <c r="R78" i="3"/>
  <c r="S78" i="3"/>
  <c r="R190" i="3"/>
  <c r="S190" i="3"/>
  <c r="S60" i="3"/>
  <c r="R60" i="3"/>
  <c r="R175" i="3"/>
  <c r="S175" i="3"/>
  <c r="R98" i="3"/>
  <c r="S98" i="3"/>
  <c r="R4" i="3"/>
  <c r="S4" i="3"/>
  <c r="R99" i="3"/>
  <c r="S99" i="3"/>
  <c r="R116" i="3"/>
  <c r="S116" i="3"/>
  <c r="R49" i="3"/>
  <c r="S49" i="3"/>
  <c r="R165" i="3"/>
  <c r="S165" i="3"/>
  <c r="R41" i="3"/>
  <c r="S41" i="3"/>
  <c r="R158" i="3"/>
  <c r="S158" i="3"/>
  <c r="R94" i="3"/>
  <c r="S94" i="3"/>
  <c r="R83" i="3"/>
  <c r="S83" i="3"/>
  <c r="R61" i="3"/>
  <c r="S61" i="3"/>
  <c r="S146" i="3"/>
  <c r="R146" i="3"/>
  <c r="R145" i="3"/>
  <c r="S145" i="3"/>
  <c r="R54" i="3"/>
  <c r="S54" i="3"/>
  <c r="R52" i="3"/>
  <c r="S52" i="3"/>
  <c r="S126" i="3"/>
  <c r="R126" i="3"/>
  <c r="R100" i="3"/>
  <c r="S100" i="3"/>
  <c r="S93" i="3"/>
  <c r="R93" i="3"/>
  <c r="R205" i="3"/>
  <c r="S205" i="3"/>
  <c r="S160" i="3"/>
  <c r="R160" i="3"/>
  <c r="S105" i="3"/>
  <c r="R105" i="3"/>
  <c r="R8" i="3"/>
  <c r="S8" i="3"/>
  <c r="T16" i="23"/>
  <c r="U16" i="23"/>
  <c r="R20" i="3"/>
  <c r="S20" i="3"/>
  <c r="R140" i="3"/>
  <c r="S140" i="3"/>
  <c r="R12" i="3"/>
  <c r="S12" i="3"/>
  <c r="R133" i="3"/>
  <c r="S133" i="3"/>
  <c r="R16" i="3"/>
  <c r="S16" i="3"/>
  <c r="R136" i="3"/>
  <c r="S136" i="3"/>
  <c r="S97" i="3"/>
  <c r="R97" i="3"/>
  <c r="R72" i="3"/>
  <c r="S72" i="3"/>
  <c r="R45" i="3"/>
  <c r="S45" i="3"/>
  <c r="R27" i="3"/>
  <c r="S27" i="3"/>
  <c r="R202" i="3"/>
  <c r="S202" i="3"/>
  <c r="R91" i="3"/>
  <c r="S91" i="3"/>
  <c r="R203" i="3"/>
  <c r="S203" i="3"/>
  <c r="R108" i="3"/>
  <c r="S108" i="3"/>
  <c r="R82" i="3"/>
  <c r="S82" i="3"/>
  <c r="R139" i="3"/>
  <c r="S139" i="3"/>
  <c r="R25" i="3"/>
  <c r="S25" i="3"/>
  <c r="S101" i="3"/>
  <c r="R101" i="3"/>
  <c r="R24" i="3"/>
  <c r="S24" i="3"/>
  <c r="S112" i="3"/>
  <c r="R112" i="3"/>
  <c r="S182" i="3"/>
  <c r="R182" i="3"/>
  <c r="R9" i="3"/>
  <c r="S9" i="3"/>
  <c r="R130" i="3"/>
  <c r="S130" i="3"/>
  <c r="R10" i="3"/>
  <c r="S10" i="3"/>
  <c r="R131" i="3"/>
  <c r="S131" i="3"/>
  <c r="R86" i="3"/>
  <c r="S86" i="3"/>
  <c r="R198" i="3"/>
  <c r="S198" i="3"/>
  <c r="R70" i="3"/>
  <c r="S70" i="3"/>
  <c r="S183" i="3"/>
  <c r="R183" i="3"/>
  <c r="R69" i="3"/>
  <c r="S69" i="3"/>
  <c r="R55" i="3"/>
  <c r="S55" i="3"/>
  <c r="R170" i="3"/>
  <c r="S170" i="3"/>
  <c r="S56" i="3"/>
  <c r="R56" i="3"/>
  <c r="R181" i="3"/>
  <c r="S181" i="3"/>
  <c r="R59" i="3"/>
  <c r="S59" i="3"/>
  <c r="S174" i="3"/>
  <c r="R174" i="3"/>
  <c r="R42" i="3"/>
  <c r="S42" i="3"/>
  <c r="R159" i="3"/>
  <c r="S159" i="3"/>
  <c r="R71" i="3"/>
  <c r="S71" i="3"/>
  <c r="S184" i="3"/>
  <c r="R184" i="3"/>
  <c r="S113" i="3"/>
  <c r="R113" i="3"/>
  <c r="R37" i="3"/>
  <c r="S37" i="3"/>
  <c r="R18" i="3"/>
  <c r="S18" i="3"/>
  <c r="R75" i="3"/>
  <c r="S75" i="3"/>
  <c r="R195" i="3"/>
  <c r="S195" i="3"/>
  <c r="R11" i="3"/>
  <c r="S11" i="3"/>
  <c r="R46" i="3"/>
  <c r="S46" i="3"/>
  <c r="R32" i="3"/>
  <c r="S32" i="3"/>
  <c r="S199" i="3"/>
  <c r="R199" i="3"/>
  <c r="R168" i="3"/>
  <c r="S168" i="3"/>
  <c r="R169" i="3"/>
  <c r="S169" i="3"/>
  <c r="R81" i="3"/>
  <c r="S81" i="3"/>
  <c r="S30" i="3"/>
  <c r="R30" i="3"/>
  <c r="S148" i="3"/>
  <c r="R148" i="3"/>
  <c r="R22" i="3"/>
  <c r="S22" i="3"/>
  <c r="R141" i="3"/>
  <c r="S141" i="3"/>
  <c r="S96" i="3"/>
  <c r="R96" i="3"/>
  <c r="R208" i="3"/>
  <c r="S208" i="3"/>
  <c r="R121" i="3"/>
  <c r="S121" i="3"/>
  <c r="R107" i="3"/>
  <c r="S107" i="3"/>
  <c r="R124" i="3"/>
  <c r="S124" i="3"/>
  <c r="R117" i="3"/>
  <c r="S117" i="3"/>
  <c r="R110" i="3"/>
  <c r="S110" i="3"/>
  <c r="R151" i="3"/>
  <c r="S151" i="3"/>
  <c r="R62" i="3"/>
  <c r="S62" i="3"/>
  <c r="R176" i="3"/>
  <c r="S176" i="3"/>
  <c r="T178" i="3" l="1"/>
  <c r="T113" i="3"/>
  <c r="T183" i="3"/>
  <c r="T33" i="3"/>
  <c r="T39" i="3"/>
  <c r="T148" i="3"/>
  <c r="T182" i="3"/>
  <c r="T76" i="3"/>
  <c r="T196" i="3"/>
  <c r="T201" i="3"/>
  <c r="T40" i="3"/>
  <c r="T50" i="3"/>
  <c r="T66" i="3"/>
  <c r="T162" i="3"/>
  <c r="T199" i="3"/>
  <c r="T184" i="3"/>
  <c r="T174" i="3"/>
  <c r="T61" i="3"/>
  <c r="T133" i="3"/>
  <c r="T75" i="3"/>
  <c r="T101" i="3"/>
  <c r="T104" i="3"/>
  <c r="T97" i="3"/>
  <c r="T126" i="3"/>
  <c r="T146" i="3"/>
  <c r="T125" i="3"/>
  <c r="T105" i="3"/>
  <c r="T169" i="3"/>
  <c r="T195" i="3"/>
  <c r="T71" i="3"/>
  <c r="T55" i="3"/>
  <c r="T10" i="3"/>
  <c r="T108" i="3"/>
  <c r="T99" i="3"/>
  <c r="T186" i="3"/>
  <c r="T164" i="3"/>
  <c r="T90" i="3"/>
  <c r="T109" i="3"/>
  <c r="T88" i="3"/>
  <c r="T30" i="3"/>
  <c r="T59" i="3"/>
  <c r="T70" i="3"/>
  <c r="T27" i="3"/>
  <c r="T143" i="3"/>
  <c r="T180" i="3"/>
  <c r="T194" i="3"/>
  <c r="T6" i="3"/>
  <c r="T38" i="3"/>
  <c r="T79" i="3"/>
  <c r="V8" i="8"/>
  <c r="T163" i="3"/>
  <c r="T151" i="3"/>
  <c r="T117" i="3"/>
  <c r="T107" i="3"/>
  <c r="T208" i="3"/>
  <c r="T81" i="3"/>
  <c r="T11" i="3"/>
  <c r="T37" i="3"/>
  <c r="T170" i="3"/>
  <c r="T131" i="3"/>
  <c r="T82" i="3"/>
  <c r="T202" i="3"/>
  <c r="T16" i="3"/>
  <c r="T20" i="3"/>
  <c r="T54" i="3"/>
  <c r="T41" i="3"/>
  <c r="T60" i="3"/>
  <c r="T43" i="3"/>
  <c r="T68" i="3"/>
  <c r="T157" i="3"/>
  <c r="T95" i="3"/>
  <c r="T58" i="3"/>
  <c r="T152" i="3"/>
  <c r="T92" i="3"/>
  <c r="T63" i="3"/>
  <c r="T44" i="3"/>
  <c r="T128" i="3"/>
  <c r="T118" i="3"/>
  <c r="T114" i="3"/>
  <c r="T127" i="3"/>
  <c r="T74" i="3"/>
  <c r="T115" i="3"/>
  <c r="T161" i="3"/>
  <c r="T28" i="3"/>
  <c r="T80" i="3"/>
  <c r="T84" i="3"/>
  <c r="T185" i="3"/>
  <c r="T31" i="3"/>
  <c r="T137" i="3"/>
  <c r="T155" i="3"/>
  <c r="T53" i="3"/>
  <c r="T191" i="3"/>
  <c r="T106" i="3"/>
  <c r="T96" i="3"/>
  <c r="T112" i="3"/>
  <c r="T160" i="3"/>
  <c r="T5" i="3"/>
  <c r="T197" i="3"/>
  <c r="T21" i="3"/>
  <c r="T64" i="3"/>
  <c r="T72" i="3"/>
  <c r="T100" i="3"/>
  <c r="T145" i="3"/>
  <c r="T83" i="3"/>
  <c r="T165" i="3"/>
  <c r="T190" i="3"/>
  <c r="T122" i="3"/>
  <c r="T135" i="3"/>
  <c r="T153" i="3"/>
  <c r="T166" i="3"/>
  <c r="T89" i="3"/>
  <c r="T189" i="3"/>
  <c r="T7" i="3"/>
  <c r="T167" i="3"/>
  <c r="T179" i="3"/>
  <c r="T17" i="3"/>
  <c r="T156" i="3"/>
  <c r="T144" i="3"/>
  <c r="T134" i="3"/>
  <c r="T176" i="3"/>
  <c r="T110" i="3"/>
  <c r="T124" i="3"/>
  <c r="T141" i="3"/>
  <c r="T32" i="3"/>
  <c r="T159" i="3"/>
  <c r="T181" i="3"/>
  <c r="T69" i="3"/>
  <c r="T198" i="3"/>
  <c r="T130" i="3"/>
  <c r="T24" i="3"/>
  <c r="T25" i="3"/>
  <c r="T203" i="3"/>
  <c r="T45" i="3"/>
  <c r="T12" i="3"/>
  <c r="V16" i="23"/>
  <c r="T205" i="3"/>
  <c r="T94" i="3"/>
  <c r="T49" i="3"/>
  <c r="T4" i="3"/>
  <c r="T78" i="3"/>
  <c r="T15" i="3"/>
  <c r="T120" i="3"/>
  <c r="T85" i="3"/>
  <c r="T200" i="3"/>
  <c r="T103" i="3"/>
  <c r="T13" i="3"/>
  <c r="T142" i="3"/>
  <c r="T73" i="3"/>
  <c r="T29" i="3"/>
  <c r="T48" i="3"/>
  <c r="T177" i="3"/>
  <c r="T23" i="3"/>
  <c r="T111" i="3"/>
  <c r="T132" i="3"/>
  <c r="T172" i="3"/>
  <c r="T154" i="3"/>
  <c r="T14" i="3"/>
  <c r="T77" i="3"/>
  <c r="T206" i="3"/>
  <c r="T56" i="3"/>
  <c r="T173" i="3"/>
  <c r="T35" i="3"/>
  <c r="T36" i="3"/>
  <c r="T62" i="3"/>
  <c r="T121" i="3"/>
  <c r="T22" i="3"/>
  <c r="T168" i="3"/>
  <c r="T46" i="3"/>
  <c r="T18" i="3"/>
  <c r="T42" i="3"/>
  <c r="T86" i="3"/>
  <c r="T9" i="3"/>
  <c r="T139" i="3"/>
  <c r="T91" i="3"/>
  <c r="T136" i="3"/>
  <c r="T140" i="3"/>
  <c r="T8" i="3"/>
  <c r="T93" i="3"/>
  <c r="T52" i="3"/>
  <c r="T158" i="3"/>
  <c r="T116" i="3"/>
  <c r="T98" i="3"/>
  <c r="T175" i="3"/>
  <c r="T123" i="3"/>
  <c r="T129" i="3"/>
  <c r="T19" i="3"/>
  <c r="T207" i="3"/>
  <c r="T204" i="3"/>
  <c r="T87" i="3"/>
  <c r="T209" i="3"/>
  <c r="T26" i="3"/>
  <c r="T34" i="3"/>
  <c r="T187" i="3"/>
  <c r="T67" i="3"/>
  <c r="T138" i="3"/>
  <c r="T147" i="3"/>
  <c r="T192" i="3"/>
  <c r="T149" i="3"/>
  <c r="T193" i="3"/>
  <c r="T102" i="3"/>
  <c r="T57" i="3"/>
  <c r="T119" i="3"/>
  <c r="T65" i="3"/>
  <c r="T51" i="3"/>
  <c r="T171" i="3"/>
  <c r="T188" i="3"/>
  <c r="T14" i="18" l="1"/>
  <c r="U14" i="18"/>
  <c r="T11" i="20"/>
  <c r="U11" i="20"/>
  <c r="T6" i="18"/>
  <c r="U6" i="18"/>
  <c r="T17" i="18"/>
  <c r="U17" i="18"/>
  <c r="T9" i="20"/>
  <c r="U9" i="20"/>
  <c r="U13" i="20"/>
  <c r="T13" i="20"/>
  <c r="V11" i="20" l="1"/>
  <c r="V13" i="20"/>
  <c r="V9" i="20"/>
  <c r="V17" i="18"/>
  <c r="V6" i="18"/>
  <c r="V14" i="18"/>
  <c r="T7" i="8" l="1"/>
  <c r="T19" i="23"/>
  <c r="U19" i="23" l="1"/>
  <c r="V19" i="23" s="1"/>
  <c r="U7" i="8"/>
  <c r="V7" i="8" s="1"/>
  <c r="T8" i="23"/>
  <c r="U8" i="23"/>
  <c r="U6" i="23"/>
  <c r="T6" i="23"/>
  <c r="T7" i="11"/>
  <c r="U7" i="11"/>
  <c r="T9" i="8"/>
  <c r="U9" i="8"/>
  <c r="T20" i="23"/>
  <c r="U20" i="23"/>
  <c r="T17" i="23"/>
  <c r="U17" i="23"/>
  <c r="T16" i="17"/>
  <c r="U16" i="17"/>
  <c r="T7" i="23"/>
  <c r="U7" i="23"/>
  <c r="R150" i="3"/>
  <c r="S150" i="3"/>
  <c r="T9" i="23"/>
  <c r="U9" i="23"/>
  <c r="V7" i="11" l="1"/>
  <c r="V16" i="17"/>
  <c r="V17" i="23"/>
  <c r="V20" i="23"/>
  <c r="U44" i="23"/>
  <c r="T44" i="23"/>
  <c r="T16" i="8"/>
  <c r="U16" i="8"/>
  <c r="V9" i="8"/>
  <c r="T11" i="8"/>
  <c r="U11" i="8"/>
  <c r="R47" i="3"/>
  <c r="S47" i="3"/>
  <c r="V7" i="23"/>
  <c r="T12" i="8"/>
  <c r="U12" i="8"/>
  <c r="U36" i="23"/>
  <c r="T36" i="23"/>
  <c r="U43" i="23"/>
  <c r="T43" i="23"/>
  <c r="T34" i="23"/>
  <c r="U34" i="23"/>
  <c r="T10" i="17"/>
  <c r="U10" i="17"/>
  <c r="T33" i="23"/>
  <c r="U33" i="23"/>
  <c r="U35" i="23"/>
  <c r="T35" i="23"/>
  <c r="V6" i="23"/>
  <c r="T150" i="3"/>
  <c r="V9" i="23"/>
  <c r="U47" i="23"/>
  <c r="T47" i="23"/>
  <c r="V8" i="23"/>
  <c r="R24" i="1"/>
  <c r="V34" i="23" l="1"/>
  <c r="V16" i="8"/>
  <c r="V35" i="23"/>
  <c r="V36" i="23"/>
  <c r="V44" i="23"/>
  <c r="V47" i="23"/>
  <c r="T47" i="3"/>
  <c r="V11" i="8"/>
  <c r="V10" i="17"/>
  <c r="V12" i="8"/>
  <c r="V33" i="23"/>
  <c r="V43" i="23"/>
  <c r="U8" i="24" l="1"/>
  <c r="T8" i="24"/>
  <c r="V8" i="24" l="1"/>
  <c r="T13" i="8" l="1"/>
  <c r="U13" i="8" l="1"/>
  <c r="X22" i="1"/>
  <c r="V13" i="8" l="1"/>
  <c r="R22" i="1"/>
  <c r="L22" i="1" l="1"/>
  <c r="K22" i="1"/>
  <c r="AD22" i="1" l="1"/>
  <c r="M22" i="1" l="1"/>
  <c r="AE22" i="1" s="1"/>
  <c r="T8" i="17" l="1"/>
  <c r="U8" i="17"/>
  <c r="T15" i="17"/>
  <c r="U15" i="17"/>
  <c r="T46" i="23"/>
  <c r="U46" i="23"/>
  <c r="U9" i="17"/>
  <c r="T9" i="17"/>
  <c r="V15" i="17" l="1"/>
  <c r="V9" i="17"/>
  <c r="V46" i="23"/>
  <c r="V8" i="17"/>
  <c r="R9" i="1"/>
  <c r="AD9" i="1" l="1"/>
  <c r="X23" i="1"/>
  <c r="X9" i="1"/>
  <c r="R23" i="1"/>
  <c r="R10" i="1"/>
  <c r="X10" i="1"/>
  <c r="AD23" i="1" l="1"/>
  <c r="AD10" i="1"/>
  <c r="K9" i="1"/>
  <c r="AE9" i="1" s="1"/>
  <c r="L9" i="1"/>
  <c r="K10" i="1"/>
  <c r="AE10" i="1" s="1"/>
  <c r="L10" i="1"/>
  <c r="K23" i="1"/>
  <c r="AE23" i="1" s="1"/>
  <c r="L23" i="1"/>
  <c r="AG9" i="1" l="1"/>
  <c r="K15" i="34"/>
  <c r="V19" i="16" l="1"/>
  <c r="U19" i="16"/>
  <c r="W19" i="16" l="1"/>
  <c r="AB25" i="39"/>
  <c r="X13" i="39"/>
  <c r="V25" i="39"/>
  <c r="P25" i="39" l="1"/>
  <c r="O35" i="39" l="1"/>
  <c r="Q10" i="39"/>
  <c r="M20" i="1"/>
  <c r="M33" i="39"/>
  <c r="Q10" i="1"/>
  <c r="Q23" i="1"/>
  <c r="M24" i="39"/>
  <c r="M15" i="1"/>
  <c r="M21" i="1"/>
  <c r="O28" i="39"/>
  <c r="O25" i="1"/>
  <c r="O26" i="1"/>
  <c r="M8" i="1"/>
  <c r="M32" i="39"/>
  <c r="M28" i="1"/>
  <c r="M8" i="39"/>
  <c r="O29" i="39"/>
  <c r="M12" i="1"/>
  <c r="M23" i="39" l="1"/>
  <c r="T48" i="15"/>
  <c r="U11" i="16"/>
  <c r="M14" i="1"/>
  <c r="O13" i="1"/>
  <c r="AA31" i="1"/>
  <c r="E5" i="28" s="1"/>
  <c r="M22" i="39"/>
  <c r="AA37" i="39"/>
  <c r="M16" i="39"/>
  <c r="Q9" i="39"/>
  <c r="U37" i="39"/>
  <c r="O11" i="39"/>
  <c r="Q26" i="39"/>
  <c r="M13" i="39"/>
  <c r="M7" i="39"/>
  <c r="M24" i="1"/>
  <c r="AD24" i="1"/>
  <c r="Q12" i="1"/>
  <c r="U31" i="1"/>
  <c r="C5" i="28" s="1"/>
  <c r="C17" i="28" s="1"/>
  <c r="O11" i="1"/>
  <c r="O31" i="1" s="1"/>
  <c r="G5" i="28" s="1"/>
  <c r="M19" i="1"/>
  <c r="Q13" i="39"/>
  <c r="M7" i="1"/>
  <c r="Q22" i="1"/>
  <c r="M29" i="1"/>
  <c r="M27" i="39"/>
  <c r="M15" i="39"/>
  <c r="O14" i="39"/>
  <c r="Q9" i="1"/>
  <c r="W31" i="1"/>
  <c r="C6" i="28" s="1"/>
  <c r="AC31" i="1"/>
  <c r="E6" i="28" s="1"/>
  <c r="V11" i="16" l="1"/>
  <c r="U48" i="15"/>
  <c r="Q31" i="1"/>
  <c r="G6" i="28"/>
  <c r="T44" i="15"/>
  <c r="U44" i="15"/>
  <c r="U7" i="15"/>
  <c r="T7" i="15"/>
  <c r="T57" i="23"/>
  <c r="U57" i="23"/>
  <c r="U20" i="18"/>
  <c r="T20" i="18"/>
  <c r="T23" i="8"/>
  <c r="U23" i="8"/>
  <c r="T15" i="14"/>
  <c r="U15" i="14"/>
  <c r="T22" i="24"/>
  <c r="V22" i="24" s="1"/>
  <c r="U22" i="24"/>
  <c r="T24" i="17"/>
  <c r="U24" i="17"/>
  <c r="U55" i="15"/>
  <c r="T55" i="15"/>
  <c r="T14" i="11"/>
  <c r="U14" i="11"/>
  <c r="T29" i="17"/>
  <c r="V29" i="17" s="1"/>
  <c r="U29" i="17"/>
  <c r="T41" i="8"/>
  <c r="U41" i="8"/>
  <c r="T67" i="15"/>
  <c r="U67" i="15"/>
  <c r="T41" i="20"/>
  <c r="U41" i="20"/>
  <c r="T105" i="23"/>
  <c r="V105" i="23" s="1"/>
  <c r="U105" i="23"/>
  <c r="U44" i="20"/>
  <c r="T44" i="20"/>
  <c r="U26" i="20"/>
  <c r="T26" i="20"/>
  <c r="V26" i="20" s="1"/>
  <c r="T80" i="23"/>
  <c r="U80" i="23"/>
  <c r="T13" i="24"/>
  <c r="V13" i="24" s="1"/>
  <c r="U13" i="24"/>
  <c r="T15" i="8"/>
  <c r="U15" i="8"/>
  <c r="U69" i="23"/>
  <c r="T69" i="23"/>
  <c r="V69" i="23" s="1"/>
  <c r="T12" i="17"/>
  <c r="U12" i="17"/>
  <c r="T8" i="21"/>
  <c r="V8" i="21" s="1"/>
  <c r="U8" i="21"/>
  <c r="T32" i="15"/>
  <c r="U32" i="15"/>
  <c r="U13" i="17"/>
  <c r="T13" i="17"/>
  <c r="V13" i="17" s="1"/>
  <c r="T5" i="22"/>
  <c r="U5" i="22"/>
  <c r="U10" i="15"/>
  <c r="T10" i="15"/>
  <c r="T29" i="15"/>
  <c r="U29" i="15"/>
  <c r="O37" i="39"/>
  <c r="U15" i="16"/>
  <c r="V15" i="16"/>
  <c r="U7" i="36"/>
  <c r="V7" i="36"/>
  <c r="U43" i="8"/>
  <c r="T43" i="8"/>
  <c r="U12" i="15"/>
  <c r="T12" i="15"/>
  <c r="U40" i="23"/>
  <c r="T40" i="23"/>
  <c r="U11" i="25"/>
  <c r="T11" i="25"/>
  <c r="T6" i="20"/>
  <c r="U6" i="20"/>
  <c r="T16" i="11"/>
  <c r="U16" i="11"/>
  <c r="U47" i="20"/>
  <c r="T47" i="20"/>
  <c r="T34" i="15"/>
  <c r="U34" i="15"/>
  <c r="T6" i="24"/>
  <c r="U6" i="24"/>
  <c r="V11" i="36"/>
  <c r="U11" i="36"/>
  <c r="U29" i="20"/>
  <c r="T29" i="20"/>
  <c r="T8" i="18"/>
  <c r="U8" i="18"/>
  <c r="C13" i="26"/>
  <c r="T6" i="10"/>
  <c r="U6" i="10"/>
  <c r="U36" i="8"/>
  <c r="T36" i="8"/>
  <c r="U28" i="23"/>
  <c r="T28" i="23"/>
  <c r="U7" i="9"/>
  <c r="V7" i="9"/>
  <c r="C12" i="26"/>
  <c r="U10" i="25"/>
  <c r="T10" i="25"/>
  <c r="T9" i="13"/>
  <c r="U9" i="13"/>
  <c r="T59" i="15"/>
  <c r="U59" i="15"/>
  <c r="U99" i="23"/>
  <c r="T99" i="23"/>
  <c r="V99" i="23" s="1"/>
  <c r="U21" i="16"/>
  <c r="W21" i="16" s="1"/>
  <c r="V21" i="16"/>
  <c r="U40" i="8"/>
  <c r="T40" i="8"/>
  <c r="U92" i="23"/>
  <c r="T92" i="23"/>
  <c r="U111" i="23"/>
  <c r="T111" i="23"/>
  <c r="V111" i="23" s="1"/>
  <c r="T60" i="15"/>
  <c r="V60" i="15" s="1"/>
  <c r="U60" i="15"/>
  <c r="U94" i="23"/>
  <c r="T94" i="23"/>
  <c r="T50" i="8"/>
  <c r="U50" i="8"/>
  <c r="U61" i="15"/>
  <c r="T61" i="15"/>
  <c r="V61" i="15" s="1"/>
  <c r="U21" i="23"/>
  <c r="T21" i="23"/>
  <c r="T8" i="15"/>
  <c r="U8" i="15"/>
  <c r="T38" i="23"/>
  <c r="U38" i="23"/>
  <c r="U16" i="15"/>
  <c r="T16" i="15"/>
  <c r="V16" i="15" s="1"/>
  <c r="U52" i="15"/>
  <c r="T52" i="15"/>
  <c r="T9" i="22"/>
  <c r="U9" i="22"/>
  <c r="T66" i="23"/>
  <c r="U66" i="23"/>
  <c r="T7" i="18"/>
  <c r="U7" i="18"/>
  <c r="T86" i="23"/>
  <c r="V86" i="23" s="1"/>
  <c r="U86" i="23"/>
  <c r="T25" i="18"/>
  <c r="V25" i="18" s="1"/>
  <c r="U25" i="18"/>
  <c r="U6" i="5"/>
  <c r="T6" i="5"/>
  <c r="T7" i="21"/>
  <c r="U7" i="21"/>
  <c r="U11" i="14"/>
  <c r="T11" i="14"/>
  <c r="U54" i="23"/>
  <c r="T54" i="23"/>
  <c r="T8" i="10"/>
  <c r="V8" i="10" s="1"/>
  <c r="U8" i="10"/>
  <c r="U31" i="20"/>
  <c r="T31" i="20"/>
  <c r="V31" i="20" s="1"/>
  <c r="U9" i="7"/>
  <c r="T9" i="7"/>
  <c r="V9" i="7" s="1"/>
  <c r="U9" i="24"/>
  <c r="T9" i="24"/>
  <c r="U6" i="15"/>
  <c r="T6" i="15"/>
  <c r="T5" i="14"/>
  <c r="U5" i="14"/>
  <c r="T9" i="15"/>
  <c r="U9" i="15"/>
  <c r="T17" i="24"/>
  <c r="V17" i="24" s="1"/>
  <c r="U17" i="24"/>
  <c r="T49" i="20"/>
  <c r="V49" i="20" s="1"/>
  <c r="U49" i="20"/>
  <c r="U12" i="14"/>
  <c r="T12" i="14"/>
  <c r="V12" i="14" s="1"/>
  <c r="U14" i="24"/>
  <c r="T14" i="24"/>
  <c r="V14" i="24" s="1"/>
  <c r="U25" i="15"/>
  <c r="T25" i="15"/>
  <c r="U9" i="25"/>
  <c r="T9" i="25"/>
  <c r="U75" i="23"/>
  <c r="T75" i="23"/>
  <c r="U7" i="14"/>
  <c r="T7" i="14"/>
  <c r="T43" i="20"/>
  <c r="U43" i="20"/>
  <c r="T12" i="23"/>
  <c r="V12" i="23" s="1"/>
  <c r="U12" i="23"/>
  <c r="U45" i="23"/>
  <c r="T45" i="23"/>
  <c r="V45" i="23" s="1"/>
  <c r="U28" i="18"/>
  <c r="T28" i="18"/>
  <c r="U16" i="14"/>
  <c r="T16" i="14"/>
  <c r="T91" i="23"/>
  <c r="V91" i="23" s="1"/>
  <c r="U91" i="23"/>
  <c r="U14" i="36"/>
  <c r="V14" i="36"/>
  <c r="T16" i="22"/>
  <c r="V16" i="22" s="1"/>
  <c r="U16" i="22"/>
  <c r="T27" i="18"/>
  <c r="V27" i="18" s="1"/>
  <c r="U27" i="18"/>
  <c r="C10" i="26"/>
  <c r="T37" i="20"/>
  <c r="U37" i="20"/>
  <c r="T59" i="8"/>
  <c r="U59" i="8"/>
  <c r="U21" i="8"/>
  <c r="T21" i="8"/>
  <c r="U9" i="10"/>
  <c r="T9" i="10"/>
  <c r="T46" i="8"/>
  <c r="U46" i="8"/>
  <c r="T13" i="7"/>
  <c r="U13" i="7"/>
  <c r="U14" i="23"/>
  <c r="T14" i="23"/>
  <c r="U14" i="8"/>
  <c r="T14" i="8"/>
  <c r="V6" i="36"/>
  <c r="U6" i="36"/>
  <c r="U27" i="20"/>
  <c r="T27" i="20"/>
  <c r="U6" i="17"/>
  <c r="T6" i="17"/>
  <c r="T17" i="15"/>
  <c r="U17" i="15"/>
  <c r="U13" i="15"/>
  <c r="T13" i="15"/>
  <c r="T56" i="23"/>
  <c r="U56" i="23"/>
  <c r="U14" i="16"/>
  <c r="V14" i="16"/>
  <c r="U18" i="8"/>
  <c r="T18" i="8"/>
  <c r="U38" i="20"/>
  <c r="T38" i="20"/>
  <c r="U19" i="15"/>
  <c r="T19" i="15"/>
  <c r="U10" i="36"/>
  <c r="V10" i="36"/>
  <c r="T11" i="15"/>
  <c r="U11" i="15"/>
  <c r="U21" i="15"/>
  <c r="T21" i="15"/>
  <c r="T56" i="8"/>
  <c r="U56" i="8"/>
  <c r="V9" i="16"/>
  <c r="U9" i="16"/>
  <c r="T15" i="18"/>
  <c r="U15" i="18"/>
  <c r="T17" i="17"/>
  <c r="U17" i="17"/>
  <c r="U9" i="18"/>
  <c r="T9" i="18"/>
  <c r="V9" i="18" s="1"/>
  <c r="U18" i="15"/>
  <c r="T18" i="15"/>
  <c r="T18" i="24"/>
  <c r="U18" i="24"/>
  <c r="U51" i="23"/>
  <c r="T51" i="23"/>
  <c r="T20" i="15"/>
  <c r="U20" i="15"/>
  <c r="U13" i="22"/>
  <c r="T13" i="22"/>
  <c r="U31" i="15"/>
  <c r="T31" i="15"/>
  <c r="U15" i="36"/>
  <c r="V15" i="36"/>
  <c r="T24" i="23"/>
  <c r="U24" i="23"/>
  <c r="T39" i="15"/>
  <c r="U39" i="15"/>
  <c r="T46" i="15"/>
  <c r="U46" i="15"/>
  <c r="V12" i="16"/>
  <c r="U12" i="16"/>
  <c r="W12" i="16" s="1"/>
  <c r="T96" i="23"/>
  <c r="U96" i="23"/>
  <c r="T54" i="8"/>
  <c r="U54" i="8"/>
  <c r="T62" i="15"/>
  <c r="U62" i="15"/>
  <c r="T102" i="23"/>
  <c r="U102" i="23"/>
  <c r="U68" i="15"/>
  <c r="T68" i="15"/>
  <c r="U63" i="15"/>
  <c r="T63" i="15"/>
  <c r="U16" i="36"/>
  <c r="V16" i="36"/>
  <c r="T69" i="15"/>
  <c r="U69" i="15"/>
  <c r="U19" i="24"/>
  <c r="T19" i="24"/>
  <c r="V19" i="24" s="1"/>
  <c r="T23" i="24"/>
  <c r="V23" i="24" s="1"/>
  <c r="U23" i="24"/>
  <c r="T56" i="20"/>
  <c r="U56" i="20"/>
  <c r="T10" i="7"/>
  <c r="U10" i="7"/>
  <c r="T46" i="20"/>
  <c r="U46" i="20"/>
  <c r="U7" i="16"/>
  <c r="W7" i="16" s="1"/>
  <c r="V7" i="16"/>
  <c r="U12" i="11"/>
  <c r="T12" i="11"/>
  <c r="U15" i="23"/>
  <c r="T15" i="23"/>
  <c r="V15" i="23" s="1"/>
  <c r="T14" i="20"/>
  <c r="U14" i="20"/>
  <c r="T11" i="18"/>
  <c r="V11" i="18" s="1"/>
  <c r="U11" i="18"/>
  <c r="T7" i="13"/>
  <c r="U7" i="13"/>
  <c r="T26" i="8"/>
  <c r="U26" i="8"/>
  <c r="U39" i="23"/>
  <c r="T39" i="23"/>
  <c r="U11" i="17"/>
  <c r="T11" i="17"/>
  <c r="T42" i="15"/>
  <c r="U42" i="15"/>
  <c r="U7" i="24"/>
  <c r="T7" i="24"/>
  <c r="V7" i="24" s="1"/>
  <c r="U8" i="14"/>
  <c r="T8" i="14"/>
  <c r="V8" i="14" s="1"/>
  <c r="T21" i="20"/>
  <c r="V21" i="20" s="1"/>
  <c r="U21" i="20"/>
  <c r="T51" i="20"/>
  <c r="U51" i="20"/>
  <c r="U16" i="16"/>
  <c r="V16" i="16"/>
  <c r="T67" i="23"/>
  <c r="U67" i="23"/>
  <c r="U84" i="23"/>
  <c r="T84" i="23"/>
  <c r="T34" i="20"/>
  <c r="U34" i="20"/>
  <c r="T83" i="23"/>
  <c r="U83" i="23"/>
  <c r="U19" i="20"/>
  <c r="T19" i="20"/>
  <c r="V19" i="20" s="1"/>
  <c r="U8" i="36"/>
  <c r="V8" i="36"/>
  <c r="T8" i="25"/>
  <c r="U8" i="25"/>
  <c r="U22" i="20"/>
  <c r="T22" i="20"/>
  <c r="V22" i="20" s="1"/>
  <c r="T35" i="8"/>
  <c r="U35" i="8"/>
  <c r="T24" i="18"/>
  <c r="V24" i="18" s="1"/>
  <c r="U24" i="18"/>
  <c r="U33" i="15"/>
  <c r="T33" i="15"/>
  <c r="T34" i="8"/>
  <c r="U34" i="8"/>
  <c r="U39" i="8"/>
  <c r="T39" i="8"/>
  <c r="T12" i="18"/>
  <c r="V12" i="18" s="1"/>
  <c r="U12" i="18"/>
  <c r="U6" i="21"/>
  <c r="T6" i="21"/>
  <c r="U9" i="11"/>
  <c r="T9" i="11"/>
  <c r="V9" i="11" s="1"/>
  <c r="V20" i="16"/>
  <c r="U20" i="16"/>
  <c r="U15" i="22"/>
  <c r="T15" i="22"/>
  <c r="T93" i="23"/>
  <c r="U93" i="23"/>
  <c r="T44" i="8"/>
  <c r="U44" i="8"/>
  <c r="U14" i="14"/>
  <c r="T14" i="14"/>
  <c r="T24" i="24"/>
  <c r="V24" i="24" s="1"/>
  <c r="U24" i="24"/>
  <c r="U25" i="24"/>
  <c r="T25" i="24"/>
  <c r="T20" i="24"/>
  <c r="U20" i="24"/>
  <c r="U40" i="20"/>
  <c r="T40" i="20"/>
  <c r="U52" i="8"/>
  <c r="T52" i="8"/>
  <c r="T55" i="20"/>
  <c r="U55" i="20"/>
  <c r="U29" i="8"/>
  <c r="T29" i="8"/>
  <c r="T40" i="15"/>
  <c r="U40" i="15"/>
  <c r="U43" i="15"/>
  <c r="T43" i="15"/>
  <c r="U18" i="23"/>
  <c r="T18" i="23"/>
  <c r="T12" i="22"/>
  <c r="U12" i="22"/>
  <c r="T10" i="11"/>
  <c r="U10" i="11"/>
  <c r="U19" i="18"/>
  <c r="T19" i="18"/>
  <c r="T7" i="25"/>
  <c r="U7" i="25"/>
  <c r="U6" i="9"/>
  <c r="R10" i="9"/>
  <c r="R12" i="9"/>
  <c r="V6" i="9"/>
  <c r="R11" i="9"/>
  <c r="T6" i="22"/>
  <c r="U6" i="22"/>
  <c r="U30" i="20"/>
  <c r="T30" i="20"/>
  <c r="T12" i="7"/>
  <c r="U12" i="7"/>
  <c r="T81" i="23"/>
  <c r="U81" i="23"/>
  <c r="T48" i="20"/>
  <c r="U48" i="20"/>
  <c r="T59" i="23"/>
  <c r="U59" i="23"/>
  <c r="U41" i="23"/>
  <c r="T41" i="23"/>
  <c r="U16" i="24"/>
  <c r="T16" i="24"/>
  <c r="T13" i="11"/>
  <c r="U13" i="11"/>
  <c r="T23" i="17"/>
  <c r="U23" i="17"/>
  <c r="V13" i="36"/>
  <c r="U13" i="36"/>
  <c r="U6" i="25"/>
  <c r="T6" i="25"/>
  <c r="U27" i="8"/>
  <c r="T27" i="8"/>
  <c r="T10" i="14"/>
  <c r="U10" i="14"/>
  <c r="T51" i="15"/>
  <c r="U51" i="15"/>
  <c r="T15" i="15"/>
  <c r="U15" i="15"/>
  <c r="U28" i="20"/>
  <c r="T28" i="20"/>
  <c r="U7" i="7"/>
  <c r="T7" i="7"/>
  <c r="U8" i="5"/>
  <c r="T8" i="5"/>
  <c r="U36" i="15"/>
  <c r="T36" i="15"/>
  <c r="V36" i="15" s="1"/>
  <c r="U11" i="24"/>
  <c r="T11" i="24"/>
  <c r="U72" i="23"/>
  <c r="T72" i="23"/>
  <c r="U21" i="24"/>
  <c r="T21" i="24"/>
  <c r="U95" i="23"/>
  <c r="T95" i="23"/>
  <c r="V95" i="23" s="1"/>
  <c r="U56" i="15"/>
  <c r="T56" i="15"/>
  <c r="U9" i="9"/>
  <c r="V9" i="9"/>
  <c r="T25" i="17"/>
  <c r="V25" i="17" s="1"/>
  <c r="U25" i="17"/>
  <c r="T55" i="8"/>
  <c r="U55" i="8"/>
  <c r="U57" i="20"/>
  <c r="T57" i="20"/>
  <c r="U9" i="21"/>
  <c r="T9" i="21"/>
  <c r="T58" i="20"/>
  <c r="V58" i="20" s="1"/>
  <c r="U58" i="20"/>
  <c r="U57" i="8"/>
  <c r="T57" i="8"/>
  <c r="T45" i="20"/>
  <c r="U45" i="20"/>
  <c r="T9" i="14"/>
  <c r="U9" i="14"/>
  <c r="U24" i="8"/>
  <c r="T24" i="8"/>
  <c r="T7" i="20"/>
  <c r="U7" i="20"/>
  <c r="T50" i="20"/>
  <c r="U50" i="20"/>
  <c r="T53" i="8"/>
  <c r="U53" i="8"/>
  <c r="U38" i="15"/>
  <c r="T38" i="15"/>
  <c r="U45" i="15"/>
  <c r="T45" i="15"/>
  <c r="U18" i="17"/>
  <c r="T18" i="17"/>
  <c r="U20" i="8"/>
  <c r="T20" i="8"/>
  <c r="V8" i="16"/>
  <c r="U8" i="16"/>
  <c r="T25" i="8"/>
  <c r="U25" i="8"/>
  <c r="T10" i="23"/>
  <c r="U10" i="23"/>
  <c r="U30" i="8"/>
  <c r="T30" i="8"/>
  <c r="U8" i="13"/>
  <c r="T8" i="13"/>
  <c r="U17" i="36"/>
  <c r="V17" i="36"/>
  <c r="T10" i="20"/>
  <c r="U10" i="20"/>
  <c r="T35" i="15"/>
  <c r="U35" i="15"/>
  <c r="C11" i="26"/>
  <c r="T6" i="14"/>
  <c r="U6" i="14"/>
  <c r="T20" i="20"/>
  <c r="U20" i="20"/>
  <c r="T6" i="7"/>
  <c r="U6" i="7"/>
  <c r="U42" i="23"/>
  <c r="T42" i="23"/>
  <c r="U50" i="15"/>
  <c r="T50" i="15"/>
  <c r="T65" i="23"/>
  <c r="U65" i="23"/>
  <c r="T78" i="23"/>
  <c r="U78" i="23"/>
  <c r="U12" i="24"/>
  <c r="T12" i="24"/>
  <c r="U7" i="22"/>
  <c r="T7" i="22"/>
  <c r="U8" i="11"/>
  <c r="T8" i="11"/>
  <c r="T45" i="8"/>
  <c r="U45" i="8"/>
  <c r="W11" i="16"/>
  <c r="U11" i="11"/>
  <c r="T11" i="11"/>
  <c r="T82" i="23"/>
  <c r="U82" i="23"/>
  <c r="U23" i="15"/>
  <c r="T23" i="15"/>
  <c r="T15" i="24"/>
  <c r="U15" i="24"/>
  <c r="T59" i="20"/>
  <c r="V59" i="20" s="1"/>
  <c r="U59" i="20"/>
  <c r="T31" i="8"/>
  <c r="U31" i="8"/>
  <c r="T54" i="20"/>
  <c r="U54" i="20"/>
  <c r="T65" i="15"/>
  <c r="U65" i="15"/>
  <c r="T36" i="20"/>
  <c r="U36" i="20"/>
  <c r="T57" i="15"/>
  <c r="U57" i="15"/>
  <c r="T66" i="15"/>
  <c r="U66" i="15"/>
  <c r="T19" i="8"/>
  <c r="U19" i="8"/>
  <c r="T58" i="15"/>
  <c r="U58" i="15"/>
  <c r="U12" i="36"/>
  <c r="V12" i="36"/>
  <c r="U22" i="18"/>
  <c r="T22" i="18"/>
  <c r="T41" i="15"/>
  <c r="U41" i="15"/>
  <c r="T14" i="17"/>
  <c r="U14" i="17"/>
  <c r="U15" i="20"/>
  <c r="T15" i="20"/>
  <c r="T27" i="15"/>
  <c r="U27" i="15"/>
  <c r="T17" i="8"/>
  <c r="U17" i="8"/>
  <c r="U53" i="23"/>
  <c r="T53" i="23"/>
  <c r="U37" i="23"/>
  <c r="T37" i="23"/>
  <c r="U11" i="7"/>
  <c r="T11" i="7"/>
  <c r="U10" i="22"/>
  <c r="T10" i="22"/>
  <c r="U13" i="18"/>
  <c r="T13" i="18"/>
  <c r="U13" i="14"/>
  <c r="T13" i="14"/>
  <c r="U35" i="20"/>
  <c r="T35" i="20"/>
  <c r="U53" i="15"/>
  <c r="T53" i="15"/>
  <c r="U55" i="23"/>
  <c r="T55" i="23"/>
  <c r="U29" i="23"/>
  <c r="T29" i="23"/>
  <c r="U7" i="10"/>
  <c r="T7" i="10"/>
  <c r="V13" i="16"/>
  <c r="U13" i="16"/>
  <c r="U26" i="15"/>
  <c r="T26" i="15"/>
  <c r="T38" i="8"/>
  <c r="U38" i="8"/>
  <c r="T13" i="23"/>
  <c r="U13" i="23"/>
  <c r="T6" i="13"/>
  <c r="U6" i="13"/>
  <c r="U23" i="20"/>
  <c r="T23" i="20"/>
  <c r="T16" i="20"/>
  <c r="U16" i="20"/>
  <c r="U8" i="9"/>
  <c r="V8" i="9"/>
  <c r="T19" i="17"/>
  <c r="U19" i="17"/>
  <c r="U7" i="17"/>
  <c r="T7" i="17"/>
  <c r="U37" i="8"/>
  <c r="T37" i="8"/>
  <c r="U26" i="23"/>
  <c r="T26" i="23"/>
  <c r="U48" i="23"/>
  <c r="T48" i="23"/>
  <c r="T32" i="23"/>
  <c r="V32" i="23" s="1"/>
  <c r="U32" i="23"/>
  <c r="U17" i="20"/>
  <c r="T17" i="20"/>
  <c r="U48" i="8"/>
  <c r="T48" i="8"/>
  <c r="T30" i="15"/>
  <c r="U30" i="15"/>
  <c r="T54" i="15"/>
  <c r="V54" i="15" s="1"/>
  <c r="U54" i="15"/>
  <c r="T64" i="15"/>
  <c r="U64" i="15"/>
  <c r="U18" i="11"/>
  <c r="T18" i="11"/>
  <c r="T29" i="18"/>
  <c r="U29" i="18"/>
  <c r="T47" i="8"/>
  <c r="U47" i="8"/>
  <c r="U42" i="8"/>
  <c r="T42" i="8"/>
  <c r="T113" i="23"/>
  <c r="U113" i="23"/>
  <c r="U17" i="11"/>
  <c r="T17" i="11"/>
  <c r="U13" i="25"/>
  <c r="T13" i="25"/>
  <c r="U12" i="25"/>
  <c r="T12" i="25"/>
  <c r="U9" i="5"/>
  <c r="T9" i="5"/>
  <c r="U23" i="18"/>
  <c r="T23" i="18"/>
  <c r="U33" i="8"/>
  <c r="T33" i="8"/>
  <c r="T68" i="23"/>
  <c r="U68" i="23"/>
  <c r="T24" i="15"/>
  <c r="U24" i="15"/>
  <c r="U39" i="20"/>
  <c r="T39" i="20"/>
  <c r="U10" i="16"/>
  <c r="W10" i="16" s="1"/>
  <c r="V10" i="16"/>
  <c r="V9" i="36"/>
  <c r="U9" i="36"/>
  <c r="T18" i="20"/>
  <c r="U18" i="20"/>
  <c r="T22" i="15"/>
  <c r="U22" i="15"/>
  <c r="U7" i="5"/>
  <c r="T7" i="5"/>
  <c r="T8" i="7"/>
  <c r="U8" i="7"/>
  <c r="T14" i="15"/>
  <c r="U14" i="15"/>
  <c r="T12" i="20"/>
  <c r="U12" i="20"/>
  <c r="U10" i="18"/>
  <c r="T10" i="18"/>
  <c r="T10" i="8"/>
  <c r="U10" i="8"/>
  <c r="T16" i="18"/>
  <c r="U16" i="18"/>
  <c r="U6" i="16"/>
  <c r="V6" i="16"/>
  <c r="U17" i="16"/>
  <c r="W17" i="16" s="1"/>
  <c r="V17" i="16"/>
  <c r="T15" i="11"/>
  <c r="U15" i="11"/>
  <c r="T42" i="20"/>
  <c r="U42" i="20"/>
  <c r="U64" i="23"/>
  <c r="T64" i="23"/>
  <c r="T37" i="15"/>
  <c r="V37" i="15" s="1"/>
  <c r="U37" i="15"/>
  <c r="U28" i="15"/>
  <c r="T28" i="15"/>
  <c r="U28" i="8"/>
  <c r="T28" i="8"/>
  <c r="U11" i="23"/>
  <c r="T11" i="23"/>
  <c r="T8" i="20"/>
  <c r="V8" i="20" s="1"/>
  <c r="U8" i="20"/>
  <c r="T47" i="15"/>
  <c r="U47" i="15"/>
  <c r="U49" i="15"/>
  <c r="T49" i="15"/>
  <c r="T30" i="23"/>
  <c r="U30" i="23"/>
  <c r="V48" i="15"/>
  <c r="AB10" i="1"/>
  <c r="AB23" i="1"/>
  <c r="V22" i="1"/>
  <c r="AB9" i="1"/>
  <c r="X12" i="1"/>
  <c r="V23" i="1"/>
  <c r="R18" i="39"/>
  <c r="V10" i="1"/>
  <c r="V9" i="1"/>
  <c r="R33" i="39"/>
  <c r="V78" i="23" l="1"/>
  <c r="V6" i="7"/>
  <c r="V7" i="25"/>
  <c r="V55" i="20"/>
  <c r="V93" i="23"/>
  <c r="V18" i="24"/>
  <c r="V15" i="18"/>
  <c r="V5" i="22"/>
  <c r="V12" i="17"/>
  <c r="V14" i="11"/>
  <c r="V13" i="22"/>
  <c r="W9" i="16"/>
  <c r="V6" i="17"/>
  <c r="W15" i="16"/>
  <c r="V12" i="25"/>
  <c r="V29" i="23"/>
  <c r="V45" i="15"/>
  <c r="V39" i="15"/>
  <c r="V11" i="14"/>
  <c r="V75" i="23"/>
  <c r="V14" i="17"/>
  <c r="V12" i="24"/>
  <c r="V42" i="23"/>
  <c r="V12" i="7"/>
  <c r="V64" i="23"/>
  <c r="V53" i="15"/>
  <c r="V10" i="22"/>
  <c r="V9" i="21"/>
  <c r="W9" i="9"/>
  <c r="V7" i="7"/>
  <c r="V37" i="20"/>
  <c r="W8" i="36"/>
  <c r="V9" i="13"/>
  <c r="V19" i="8"/>
  <c r="V20" i="8"/>
  <c r="V45" i="8"/>
  <c r="V41" i="20"/>
  <c r="V36" i="20"/>
  <c r="V54" i="8"/>
  <c r="V42" i="8"/>
  <c r="V43" i="8"/>
  <c r="V47" i="8"/>
  <c r="V29" i="8"/>
  <c r="V46" i="8"/>
  <c r="V11" i="15"/>
  <c r="V68" i="15"/>
  <c r="V18" i="15"/>
  <c r="V58" i="15"/>
  <c r="V51" i="15"/>
  <c r="V11" i="23"/>
  <c r="V39" i="20"/>
  <c r="V23" i="18"/>
  <c r="V17" i="11"/>
  <c r="V48" i="23"/>
  <c r="W13" i="16"/>
  <c r="V30" i="8"/>
  <c r="V72" i="23"/>
  <c r="V30" i="20"/>
  <c r="V18" i="8"/>
  <c r="V14" i="8"/>
  <c r="V9" i="10"/>
  <c r="V28" i="23"/>
  <c r="V29" i="20"/>
  <c r="V47" i="20"/>
  <c r="V80" i="23"/>
  <c r="V15" i="14"/>
  <c r="V42" i="20"/>
  <c r="V16" i="18"/>
  <c r="V14" i="15"/>
  <c r="V18" i="20"/>
  <c r="V24" i="15"/>
  <c r="V113" i="23"/>
  <c r="V13" i="23"/>
  <c r="V27" i="15"/>
  <c r="V66" i="15"/>
  <c r="V54" i="20"/>
  <c r="V8" i="11"/>
  <c r="V10" i="20"/>
  <c r="V10" i="23"/>
  <c r="V50" i="20"/>
  <c r="V45" i="20"/>
  <c r="V13" i="11"/>
  <c r="V48" i="20"/>
  <c r="V6" i="22"/>
  <c r="V19" i="18"/>
  <c r="V43" i="15"/>
  <c r="V52" i="8"/>
  <c r="V14" i="20"/>
  <c r="W14" i="16"/>
  <c r="V16" i="11"/>
  <c r="V44" i="20"/>
  <c r="V20" i="18"/>
  <c r="V47" i="15"/>
  <c r="V15" i="11"/>
  <c r="V10" i="8"/>
  <c r="W12" i="36"/>
  <c r="W17" i="36"/>
  <c r="V25" i="8"/>
  <c r="V7" i="20"/>
  <c r="V15" i="15"/>
  <c r="V81" i="23"/>
  <c r="V56" i="23"/>
  <c r="V13" i="7"/>
  <c r="V59" i="8"/>
  <c r="V6" i="14"/>
  <c r="V10" i="11"/>
  <c r="V40" i="15"/>
  <c r="V33" i="15"/>
  <c r="V12" i="11"/>
  <c r="V51" i="23"/>
  <c r="V21" i="15"/>
  <c r="V38" i="20"/>
  <c r="V92" i="23"/>
  <c r="V11" i="25"/>
  <c r="V57" i="23"/>
  <c r="P10" i="1"/>
  <c r="P23" i="1"/>
  <c r="P9" i="1"/>
  <c r="U10" i="9"/>
  <c r="V10" i="9"/>
  <c r="V12" i="22"/>
  <c r="V8" i="25"/>
  <c r="V34" i="20"/>
  <c r="V51" i="20"/>
  <c r="V42" i="15"/>
  <c r="V7" i="13"/>
  <c r="V56" i="20"/>
  <c r="W16" i="36"/>
  <c r="V62" i="15"/>
  <c r="V46" i="15"/>
  <c r="W15" i="36"/>
  <c r="V17" i="17"/>
  <c r="V13" i="15"/>
  <c r="W6" i="36"/>
  <c r="W14" i="36"/>
  <c r="V5" i="14"/>
  <c r="V7" i="21"/>
  <c r="V6" i="10"/>
  <c r="V29" i="15"/>
  <c r="V32" i="15"/>
  <c r="V15" i="8"/>
  <c r="V41" i="8"/>
  <c r="V24" i="17"/>
  <c r="V30" i="23"/>
  <c r="W6" i="16"/>
  <c r="V12" i="20"/>
  <c r="V22" i="15"/>
  <c r="V29" i="18"/>
  <c r="V30" i="15"/>
  <c r="V19" i="17"/>
  <c r="V6" i="13"/>
  <c r="V17" i="8"/>
  <c r="V41" i="15"/>
  <c r="V65" i="15"/>
  <c r="V15" i="24"/>
  <c r="V35" i="15"/>
  <c r="V53" i="8"/>
  <c r="V9" i="14"/>
  <c r="V10" i="14"/>
  <c r="V23" i="17"/>
  <c r="V59" i="23"/>
  <c r="V18" i="23"/>
  <c r="V20" i="24"/>
  <c r="V44" i="8"/>
  <c r="V84" i="23"/>
  <c r="V11" i="17"/>
  <c r="V63" i="15"/>
  <c r="V31" i="15"/>
  <c r="V9" i="25"/>
  <c r="V6" i="15"/>
  <c r="V6" i="5"/>
  <c r="V7" i="18"/>
  <c r="W7" i="9"/>
  <c r="V6" i="24"/>
  <c r="V6" i="20"/>
  <c r="V10" i="15"/>
  <c r="V49" i="15"/>
  <c r="V28" i="8"/>
  <c r="V9" i="5"/>
  <c r="V18" i="11"/>
  <c r="V48" i="8"/>
  <c r="V26" i="23"/>
  <c r="W8" i="9"/>
  <c r="V7" i="10"/>
  <c r="V35" i="20"/>
  <c r="V11" i="7"/>
  <c r="V22" i="18"/>
  <c r="V23" i="15"/>
  <c r="V18" i="17"/>
  <c r="V57" i="20"/>
  <c r="V56" i="15"/>
  <c r="V11" i="24"/>
  <c r="V28" i="20"/>
  <c r="V27" i="8"/>
  <c r="V25" i="24"/>
  <c r="V6" i="21"/>
  <c r="V39" i="23"/>
  <c r="V17" i="15"/>
  <c r="V16" i="14"/>
  <c r="V25" i="15"/>
  <c r="V9" i="24"/>
  <c r="V54" i="23"/>
  <c r="V66" i="23"/>
  <c r="V38" i="23"/>
  <c r="V50" i="8"/>
  <c r="V59" i="15"/>
  <c r="V8" i="18"/>
  <c r="V34" i="15"/>
  <c r="W7" i="36"/>
  <c r="V7" i="15"/>
  <c r="V28" i="15"/>
  <c r="W9" i="36"/>
  <c r="V17" i="20"/>
  <c r="V37" i="8"/>
  <c r="V13" i="14"/>
  <c r="V37" i="23"/>
  <c r="V15" i="20"/>
  <c r="V65" i="23"/>
  <c r="V20" i="20"/>
  <c r="V57" i="8"/>
  <c r="V6" i="25"/>
  <c r="V16" i="24"/>
  <c r="U11" i="9"/>
  <c r="V11" i="9"/>
  <c r="W11" i="9" s="1"/>
  <c r="V15" i="22"/>
  <c r="V35" i="8"/>
  <c r="V67" i="23"/>
  <c r="V46" i="20"/>
  <c r="V96" i="23"/>
  <c r="V24" i="23"/>
  <c r="W10" i="36"/>
  <c r="V14" i="23"/>
  <c r="V21" i="8"/>
  <c r="V43" i="20"/>
  <c r="V94" i="23"/>
  <c r="V40" i="8"/>
  <c r="V40" i="23"/>
  <c r="V8" i="7"/>
  <c r="V68" i="23"/>
  <c r="V64" i="15"/>
  <c r="V16" i="20"/>
  <c r="V38" i="8"/>
  <c r="V57" i="15"/>
  <c r="V31" i="8"/>
  <c r="V82" i="23"/>
  <c r="V7" i="22"/>
  <c r="V50" i="15"/>
  <c r="V55" i="8"/>
  <c r="W6" i="9"/>
  <c r="V28" i="18"/>
  <c r="V7" i="14"/>
  <c r="V9" i="22"/>
  <c r="V8" i="15"/>
  <c r="V36" i="8"/>
  <c r="V55" i="15"/>
  <c r="V10" i="18"/>
  <c r="V7" i="5"/>
  <c r="V33" i="8"/>
  <c r="V13" i="25"/>
  <c r="V7" i="17"/>
  <c r="V23" i="20"/>
  <c r="V26" i="15"/>
  <c r="V55" i="23"/>
  <c r="V13" i="18"/>
  <c r="V53" i="23"/>
  <c r="V11" i="11"/>
  <c r="V8" i="13"/>
  <c r="W8" i="16"/>
  <c r="V38" i="15"/>
  <c r="V24" i="8"/>
  <c r="V21" i="24"/>
  <c r="V8" i="5"/>
  <c r="W13" i="36"/>
  <c r="V41" i="23"/>
  <c r="U12" i="9"/>
  <c r="V12" i="9"/>
  <c r="V40" i="20"/>
  <c r="V14" i="14"/>
  <c r="W20" i="16"/>
  <c r="V39" i="8"/>
  <c r="V34" i="8"/>
  <c r="V83" i="23"/>
  <c r="W16" i="16"/>
  <c r="V26" i="8"/>
  <c r="V10" i="7"/>
  <c r="V69" i="15"/>
  <c r="V102" i="23"/>
  <c r="V20" i="15"/>
  <c r="V56" i="8"/>
  <c r="V19" i="15"/>
  <c r="V27" i="20"/>
  <c r="V9" i="15"/>
  <c r="V52" i="15"/>
  <c r="V21" i="23"/>
  <c r="V10" i="25"/>
  <c r="W11" i="36"/>
  <c r="V12" i="15"/>
  <c r="V67" i="15"/>
  <c r="V23" i="8"/>
  <c r="V44" i="15"/>
  <c r="R25" i="39"/>
  <c r="R17" i="39"/>
  <c r="R36" i="39"/>
  <c r="R14" i="1"/>
  <c r="X14" i="1"/>
  <c r="R20" i="1"/>
  <c r="X18" i="1"/>
  <c r="R12" i="1"/>
  <c r="AB9" i="39"/>
  <c r="V9" i="39"/>
  <c r="R27" i="39"/>
  <c r="R8" i="39"/>
  <c r="R17" i="1"/>
  <c r="AB22" i="1"/>
  <c r="AB29" i="39"/>
  <c r="R21" i="1"/>
  <c r="X22" i="39"/>
  <c r="X21" i="1"/>
  <c r="R28" i="1"/>
  <c r="X24" i="1"/>
  <c r="R24" i="39"/>
  <c r="R15" i="39"/>
  <c r="X15" i="39"/>
  <c r="R15" i="1"/>
  <c r="R30" i="1"/>
  <c r="R8" i="1"/>
  <c r="T25" i="1"/>
  <c r="X16" i="1"/>
  <c r="R7" i="39"/>
  <c r="AB13" i="39"/>
  <c r="X7" i="39"/>
  <c r="X17" i="39"/>
  <c r="Z14" i="39"/>
  <c r="V35" i="39"/>
  <c r="T35" i="39"/>
  <c r="T11" i="1"/>
  <c r="R27" i="1"/>
  <c r="X8" i="39"/>
  <c r="X31" i="39"/>
  <c r="R13" i="39"/>
  <c r="AB10" i="39"/>
  <c r="V29" i="39"/>
  <c r="T29" i="39"/>
  <c r="R16" i="39"/>
  <c r="Z11" i="1"/>
  <c r="Z26" i="1"/>
  <c r="Z29" i="39"/>
  <c r="AB12" i="1"/>
  <c r="R23" i="39"/>
  <c r="V10" i="39"/>
  <c r="T11" i="39"/>
  <c r="X29" i="1"/>
  <c r="T14" i="39"/>
  <c r="X15" i="1"/>
  <c r="Z28" i="39"/>
  <c r="AB35" i="39"/>
  <c r="V12" i="1"/>
  <c r="X33" i="39"/>
  <c r="R7" i="1"/>
  <c r="Z35" i="39"/>
  <c r="X32" i="39"/>
  <c r="R16" i="1"/>
  <c r="R31" i="39"/>
  <c r="R32" i="39"/>
  <c r="R19" i="1"/>
  <c r="R22" i="39"/>
  <c r="R29" i="1"/>
  <c r="X24" i="39"/>
  <c r="X17" i="1"/>
  <c r="Z11" i="39"/>
  <c r="X16" i="39"/>
  <c r="X30" i="1"/>
  <c r="X8" i="1"/>
  <c r="X28" i="1"/>
  <c r="X27" i="39"/>
  <c r="X23" i="39"/>
  <c r="R18" i="1"/>
  <c r="Z25" i="1"/>
  <c r="T26" i="1"/>
  <c r="Z13" i="1"/>
  <c r="X18" i="39"/>
  <c r="X7" i="1"/>
  <c r="X19" i="1"/>
  <c r="X36" i="39"/>
  <c r="T28" i="39"/>
  <c r="X20" i="1"/>
  <c r="AB26" i="39"/>
  <c r="V26" i="39"/>
  <c r="T13" i="1"/>
  <c r="X21" i="39"/>
  <c r="V13" i="39"/>
  <c r="R21" i="39"/>
  <c r="X27" i="1"/>
  <c r="W29" i="39" l="1"/>
  <c r="K18" i="39"/>
  <c r="AD21" i="1"/>
  <c r="L13" i="39"/>
  <c r="K13" i="39"/>
  <c r="N25" i="1"/>
  <c r="AF25" i="1" s="1"/>
  <c r="K17" i="34" s="1"/>
  <c r="K24" i="1"/>
  <c r="AE24" i="1" s="1"/>
  <c r="L24" i="1" s="1"/>
  <c r="K33" i="39"/>
  <c r="L33" i="39"/>
  <c r="K27" i="39"/>
  <c r="L27" i="39" s="1"/>
  <c r="G7" i="46"/>
  <c r="G2" i="46"/>
  <c r="K27" i="1"/>
  <c r="L27" i="1"/>
  <c r="N28" i="39"/>
  <c r="N26" i="1"/>
  <c r="L7" i="1"/>
  <c r="R31" i="1"/>
  <c r="B4" i="28" s="1"/>
  <c r="L31" i="1"/>
  <c r="K7" i="1"/>
  <c r="AD7" i="1"/>
  <c r="P9" i="50"/>
  <c r="P26" i="40"/>
  <c r="AB37" i="39"/>
  <c r="P26" i="39"/>
  <c r="L22" i="39"/>
  <c r="K22" i="39"/>
  <c r="O24" i="40"/>
  <c r="N14" i="39"/>
  <c r="O7" i="50"/>
  <c r="T37" i="39"/>
  <c r="N11" i="39"/>
  <c r="O8" i="50"/>
  <c r="O25" i="40"/>
  <c r="K23" i="39"/>
  <c r="L23" i="39"/>
  <c r="K16" i="1"/>
  <c r="L15" i="39"/>
  <c r="K15" i="39"/>
  <c r="K31" i="39"/>
  <c r="L31" i="39"/>
  <c r="P7" i="50"/>
  <c r="P24" i="40"/>
  <c r="N11" i="1"/>
  <c r="T31" i="1"/>
  <c r="B5" i="28" s="1"/>
  <c r="L36" i="39"/>
  <c r="K36" i="39"/>
  <c r="Z37" i="39"/>
  <c r="P25" i="40"/>
  <c r="P8" i="50"/>
  <c r="L15" i="1"/>
  <c r="K15" i="1"/>
  <c r="AD16" i="1"/>
  <c r="AC29" i="39"/>
  <c r="Q29" i="39"/>
  <c r="P29" i="39"/>
  <c r="P35" i="39"/>
  <c r="K17" i="39"/>
  <c r="AD20" i="1"/>
  <c r="K20" i="1"/>
  <c r="AE20" i="1" s="1"/>
  <c r="L20" i="1"/>
  <c r="N35" i="39"/>
  <c r="K8" i="1"/>
  <c r="AE8" i="1" s="1"/>
  <c r="K5" i="34" s="1"/>
  <c r="AD8" i="1"/>
  <c r="L8" i="1"/>
  <c r="K19" i="1"/>
  <c r="AE19" i="1" s="1"/>
  <c r="L19" i="1"/>
  <c r="AD19" i="1"/>
  <c r="K14" i="1"/>
  <c r="AE14" i="1" s="1"/>
  <c r="K19" i="34" s="1"/>
  <c r="L14" i="1"/>
  <c r="AD14" i="1"/>
  <c r="Z31" i="1"/>
  <c r="D5" i="28" s="1"/>
  <c r="O26" i="40"/>
  <c r="O9" i="50"/>
  <c r="P9" i="39"/>
  <c r="V37" i="39"/>
  <c r="K16" i="39"/>
  <c r="L16" i="39"/>
  <c r="K24" i="39"/>
  <c r="L24" i="39"/>
  <c r="L8" i="39"/>
  <c r="K8" i="39"/>
  <c r="K18" i="1"/>
  <c r="L21" i="1"/>
  <c r="K21" i="1"/>
  <c r="AE21" i="1" s="1"/>
  <c r="K7" i="34" s="1"/>
  <c r="O5" i="50"/>
  <c r="K7" i="39"/>
  <c r="L7" i="39"/>
  <c r="R37" i="39"/>
  <c r="O22" i="40"/>
  <c r="AD12" i="1"/>
  <c r="L12" i="1"/>
  <c r="K12" i="1"/>
  <c r="AE12" i="1" s="1"/>
  <c r="K13" i="34" s="1"/>
  <c r="K29" i="1"/>
  <c r="AE29" i="1" s="1"/>
  <c r="L29" i="1"/>
  <c r="AD29" i="1"/>
  <c r="N13" i="1"/>
  <c r="P12" i="1"/>
  <c r="V31" i="1"/>
  <c r="B6" i="28" s="1"/>
  <c r="N29" i="39"/>
  <c r="K17" i="1"/>
  <c r="K21" i="39"/>
  <c r="P13" i="39"/>
  <c r="L32" i="39"/>
  <c r="K32" i="39"/>
  <c r="K30" i="1"/>
  <c r="L30" i="1"/>
  <c r="K28" i="1"/>
  <c r="AE28" i="1" s="1"/>
  <c r="AD28" i="1"/>
  <c r="L28" i="1"/>
  <c r="X31" i="1"/>
  <c r="D4" i="28" s="1"/>
  <c r="P10" i="39"/>
  <c r="P22" i="1"/>
  <c r="AB31" i="1"/>
  <c r="D6" i="28" s="1"/>
  <c r="G13" i="46"/>
  <c r="X13" i="8"/>
  <c r="X35" i="8"/>
  <c r="X49" i="15"/>
  <c r="X36" i="8"/>
  <c r="W12" i="9"/>
  <c r="X10" i="8"/>
  <c r="W10" i="9"/>
  <c r="X25" i="39"/>
  <c r="I6" i="28" l="1"/>
  <c r="Q26" i="40"/>
  <c r="M36" i="39"/>
  <c r="M30" i="1"/>
  <c r="AE30" i="1" s="1"/>
  <c r="Y31" i="1"/>
  <c r="E4" i="28" s="1"/>
  <c r="Q8" i="50"/>
  <c r="P37" i="39"/>
  <c r="D6" i="40" s="1"/>
  <c r="P6" i="50"/>
  <c r="M31" i="39"/>
  <c r="Q9" i="50"/>
  <c r="P5" i="50"/>
  <c r="Q5" i="50" s="1"/>
  <c r="L37" i="39"/>
  <c r="K25" i="39"/>
  <c r="K37" i="39" s="1"/>
  <c r="X37" i="39"/>
  <c r="L25" i="39"/>
  <c r="P22" i="40"/>
  <c r="Q22" i="40" s="1"/>
  <c r="B6" i="40"/>
  <c r="B6" i="50"/>
  <c r="P23" i="40"/>
  <c r="O23" i="40"/>
  <c r="Q24" i="40"/>
  <c r="K31" i="1"/>
  <c r="F4" i="28" s="1"/>
  <c r="AE7" i="1"/>
  <c r="K11" i="34" s="1"/>
  <c r="C5" i="40"/>
  <c r="C5" i="50"/>
  <c r="Q25" i="40"/>
  <c r="B16" i="28"/>
  <c r="I4" i="28"/>
  <c r="N37" i="39"/>
  <c r="C6" i="50"/>
  <c r="C6" i="40"/>
  <c r="M27" i="1"/>
  <c r="S31" i="1"/>
  <c r="C4" i="28" s="1"/>
  <c r="C16" i="28" s="1"/>
  <c r="C18" i="28" s="1"/>
  <c r="AD27" i="1"/>
  <c r="B4" i="50"/>
  <c r="B4" i="40"/>
  <c r="AE16" i="1"/>
  <c r="B5" i="40"/>
  <c r="B5" i="50"/>
  <c r="B17" i="28"/>
  <c r="D17" i="28" s="1"/>
  <c r="I5" i="28"/>
  <c r="Q7" i="50"/>
  <c r="O6" i="50"/>
  <c r="P31" i="1"/>
  <c r="F6" i="28" s="1"/>
  <c r="AD30" i="1"/>
  <c r="N31" i="1"/>
  <c r="F5" i="28" s="1"/>
  <c r="M31" i="1" l="1"/>
  <c r="G4" i="28" s="1"/>
  <c r="D6" i="50"/>
  <c r="AE27" i="1"/>
  <c r="K9" i="34" s="1"/>
  <c r="F5" i="40"/>
  <c r="F5" i="50"/>
  <c r="Q6" i="50"/>
  <c r="F6" i="40"/>
  <c r="F6" i="50"/>
  <c r="D5" i="40"/>
  <c r="D5" i="50"/>
  <c r="Q23" i="40"/>
  <c r="D4" i="40"/>
  <c r="D4" i="50"/>
  <c r="D16" i="28"/>
  <c r="B18" i="28"/>
  <c r="D18" i="28" s="1"/>
  <c r="C4" i="40"/>
  <c r="F4" i="40" s="1"/>
  <c r="C4" i="50"/>
  <c r="F4" i="50" s="1"/>
  <c r="Y37" i="39"/>
  <c r="AC37" i="39"/>
  <c r="M25" i="39" l="1"/>
  <c r="M37" i="39" s="1"/>
  <c r="S37" i="39"/>
  <c r="Q25" i="39"/>
  <c r="Q37" i="39" s="1"/>
  <c r="W37" i="39"/>
</calcChain>
</file>

<file path=xl/comments1.xml><?xml version="1.0" encoding="utf-8"?>
<comments xmlns="http://schemas.openxmlformats.org/spreadsheetml/2006/main">
  <authors>
    <author>Christina Steinhoff</author>
  </authors>
  <commentList>
    <comment ref="A6" authorId="0" shapeId="0">
      <text>
        <r>
          <rPr>
            <b/>
            <sz val="9"/>
            <color indexed="81"/>
            <rFont val="Tahoma"/>
            <family val="2"/>
          </rPr>
          <t>Christina Steinhoff:</t>
        </r>
        <r>
          <rPr>
            <sz val="9"/>
            <color indexed="81"/>
            <rFont val="Tahoma"/>
            <family val="2"/>
          </rPr>
          <t xml:space="preserve">
LED lighting and Commercial Desktops</t>
        </r>
      </text>
    </comment>
  </commentList>
</comments>
</file>

<file path=xl/comments10.xml><?xml version="1.0" encoding="utf-8"?>
<comments xmlns="http://schemas.openxmlformats.org/spreadsheetml/2006/main">
  <authors>
    <author>Christina Steinhoff</author>
  </authors>
  <commentList>
    <comment ref="M5" authorId="0" shapeId="0">
      <text>
        <r>
          <rPr>
            <b/>
            <sz val="9"/>
            <color indexed="81"/>
            <rFont val="Tahoma"/>
            <family val="2"/>
          </rPr>
          <t>Christina Steinhoff:</t>
        </r>
        <r>
          <rPr>
            <sz val="9"/>
            <color indexed="81"/>
            <rFont val="Tahoma"/>
            <family val="2"/>
          </rPr>
          <t xml:space="preserve">
Pulling total sales</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K11" authorId="0" shapeId="0">
      <text>
        <r>
          <rPr>
            <b/>
            <sz val="9"/>
            <color indexed="81"/>
            <rFont val="Tahoma"/>
            <family val="2"/>
          </rPr>
          <t>Christina Steinhoff:</t>
        </r>
        <r>
          <rPr>
            <sz val="9"/>
            <color indexed="81"/>
            <rFont val="Tahoma"/>
            <family val="2"/>
          </rPr>
          <t xml:space="preserve">
Home Energy Rating System and National ENERGY STAR homes. </t>
        </r>
      </text>
    </comment>
  </commentList>
</comments>
</file>

<file path=xl/comments11.xml><?xml version="1.0" encoding="utf-8"?>
<comments xmlns="http://schemas.openxmlformats.org/spreadsheetml/2006/main">
  <authors>
    <author>Christina Steinhoff</author>
  </authors>
  <commentList>
    <comment ref="M5" authorId="0" shapeId="0">
      <text>
        <r>
          <rPr>
            <b/>
            <sz val="9"/>
            <color indexed="81"/>
            <rFont val="Tahoma"/>
            <family val="2"/>
          </rPr>
          <t>Christina Steinhoff:</t>
        </r>
        <r>
          <rPr>
            <sz val="9"/>
            <color indexed="81"/>
            <rFont val="Tahoma"/>
            <family val="2"/>
          </rPr>
          <t xml:space="preserve">
Pulling total sales</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O29" authorId="0" shapeId="0">
      <text>
        <r>
          <rPr>
            <b/>
            <sz val="9"/>
            <color indexed="81"/>
            <rFont val="Tahoma"/>
            <family val="2"/>
          </rPr>
          <t>Christina Steinhoff:
target values</t>
        </r>
      </text>
    </comment>
  </commentList>
</comments>
</file>

<file path=xl/comments12.xml><?xml version="1.0" encoding="utf-8"?>
<comments xmlns="http://schemas.openxmlformats.org/spreadsheetml/2006/main">
  <authors>
    <author>Christina Steinhoff</author>
  </authors>
  <commentList>
    <comment ref="M4" authorId="0" shapeId="0">
      <text>
        <r>
          <rPr>
            <b/>
            <sz val="9"/>
            <color indexed="81"/>
            <rFont val="Tahoma"/>
            <family val="2"/>
          </rPr>
          <t>Christina Steinhoff:</t>
        </r>
        <r>
          <rPr>
            <sz val="9"/>
            <color indexed="81"/>
            <rFont val="Tahoma"/>
            <family val="2"/>
          </rPr>
          <t xml:space="preserve">
Pulling total sales</t>
        </r>
      </text>
    </comment>
    <comment ref="N4"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4"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K12" authorId="0" shapeId="0">
      <text>
        <r>
          <rPr>
            <b/>
            <sz val="9"/>
            <color indexed="81"/>
            <rFont val="Tahoma"/>
            <family val="2"/>
          </rPr>
          <t>Christina Steinhoff:</t>
        </r>
        <r>
          <rPr>
            <sz val="9"/>
            <color indexed="81"/>
            <rFont val="Tahoma"/>
            <family val="2"/>
          </rPr>
          <t xml:space="preserve">
Expect a spec revision</t>
        </r>
      </text>
    </comment>
    <comment ref="S15" authorId="0" shapeId="0">
      <text>
        <r>
          <rPr>
            <b/>
            <sz val="9"/>
            <color indexed="81"/>
            <rFont val="Tahoma"/>
            <family val="2"/>
          </rPr>
          <t>Christina Steinhoff:</t>
        </r>
        <r>
          <rPr>
            <sz val="9"/>
            <color indexed="81"/>
            <rFont val="Tahoma"/>
            <family val="2"/>
          </rPr>
          <t xml:space="preserve">
expect a specification revision</t>
        </r>
      </text>
    </comment>
  </commentList>
</comments>
</file>

<file path=xl/comments13.xml><?xml version="1.0" encoding="utf-8"?>
<comments xmlns="http://schemas.openxmlformats.org/spreadsheetml/2006/main">
  <authors>
    <author>Christina Steinhoff</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14.xml><?xml version="1.0" encoding="utf-8"?>
<comments xmlns="http://schemas.openxmlformats.org/spreadsheetml/2006/main">
  <authors>
    <author>Christina Steinhoff</author>
  </authors>
  <commentList>
    <comment ref="S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M5" authorId="0" shapeId="0">
      <text>
        <r>
          <rPr>
            <b/>
            <sz val="9"/>
            <color indexed="81"/>
            <rFont val="Tahoma"/>
            <family val="2"/>
          </rPr>
          <t>Christina Steinhoff:</t>
        </r>
        <r>
          <rPr>
            <sz val="9"/>
            <color indexed="81"/>
            <rFont val="Tahoma"/>
            <family val="2"/>
          </rPr>
          <t xml:space="preserve">
total sales by measure
values are additive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K18" authorId="0" shapeId="0">
      <text>
        <r>
          <rPr>
            <b/>
            <sz val="9"/>
            <color indexed="81"/>
            <rFont val="Tahoma"/>
            <family val="2"/>
          </rPr>
          <t>Christina Steinhoff:</t>
        </r>
        <r>
          <rPr>
            <sz val="9"/>
            <color indexed="81"/>
            <rFont val="Tahoma"/>
            <family val="2"/>
          </rPr>
          <t xml:space="preserve">
include ES 8</t>
        </r>
      </text>
    </comment>
    <comment ref="K21" authorId="0" shapeId="0">
      <text>
        <r>
          <rPr>
            <b/>
            <sz val="9"/>
            <color indexed="81"/>
            <rFont val="Tahoma"/>
            <family val="2"/>
          </rPr>
          <t>Christina Steinhoff:</t>
        </r>
        <r>
          <rPr>
            <sz val="9"/>
            <color indexed="81"/>
            <rFont val="Tahoma"/>
            <family val="2"/>
          </rPr>
          <t xml:space="preserve">
Includes ES 8</t>
        </r>
      </text>
    </comment>
    <comment ref="K115" authorId="0" shapeId="0">
      <text>
        <r>
          <rPr>
            <b/>
            <sz val="9"/>
            <color indexed="81"/>
            <rFont val="Tahoma"/>
            <family val="2"/>
          </rPr>
          <t>Christina Steinhoff:</t>
        </r>
        <r>
          <rPr>
            <sz val="9"/>
            <color indexed="81"/>
            <rFont val="Tahoma"/>
            <family val="2"/>
          </rPr>
          <t xml:space="preserve">
Forecast is based on 2016 sales data and consideration of the 2018 Federal Standard.</t>
        </r>
      </text>
    </comment>
    <comment ref="K116" authorId="0" shapeId="0">
      <text>
        <r>
          <rPr>
            <b/>
            <sz val="9"/>
            <color indexed="81"/>
            <rFont val="Tahoma"/>
            <family val="2"/>
          </rPr>
          <t>Christina Steinhoff:</t>
        </r>
        <r>
          <rPr>
            <sz val="9"/>
            <color indexed="81"/>
            <rFont val="Tahoma"/>
            <family val="2"/>
          </rPr>
          <t xml:space="preserve">
NEEA will update these values with actual data. The values below are based on 2016 data and the 2018 Federal Standard.</t>
        </r>
      </text>
    </comment>
    <comment ref="L227" authorId="0" shapeId="0">
      <text>
        <r>
          <rPr>
            <b/>
            <sz val="9"/>
            <color indexed="81"/>
            <rFont val="Tahoma"/>
            <family val="2"/>
          </rPr>
          <t>Christina Steinhoff:</t>
        </r>
        <r>
          <rPr>
            <sz val="9"/>
            <color indexed="81"/>
            <rFont val="Tahoma"/>
            <family val="2"/>
          </rPr>
          <t xml:space="preserve">
&lt;=2.5 ft3, 2.07 IMEF  &gt;2.5 ft3, 2.76 IMEF</t>
        </r>
      </text>
    </comment>
  </commentList>
</comments>
</file>

<file path=xl/comments15.xml><?xml version="1.0" encoding="utf-8"?>
<comments xmlns="http://schemas.openxmlformats.org/spreadsheetml/2006/main">
  <authors>
    <author>Christina Steinhoff</author>
  </authors>
  <commentList>
    <comment ref="S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M5" authorId="0" shapeId="0">
      <text>
        <r>
          <rPr>
            <b/>
            <sz val="9"/>
            <color indexed="81"/>
            <rFont val="Tahoma"/>
            <family val="2"/>
          </rPr>
          <t>Christina Steinhoff:</t>
        </r>
        <r>
          <rPr>
            <sz val="9"/>
            <color indexed="81"/>
            <rFont val="Tahoma"/>
            <family val="2"/>
          </rPr>
          <t xml:space="preserve">
Pulling total sales
values are additive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R11" authorId="0" shapeId="0">
      <text>
        <r>
          <rPr>
            <b/>
            <sz val="9"/>
            <color indexed="81"/>
            <rFont val="Tahoma"/>
            <family val="2"/>
          </rPr>
          <t>Christina Steinhoff:</t>
        </r>
        <r>
          <rPr>
            <sz val="9"/>
            <color indexed="81"/>
            <rFont val="Tahoma"/>
            <family val="2"/>
          </rPr>
          <t xml:space="preserve">
TBD savings rate</t>
        </r>
      </text>
    </comment>
    <comment ref="W24" authorId="0" shapeId="0">
      <text>
        <r>
          <rPr>
            <b/>
            <sz val="9"/>
            <color indexed="81"/>
            <rFont val="Tahoma"/>
            <family val="2"/>
          </rPr>
          <t>Christina Steinhoff:</t>
        </r>
        <r>
          <rPr>
            <sz val="9"/>
            <color indexed="81"/>
            <rFont val="Tahoma"/>
            <family val="2"/>
          </rPr>
          <t xml:space="preserve">
will add in future reports
</t>
        </r>
      </text>
    </comment>
    <comment ref="W52" authorId="0" shapeId="0">
      <text>
        <r>
          <rPr>
            <b/>
            <sz val="9"/>
            <color indexed="81"/>
            <rFont val="Tahoma"/>
            <family val="2"/>
          </rPr>
          <t>Christina Steinhoff:</t>
        </r>
        <r>
          <rPr>
            <sz val="9"/>
            <color indexed="81"/>
            <rFont val="Tahoma"/>
            <family val="2"/>
          </rPr>
          <t xml:space="preserve">
will add in future reports
</t>
        </r>
      </text>
    </comment>
    <comment ref="J160" authorId="0" shapeId="0">
      <text>
        <r>
          <rPr>
            <b/>
            <sz val="9"/>
            <color indexed="81"/>
            <rFont val="Tahoma"/>
            <family val="2"/>
          </rPr>
          <t>Christina Steinhoff:</t>
        </r>
        <r>
          <rPr>
            <sz val="9"/>
            <color indexed="81"/>
            <rFont val="Tahoma"/>
            <family val="2"/>
          </rPr>
          <t xml:space="preserve">
incremental to current practice baseline</t>
        </r>
      </text>
    </comment>
  </commentList>
</comments>
</file>

<file path=xl/comments16.xml><?xml version="1.0" encoding="utf-8"?>
<comments xmlns="http://schemas.openxmlformats.org/spreadsheetml/2006/main">
  <authors>
    <author>Christina Steinhoff</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17.xml><?xml version="1.0" encoding="utf-8"?>
<comments xmlns="http://schemas.openxmlformats.org/spreadsheetml/2006/main">
  <authors>
    <author>Christina Steinhoff</author>
    <author>Charlie Grist</author>
  </authors>
  <commentList>
    <comment ref="N6"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6"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R7" authorId="0" shapeId="0">
      <text>
        <r>
          <rPr>
            <b/>
            <sz val="9"/>
            <color indexed="81"/>
            <rFont val="Tahoma"/>
            <family val="2"/>
          </rPr>
          <t>Christina Steinhoff:</t>
        </r>
        <r>
          <rPr>
            <sz val="9"/>
            <color indexed="81"/>
            <rFont val="Tahoma"/>
            <family val="2"/>
          </rPr>
          <t xml:space="preserve">
savings are reported in aMW</t>
        </r>
      </text>
    </comment>
    <comment ref="R13" authorId="0" shapeId="0">
      <text>
        <r>
          <rPr>
            <b/>
            <sz val="9"/>
            <color indexed="81"/>
            <rFont val="Tahoma"/>
            <family val="2"/>
          </rPr>
          <t>Christina Steinhoff:</t>
        </r>
        <r>
          <rPr>
            <sz val="9"/>
            <color indexed="81"/>
            <rFont val="Tahoma"/>
            <family val="2"/>
          </rPr>
          <t xml:space="preserve">
savings are reported in aMW</t>
        </r>
      </text>
    </comment>
    <comment ref="H27"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I27"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J27" authorId="1" shapeId="0">
      <text>
        <r>
          <rPr>
            <b/>
            <sz val="9"/>
            <color indexed="81"/>
            <rFont val="Tahoma"/>
            <family val="2"/>
          </rPr>
          <t>Charlie Grist:</t>
        </r>
        <r>
          <rPr>
            <sz val="9"/>
            <color indexed="81"/>
            <rFont val="Tahoma"/>
            <family val="2"/>
          </rPr>
          <t xml:space="preserve">
LF wattage only, after application of LPD measures.  From Com-Interior Lighting
</t>
        </r>
      </text>
    </comment>
    <comment ref="K27" authorId="1" shapeId="0">
      <text>
        <r>
          <rPr>
            <b/>
            <sz val="9"/>
            <color indexed="81"/>
            <rFont val="Tahoma"/>
            <family val="2"/>
          </rPr>
          <t>Charlie Grist:</t>
        </r>
        <r>
          <rPr>
            <sz val="9"/>
            <color indexed="81"/>
            <rFont val="Tahoma"/>
            <family val="2"/>
          </rPr>
          <t xml:space="preserve">
LF wattage only, after application of LPD measures.  From Com-Interior Lighting
</t>
        </r>
      </text>
    </comment>
    <comment ref="L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M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N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O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P27"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Q27"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R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Z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List>
</comments>
</file>

<file path=xl/comments18.xml><?xml version="1.0" encoding="utf-8"?>
<comments xmlns="http://schemas.openxmlformats.org/spreadsheetml/2006/main">
  <authors>
    <author>Christina Steinhoff</author>
    <author>Kathryn Bae</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L40" authorId="1" shapeId="0">
      <text>
        <r>
          <rPr>
            <b/>
            <sz val="8"/>
            <color indexed="81"/>
            <rFont val="Tahoma"/>
            <family val="2"/>
          </rPr>
          <t>Kathryn Bae:</t>
        </r>
        <r>
          <rPr>
            <sz val="8"/>
            <color indexed="81"/>
            <rFont val="Tahoma"/>
            <family val="2"/>
          </rPr>
          <t xml:space="preserve">
LTMT 2009 &amp; 2011.</t>
        </r>
      </text>
    </comment>
    <comment ref="L62" authorId="1" shapeId="0">
      <text>
        <r>
          <rPr>
            <b/>
            <sz val="8"/>
            <color indexed="81"/>
            <rFont val="Tahoma"/>
            <family val="2"/>
          </rPr>
          <t>Kathryn Bae:</t>
        </r>
        <r>
          <rPr>
            <sz val="8"/>
            <color indexed="81"/>
            <rFont val="Tahoma"/>
            <family val="2"/>
          </rPr>
          <t xml:space="preserve">
LTMT 2009 &amp; 2011.</t>
        </r>
      </text>
    </comment>
  </commentList>
</comments>
</file>

<file path=xl/comments19.xml><?xml version="1.0" encoding="utf-8"?>
<comments xmlns="http://schemas.openxmlformats.org/spreadsheetml/2006/main">
  <authors>
    <author>Christina Steinhoff</author>
    <author>Ryan Brown</author>
    <author>Katie Nichols</author>
  </authors>
  <commentList>
    <comment ref="M5" authorId="0" shapeId="0">
      <text>
        <r>
          <rPr>
            <b/>
            <sz val="9"/>
            <color indexed="81"/>
            <rFont val="Tahoma"/>
            <family val="2"/>
          </rPr>
          <t>Christina Steinhoff:</t>
        </r>
        <r>
          <rPr>
            <sz val="9"/>
            <color indexed="81"/>
            <rFont val="Tahoma"/>
            <family val="2"/>
          </rPr>
          <t xml:space="preserve">
Values are additive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1" shapeId="0">
      <text>
        <r>
          <rPr>
            <b/>
            <sz val="9"/>
            <color indexed="81"/>
            <rFont val="Tahoma"/>
            <family val="2"/>
          </rPr>
          <t>Ryan Brown:</t>
        </r>
        <r>
          <rPr>
            <sz val="9"/>
            <color indexed="81"/>
            <rFont val="Tahoma"/>
            <family val="2"/>
          </rPr>
          <t xml:space="preserve">
Replacements for desktops sold during the power plan.</t>
        </r>
      </text>
    </comment>
    <comment ref="P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J52" authorId="2" shapeId="0">
      <text>
        <r>
          <rPr>
            <b/>
            <sz val="9"/>
            <color indexed="81"/>
            <rFont val="Tahoma"/>
            <family val="2"/>
          </rPr>
          <t>Katie Nichols:</t>
        </r>
        <r>
          <rPr>
            <sz val="9"/>
            <color indexed="81"/>
            <rFont val="Tahoma"/>
            <family val="2"/>
          </rPr>
          <t xml:space="preserve">
Per Xergy Consulting analyses.</t>
        </r>
      </text>
    </comment>
    <comment ref="K56" authorId="2" shapeId="0">
      <text>
        <r>
          <rPr>
            <b/>
            <sz val="9"/>
            <color indexed="81"/>
            <rFont val="Tahoma"/>
            <family val="2"/>
          </rPr>
          <t>Katie Nichols:</t>
        </r>
        <r>
          <rPr>
            <sz val="9"/>
            <color indexed="81"/>
            <rFont val="Tahoma"/>
            <family val="2"/>
          </rPr>
          <t xml:space="preserve">
Per 7th Power Plan.</t>
        </r>
      </text>
    </comment>
  </commentList>
</comments>
</file>

<file path=xl/comments2.xml><?xml version="1.0" encoding="utf-8"?>
<comments xmlns="http://schemas.openxmlformats.org/spreadsheetml/2006/main">
  <authors>
    <author>Christina Steinhoff</author>
  </authors>
  <commentList>
    <comment ref="AD6" authorId="0" shapeId="0">
      <text>
        <r>
          <rPr>
            <b/>
            <sz val="9"/>
            <color indexed="81"/>
            <rFont val="Tahoma"/>
            <family val="2"/>
          </rPr>
          <t>Christina Steinhoff:</t>
        </r>
        <r>
          <rPr>
            <sz val="9"/>
            <color indexed="81"/>
            <rFont val="Tahoma"/>
            <family val="2"/>
          </rPr>
          <t xml:space="preserve">
For blue highlighted programs, go to tab to switch the baseline</t>
        </r>
      </text>
    </comment>
    <comment ref="J24" authorId="0" shapeId="0">
      <text>
        <r>
          <rPr>
            <b/>
            <sz val="9"/>
            <color indexed="81"/>
            <rFont val="Tahoma"/>
            <family val="2"/>
          </rPr>
          <t>Christina Steinhoff:</t>
        </r>
        <r>
          <rPr>
            <sz val="9"/>
            <color indexed="81"/>
            <rFont val="Tahoma"/>
            <family val="2"/>
          </rPr>
          <t xml:space="preserve">
includes industrial buildings</t>
        </r>
      </text>
    </comment>
  </commentList>
</comments>
</file>

<file path=xl/comments20.xml><?xml version="1.0" encoding="utf-8"?>
<comments xmlns="http://schemas.openxmlformats.org/spreadsheetml/2006/main">
  <authors>
    <author>Christina Steinhoff</author>
    <author>Ryan Brown</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1" shapeId="0">
      <text>
        <r>
          <rPr>
            <b/>
            <sz val="9"/>
            <color indexed="81"/>
            <rFont val="Tahoma"/>
            <family val="2"/>
          </rPr>
          <t>Ryan Brown:</t>
        </r>
        <r>
          <rPr>
            <sz val="9"/>
            <color indexed="81"/>
            <rFont val="Tahoma"/>
            <family val="2"/>
          </rPr>
          <t xml:space="preserve">
Replacements for computers sold during the power plan.</t>
        </r>
      </text>
    </comment>
    <comment ref="P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21.xml><?xml version="1.0" encoding="utf-8"?>
<comments xmlns="http://schemas.openxmlformats.org/spreadsheetml/2006/main">
  <authors>
    <author>Christina Steinhoff</author>
  </authors>
  <commentList>
    <comment ref="S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22.xml><?xml version="1.0" encoding="utf-8"?>
<comments xmlns="http://schemas.openxmlformats.org/spreadsheetml/2006/main">
  <authors>
    <author>Christina Steinhoff</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23.xml><?xml version="1.0" encoding="utf-8"?>
<comments xmlns="http://schemas.openxmlformats.org/spreadsheetml/2006/main">
  <authors>
    <author>Christina Steinhoff</author>
  </authors>
  <commentList>
    <comment ref="L3"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M3"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24.xml><?xml version="1.0" encoding="utf-8"?>
<comments xmlns="http://schemas.openxmlformats.org/spreadsheetml/2006/main">
  <authors>
    <author>Christina Steinhoff</author>
    <author>Charlie Grist</author>
  </authors>
  <commentList>
    <comment ref="R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H23"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I23"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J23" authorId="1" shapeId="0">
      <text>
        <r>
          <rPr>
            <b/>
            <sz val="9"/>
            <color indexed="81"/>
            <rFont val="Tahoma"/>
            <family val="2"/>
          </rPr>
          <t>Charlie Grist:</t>
        </r>
        <r>
          <rPr>
            <sz val="9"/>
            <color indexed="81"/>
            <rFont val="Tahoma"/>
            <family val="2"/>
          </rPr>
          <t xml:space="preserve">
LF wattage only, after application of LPD measures.  From Com-Interior Lighting
</t>
        </r>
      </text>
    </comment>
    <comment ref="K23" authorId="1" shapeId="0">
      <text>
        <r>
          <rPr>
            <b/>
            <sz val="9"/>
            <color indexed="81"/>
            <rFont val="Tahoma"/>
            <family val="2"/>
          </rPr>
          <t>Charlie Grist:</t>
        </r>
        <r>
          <rPr>
            <sz val="9"/>
            <color indexed="81"/>
            <rFont val="Tahoma"/>
            <family val="2"/>
          </rPr>
          <t xml:space="preserve">
LF wattage only, after application of LPD measures.  From Com-Interior Lighting
</t>
        </r>
      </text>
    </comment>
    <comment ref="L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M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N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O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P23"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Q23"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R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Z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List>
</comments>
</file>

<file path=xl/comments3.xml><?xml version="1.0" encoding="utf-8"?>
<comments xmlns="http://schemas.openxmlformats.org/spreadsheetml/2006/main">
  <authors>
    <author>Christina Steinhoff</author>
  </authors>
  <commentList>
    <comment ref="E80" authorId="0" shapeId="0">
      <text>
        <r>
          <rPr>
            <b/>
            <sz val="9"/>
            <color indexed="81"/>
            <rFont val="Tahoma"/>
            <family val="2"/>
          </rPr>
          <t>Christina Steinhoff:</t>
        </r>
        <r>
          <rPr>
            <sz val="9"/>
            <color indexed="81"/>
            <rFont val="Tahoma"/>
            <family val="2"/>
          </rPr>
          <t xml:space="preserve">
beverage machines</t>
        </r>
      </text>
    </comment>
  </commentList>
</comments>
</file>

<file path=xl/comments4.xml><?xml version="1.0" encoding="utf-8"?>
<comments xmlns="http://schemas.openxmlformats.org/spreadsheetml/2006/main">
  <authors>
    <author>Christina Steinhoff</author>
  </authors>
  <commentList>
    <comment ref="A6" authorId="0" shapeId="0">
      <text>
        <r>
          <rPr>
            <b/>
            <sz val="9"/>
            <color indexed="81"/>
            <rFont val="Tahoma"/>
            <family val="2"/>
          </rPr>
          <t>Christina Steinhoff:</t>
        </r>
        <r>
          <rPr>
            <sz val="9"/>
            <color indexed="81"/>
            <rFont val="Tahoma"/>
            <family val="2"/>
          </rPr>
          <t xml:space="preserve">
LED lighting and Commercial Desktops</t>
        </r>
      </text>
    </comment>
  </commentList>
</comments>
</file>

<file path=xl/comments5.xml><?xml version="1.0" encoding="utf-8"?>
<comments xmlns="http://schemas.openxmlformats.org/spreadsheetml/2006/main">
  <authors>
    <author>Christina Steinhoff</author>
  </authors>
  <commentList>
    <comment ref="V1" authorId="0" shapeId="0">
      <text>
        <r>
          <rPr>
            <b/>
            <sz val="9"/>
            <color indexed="81"/>
            <rFont val="Tahoma"/>
            <family val="2"/>
          </rPr>
          <t>Christina Steinhoff:</t>
        </r>
        <r>
          <rPr>
            <sz val="9"/>
            <color indexed="81"/>
            <rFont val="Tahoma"/>
            <family val="2"/>
          </rPr>
          <t xml:space="preserve">
-Select "RTF" to see RTF updates.
-Select "7th PP" for no update.</t>
        </r>
      </text>
    </comment>
    <comment ref="K4" authorId="0" shapeId="0">
      <text>
        <r>
          <rPr>
            <b/>
            <sz val="9"/>
            <color indexed="81"/>
            <rFont val="Tahoma"/>
            <family val="2"/>
          </rPr>
          <t>Christina Steinhoff:</t>
        </r>
        <r>
          <rPr>
            <sz val="9"/>
            <color indexed="81"/>
            <rFont val="Tahoma"/>
            <family val="2"/>
          </rPr>
          <t xml:space="preserve">
efficiency level</t>
        </r>
      </text>
    </comment>
    <comment ref="M4" authorId="0" shapeId="0">
      <text>
        <r>
          <rPr>
            <b/>
            <sz val="9"/>
            <color indexed="81"/>
            <rFont val="Tahoma"/>
            <family val="2"/>
          </rPr>
          <t>Christina Steinhoff:</t>
        </r>
        <r>
          <rPr>
            <sz val="9"/>
            <color indexed="81"/>
            <rFont val="Tahoma"/>
            <family val="2"/>
          </rPr>
          <t xml:space="preserve">
Estimate of regional installs</t>
        </r>
      </text>
    </comment>
    <comment ref="N4"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4"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6.xml><?xml version="1.0" encoding="utf-8"?>
<comments xmlns="http://schemas.openxmlformats.org/spreadsheetml/2006/main">
  <authors>
    <author>Christina Steinhoff</author>
  </authors>
  <commentList>
    <comment ref="S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M5" authorId="0" shapeId="0">
      <text>
        <r>
          <rPr>
            <b/>
            <sz val="9"/>
            <color indexed="81"/>
            <rFont val="Tahoma"/>
            <family val="2"/>
          </rPr>
          <t>Christina Steinhoff:</t>
        </r>
        <r>
          <rPr>
            <sz val="9"/>
            <color indexed="81"/>
            <rFont val="Tahoma"/>
            <family val="2"/>
          </rPr>
          <t xml:space="preserve">
Units are subsets to the lower efficiency tier.</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F16" authorId="0" shapeId="0">
      <text>
        <r>
          <rPr>
            <b/>
            <sz val="9"/>
            <color indexed="81"/>
            <rFont val="Tahoma"/>
            <family val="2"/>
          </rPr>
          <t>Christina Steinhoff:</t>
        </r>
        <r>
          <rPr>
            <sz val="9"/>
            <color indexed="81"/>
            <rFont val="Tahoma"/>
            <family val="2"/>
          </rPr>
          <t xml:space="preserve">
is this above baseline?</t>
        </r>
      </text>
    </comment>
    <comment ref="F32" authorId="0" shapeId="0">
      <text>
        <r>
          <rPr>
            <b/>
            <sz val="9"/>
            <color indexed="81"/>
            <rFont val="Tahoma"/>
            <family val="2"/>
          </rPr>
          <t>Christina Steinhoff:</t>
        </r>
        <r>
          <rPr>
            <sz val="9"/>
            <color indexed="81"/>
            <rFont val="Tahoma"/>
            <family val="2"/>
          </rPr>
          <t xml:space="preserve">
is this above baseline?</t>
        </r>
      </text>
    </comment>
    <comment ref="F48" authorId="0" shapeId="0">
      <text>
        <r>
          <rPr>
            <b/>
            <sz val="9"/>
            <color indexed="81"/>
            <rFont val="Tahoma"/>
            <family val="2"/>
          </rPr>
          <t>Christina Steinhoff:</t>
        </r>
        <r>
          <rPr>
            <sz val="9"/>
            <color indexed="81"/>
            <rFont val="Tahoma"/>
            <family val="2"/>
          </rPr>
          <t xml:space="preserve">
is this above baseline?</t>
        </r>
      </text>
    </comment>
    <comment ref="F64" authorId="0" shapeId="0">
      <text>
        <r>
          <rPr>
            <b/>
            <sz val="9"/>
            <color indexed="81"/>
            <rFont val="Tahoma"/>
            <family val="2"/>
          </rPr>
          <t>Christina Steinhoff:</t>
        </r>
        <r>
          <rPr>
            <sz val="9"/>
            <color indexed="81"/>
            <rFont val="Tahoma"/>
            <family val="2"/>
          </rPr>
          <t xml:space="preserve">
is this above baseline?</t>
        </r>
      </text>
    </comment>
    <comment ref="L323" authorId="0" shapeId="0">
      <text>
        <r>
          <rPr>
            <b/>
            <sz val="9"/>
            <color indexed="81"/>
            <rFont val="Tahoma"/>
            <family val="2"/>
          </rPr>
          <t>Christina Steinhoff:</t>
        </r>
        <r>
          <rPr>
            <sz val="9"/>
            <color indexed="81"/>
            <rFont val="Tahoma"/>
            <family val="2"/>
          </rPr>
          <t xml:space="preserve">
7th PP</t>
        </r>
      </text>
    </comment>
  </commentList>
</comments>
</file>

<file path=xl/comments7.xml><?xml version="1.0" encoding="utf-8"?>
<comments xmlns="http://schemas.openxmlformats.org/spreadsheetml/2006/main">
  <authors>
    <author>Christina Steinhoff</author>
    <author xml:space="preserve"> </author>
    <author>Ryan Brown</author>
  </authors>
  <commentList>
    <comment ref="V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M5" authorId="0" shapeId="0">
      <text>
        <r>
          <rPr>
            <b/>
            <sz val="9"/>
            <color indexed="81"/>
            <rFont val="Tahoma"/>
            <family val="2"/>
          </rPr>
          <t>Christina Steinhoff:</t>
        </r>
        <r>
          <rPr>
            <sz val="9"/>
            <color indexed="81"/>
            <rFont val="Tahoma"/>
            <family val="2"/>
          </rPr>
          <t xml:space="preserve">
Units are additive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R19" authorId="0" shapeId="0">
      <text>
        <r>
          <rPr>
            <b/>
            <sz val="9"/>
            <color indexed="81"/>
            <rFont val="Tahoma"/>
            <family val="2"/>
          </rPr>
          <t>Christina Steinhoff:</t>
        </r>
        <r>
          <rPr>
            <sz val="9"/>
            <color indexed="81"/>
            <rFont val="Tahoma"/>
            <family val="2"/>
          </rPr>
          <t xml:space="preserve">
Note: the RTF rate is significantly larger than the Power Plan rate because it is based on 2018 lab testing.</t>
        </r>
      </text>
    </comment>
    <comment ref="H48" authorId="1" shape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J48" authorId="1" shape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K48" authorId="1" shape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L48" authorId="1" shapeId="0">
      <text>
        <r>
          <rPr>
            <b/>
            <sz val="8"/>
            <color indexed="81"/>
            <rFont val="Tahoma"/>
            <family val="2"/>
          </rPr>
          <t xml:space="preserve"> :ProCost</t>
        </r>
        <r>
          <rPr>
            <sz val="8"/>
            <color indexed="81"/>
            <rFont val="Tahoma"/>
            <family val="2"/>
          </rPr>
          <t xml:space="preserve">
Physical life of the measure in years.  Must be &gt;=1.</t>
        </r>
      </text>
    </comment>
    <comment ref="M48" authorId="1" shape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N48" authorId="1" shape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O48" authorId="1" shape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P48" authorId="1" shape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R48" authorId="1" shape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T48" authorId="1" shape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U48" authorId="1" shape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V48" authorId="1" shapeId="0">
      <text>
        <r>
          <rPr>
            <b/>
            <sz val="8"/>
            <color indexed="81"/>
            <rFont val="Tahoma"/>
            <family val="2"/>
          </rPr>
          <t xml:space="preserve"> :ProCost</t>
        </r>
        <r>
          <rPr>
            <sz val="8"/>
            <color indexed="81"/>
            <rFont val="Tahoma"/>
            <family val="2"/>
          </rPr>
          <t xml:space="preserve">
Physical life of the measure in years.  Must be &gt;=1.</t>
        </r>
      </text>
    </comment>
    <comment ref="W48" authorId="1" shape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X48" authorId="1" shape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Y48" authorId="1" shape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Z48" authorId="1" shape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K89" authorId="2" shapeId="0">
      <text>
        <r>
          <rPr>
            <b/>
            <sz val="9"/>
            <color indexed="81"/>
            <rFont val="Tahoma"/>
            <family val="2"/>
          </rPr>
          <t>Ryan Brown:</t>
        </r>
        <r>
          <rPr>
            <sz val="9"/>
            <color indexed="81"/>
            <rFont val="Tahoma"/>
            <family val="2"/>
          </rPr>
          <t xml:space="preserve">
Based upon current available products on markets. To be reviewed in future evaluation</t>
        </r>
      </text>
    </comment>
  </commentList>
</comments>
</file>

<file path=xl/comments8.xml><?xml version="1.0" encoding="utf-8"?>
<comments xmlns="http://schemas.openxmlformats.org/spreadsheetml/2006/main">
  <authors>
    <author>Christina Steinhoff</author>
  </authors>
  <commentList>
    <comment ref="K6" authorId="0" shapeId="0">
      <text>
        <r>
          <rPr>
            <b/>
            <sz val="9"/>
            <color indexed="81"/>
            <rFont val="Tahoma"/>
            <family val="2"/>
          </rPr>
          <t>Christina Steinhoff:</t>
        </r>
        <r>
          <rPr>
            <sz val="9"/>
            <color indexed="81"/>
            <rFont val="Tahoma"/>
            <family val="2"/>
          </rPr>
          <t xml:space="preserve">
Note: OR, ID and MT code savings are included because NEEA reports savings using funding shares of the regional savings. This approach is consistent for all measures.</t>
        </r>
      </text>
    </comment>
    <comment ref="N6"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6"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M13" authorId="0" shapeId="0">
      <text>
        <r>
          <rPr>
            <b/>
            <sz val="9"/>
            <color indexed="81"/>
            <rFont val="Tahoma"/>
            <family val="2"/>
          </rPr>
          <t>Christina Steinhoff:</t>
        </r>
        <r>
          <rPr>
            <sz val="9"/>
            <color indexed="81"/>
            <rFont val="Tahoma"/>
            <family val="2"/>
          </rPr>
          <t xml:space="preserve">
The OR commercial code was not adopted in time.</t>
        </r>
      </text>
    </comment>
  </commentList>
</comments>
</file>

<file path=xl/comments9.xml><?xml version="1.0" encoding="utf-8"?>
<comments xmlns="http://schemas.openxmlformats.org/spreadsheetml/2006/main">
  <authors>
    <author>Christina Steinhoff</author>
    <author>Ryan Brown</author>
    <author>Ryan</author>
    <author xml:space="preserve"> </author>
    <author>Tina Jayaweera</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1" shapeId="0">
      <text>
        <r>
          <rPr>
            <b/>
            <sz val="9"/>
            <color indexed="81"/>
            <rFont val="Tahoma"/>
            <family val="2"/>
          </rPr>
          <t>Ryan Brown:</t>
        </r>
        <r>
          <rPr>
            <sz val="9"/>
            <color indexed="81"/>
            <rFont val="Tahoma"/>
            <family val="2"/>
          </rPr>
          <t xml:space="preserve">
Replacements for CFLs installed during the power plan that burn out and are removed from sockets.</t>
        </r>
      </text>
    </comment>
    <comment ref="P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AL125" authorId="2" shapeId="0">
      <text>
        <r>
          <rPr>
            <b/>
            <sz val="9"/>
            <color indexed="81"/>
            <rFont val="Tahoma"/>
            <family val="2"/>
          </rPr>
          <t>Ryan:</t>
        </r>
        <r>
          <rPr>
            <sz val="9"/>
            <color indexed="81"/>
            <rFont val="Tahoma"/>
            <family val="2"/>
          </rPr>
          <t xml:space="preserve">
Assume EISA 2020 minimally compliant lamp has same lifetime as CFL</t>
        </r>
      </text>
    </comment>
    <comment ref="AQ125" authorId="2" shapeId="0">
      <text>
        <r>
          <rPr>
            <b/>
            <sz val="9"/>
            <color indexed="81"/>
            <rFont val="Tahoma"/>
            <family val="2"/>
          </rPr>
          <t>Ryan:</t>
        </r>
        <r>
          <rPr>
            <sz val="9"/>
            <color indexed="81"/>
            <rFont val="Tahoma"/>
            <family val="2"/>
          </rPr>
          <t xml:space="preserve">
Assume EISA 2020 minimally compliant lamp has same cost as CFL (or LED is less than CFL)</t>
        </r>
      </text>
    </comment>
    <comment ref="AL200" authorId="2" shapeId="0">
      <text>
        <r>
          <rPr>
            <b/>
            <sz val="9"/>
            <color indexed="81"/>
            <rFont val="Tahoma"/>
            <family val="2"/>
          </rPr>
          <t>Ryan:</t>
        </r>
        <r>
          <rPr>
            <sz val="9"/>
            <color indexed="81"/>
            <rFont val="Tahoma"/>
            <family val="2"/>
          </rPr>
          <t xml:space="preserve">
Assume EISA 2020 minimally compliant lamp has same lifetime as CFL</t>
        </r>
      </text>
    </comment>
    <comment ref="AQ200" authorId="2" shapeId="0">
      <text>
        <r>
          <rPr>
            <b/>
            <sz val="9"/>
            <color indexed="81"/>
            <rFont val="Tahoma"/>
            <family val="2"/>
          </rPr>
          <t>Ryan:</t>
        </r>
        <r>
          <rPr>
            <sz val="9"/>
            <color indexed="81"/>
            <rFont val="Tahoma"/>
            <family val="2"/>
          </rPr>
          <t xml:space="preserve">
Assume EISA 2020 minimally compliant lamp has same cost as CFL (or LED is less than CFL)</t>
        </r>
      </text>
    </comment>
    <comment ref="AM286" authorId="3" shape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AN286" authorId="3" shape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AO286" authorId="3" shape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O297" authorId="4" shapeId="0">
      <text>
        <r>
          <rPr>
            <b/>
            <sz val="9"/>
            <color indexed="81"/>
            <rFont val="Tahoma"/>
            <family val="2"/>
          </rPr>
          <t>Tina Jayaweera:</t>
        </r>
        <r>
          <rPr>
            <sz val="9"/>
            <color indexed="81"/>
            <rFont val="Tahoma"/>
            <family val="2"/>
          </rPr>
          <t xml:space="preserve">
If General Purpose, use 45 lm/W baseline. Else use current assumption</t>
        </r>
      </text>
    </comment>
    <comment ref="P297" authorId="4" shapeId="0">
      <text>
        <r>
          <rPr>
            <b/>
            <sz val="9"/>
            <color indexed="81"/>
            <rFont val="Tahoma"/>
            <family val="2"/>
          </rPr>
          <t>Tina Jayaweera:</t>
        </r>
        <r>
          <rPr>
            <sz val="9"/>
            <color indexed="81"/>
            <rFont val="Tahoma"/>
            <family val="2"/>
          </rPr>
          <t xml:space="preserve">
Use CFL cost for general purpose, else use rbsa measure mix</t>
        </r>
      </text>
    </comment>
    <comment ref="Q297" authorId="4" shapeId="0">
      <text>
        <r>
          <rPr>
            <b/>
            <sz val="9"/>
            <color indexed="81"/>
            <rFont val="Tahoma"/>
            <family val="2"/>
          </rPr>
          <t>Tina Jayaweera:</t>
        </r>
        <r>
          <rPr>
            <sz val="9"/>
            <color indexed="81"/>
            <rFont val="Tahoma"/>
            <family val="2"/>
          </rPr>
          <t xml:space="preserve">
For general purpose, use CFL baseline</t>
        </r>
      </text>
    </comment>
  </commentList>
</comments>
</file>

<file path=xl/connections.xml><?xml version="1.0" encoding="utf-8"?>
<connections xmlns="http://schemas.openxmlformats.org/spreadsheetml/2006/main">
  <connection id="1" odcFile="\\vFP01\USER$\kbilleci\Documents\My Data Sources\VAMMOPROD02 Planning.odc" keepAlive="1" name="VAMMOPROD02 Planning" type="5" refreshedVersion="6" background="1">
    <dbPr connection="Provider=MSOLAP.8;Integrated Security=SSPI;Persist Security Info=True;Initial Catalog=Planning;Data Source=VAMMOPROD02;MDX Compatibility=1;Safety Options=2;MDX Missing Member Mode=Error;Update Isolation Level=2" command="Planning" commandType="1"/>
    <olapPr sendLocale="1" rowDrillCount="100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Ace Model Version].[Is Current].&amp;[Yes]}"/>
    <s v="{[Snapshot].[Snapshot Name].&amp;[Current Data]}"/>
    <s v="VAMMOPROD02 Planning"/>
  </metadataStrings>
  <mdxMetadata count="2">
    <mdx n="2" f="s">
      <ms ns="1" c="0"/>
    </mdx>
    <mdx n="2" f="s">
      <ms ns="0" c="0"/>
    </mdx>
  </mdxMetadata>
  <valueMetadata count="2">
    <bk>
      <rc t="1" v="0"/>
    </bk>
    <bk>
      <rc t="1" v="1"/>
    </bk>
  </valueMetadata>
</metadata>
</file>

<file path=xl/sharedStrings.xml><?xml version="1.0" encoding="utf-8"?>
<sst xmlns="http://schemas.openxmlformats.org/spreadsheetml/2006/main" count="13590" uniqueCount="2639">
  <si>
    <t>Measure Index</t>
  </si>
  <si>
    <t>Code</t>
  </si>
  <si>
    <t>Standard</t>
  </si>
  <si>
    <t>Sector</t>
  </si>
  <si>
    <t>Initiative</t>
  </si>
  <si>
    <t>Product</t>
  </si>
  <si>
    <t>Tier</t>
  </si>
  <si>
    <t>Measure</t>
  </si>
  <si>
    <t>Year</t>
  </si>
  <si>
    <t>Yes</t>
  </si>
  <si>
    <t>Savings Rate</t>
  </si>
  <si>
    <t>Initiative Index</t>
  </si>
  <si>
    <t>Reportable</t>
  </si>
  <si>
    <t>Total Regional Savings</t>
  </si>
  <si>
    <t>Gross Local Program</t>
  </si>
  <si>
    <t>Baseline</t>
  </si>
  <si>
    <t>Funder Share</t>
  </si>
  <si>
    <t>Remaining Savings</t>
  </si>
  <si>
    <t>Local Programs</t>
  </si>
  <si>
    <t>COM_200002_P1T1</t>
  </si>
  <si>
    <t>COM_200002_P2T1</t>
  </si>
  <si>
    <t>COM_200202_P1T5</t>
  </si>
  <si>
    <t>COM_200202_P2T4</t>
  </si>
  <si>
    <t>COM_200202_P3T5</t>
  </si>
  <si>
    <t>COM_200202_P4T6</t>
  </si>
  <si>
    <t>COM_200802_P1T1</t>
  </si>
  <si>
    <t>COM_200803_P1T1</t>
  </si>
  <si>
    <t>COM_201201_P1T1</t>
  </si>
  <si>
    <t>COM_201305_P1T1</t>
  </si>
  <si>
    <t>COM_201401_P1T1</t>
  </si>
  <si>
    <t>COM_201403_P1T1</t>
  </si>
  <si>
    <t>COM_201403_P2T1</t>
  </si>
  <si>
    <t>Com_201405_P1t1</t>
  </si>
  <si>
    <t>Industrial</t>
  </si>
  <si>
    <t>IND_199902_P1T1</t>
  </si>
  <si>
    <t>IND_199902_P2T1</t>
  </si>
  <si>
    <t>IND_200402_P1T1</t>
  </si>
  <si>
    <t>IND_200402_P2T1</t>
  </si>
  <si>
    <t>IND_200602_P1T1</t>
  </si>
  <si>
    <t>IND_201301_P1T1</t>
  </si>
  <si>
    <t>RES_199702_P1T4</t>
  </si>
  <si>
    <t>RES_199702_P1T5</t>
  </si>
  <si>
    <t>RES_199702_P1T6</t>
  </si>
  <si>
    <t>RES_199702_P1T7</t>
  </si>
  <si>
    <t>RES_199702_P1T8</t>
  </si>
  <si>
    <t>RES_199703_P1T1</t>
  </si>
  <si>
    <t>RES_199703_P2T1</t>
  </si>
  <si>
    <t>RES_200401_P11T1</t>
  </si>
  <si>
    <t>RES_200401_P5T1</t>
  </si>
  <si>
    <t>RES_200401_P6T1</t>
  </si>
  <si>
    <t>RES_200401_P7T1</t>
  </si>
  <si>
    <t>RES_200804_P1T1</t>
  </si>
  <si>
    <t>RES_200804_P2T1</t>
  </si>
  <si>
    <t>RES_200804_P3T1</t>
  </si>
  <si>
    <t>RES_201101_P1T1</t>
  </si>
  <si>
    <t>RES_201202_P1T1</t>
  </si>
  <si>
    <t>RES_201202_P1T2</t>
  </si>
  <si>
    <t>RES_201202_P2T1</t>
  </si>
  <si>
    <t>RES_201202_P2T2</t>
  </si>
  <si>
    <t>RES_201301_P10T1</t>
  </si>
  <si>
    <t>RES_201301_P12T1</t>
  </si>
  <si>
    <t>RES_201301_P1T4</t>
  </si>
  <si>
    <t>RES_201301_P1T5</t>
  </si>
  <si>
    <t>RES_201301_P2T4</t>
  </si>
  <si>
    <t>RES_201301_P2T5</t>
  </si>
  <si>
    <t>RES_201301_P3T4</t>
  </si>
  <si>
    <t>RES_201301_P3T5</t>
  </si>
  <si>
    <t>RES_201301_P4T4</t>
  </si>
  <si>
    <t>RES_201301_P4T5</t>
  </si>
  <si>
    <t>RES_201301_P8T1</t>
  </si>
  <si>
    <t>RES_201301_P9T1</t>
  </si>
  <si>
    <t>COM_200701_P1T3</t>
  </si>
  <si>
    <t>RES_200601_P4T4</t>
  </si>
  <si>
    <t>RES_200601_P4T5</t>
  </si>
  <si>
    <t>RES_200601_P1T5</t>
  </si>
  <si>
    <t>RES_200601_P2T5</t>
  </si>
  <si>
    <t>RES_201301_P14T1</t>
  </si>
  <si>
    <t>RES_201301_P15T1</t>
  </si>
  <si>
    <t>RES_201301_P15T2</t>
  </si>
  <si>
    <t>RES_201301_P15T3</t>
  </si>
  <si>
    <t>RES_201301_P15T4</t>
  </si>
  <si>
    <t>RES_201301_P13T1</t>
  </si>
  <si>
    <t>RES_201301_P13T2</t>
  </si>
  <si>
    <t>RES_201301_P13T3</t>
  </si>
  <si>
    <t>RES_201301_P13T4</t>
  </si>
  <si>
    <t>RES_201301_P3T3</t>
  </si>
  <si>
    <t>RES_201403_P7T1</t>
  </si>
  <si>
    <t>RES_201403_P2T3</t>
  </si>
  <si>
    <t>RES_201101_P1T2</t>
  </si>
  <si>
    <t>RES_201101_P1T3</t>
  </si>
  <si>
    <t>RES_201101_P1T4</t>
  </si>
  <si>
    <t>RES_201101_P1T5</t>
  </si>
  <si>
    <t>RES_201403_P4T3</t>
  </si>
  <si>
    <t>COM_201403_P3T1</t>
  </si>
  <si>
    <t>COM_201403_P4T1</t>
  </si>
  <si>
    <t>RES_201403_P6T1</t>
  </si>
  <si>
    <t>RES_201403_P6T2</t>
  </si>
  <si>
    <t>RES_201403_P8T1</t>
  </si>
  <si>
    <t>RES_201403_P8T2</t>
  </si>
  <si>
    <t>RES_201403_P8T3</t>
  </si>
  <si>
    <t>RES_199702_P1T0</t>
  </si>
  <si>
    <t>RES_199702_P1T9</t>
  </si>
  <si>
    <t>RES_199703_P3T1</t>
  </si>
  <si>
    <t>RES_199703_P4T1</t>
  </si>
  <si>
    <t>COM_201403_P3T0</t>
  </si>
  <si>
    <t>COM_201403_P4T0</t>
  </si>
  <si>
    <t>RES_201403_P9T0</t>
  </si>
  <si>
    <t>RES_201403_P9T1</t>
  </si>
  <si>
    <t>RES_201403_P9T2</t>
  </si>
  <si>
    <t>COM_200803_P2T1</t>
  </si>
  <si>
    <t>COM_200803_P3T1</t>
  </si>
  <si>
    <t>COM_200803_P4T1</t>
  </si>
  <si>
    <t>COM_201403_P1T0</t>
  </si>
  <si>
    <t>COM_201403_P2T0</t>
  </si>
  <si>
    <t>RES_201403_P10T1</t>
  </si>
  <si>
    <t>RES_201403_P10T0</t>
  </si>
  <si>
    <t>RES_201403_P5T1</t>
  </si>
  <si>
    <t>RES_201101_P1T6</t>
  </si>
  <si>
    <t>RES_201301_P17T1</t>
  </si>
  <si>
    <t>RES_201301_P18T1</t>
  </si>
  <si>
    <t>RES_201403_P3T1</t>
  </si>
  <si>
    <t>RES_201403_P4T1</t>
  </si>
  <si>
    <t>COM_201304_P7T1</t>
  </si>
  <si>
    <t>Council Baseline</t>
  </si>
  <si>
    <t>Baseline Assumption</t>
  </si>
  <si>
    <t>Comments</t>
  </si>
  <si>
    <t xml:space="preserve"> Total Savings</t>
  </si>
  <si>
    <t>Units</t>
  </si>
  <si>
    <t>(kWh/ Unit-Year)</t>
  </si>
  <si>
    <t xml:space="preserve">Savings Rate </t>
  </si>
  <si>
    <t>aMW Savings</t>
  </si>
  <si>
    <t>Lookups</t>
  </si>
  <si>
    <t>Is Current</t>
  </si>
  <si>
    <t>Snapshot Name</t>
  </si>
  <si>
    <t>Current Data</t>
  </si>
  <si>
    <t>RES_201403_P11T0</t>
  </si>
  <si>
    <t>RES_201403_P8T0</t>
  </si>
  <si>
    <t>Commissioning Buildings</t>
  </si>
  <si>
    <t>Other Codes (Commercial)</t>
  </si>
  <si>
    <t>Desktop Power Supplies</t>
  </si>
  <si>
    <t>Commercial Real Estate</t>
  </si>
  <si>
    <t>Building Operator Certification Expansion</t>
  </si>
  <si>
    <t>Other Non-Residential Standards</t>
  </si>
  <si>
    <t>Luminaire Level Lighting Controls</t>
  </si>
  <si>
    <t>Reduced Wattage Lamp Replacement</t>
  </si>
  <si>
    <t>Other Strategic Energy Management</t>
  </si>
  <si>
    <t>Drive Power</t>
  </si>
  <si>
    <t>Certified Refrigeration Energy Specialist (CRES)</t>
  </si>
  <si>
    <t>Clothes Washers</t>
  </si>
  <si>
    <t>Residential Lighting</t>
  </si>
  <si>
    <t>Other Codes (Multifamily)</t>
  </si>
  <si>
    <t>Ductless Heat Pumps</t>
  </si>
  <si>
    <t>Super-Efficient Dryers</t>
  </si>
  <si>
    <t>Heat Pump Water Heaters</t>
  </si>
  <si>
    <t>Residential New Construction/Next Step Homes</t>
  </si>
  <si>
    <t>Retail Product Portfolio</t>
  </si>
  <si>
    <t>BOC</t>
  </si>
  <si>
    <t>Clothes Washers Front Loading</t>
  </si>
  <si>
    <t>Tier 1</t>
  </si>
  <si>
    <t>ENERGY STAR</t>
  </si>
  <si>
    <t>Tier 2</t>
  </si>
  <si>
    <t>Existing Building Renewal</t>
  </si>
  <si>
    <t>CEE Tier 1</t>
  </si>
  <si>
    <t>CEE Tier 2</t>
  </si>
  <si>
    <t>CEE Tier 3</t>
  </si>
  <si>
    <t>ENERGY STAR Most Efficient</t>
  </si>
  <si>
    <t>ENERGY STAR Most Efficient +5%</t>
  </si>
  <si>
    <t>Initiative Description</t>
  </si>
  <si>
    <t>Accelerate the adoption and market acceptance of inverter-driven ductless heat pumps in electrically heated homes.</t>
  </si>
  <si>
    <t>Achieve lasting improvement in the energy efficient and maintenance (O&amp;M) of commercial buildings by developing market demand for and increasing the supply of educated and credentialed building operators.</t>
  </si>
  <si>
    <t>CRES certification becomes a required credential to work as a refrigeration operator in the Industrial Refrigeration Market.</t>
  </si>
  <si>
    <t>Develop an upstream platform with distributors and manufacturers that influences the stocking and sales practices of efficient lighting products that can be leveraged for lighting initiatives.</t>
  </si>
  <si>
    <t>Establish Strategic Energy Management as a common business practice in select commercial and industrial sectors</t>
  </si>
  <si>
    <t>Influence the passage of a 2025 federal standard requiring HPWHs for all electric storage tanks greater than 40 gallons in size.</t>
  </si>
  <si>
    <t>NEEA and its utility partners leverage the market power of the Northwest’s 12 million energy consumers to accelerate the market adoption of more stringent appliance and equipment standards at a regional and national level. NEEA does this by collaborating with its regional partners to develop strategies for advancing higher standards for appliances and equipment.</t>
  </si>
  <si>
    <t>NEEA collaborated with the region to develop and implement strategic market interventions that accelerated the market adoption of ENERGY STAR compact fluorescent lamps.</t>
  </si>
  <si>
    <t>NEEA engaged with computer manufacturers to expedite the adoption of highly efficient power supplies while also developing and advocating for a standard thereby dramatically improving the energy efficiency of commercial desktops.</t>
  </si>
  <si>
    <t>NEEA helped make commissioning standard practice in public buildings in the Northwest by educating and building awareness of the value of commissioning, supporting the Building Commissioning Association and supporting projects like the commissioning certification.</t>
  </si>
  <si>
    <t>NEEA influenced more stringent efficiency standards for clothes washers and accelerated market adoption by partnering with manufacturers, utilities and retailers to increase availability and increase consumer demand through targeted public outreach and marketing campaigns.</t>
  </si>
  <si>
    <t>NEEA partnered with the League of the Pacific Northwest to increase the region’s motor fleet efficiency by influencing end-users to incorporate life-cycle analysis in investment decisions and helping motor service centers improve repair and motor management services.</t>
  </si>
  <si>
    <t>Providing information and technical expertise to create new and more stringent building codes and providing technical support and training after code adoption.</t>
  </si>
  <si>
    <t>Supporting manufacturer development and US market entry of super-efficient dryers; influencing improved federal test protocols and efficiency standards requiring heat pump technology for residential clothes dryers.</t>
  </si>
  <si>
    <t>The Existing Building Renewal (EBR) initiative demonstrates the competitive advantages and investment opportunity of energy efficiency gained through comprehensive deep-energy retrofits to owners and investors of commercial real estate office buildings over 20,000 sq. ft.</t>
  </si>
  <si>
    <t>The Luminaire Level Lighting Controls (LLLC) initiative works to bring clarity to the controls market by developing best practice specifications for LLLC, aiming to have the technology adopted as standard industry practice by the commercial office lighting market.</t>
  </si>
  <si>
    <t>The Retail Product Portfolio initiative uses mid-stream incentives to influence retail stocking practices, ultimately driving manufacturing and standards for a portfolio of energy-efficient product sold through the retail channel.</t>
  </si>
  <si>
    <t>Phase</t>
  </si>
  <si>
    <t>Phase 5</t>
  </si>
  <si>
    <t>Phase 6</t>
  </si>
  <si>
    <t>Phase 3</t>
  </si>
  <si>
    <t>Phase 0</t>
  </si>
  <si>
    <t>Phase 4</t>
  </si>
  <si>
    <t>Remaining Savings 7th Power Plan</t>
  </si>
  <si>
    <t>19% of the savings are baseline according to the original 7thPP  (Source: com_master_7p.xlsm. Baseline assumption for the commercial energy management measure is found on row 34 of 'BASE' worksheet.)</t>
  </si>
  <si>
    <t>The savings rate is not broken into individual measures. Council recommended using NEEA's assumptions.</t>
  </si>
  <si>
    <t>Savings per certified operator in Oregon and Washington is the product of EUI, % savings from certified building operator, and square footage covered per operator.</t>
  </si>
  <si>
    <t>From NEEA's MPER #2, published February 2015:</t>
  </si>
  <si>
    <t>EUI (from CBECS)</t>
  </si>
  <si>
    <t>kWh/sf</t>
  </si>
  <si>
    <t>% Savings</t>
  </si>
  <si>
    <t>Square footage covered per operator</t>
  </si>
  <si>
    <t>sf</t>
  </si>
  <si>
    <t>kWh/operator</t>
  </si>
  <si>
    <t>Replacing NEEA's EUI assumption with the 7th Plan assumption (see table below for details):</t>
  </si>
  <si>
    <t>EUI</t>
  </si>
  <si>
    <t>From com-em-70_v4p.xlsm 'Savings' worksheet</t>
  </si>
  <si>
    <t>Stock Characteristics from com_master_7p.xlsm</t>
  </si>
  <si>
    <t>Existing Buildings</t>
  </si>
  <si>
    <t>HVACElecHt</t>
  </si>
  <si>
    <t>HVACGasHt</t>
  </si>
  <si>
    <t>HVACHtPmpHt</t>
  </si>
  <si>
    <t>V_Pre2013</t>
  </si>
  <si>
    <t>BType</t>
  </si>
  <si>
    <t>HVAC Electric EUI - Electric Heat</t>
  </si>
  <si>
    <t>HVAC Electric EUI - Gas Heat</t>
  </si>
  <si>
    <t>HVAC Electric EUI - HP Heat</t>
  </si>
  <si>
    <t>FloorA%REG</t>
  </si>
  <si>
    <t>ElecHt%TYP</t>
  </si>
  <si>
    <t>GasHt%TYP</t>
  </si>
  <si>
    <t>HtPmpHt%TYP</t>
  </si>
  <si>
    <t>Avg EUI kWh/sf</t>
  </si>
  <si>
    <t>Large Off</t>
  </si>
  <si>
    <t>Medium Off</t>
  </si>
  <si>
    <t>Small Off</t>
  </si>
  <si>
    <t>Xlarge Ret</t>
  </si>
  <si>
    <t>Large Ret</t>
  </si>
  <si>
    <t>Medium Ret</t>
  </si>
  <si>
    <t>Small Ret</t>
  </si>
  <si>
    <t>School K-12</t>
  </si>
  <si>
    <t>University</t>
  </si>
  <si>
    <t>Warehouse</t>
  </si>
  <si>
    <t>Supermarket</t>
  </si>
  <si>
    <t>MiniMart</t>
  </si>
  <si>
    <t>Restaurant</t>
  </si>
  <si>
    <t>Lodging</t>
  </si>
  <si>
    <t>Hospital</t>
  </si>
  <si>
    <t>Residential Care</t>
  </si>
  <si>
    <t>Assembly</t>
  </si>
  <si>
    <t>Other</t>
  </si>
  <si>
    <t>The savings rate is not broken into individual measures. Council recommended using NEEA's assumptions. See calculation below.</t>
  </si>
  <si>
    <t>NEEA assumes 9% electricity savings for retro-commissioning and 8% for new building commissioning (LTMT 2009, 2011).</t>
  </si>
  <si>
    <t>While using the % savings assumption from NEEA LTMT work, NEEA used the 7th Plan's annual energy consumption (EUI in kWh/sf) to align with the 7th Plan assumptions.</t>
  </si>
  <si>
    <t>The difference in savings are shown below.</t>
  </si>
  <si>
    <t>Savings Rates</t>
  </si>
  <si>
    <t>Using 7th Plan EUI</t>
  </si>
  <si>
    <t xml:space="preserve">Using NEEA's EUI from LTMT 2009/2011 </t>
  </si>
  <si>
    <t>Re-commissioning</t>
  </si>
  <si>
    <t>Ongoing Commissioning</t>
  </si>
  <si>
    <t>Retro-Commissioning</t>
  </si>
  <si>
    <t>Savings from Re-commissioning &amp; Ongoing Commissioning</t>
  </si>
  <si>
    <t>SaveElecHt</t>
  </si>
  <si>
    <t>SaveGasHt</t>
  </si>
  <si>
    <t>SaveHtPmpHt</t>
  </si>
  <si>
    <t>ElecHtEUITYPHeat</t>
  </si>
  <si>
    <t>ThermsTYPHeat</t>
  </si>
  <si>
    <t>Gas Save</t>
  </si>
  <si>
    <t>Cost $/sf</t>
  </si>
  <si>
    <t>Controls Savings Fraction</t>
  </si>
  <si>
    <t>ElecHt Savings kWh/sf</t>
  </si>
  <si>
    <t>GasHt Savings kWh/sf</t>
  </si>
  <si>
    <t>Heat Pump Savings kWh/sf</t>
  </si>
  <si>
    <t>Gas Heating EUI (kWh/sf)</t>
  </si>
  <si>
    <t>Gas Heating therms/sf</t>
  </si>
  <si>
    <t>Gas Savings Therms</t>
  </si>
  <si>
    <t>Gas heat Savings Fraction</t>
  </si>
  <si>
    <t>Avg Savings kWh/sf</t>
  </si>
  <si>
    <t>Retrocommissioning</t>
  </si>
  <si>
    <t>Duplicate?</t>
  </si>
  <si>
    <t>Savings rate (kWh/sf) is incremental to prior code change, analyzed by Ecotope.</t>
  </si>
  <si>
    <t>0% of the annual savings. Proxy measures used are the tune up measures in Food, Cold Storage and Fruit Storage sectors. (Energy Conservation Measure numbers: 34, 35, 53, 54, 55, 58).</t>
  </si>
  <si>
    <t>Savings are site based (e.g. reported in aMW)</t>
  </si>
  <si>
    <t xml:space="preserve">The baseline is 0% because this is a retrofit measure. </t>
  </si>
  <si>
    <t xml:space="preserve">Total Regional </t>
  </si>
  <si>
    <t>7th PP</t>
  </si>
  <si>
    <t>Category Name</t>
  </si>
  <si>
    <t>Measure Name</t>
  </si>
  <si>
    <t>Savings (kwh/yr)</t>
  </si>
  <si>
    <t>Life (yrs)</t>
  </si>
  <si>
    <t>Capital Cost</t>
  </si>
  <si>
    <t>Annual O&amp;M</t>
  </si>
  <si>
    <t>Shape Pointer</t>
  </si>
  <si>
    <t>Non-E Val ($/yr)</t>
  </si>
  <si>
    <t>Cost 1 ($)</t>
  </si>
  <si>
    <t xml:space="preserve">Period 1 </t>
  </si>
  <si>
    <t>Cost 2 ($)</t>
  </si>
  <si>
    <t>Period 2</t>
  </si>
  <si>
    <t>Cost 3 ($)</t>
  </si>
  <si>
    <t>Period 3</t>
  </si>
  <si>
    <t>Savings (therms/yr)</t>
  </si>
  <si>
    <t>Install Ductless Heat Pump in House with Existing FAF - Single Family Home - HZ1</t>
  </si>
  <si>
    <t>ResSpHtHPZ1</t>
  </si>
  <si>
    <t>Install Ductless Heat Pump in House with Existing FAF - Single Family Home - HZ2</t>
  </si>
  <si>
    <t>ResSpHtHPZ2</t>
  </si>
  <si>
    <t>Install Ductless Heat Pump in House with Existing FAF - Single Family Home - HZ3</t>
  </si>
  <si>
    <t>ResSpHtHPZ3</t>
  </si>
  <si>
    <t>Install Ductless Heat Pump in House with Existing FAF - Manufactured Home - HZ1</t>
  </si>
  <si>
    <t>Install Ductless Heat Pump in House with Existing FAF - Manufactured Home - HZ2</t>
  </si>
  <si>
    <t>Install Ductless Heat Pump in House with Existing FAF - Manufactured Home - HZ3</t>
  </si>
  <si>
    <t>Weights</t>
  </si>
  <si>
    <t>Category</t>
  </si>
  <si>
    <t>Site Savings (kWh)</t>
  </si>
  <si>
    <t>Residential</t>
  </si>
  <si>
    <t>GP</t>
  </si>
  <si>
    <t>SP</t>
  </si>
  <si>
    <t>Bulb Type</t>
  </si>
  <si>
    <t>Weighted Savings</t>
  </si>
  <si>
    <t>kWh/yr</t>
  </si>
  <si>
    <t>IOU Savings Category</t>
  </si>
  <si>
    <t>COM_201201</t>
  </si>
  <si>
    <t>COM_200803</t>
  </si>
  <si>
    <t>COM_200002</t>
  </si>
  <si>
    <t>COM_200701</t>
  </si>
  <si>
    <t>COM_201305</t>
  </si>
  <si>
    <t>COM_201401</t>
  </si>
  <si>
    <t>COM_200202</t>
  </si>
  <si>
    <t>COM_201403</t>
  </si>
  <si>
    <t>IND_200402</t>
  </si>
  <si>
    <t>IND_201301</t>
  </si>
  <si>
    <t>RES_199702</t>
  </si>
  <si>
    <t>RES_200804</t>
  </si>
  <si>
    <t>RES_201202</t>
  </si>
  <si>
    <t>RES_200601</t>
  </si>
  <si>
    <t>RES_201301</t>
  </si>
  <si>
    <t>RES_199703</t>
  </si>
  <si>
    <t>RES_201403</t>
  </si>
  <si>
    <t>RES_201101</t>
  </si>
  <si>
    <t>COM_201304</t>
  </si>
  <si>
    <t>COM_201405</t>
  </si>
  <si>
    <t>Res_201403</t>
  </si>
  <si>
    <t>CRES</t>
  </si>
  <si>
    <t>Commissioning</t>
  </si>
  <si>
    <t>Commercial_Desktops</t>
  </si>
  <si>
    <t>codes</t>
  </si>
  <si>
    <t>Motor_Rewinds</t>
  </si>
  <si>
    <t>DHP</t>
  </si>
  <si>
    <t>HPWH</t>
  </si>
  <si>
    <t>Res_Lighting</t>
  </si>
  <si>
    <t>Clothes_Dryers</t>
  </si>
  <si>
    <t>Current Practice Baseline Using 54% ENERGY STAR Penetration</t>
  </si>
  <si>
    <t>Measure Cases</t>
  </si>
  <si>
    <t>ENERGY STAR - Top-Load</t>
  </si>
  <si>
    <t>ENERGY STAR - Front-Load</t>
  </si>
  <si>
    <t>Any ENERGY STAR (Top- or Front-Load)</t>
  </si>
  <si>
    <t>Current Practice Baseline Using 31% ENERGY STAR Penetration</t>
  </si>
  <si>
    <t>MEF</t>
  </si>
  <si>
    <t>WF</t>
  </si>
  <si>
    <t>Tub Volume (cubic feet)</t>
  </si>
  <si>
    <t>% Moisture Remaining</t>
  </si>
  <si>
    <t>Normalized kWh/Year (@ 3.78 cubic foot tub volume)</t>
  </si>
  <si>
    <t>Normalized Gallons/Year (@ 3.78 cubic foot tub volume)</t>
  </si>
  <si>
    <t>Normalized Cost ($2006 @ 3.78 cubic foot tub volume)</t>
  </si>
  <si>
    <t>Detergent Cost (2006$/year)</t>
  </si>
  <si>
    <t>ENERGY DISAGGREGATION</t>
  </si>
  <si>
    <t>dryer energy (kWh/load)</t>
  </si>
  <si>
    <t>dryer energy (kWh/year)</t>
  </si>
  <si>
    <t>machine energy (kWh/load)</t>
  </si>
  <si>
    <t>machine energy (kWh/year)</t>
  </si>
  <si>
    <t>hot water fraction</t>
  </si>
  <si>
    <t>hot water gallons/year</t>
  </si>
  <si>
    <t>hot water kWh</t>
  </si>
  <si>
    <t>total energy</t>
  </si>
  <si>
    <t>% energy to machine</t>
  </si>
  <si>
    <t>% energy to dryer</t>
  </si>
  <si>
    <t>% energy to hot water</t>
  </si>
  <si>
    <t>FOR ELECTRIC FUEL</t>
  </si>
  <si>
    <t>kWh machine</t>
  </si>
  <si>
    <t>kWh dryer</t>
  </si>
  <si>
    <t>kWh hot water</t>
  </si>
  <si>
    <t>FOR GAS FUEL</t>
  </si>
  <si>
    <t>therms machine</t>
  </si>
  <si>
    <t>therms dryer</t>
  </si>
  <si>
    <t>therms hot water</t>
  </si>
  <si>
    <t>RES_201403_P11T1</t>
  </si>
  <si>
    <t>RES_201403_P11T2</t>
  </si>
  <si>
    <t>RES_201403_P11T3</t>
  </si>
  <si>
    <t>Below is NEEA's Calculation of savings against the 7th PP Baseline</t>
  </si>
  <si>
    <t>Top Loading</t>
  </si>
  <si>
    <t>Non-Program Change</t>
  </si>
  <si>
    <t>Sales Weighted Unit Energy Consumption</t>
  </si>
  <si>
    <t>Front Loading</t>
  </si>
  <si>
    <t>weighted</t>
  </si>
  <si>
    <t>Council's capacity</t>
  </si>
  <si>
    <t>Single Family CEE Tier 3 Clothes Washer - Any DHW, Any Dryer - 54% ENERGY STAR Baseline</t>
  </si>
  <si>
    <t>Multifamily - Low Rise CEE Tier 3 Clothes Washer - Any DHW, Any Dryer - 54% ENERGY STAR Baseline</t>
  </si>
  <si>
    <t>Manufactured CEE Tier 3 Clothes Washer - Any DHW, Any Dryer - 54% ENERGY STAR Baseline</t>
  </si>
  <si>
    <t>Multifamily - High Rise CEE Tier 3 Clothes Washer - Any DHW, Any Dryer - 54% ENERGY STAR Baseline</t>
  </si>
  <si>
    <t>Manufactured CEE Tier 2 Clothes Washer - Any DHW, Any Dryer - 54% ENERGY STAR Baseline</t>
  </si>
  <si>
    <t>Multifamily - Low Rise CEE Tier 2 Clothes Washer - Any DHW, Any Dryer - 54% ENERGY STAR Baseline</t>
  </si>
  <si>
    <t>Multifamily - High Rise CEE Tier 2 Clothes Washer - Any DHW, Any Dryer - 54% ENERGY STAR Baseline</t>
  </si>
  <si>
    <t>Manufactured CEE Tier 1 Clothes Washer - Any DHW, Any Dryer - 54% ENERGY STAR Baseline</t>
  </si>
  <si>
    <t>Multifamily - Low Rise CEE Tier 1 Clothes Washer - Any DHW, Any Dryer - 54% ENERGY STAR Baseline</t>
  </si>
  <si>
    <t>Multifamily - High Rise CEE Tier 1 Clothes Washer - Any DHW, Any Dryer - 54% ENERGY STAR Baseline</t>
  </si>
  <si>
    <t>Single Family CEE Tier 2 Clothes Washer - Any DHW, Any Dryer - 54% ENERGY STAR Baseline</t>
  </si>
  <si>
    <t>Single Family CEE Tier 1 Clothes Washer - Any DHW, Any Dryer - 54% ENERGY STAR Baseline</t>
  </si>
  <si>
    <t>Split</t>
  </si>
  <si>
    <t>Single Family</t>
  </si>
  <si>
    <t>Multifamily - Low Rise</t>
  </si>
  <si>
    <t>Multifamily - High Rise</t>
  </si>
  <si>
    <t>Manufactured</t>
  </si>
  <si>
    <t>% of region</t>
  </si>
  <si>
    <t>Source: Res_Master. 7th PP</t>
  </si>
  <si>
    <t>Clothes Washer Saturation</t>
  </si>
  <si>
    <t>Weighted Savings Rate (Incremental)</t>
  </si>
  <si>
    <t>Weighted Savings Rate (above 7th PP baseline)</t>
  </si>
  <si>
    <t>NEEA Efficiency Tier</t>
  </si>
  <si>
    <t>Council's Loads per year</t>
  </si>
  <si>
    <t>Single family</t>
  </si>
  <si>
    <t>NEEA did the following to align the Council's original baseline with NEEA's sales data.</t>
  </si>
  <si>
    <t>1) Adjusted NEEA's loads/per year assumption to match the Councils</t>
  </si>
  <si>
    <t>Multifamily</t>
  </si>
  <si>
    <t>3) Matched the Council's assumption based on Configeration</t>
  </si>
  <si>
    <t>4) Normalizes the Council's baseline to match the tub capacity with the sales data</t>
  </si>
  <si>
    <t>2) Forecast the Measure UEC using the Council's Loads Per Year.</t>
  </si>
  <si>
    <t>NEEA Top-Loading Capacity</t>
  </si>
  <si>
    <t>NEEA Front-Loading Capacity</t>
  </si>
  <si>
    <t>Tub Cubic Feet</t>
  </si>
  <si>
    <t>Measure Data Collected through NEEA</t>
  </si>
  <si>
    <t>By Configeration</t>
  </si>
  <si>
    <t>7th PP Summary Table</t>
  </si>
  <si>
    <t>Adjusted for Capacity Assumptions</t>
  </si>
  <si>
    <t>frozen</t>
  </si>
  <si>
    <t>actual</t>
  </si>
  <si>
    <t>Market Adoption Stock Units</t>
  </si>
  <si>
    <t>Market Adoption Units</t>
  </si>
  <si>
    <t>Market Share</t>
  </si>
  <si>
    <t>2018</t>
  </si>
  <si>
    <t>2019</t>
  </si>
  <si>
    <t>Air Cleaner</t>
  </si>
  <si>
    <t>Battery Chargers</t>
  </si>
  <si>
    <t>BOC_Expansion</t>
  </si>
  <si>
    <t>Chest Freezers</t>
  </si>
  <si>
    <t>Clothes Dryers</t>
  </si>
  <si>
    <t>Clothes Washers Top Loading</t>
  </si>
  <si>
    <t>Commercial SEM</t>
  </si>
  <si>
    <t>Compact Freezers</t>
  </si>
  <si>
    <t>Cx</t>
  </si>
  <si>
    <t>DHP FAF</t>
  </si>
  <si>
    <t>DHP MH FAF</t>
  </si>
  <si>
    <t>DHP Zonal</t>
  </si>
  <si>
    <t>Dishwashers</t>
  </si>
  <si>
    <t>Efficient Motor Rewinds</t>
  </si>
  <si>
    <t>External Power Supplies</t>
  </si>
  <si>
    <t>Fluorescent Lamp Ballasts</t>
  </si>
  <si>
    <t>General</t>
  </si>
  <si>
    <t>Home Audio</t>
  </si>
  <si>
    <t>ID Code</t>
  </si>
  <si>
    <t>ID Commercial Codes</t>
  </si>
  <si>
    <t>ID Homes (Next Step)</t>
  </si>
  <si>
    <t>ID Multifamily Code</t>
  </si>
  <si>
    <t>Industrial SEM</t>
  </si>
  <si>
    <t>LED General Purpose</t>
  </si>
  <si>
    <t>LED Specialty</t>
  </si>
  <si>
    <t>Motors Federal Standard</t>
  </si>
  <si>
    <t>MT Code</t>
  </si>
  <si>
    <t>MT Commercial Codes</t>
  </si>
  <si>
    <t>MT Homes (Next Step)</t>
  </si>
  <si>
    <t>MT Multifamily Code</t>
  </si>
  <si>
    <t>NEMA Premium Motors (Non-Standard)</t>
  </si>
  <si>
    <t>Northwest</t>
  </si>
  <si>
    <t>OR Code</t>
  </si>
  <si>
    <t>OR Commercial Codes</t>
  </si>
  <si>
    <t>OR Homes (Next Step)</t>
  </si>
  <si>
    <t>OR Multifamily Code</t>
  </si>
  <si>
    <t>rCx</t>
  </si>
  <si>
    <t>Refrigerators</t>
  </si>
  <si>
    <t>Refrigerators- Bottom Freezers</t>
  </si>
  <si>
    <t>Refrigerators- Other</t>
  </si>
  <si>
    <t>Refrigerators- Side Freezers</t>
  </si>
  <si>
    <t>Residential Central AC</t>
  </si>
  <si>
    <t>Residential Heat Pumps</t>
  </si>
  <si>
    <t>Small Electric Motors</t>
  </si>
  <si>
    <t>Specialty</t>
  </si>
  <si>
    <t>T8 Fluorescent 25W- Commercial</t>
  </si>
  <si>
    <t>T8 Fluorescent 25W- Industrial</t>
  </si>
  <si>
    <t>T8 Fluorescent 28W- Commercial</t>
  </si>
  <si>
    <t>T8 Fluorescent 28W- Industrial</t>
  </si>
  <si>
    <t>Unknown</t>
  </si>
  <si>
    <t>Upright Freezers</t>
  </si>
  <si>
    <t>WA Code</t>
  </si>
  <si>
    <t>WA Commercial Codes</t>
  </si>
  <si>
    <t>WA Homes (Next Step)</t>
  </si>
  <si>
    <t>WA Multifamily Code</t>
  </si>
  <si>
    <t>Furnace Fans</t>
  </si>
  <si>
    <t>ENERGY STAR +30%</t>
  </si>
  <si>
    <t>TBD</t>
  </si>
  <si>
    <t>All Product Classes</t>
  </si>
  <si>
    <t>Single Tier</t>
  </si>
  <si>
    <t>ENERGY STAR +5%</t>
  </si>
  <si>
    <t>UCEF 3.00 to 3.39</t>
  </si>
  <si>
    <t>UCEF 3.40 to 3.99</t>
  </si>
  <si>
    <t>UCEF 4.00 to 4.99</t>
  </si>
  <si>
    <t>UCEF 5.00 to 5.99</t>
  </si>
  <si>
    <t>UCEF 6.00 to 6.99</t>
  </si>
  <si>
    <t>UCEF 7.00 to 7.99</t>
  </si>
  <si>
    <t>Below Fed Stnd (IMEF 0.88-1.02)</t>
  </si>
  <si>
    <t>Below Fed Stnd (IMEF 1.03-1.31)</t>
  </si>
  <si>
    <t>Energy Star (IMEF 2.06-2.37)</t>
  </si>
  <si>
    <t>Fed Standard (IMEF 1.32-1.58)</t>
  </si>
  <si>
    <t>Fed Standard (IMEF 1.59-2.05)</t>
  </si>
  <si>
    <t>Energy Factor 52</t>
  </si>
  <si>
    <t>Energy Factor 58</t>
  </si>
  <si>
    <t>Energy Factor 65</t>
  </si>
  <si>
    <t>Energy Factor 68</t>
  </si>
  <si>
    <t>ENERGY STAR +15%</t>
  </si>
  <si>
    <t>ENERGY STAR +50%</t>
  </si>
  <si>
    <t>IECC 2006</t>
  </si>
  <si>
    <t>IECC 2009</t>
  </si>
  <si>
    <t>IECC 2012 w ID amend.</t>
  </si>
  <si>
    <t>IECC 2015</t>
  </si>
  <si>
    <t>IECC 2018</t>
  </si>
  <si>
    <t>ID 2000 &amp; 2003 IECC</t>
  </si>
  <si>
    <t>ID 2006 IECC</t>
  </si>
  <si>
    <t>ID 2009 IECC</t>
  </si>
  <si>
    <t>ID 2012 IECC</t>
  </si>
  <si>
    <t>ID Code 2018-2021</t>
  </si>
  <si>
    <t>Next Step Home</t>
  </si>
  <si>
    <t>IECC 2003 w MT amend.</t>
  </si>
  <si>
    <t>IECC 2009 w MT amend.</t>
  </si>
  <si>
    <t>IECC 2012 w MT amend.</t>
  </si>
  <si>
    <t>IECC 2021</t>
  </si>
  <si>
    <t>MT 2003 IECC w/ Amend</t>
  </si>
  <si>
    <t>MT 2009 IECC w/ Amend</t>
  </si>
  <si>
    <t>MT 2012 IECC</t>
  </si>
  <si>
    <t>OR Specialty Code 2017</t>
  </si>
  <si>
    <t>Or. Res Specialty 2008</t>
  </si>
  <si>
    <t>OR 2004 OSSC</t>
  </si>
  <si>
    <t>OR 2007 OSSC</t>
  </si>
  <si>
    <t>OR 2009 OEESC</t>
  </si>
  <si>
    <t>OR 2014 OEESC</t>
  </si>
  <si>
    <t>OR Code 2017-2020</t>
  </si>
  <si>
    <t>ENERGY STAR +10-15% above Standard (CEE Tier 1)</t>
  </si>
  <si>
    <t>ENERGY STAR +15-20% above Standard (CEE Tier 2; 2016 and 2017 ENERGY STAR Most Efficient)</t>
  </si>
  <si>
    <t>ENERGY STAR +20% or better above Standard (CEE Tier 3)</t>
  </si>
  <si>
    <t>ENERGY STAR 2003</t>
  </si>
  <si>
    <t>ENERGY STAR 2008</t>
  </si>
  <si>
    <t>ENERGY STAR +10%</t>
  </si>
  <si>
    <t>WSEC 2006</t>
  </si>
  <si>
    <t>WSEC 2009</t>
  </si>
  <si>
    <t>WSEC 2012</t>
  </si>
  <si>
    <t>WSEC 2015</t>
  </si>
  <si>
    <t>WSEC 2018</t>
  </si>
  <si>
    <t>WSEC 2021-2023</t>
  </si>
  <si>
    <t>WA 2000 &amp; 2003 WSEC</t>
  </si>
  <si>
    <t>WA 2004 WSEC</t>
  </si>
  <si>
    <t>WA 2009 WSEC</t>
  </si>
  <si>
    <t>WA 2012 WSEC</t>
  </si>
  <si>
    <t>RES_201403_P2T1</t>
  </si>
  <si>
    <t>RES_201403_P2T2</t>
  </si>
  <si>
    <t>RES_201402_P3T1</t>
  </si>
  <si>
    <t>COM_199701_P1T1</t>
  </si>
  <si>
    <t>RES_201402_P6T1</t>
  </si>
  <si>
    <t>RES_199702_P1T1</t>
  </si>
  <si>
    <t>RES_199702_P1T2</t>
  </si>
  <si>
    <t>RES_199702_P1T3</t>
  </si>
  <si>
    <t>COM_201405_P2T1</t>
  </si>
  <si>
    <t>RES_201403_P10T2</t>
  </si>
  <si>
    <t>RES_200005_P1T1</t>
  </si>
  <si>
    <t>RES_200005_P1T2</t>
  </si>
  <si>
    <t>RES_200005_P1T3</t>
  </si>
  <si>
    <t>RES_200005_P1T4</t>
  </si>
  <si>
    <t>RES_201402_P7T1</t>
  </si>
  <si>
    <t>COM_201304_P2T1</t>
  </si>
  <si>
    <t>RES_201402_P8T1</t>
  </si>
  <si>
    <t>RES_201403_P4T2</t>
  </si>
  <si>
    <t>RES_200401_P1T1</t>
  </si>
  <si>
    <t>RES_200401_P1T2</t>
  </si>
  <si>
    <t>RES_200401_P1T3</t>
  </si>
  <si>
    <t>COM_200202_P1T1</t>
  </si>
  <si>
    <t>COM_200202_P1T2</t>
  </si>
  <si>
    <t>COM_200202_P1T3</t>
  </si>
  <si>
    <t>COM_200202_P1T4</t>
  </si>
  <si>
    <t>RES_201301_P5T1</t>
  </si>
  <si>
    <t>RES_200601_P1T1</t>
  </si>
  <si>
    <t>RES_200601_P1T2</t>
  </si>
  <si>
    <t>RES_200601_P1T3</t>
  </si>
  <si>
    <t>COM_201405_P1T1</t>
  </si>
  <si>
    <t>IND_200402_P3T1</t>
  </si>
  <si>
    <t>RES_200401_P2T1</t>
  </si>
  <si>
    <t>RES_200401_P2T2</t>
  </si>
  <si>
    <t>RES_200401_P2T3</t>
  </si>
  <si>
    <t>COM_200202_P2T1</t>
  </si>
  <si>
    <t>COM_200202_P2T2</t>
  </si>
  <si>
    <t>COM_200202_P2T3</t>
  </si>
  <si>
    <t>RES_201301_P6T1</t>
  </si>
  <si>
    <t>RES_200601_P2T1</t>
  </si>
  <si>
    <t>RES_200601_P2T2</t>
  </si>
  <si>
    <t>RES_200601_P2T3</t>
  </si>
  <si>
    <t>RES_200401_P13T1</t>
  </si>
  <si>
    <t>Res_201301_P3T3</t>
  </si>
  <si>
    <t>RES_200401_P3T1</t>
  </si>
  <si>
    <t>RES_200401_P3T2</t>
  </si>
  <si>
    <t>COM_200202_P3T1</t>
  </si>
  <si>
    <t>COM_200202_P3T2</t>
  </si>
  <si>
    <t>COM_200202_P3T3</t>
  </si>
  <si>
    <t>COM_200202_P3T4</t>
  </si>
  <si>
    <t>RES_201301_P7T1</t>
  </si>
  <si>
    <t>RES_200601_P3T1</t>
  </si>
  <si>
    <t>RES_200006_P1T3</t>
  </si>
  <si>
    <t>RES_200006_P1T4</t>
  </si>
  <si>
    <t>RES_200006_P1T5</t>
  </si>
  <si>
    <t>RES_200006_P1T1</t>
  </si>
  <si>
    <t>RES_200006_P1T2</t>
  </si>
  <si>
    <t>RES_201403_P12T1</t>
  </si>
  <si>
    <t>RES_201403_P12T2</t>
  </si>
  <si>
    <t>RES_201403_P13T1</t>
  </si>
  <si>
    <t>RES_201403_P13T2</t>
  </si>
  <si>
    <t>RES_201402_P2T1</t>
  </si>
  <si>
    <t>RES_201402_P4T1</t>
  </si>
  <si>
    <t>COM_201304_P4T1</t>
  </si>
  <si>
    <t>RES_201403_P5T2</t>
  </si>
  <si>
    <t>RES_201403_P5T3</t>
  </si>
  <si>
    <t>RES_200401_P4T1</t>
  </si>
  <si>
    <t>RES_200401_P4T2</t>
  </si>
  <si>
    <t>RES_200401_P4T3</t>
  </si>
  <si>
    <t>RES_201301_P4T6</t>
  </si>
  <si>
    <t>COM_200202_P4T1</t>
  </si>
  <si>
    <t>COM_200202_P4T2</t>
  </si>
  <si>
    <t>COM_200202_P4T4</t>
  </si>
  <si>
    <t>COM_200202_P4T5</t>
  </si>
  <si>
    <t>RES_201301_P11T1</t>
  </si>
  <si>
    <t>RES_200601_P4T1</t>
  </si>
  <si>
    <t>RES_200601_P4T2</t>
  </si>
  <si>
    <t>RES_200601_P4T3</t>
  </si>
  <si>
    <t>RES_201402_P5T1</t>
  </si>
  <si>
    <t>Building Operator Certification</t>
  </si>
  <si>
    <t>Efficient Homes</t>
  </si>
  <si>
    <t>Other Residential Standards</t>
  </si>
  <si>
    <t>2019RES_201403_P8T1</t>
  </si>
  <si>
    <t>The savings rate is frozen based on the 7th PP analysis</t>
  </si>
  <si>
    <t>Local Programs Units NEEA</t>
  </si>
  <si>
    <t>AGR_200201_P1T1</t>
  </si>
  <si>
    <t>AM400 Data Logger</t>
  </si>
  <si>
    <t>Ag Data Logger</t>
  </si>
  <si>
    <t>AM 400</t>
  </si>
  <si>
    <t>AGR_201401_P1T1</t>
  </si>
  <si>
    <t>Irrigation</t>
  </si>
  <si>
    <t>Ag Irrigation</t>
  </si>
  <si>
    <t>Level 1</t>
  </si>
  <si>
    <t>COM_200202_P4T3</t>
  </si>
  <si>
    <t>WA 2006 WSEC</t>
  </si>
  <si>
    <t>COM_200203_P1T1</t>
  </si>
  <si>
    <t>Verdiem Network Energy Management</t>
  </si>
  <si>
    <t>Verdiem</t>
  </si>
  <si>
    <t>COM_200701_P1T1</t>
  </si>
  <si>
    <t>Commercial Desktops</t>
  </si>
  <si>
    <t>80 PLUS</t>
  </si>
  <si>
    <t>COM_200701_P1T2</t>
  </si>
  <si>
    <t>ENERGY STAR 5.0</t>
  </si>
  <si>
    <t>COM_200702_P1T1</t>
  </si>
  <si>
    <t>Grocery</t>
  </si>
  <si>
    <t>Groceries</t>
  </si>
  <si>
    <t>COM_200801_P1T1</t>
  </si>
  <si>
    <t>Building Operations (Non-target Markets)</t>
  </si>
  <si>
    <t>Building Operations</t>
  </si>
  <si>
    <t>Healthcare</t>
  </si>
  <si>
    <t>Healthcare SEM</t>
  </si>
  <si>
    <t>CRE SEM</t>
  </si>
  <si>
    <t>WA CRE SEM</t>
  </si>
  <si>
    <t>OR CRE SEM</t>
  </si>
  <si>
    <t>ID CRE SEM</t>
  </si>
  <si>
    <t>COM_200901_P1T1</t>
  </si>
  <si>
    <t>New Construction (Commercial)</t>
  </si>
  <si>
    <t>New Commercial Construction</t>
  </si>
  <si>
    <t>COM_201101_P1T1</t>
  </si>
  <si>
    <t>Commercial Lighting Solutions</t>
  </si>
  <si>
    <t>Commercial Lighting</t>
  </si>
  <si>
    <t>Pilot</t>
  </si>
  <si>
    <t>Deep Energy Retrofits</t>
  </si>
  <si>
    <t>Lighting Controls</t>
  </si>
  <si>
    <t>LLC</t>
  </si>
  <si>
    <t>IND_199801_P1T1</t>
  </si>
  <si>
    <t>Variable Frequency Drives</t>
  </si>
  <si>
    <t>VFD</t>
  </si>
  <si>
    <t>IND_199802_P1T1</t>
  </si>
  <si>
    <t>Microelectronics (Asimi, Silicon Crystal Growing Facilities)</t>
  </si>
  <si>
    <t>ASiMI And Silicon</t>
  </si>
  <si>
    <t>IND_199901_P1T1</t>
  </si>
  <si>
    <t>BacGen Waste Water Optimization Service</t>
  </si>
  <si>
    <t>BacGen</t>
  </si>
  <si>
    <t>MagnaDrive Innovative Industrial Speed Control</t>
  </si>
  <si>
    <t>MagnaDrive ASD</t>
  </si>
  <si>
    <t>MagnaDrive Couplings</t>
  </si>
  <si>
    <t>IND_200004_P1T1</t>
  </si>
  <si>
    <t>Pneu-Logic (Sav-Air)</t>
  </si>
  <si>
    <t>Pneu-Logic</t>
  </si>
  <si>
    <t>Food Processors</t>
  </si>
  <si>
    <t>Food Processors SEM</t>
  </si>
  <si>
    <t>IND_200603_P1T1</t>
  </si>
  <si>
    <t>Pulp and Paper</t>
  </si>
  <si>
    <t>Pulp and Paper Sem</t>
  </si>
  <si>
    <t>IND_200702_P1T1</t>
  </si>
  <si>
    <t>Distribution Efficiency</t>
  </si>
  <si>
    <t>DEI</t>
  </si>
  <si>
    <t>CRES Certified Operator</t>
  </si>
  <si>
    <t>IND_201302_P1T1</t>
  </si>
  <si>
    <t>Small/Medium Industrials</t>
  </si>
  <si>
    <t>Small Medium Industrial SEM</t>
  </si>
  <si>
    <t>RES_199705_P1T1</t>
  </si>
  <si>
    <t>Windows</t>
  </si>
  <si>
    <t>Residential Windows (New and Existing Construction)</t>
  </si>
  <si>
    <t>U Factor 0.35</t>
  </si>
  <si>
    <t>RES_199706_P1T1</t>
  </si>
  <si>
    <t>Super Good Cents Manufactured Homes</t>
  </si>
  <si>
    <t>RES_199802_P1T1</t>
  </si>
  <si>
    <t>Lighting Fixtures</t>
  </si>
  <si>
    <t>Residential Fixtures</t>
  </si>
  <si>
    <t>RES_200401_P12T1</t>
  </si>
  <si>
    <t>ID Multifamily Homes</t>
  </si>
  <si>
    <t>RES_200401_P15T1</t>
  </si>
  <si>
    <t>WA Multifamily Homes</t>
  </si>
  <si>
    <t>Res_201301_P20T3</t>
  </si>
  <si>
    <t>7thPP savings rate. See below for details.</t>
  </si>
  <si>
    <t>RES_201403_P10t1</t>
  </si>
  <si>
    <t>RES_201403_P10t2</t>
  </si>
  <si>
    <t>RES_201403_P5t1</t>
  </si>
  <si>
    <t>RES_201403_P5t2</t>
  </si>
  <si>
    <t>RES_201403_P9t1</t>
  </si>
  <si>
    <t>RES_201403_P9t2</t>
  </si>
  <si>
    <t>Freezers and Refrigerators</t>
  </si>
  <si>
    <t>Input Data</t>
  </si>
  <si>
    <t>Standard Size Refrigerator and Refrigerator-freezer - CEE Tier 1</t>
  </si>
  <si>
    <t>Standard Size Refrigerator and Refrigerator-freezer - CEE Tier 2</t>
  </si>
  <si>
    <t>Standard Size Refrigerator and Refrigerator-freezer - CEE Tier 3</t>
  </si>
  <si>
    <t>Standard Size Refrigerator and Refrigerator-freezer - Energy Star</t>
  </si>
  <si>
    <t>Standard Size Freezer - Energy Star</t>
  </si>
  <si>
    <t>Compact Refrigerator and Refrigerator-freezer - CEE Tier 1</t>
  </si>
  <si>
    <t>Compact Refrigerator and Refrigerator-freezer - CEE Tier 2</t>
  </si>
  <si>
    <t>Compact Refrigerator and Refrigerator-freezer - CEE Tier 3</t>
  </si>
  <si>
    <t>Compact Refrigerator and Refrigerator-freezer - Energy Star</t>
  </si>
  <si>
    <t>Compact Freezer - Energy Star</t>
  </si>
  <si>
    <t>Standard Size Refrigerator and Refrigerator-freezer - CEE Tier 1 _HVAC</t>
  </si>
  <si>
    <t>Standard Size Refrigerator and Refrigerator-freezer - CEE Tier 2 _HVAC</t>
  </si>
  <si>
    <t>Standard Size Refrigerator and Refrigerator-freezer - CEE Tier 3 _HVAC</t>
  </si>
  <si>
    <t>Standard Size Refrigerator and Refrigerator-freezer - Energy Star _HVAC</t>
  </si>
  <si>
    <t>Standard Size Freezer - Energy Star _HVAC</t>
  </si>
  <si>
    <t>Compact Refrigerator and Refrigerator-freezer - CEE Tier 1 _HVAC</t>
  </si>
  <si>
    <t>Compact Refrigerator and Refrigerator-freezer - CEE Tier 2 _HVAC</t>
  </si>
  <si>
    <t>Compact Refrigerator and Refrigerator-freezer - CEE Tier 3 _HVAC</t>
  </si>
  <si>
    <t>Compact Refrigerator and Refrigerator-freezer - Energy Star _HVAC</t>
  </si>
  <si>
    <t>Compact Freezer - Energy Star _HVAC</t>
  </si>
  <si>
    <t>This measure is not in the 7th PP</t>
  </si>
  <si>
    <t>Chest</t>
  </si>
  <si>
    <t>Interaction factors for analysis</t>
  </si>
  <si>
    <t>% in Conditioned Space (from RBSA)</t>
  </si>
  <si>
    <t>Electric HVAC Interaction (%)</t>
  </si>
  <si>
    <t>HVAC Interaction (therms/kWh)</t>
  </si>
  <si>
    <t>Std Fridge/Freezer</t>
  </si>
  <si>
    <t>Compact Fridge</t>
  </si>
  <si>
    <t>Freezer</t>
  </si>
  <si>
    <t>Compact Freezer</t>
  </si>
  <si>
    <t>HVAC Interaction (updated - using same as 7P lighting)</t>
  </si>
  <si>
    <t>HVAC Interaction Type</t>
  </si>
  <si>
    <t>Electric Interaction Factor (%)</t>
  </si>
  <si>
    <t>Gas Interaction Factor (therms/kWh)</t>
  </si>
  <si>
    <t>Interior Lighting / General Interior Load</t>
  </si>
  <si>
    <t>Compact</t>
  </si>
  <si>
    <t>Energy Star +10%</t>
  </si>
  <si>
    <t>any ENERGY STAR</t>
  </si>
  <si>
    <t>Refrigerators- Compact Freezers</t>
  </si>
  <si>
    <t>Clothes_Washers</t>
  </si>
  <si>
    <t>Frig_Freezers</t>
  </si>
  <si>
    <t>RES_201403_P3t1</t>
  </si>
  <si>
    <t>1. Without reverse cycle, with louvered sides, and less than 6,000 Btu/h</t>
  </si>
  <si>
    <t>2. Without reverse cycle, with louvered sides, and 6,000 to 7,999 Btu/h</t>
  </si>
  <si>
    <t>4. Without reverse cycle, with louvered sides, and 14,000 to 19,999 Btu/h</t>
  </si>
  <si>
    <t>5a. Without reverse cycle, with louvered sides, and 20,000 to 27,999 Btu/h</t>
  </si>
  <si>
    <t>8a. Without reverse cycle, without louvered sides, and 8,000 to 10,999 Btu/h</t>
  </si>
  <si>
    <t>8b. Without reverse cycle, without louvered sides, and 11,000 to 13,999 Btu/h</t>
  </si>
  <si>
    <t>16. Casement-Slider</t>
  </si>
  <si>
    <t>Room AC</t>
  </si>
  <si>
    <t>RES_201403_P4t1</t>
  </si>
  <si>
    <t>RES_201403_P4t2</t>
  </si>
  <si>
    <t>RES_201403_P4t3</t>
  </si>
  <si>
    <t>Forecast</t>
  </si>
  <si>
    <t>Room_AC</t>
  </si>
  <si>
    <t>Soundbars</t>
  </si>
  <si>
    <t>Homes_Vol</t>
  </si>
  <si>
    <t xml:space="preserve">NEEA worked on a national level to achieve savings from Energy Conservation Standards for Small, Large, and Very Large Air-Cooled Commercial Package Air Conditioning and Heating Equipment that includes 5.5 ton to 63 ton equipment better known as RTU (Roof Top Units). This product was originally a ASHRAE product and their conservation standard levels were set by ASHRAE. NEEA along with advocates asserted that the efficiency metric to be used should be IEER (part load efficiency) instead of EER (full load) and that there was higher standard levels that were economical justified and technically feasible than was set by ASHRAE. In DOE’s (Department of Energy) review in 2014 of ASHRAE standard levels set in 90.1 -2013 they agreed on both accounts with advocates and set up a rulemaking to establish higher levels for this equipment and change the efficiency metric to IEER. DOE in their NOPR (Notice of Proposed Rule) set high conservation standard levels but industry pushed back hard and the threat of lawsuits from manufacturers and AHRI was very eminent. Energy and advocates sought middle ground and opted to set standards through a regulated negotiation process though the Appliance Standards and Rulemaking Federal Advisory Committee (ASRAC). Prior to DOE agreeing to this negotiated process energy and manufacturers met with DOE consultants concerning building modeling and equipment modeling necessary to determine if middle ground could be met in determining opportunity of energy savings in buildings and the capacity of equipment to achieve savings. The initial meetings indicated the basis for a negotiation were feasible and agreement was likely achievable. An ASRAC working group was establish for RTU’s, NEEA applied and was accepted on the working group. 
The working group met four times in Washington DC for two days at a time and was able to reach consensus on standards levels for equipment in June 2015. A large amount of energy savings form RTU’s was estimated (DOE estimated 11.7 quads over a 30 year period) but a larger savings was realized by recommended modifications of the analysis of the energy advocates to a final negotiated standard levels of 14.6 quads over a thirty year period. The recommend term sheet included the first standard level occurring in 2018 and matched AHSRAE 2013 equipment standard levels and the second standard level of TSL 3 originally proposed by DOE to occur in 2018 occurring in 2023. The final rule was publish January 15, 2016 and was entirely reflective of the term sheet developed by the working group.  This was the largest savings from a DOE rule to date.
NEEA provided technical expertise in application of equipment in the field that increased the estimated energy savings and kept the pricing of higher efficiency equipment from being over estimated. Advocates working with manufacturers provided a creative solution that achieve energy saving while provide predictability of efficiency requirements to help manufacturers plan their product conversions. The work of advocates help prevent lawsuits that DOE would have likely faced if not for the negotiated process which does not have a cost or energy savings associated with but is important in its own way in saving energy. The flexibility of the ASRAC process allows back and forth along with creative solutions that are not available in the typical DOE process. Without NEEA participation in this process a much weaker or no conservation standards would have been established for RTU’s and there would be 3 quads less of energy taken account in DOE analysis. A win for everybody involved, an untypical outcome from a DOE rulemaking and all thanks to the unwavering support of our funders to leverage and fund NW participation in DOE standard process.  
</t>
  </si>
  <si>
    <t>Standards Savings count against the 7th PP baseline if announced after December 31, 2015</t>
  </si>
  <si>
    <t>Code Savings count against the 7th PP baseline if announced after December 31, 2015</t>
  </si>
  <si>
    <t>Baseline Assumption - Luminaire Lighting Controls</t>
  </si>
  <si>
    <t>Source File:</t>
  </si>
  <si>
    <t>Com-InteriorLightingControls-7P_V10.xlsx</t>
  </si>
  <si>
    <t>From SavingsNew worksheet:</t>
  </si>
  <si>
    <t>Office</t>
  </si>
  <si>
    <t>Retail</t>
  </si>
  <si>
    <t>School</t>
  </si>
  <si>
    <t>Health</t>
  </si>
  <si>
    <t>Baseline Lighting EUI (After LPD measures)</t>
  </si>
  <si>
    <t>Control Factor (Integrated)</t>
  </si>
  <si>
    <t>Savings Rate - T8 Linear Fluorescent Lamp Measures</t>
  </si>
  <si>
    <t>Com-HPLowPowerGSFL-7P_V8.xlsx</t>
  </si>
  <si>
    <t>32W</t>
  </si>
  <si>
    <t>28W</t>
  </si>
  <si>
    <t>25W</t>
  </si>
  <si>
    <t>UEC (kWh/Lamp)</t>
  </si>
  <si>
    <t>Wattage Mix</t>
  </si>
  <si>
    <t>Avg. Lamp UEC</t>
  </si>
  <si>
    <t>Max Shift to Low W</t>
  </si>
  <si>
    <t>Per-Lamp Savings (kWh/Lamp)</t>
  </si>
  <si>
    <t>From GSFL Final Rule worksheet:</t>
  </si>
  <si>
    <t>CBSA Hrs_Light</t>
  </si>
  <si>
    <t>GSFL Hrs_Light</t>
  </si>
  <si>
    <t>Hours</t>
  </si>
  <si>
    <t>With Existing Ballast (Standard Electronic)</t>
  </si>
  <si>
    <t>From GSFL Final Rule</t>
  </si>
  <si>
    <t>Lamps</t>
  </si>
  <si>
    <t>System Watts</t>
  </si>
  <si>
    <t>system watts per lamp</t>
  </si>
  <si>
    <t>Annual System Energy (kWh)</t>
  </si>
  <si>
    <t>Base Sales Mix (fc 2016)</t>
  </si>
  <si>
    <t>Weighted Average Annual System Energy (kWh)</t>
  </si>
  <si>
    <t>kWh/lamp savings</t>
  </si>
  <si>
    <t>WT HVAC Elec Yield</t>
  </si>
  <si>
    <t>Table 5.3.8 Lamp Replacement Engineering Analysis for a Two-Lamp Instant Start 32 W T8, 4,100 K System in the Commercial and Industrial Sectors</t>
  </si>
  <si>
    <t>Efficacy Level</t>
  </si>
  <si>
    <t>Lamp Diameter</t>
  </si>
  <si>
    <t>Nominal Wattage</t>
  </si>
  <si>
    <t>Rated Wattage</t>
  </si>
  <si>
    <t>Number of Lamps</t>
  </si>
  <si>
    <t xml:space="preserve">Baseline </t>
  </si>
  <si>
    <t xml:space="preserve">T8 </t>
  </si>
  <si>
    <t>2-Lamp</t>
  </si>
  <si>
    <t>T8 32</t>
  </si>
  <si>
    <t xml:space="preserve">EL 1 </t>
  </si>
  <si>
    <t>Base SP32W</t>
  </si>
  <si>
    <t xml:space="preserve">EL 2 </t>
  </si>
  <si>
    <t>T8 25</t>
  </si>
  <si>
    <t>HP25W</t>
  </si>
  <si>
    <t>HP32W</t>
  </si>
  <si>
    <t>T8 28</t>
  </si>
  <si>
    <t>HP28W</t>
  </si>
  <si>
    <t>Table 5.3.10 Lamp Replacement Engineering Analysis for a Four-Lamp Instant Start 32 W T8, 4,100 K System in the Commercial and Industrial Sectors</t>
  </si>
  <si>
    <t>4-Lamp</t>
  </si>
  <si>
    <t>The 7th Plan uses market average approach to calculate savings for the low watt lamps. See details below.</t>
  </si>
  <si>
    <t>OR/WA</t>
  </si>
  <si>
    <t>ID/MT</t>
  </si>
  <si>
    <t>Annual New Certificates</t>
  </si>
  <si>
    <t>Region Wtd. 7P Sav. Rate</t>
  </si>
  <si>
    <t>NEEA uses the RTF savings rate then calculates the weighted average kWh savings per rewind.</t>
  </si>
  <si>
    <t>State</t>
  </si>
  <si>
    <t>Member</t>
  </si>
  <si>
    <t>Agricultural</t>
  </si>
  <si>
    <t>Non-Member</t>
  </si>
  <si>
    <t>7th PP assume a 30% baseline (motor calculation workbook, MotorCalc.xlsx, for the baseline assumption:  Details!AH46)</t>
  </si>
  <si>
    <t>Commercial</t>
  </si>
  <si>
    <t>Com_Lighting</t>
  </si>
  <si>
    <t>Ind_Lighting</t>
  </si>
  <si>
    <t>Program</t>
  </si>
  <si>
    <t>Tab</t>
  </si>
  <si>
    <t>Program Lookup</t>
  </si>
  <si>
    <t>Products</t>
  </si>
  <si>
    <t>Low-rise Multifamily Homes</t>
  </si>
  <si>
    <t>Refrigerators and Freezer</t>
  </si>
  <si>
    <t>Room Air Conditioners</t>
  </si>
  <si>
    <t>Sound Bars</t>
  </si>
  <si>
    <t>Certifications</t>
  </si>
  <si>
    <t>Retro and New Commissioning</t>
  </si>
  <si>
    <t>Codes</t>
  </si>
  <si>
    <t>Voluntary</t>
  </si>
  <si>
    <t>T25 and T28 Lamps</t>
  </si>
  <si>
    <t>Motor Rewinds</t>
  </si>
  <si>
    <t>Total Savings</t>
  </si>
  <si>
    <t>NEEA Measures</t>
  </si>
  <si>
    <t xml:space="preserve">Trackable Measures </t>
  </si>
  <si>
    <t>Codes &amp; Standards Measures</t>
  </si>
  <si>
    <t>Program Measures</t>
  </si>
  <si>
    <t>NEEA allocates the regional savings (Idaho, Montana, Oregon, and Washington) using funder shares. The shares vary based on the funding cycle.  Savings from previous investments receive the previous funder share. Savings from current investments receive the current funder share.</t>
  </si>
  <si>
    <t>Funding Shares</t>
  </si>
  <si>
    <t>Avoiding Double Counting</t>
  </si>
  <si>
    <t>No equivalent 7th PP measure</t>
  </si>
  <si>
    <t>kWh/ Unit-Yr.</t>
  </si>
  <si>
    <t>kWh/ Unit-Year</t>
  </si>
  <si>
    <t>See below for standard</t>
  </si>
  <si>
    <r>
      <rPr>
        <b/>
        <sz val="11"/>
        <color theme="1" tint="0.499984740745262"/>
        <rFont val="Calibri"/>
        <family val="2"/>
        <scheme val="minor"/>
      </rPr>
      <t xml:space="preserve">Others: </t>
    </r>
    <r>
      <rPr>
        <sz val="11"/>
        <color theme="1" tint="0.499984740745262"/>
        <rFont val="Calibri"/>
        <family val="2"/>
        <scheme val="minor"/>
      </rPr>
      <t>NEEA also anticipates savings from emerging programs including Commercial Windows Attachment, Residential Windows Attachment and Manufactured Homes.  However, these programs are too early in development to include in this forecast. Although NEEA expects some savings from these programs during the Biennium, NEEA won’t likely have enough information to include these programs in the September forecast.</t>
    </r>
  </si>
  <si>
    <t>low</t>
  </si>
  <si>
    <t>high</t>
  </si>
  <si>
    <t>High</t>
  </si>
  <si>
    <t>Standards</t>
  </si>
  <si>
    <t>2018-2019 Biennial</t>
  </si>
  <si>
    <t>CHECKED</t>
  </si>
  <si>
    <t>2010-2014</t>
  </si>
  <si>
    <t>2015-2019</t>
  </si>
  <si>
    <t>Prior</t>
  </si>
  <si>
    <t>Business Plan</t>
  </si>
  <si>
    <t>Funding Share</t>
  </si>
  <si>
    <t>Funder Shares by Year</t>
  </si>
  <si>
    <t>Bonneville Power Administration Plus Publics</t>
  </si>
  <si>
    <t>1997-2004</t>
  </si>
  <si>
    <t>2004-2009</t>
  </si>
  <si>
    <t>C1&amp;C2</t>
  </si>
  <si>
    <t>C3</t>
  </si>
  <si>
    <t>C4</t>
  </si>
  <si>
    <t>C5</t>
  </si>
  <si>
    <t>C6</t>
  </si>
  <si>
    <t>Retail Bulb Sales</t>
  </si>
  <si>
    <t>2018-2019</t>
  </si>
  <si>
    <t xml:space="preserve">Notes: </t>
  </si>
  <si>
    <r>
      <t>1.</t>
    </r>
    <r>
      <rPr>
        <i/>
        <sz val="7"/>
        <color rgb="FF7F7F7F"/>
        <rFont val="Times New Roman"/>
        <family val="1"/>
      </rPr>
      <t xml:space="preserve">       </t>
    </r>
    <r>
      <rPr>
        <i/>
        <sz val="10"/>
        <color rgb="FF7F7F7F"/>
        <rFont val="Calibri"/>
        <family val="2"/>
        <scheme val="minor"/>
      </rPr>
      <t>These are site-base, first year savings</t>
    </r>
  </si>
  <si>
    <r>
      <t>3.</t>
    </r>
    <r>
      <rPr>
        <i/>
        <sz val="7"/>
        <color rgb="FF7F7F7F"/>
        <rFont val="Times New Roman"/>
        <family val="1"/>
      </rPr>
      <t xml:space="preserve">       </t>
    </r>
    <r>
      <rPr>
        <i/>
        <sz val="10"/>
        <color rgb="FF7F7F7F"/>
        <rFont val="Calibri"/>
        <family val="2"/>
        <scheme val="minor"/>
      </rPr>
      <t xml:space="preserve">NEEA allocates the regional savings (Idaho, Montana, Oregon, and Washington) using funder shares. </t>
    </r>
  </si>
  <si>
    <t xml:space="preserve"> Net Energy Savings (kWh/unit/year)</t>
  </si>
  <si>
    <t>Index ID (first digit is the heating zone, 2nd digit is the cooling zone)</t>
  </si>
  <si>
    <t>Heating Zone</t>
  </si>
  <si>
    <t>Cooling Zone</t>
  </si>
  <si>
    <t>Weight by Market Size</t>
  </si>
  <si>
    <t>Weighted Rate</t>
  </si>
  <si>
    <t>11</t>
  </si>
  <si>
    <t>12</t>
  </si>
  <si>
    <t>13</t>
  </si>
  <si>
    <t>21</t>
  </si>
  <si>
    <t>22</t>
  </si>
  <si>
    <t>23</t>
  </si>
  <si>
    <t>31</t>
  </si>
  <si>
    <t>32</t>
  </si>
  <si>
    <t>33</t>
  </si>
  <si>
    <t>Source:</t>
  </si>
  <si>
    <t>Original Measure Name</t>
  </si>
  <si>
    <t>Heat Savings (kWh)</t>
  </si>
  <si>
    <t>Cool Savings (kWh)</t>
  </si>
  <si>
    <t>Non Electric Savings (kWh/yr)</t>
  </si>
  <si>
    <t>Non Electric Savings ($/year)</t>
  </si>
  <si>
    <t>Cooling NEB</t>
  </si>
  <si>
    <t>Net Savings</t>
  </si>
  <si>
    <t>Heat Pump:Zonal-DHP</t>
  </si>
  <si>
    <t>Savings Rate - SF Zonal</t>
  </si>
  <si>
    <t>Measure Analysis</t>
  </si>
  <si>
    <t>Weighting</t>
  </si>
  <si>
    <t>Savings Rate - eFAF (SF and MH)</t>
  </si>
  <si>
    <t>Res-FAF_to_DHP-7P_v2.xlsx</t>
  </si>
  <si>
    <t>Single Family Homes</t>
  </si>
  <si>
    <t>Manufactured homes</t>
  </si>
  <si>
    <t>Power Plan used all homes of that type to weight rather than electric forced air heated homes specifically</t>
  </si>
  <si>
    <t>Savings Rates - CFLs</t>
  </si>
  <si>
    <t>Savings Rates - LEDs</t>
  </si>
  <si>
    <t>Replacements</t>
  </si>
  <si>
    <t>General Purpose Burnout Schedule</t>
  </si>
  <si>
    <t>Specialty Burnout Schedule</t>
  </si>
  <si>
    <t>Cum. Burnout Rate</t>
  </si>
  <si>
    <t>CFL Burnout Rate</t>
  </si>
  <si>
    <t>Regional_Market</t>
  </si>
  <si>
    <t>Retirements</t>
  </si>
  <si>
    <t>Res-ClothesDryer-7P_v2.xlsx</t>
  </si>
  <si>
    <t>See below</t>
  </si>
  <si>
    <t>RTF Workbook</t>
  </si>
  <si>
    <t>ResSFExistingHVAC_v4_1.xls</t>
  </si>
  <si>
    <t>Zonal to DHP_HSPF 9.0 and above_HZ1CZ1</t>
  </si>
  <si>
    <t>Zonal to DHP_HSPF 9.0 and above_HZ2CZ1</t>
  </si>
  <si>
    <t>Zonal to DHP_HSPF 9.0 and above_HZ3CZ1</t>
  </si>
  <si>
    <t>Zonal to DHP_HSPF 9.0 and above_HZ1CZ2</t>
  </si>
  <si>
    <t>Zonal to DHP_HSPF 9.0 and above_HZ2CZ2</t>
  </si>
  <si>
    <t>Zonal to DHP_HSPF 9.0 and above_HZ3CZ2</t>
  </si>
  <si>
    <t>Zonal to DHP_HSPF 9.0 and above_HZ1CZ3</t>
  </si>
  <si>
    <t>Zonal to DHP_HSPF 9.0 and above_HZ2CZ3</t>
  </si>
  <si>
    <t>Zonal to DHP_HSPF 9.0 and above_HZ3CZ3</t>
  </si>
  <si>
    <t>Zonal to DHP_HSPF 9.0 to 11.0_HZ1CZ1</t>
  </si>
  <si>
    <t>Zonal to DHP_HSPF 9.0 to 11.0_HZ2CZ1</t>
  </si>
  <si>
    <t>Zonal to DHP_HSPF 9.0 to 11.0_HZ3CZ1</t>
  </si>
  <si>
    <t>Zonal to DHP_HSPF 9.0 to 11.0_HZ1CZ2</t>
  </si>
  <si>
    <t>Zonal to DHP_HSPF 9.0 to 11.0_HZ2CZ2</t>
  </si>
  <si>
    <t>Zonal to DHP_HSPF 9.0 to 11.0_HZ3CZ2</t>
  </si>
  <si>
    <t>Zonal to DHP_HSPF 9.0 to 11.0_HZ1CZ3</t>
  </si>
  <si>
    <t>Zonal to DHP_HSPF 9.0 to 11.0_HZ2CZ3</t>
  </si>
  <si>
    <t>Zonal to DHP_HSPF 9.0 to 11.0_HZ3CZ3</t>
  </si>
  <si>
    <t>Zonal to DHP_HSPF 11.1 to 12.5_HZ1CZ1</t>
  </si>
  <si>
    <t>Zonal to DHP_HSPF 11.1 to 12.5_HZ2CZ1</t>
  </si>
  <si>
    <t>Zonal to DHP_HSPF 11.1 to 12.5_HZ3CZ1</t>
  </si>
  <si>
    <t>Zonal to DHP_HSPF 11.1 to 12.5_HZ1CZ2</t>
  </si>
  <si>
    <t>Zonal to DHP_HSPF 11.1 to 12.5_HZ2CZ2</t>
  </si>
  <si>
    <t>Zonal to DHP_HSPF 11.1 to 12.5_HZ3CZ2</t>
  </si>
  <si>
    <t>Zonal to DHP_HSPF 11.1 to 12.5_HZ1CZ3</t>
  </si>
  <si>
    <t>Zonal to DHP_HSPF 11.1 to 12.5_HZ2CZ3</t>
  </si>
  <si>
    <t>Zonal to DHP_HSPF 11.1 to 12.5_HZ3CZ3</t>
  </si>
  <si>
    <t>Zonal to DHP_HSPF 12.6 and above_HZ1CZ1</t>
  </si>
  <si>
    <t>Zonal to DHP_HSPF 12.6 and above_HZ2CZ1</t>
  </si>
  <si>
    <t>Zonal to DHP_HSPF 12.6 and above_HZ3CZ1</t>
  </si>
  <si>
    <t>Zonal to DHP_HSPF 12.6 and above_HZ1CZ2</t>
  </si>
  <si>
    <t>Zonal to DHP_HSPF 12.6 and above_HZ2CZ2</t>
  </si>
  <si>
    <t>Zonal to DHP_HSPF 12.6 and above_HZ3CZ2</t>
  </si>
  <si>
    <t>Zonal to DHP_HSPF 12.6 and above_HZ1CZ3</t>
  </si>
  <si>
    <t>Zonal to DHP_HSPF 12.6 and above_HZ2CZ3</t>
  </si>
  <si>
    <t>Zonal to DHP_HSPF 12.6 and above_HZ3CZ3</t>
  </si>
  <si>
    <t>Climate Zone Weighting</t>
  </si>
  <si>
    <t>Efficiency Tier Weighting</t>
  </si>
  <si>
    <t>HSPF below 9</t>
  </si>
  <si>
    <t>HSPF 9.0 – 11.0</t>
  </si>
  <si>
    <t>HSPF 11.1 – 12.5</t>
  </si>
  <si>
    <t>HSPT 12.6+</t>
  </si>
  <si>
    <t>2014-15</t>
  </si>
  <si>
    <t>RTF Tier Splits</t>
  </si>
  <si>
    <t>&lt;9</t>
  </si>
  <si>
    <t>9-11.0</t>
  </si>
  <si>
    <t>11.1-12.5</t>
  </si>
  <si>
    <t>12.6+</t>
  </si>
  <si>
    <t>CLEAResult Distributor Dataset</t>
  </si>
  <si>
    <t>Regionalized</t>
  </si>
  <si>
    <t>Available Data</t>
  </si>
  <si>
    <t>Final Savings Value Calculation</t>
  </si>
  <si>
    <t>7th PP Savings KWh/yr</t>
  </si>
  <si>
    <t>Tier_1</t>
  </si>
  <si>
    <t>Tier_2</t>
  </si>
  <si>
    <t>Tier_3</t>
  </si>
  <si>
    <t>Tier3</t>
  </si>
  <si>
    <t>garage</t>
  </si>
  <si>
    <t>HZ1</t>
  </si>
  <si>
    <t>HZ2</t>
  </si>
  <si>
    <t>HZ3</t>
  </si>
  <si>
    <t>basmnt</t>
  </si>
  <si>
    <t>indor2</t>
  </si>
  <si>
    <t>gas</t>
  </si>
  <si>
    <t>resistheat</t>
  </si>
  <si>
    <t>hp85</t>
  </si>
  <si>
    <t>ducted</t>
  </si>
  <si>
    <t>Tier3_garage_HZ1_AnySize</t>
  </si>
  <si>
    <t>AnySize</t>
  </si>
  <si>
    <t>Tier3_garage_HZ2_AnySize</t>
  </si>
  <si>
    <t>Tier3_garage_HZ3_AnySize</t>
  </si>
  <si>
    <t>Tier3_basmnt_HZ1_AnySize</t>
  </si>
  <si>
    <t>Tier3_basmnt_HZ2_AnySize</t>
  </si>
  <si>
    <t>Tier3_basmnt_HZ3_AnySize</t>
  </si>
  <si>
    <t>Tier3_indor2_HZ1_gas_AnySize</t>
  </si>
  <si>
    <t>Tier3_indor2_HZ1_resistheat_AnySize</t>
  </si>
  <si>
    <t>Tier3_indor2_HZ1_hp85_AnySize</t>
  </si>
  <si>
    <t>Tier3_indor2_HZ2_gas_AnySize</t>
  </si>
  <si>
    <t>Tier3_indor2_HZ2_resistheat_AnySize</t>
  </si>
  <si>
    <t>Tier3_indor2_HZ2_hp85_AnySize</t>
  </si>
  <si>
    <t>Tier3_indor2_HZ3_gas_AnySize</t>
  </si>
  <si>
    <t>Tier3_indor2_HZ3_resistheat_AnySize</t>
  </si>
  <si>
    <t>Tier3_indor2_HZ3_hp85_AnySize</t>
  </si>
  <si>
    <t>Tier3_ducted_HZ1_gas_AnySize</t>
  </si>
  <si>
    <t>Tier3_ducted_HZ1_resistheat_AnySize</t>
  </si>
  <si>
    <t>Tier3_ducted_HZ1_hp85_AnySize</t>
  </si>
  <si>
    <t>Tier3_ducted_HZ2_gas_AnySize</t>
  </si>
  <si>
    <t>Tier3_ducted_HZ2_resistheat_AnySize</t>
  </si>
  <si>
    <t>Tier3_ducted_HZ2_hp85_AnySize</t>
  </si>
  <si>
    <t>Tier3_ducted_HZ3_gas_AnySize</t>
  </si>
  <si>
    <t>Tier3_ducted_HZ3_resistheat_AnySize</t>
  </si>
  <si>
    <t>Tier3_ducted_HZ3_hp85_AnySize</t>
  </si>
  <si>
    <t>Water Heating</t>
  </si>
  <si>
    <t>Heating</t>
  </si>
  <si>
    <t>Cooling</t>
  </si>
  <si>
    <t>Savings By Measure</t>
  </si>
  <si>
    <t>Installs Climate Zone Distribution</t>
  </si>
  <si>
    <t>All Installs</t>
  </si>
  <si>
    <t>Interior</t>
  </si>
  <si>
    <t>Garage</t>
  </si>
  <si>
    <t>Unheated Basement</t>
  </si>
  <si>
    <t>Overall</t>
  </si>
  <si>
    <t>Ecotope. February 2013. Summary of RBSA data in OutputTablesWH_2012-12-13-1344b. Table 35: Water Heaters by heating zone and water heater location--SF. (adjusted to get at install space by HZ rather than HZ split by install space)</t>
  </si>
  <si>
    <t>Existing Homes Heating System</t>
  </si>
  <si>
    <t>RTF HVAC Categories</t>
  </si>
  <si>
    <t>Gas</t>
  </si>
  <si>
    <t>Electric Resistance</t>
  </si>
  <si>
    <t>Heat Pump HSPF 8.5</t>
  </si>
  <si>
    <t>Interior - Exhaust Ducted</t>
  </si>
  <si>
    <t>RBSA 2012 Database</t>
  </si>
  <si>
    <t>Gas Furnace</t>
  </si>
  <si>
    <t>Gas Furnace w/ CAC</t>
  </si>
  <si>
    <t>Sources</t>
  </si>
  <si>
    <t>Location</t>
  </si>
  <si>
    <t>Heating System</t>
  </si>
  <si>
    <t>Index</t>
  </si>
  <si>
    <t>Any</t>
  </si>
  <si>
    <t>Weighting Factors for Climate Zone and Heating Type</t>
  </si>
  <si>
    <r>
      <t xml:space="preserve">Site Savings Rate </t>
    </r>
    <r>
      <rPr>
        <sz val="12"/>
        <color theme="1" tint="0.499984740745262"/>
        <rFont val="Calibri Light"/>
        <family val="1"/>
        <scheme val="major"/>
      </rPr>
      <t>(kWh/ Unit-yr)</t>
    </r>
  </si>
  <si>
    <t>Heat (therms)</t>
  </si>
  <si>
    <t>Heat (wood kWh)</t>
  </si>
  <si>
    <t>Standard Electric Water Heater</t>
  </si>
  <si>
    <t>Tier 2 HPWH</t>
  </si>
  <si>
    <t>Summary Page</t>
  </si>
  <si>
    <t>See Calculation below</t>
  </si>
  <si>
    <t xml:space="preserve">NEEA avoids double counting by surveying the Bonneville Power Administration, the Energy Trust of Oregon and local utilities about their local programs. This report has a forecast of local program units that it uses to avoid over-reporting savings. NEEA multiplies the Power Plan’s savings rate and baseline saturation assumptions by the units to forecast local program savings. The regional savings minus the program savings are the savings NEEA reports to the Washington Investor Own Utilities. </t>
  </si>
  <si>
    <t>7th PP Savings Rate</t>
  </si>
  <si>
    <t>Baseline UEC</t>
  </si>
  <si>
    <t>The savings rate comes from Mike Kennedy. The units come from Cadeo Group, which uses regional assumptions (Commercial Building Stock and the 7th Power Plan) to estimate replacements or Roof Top Units.</t>
  </si>
  <si>
    <t>Summary of NEEA's work</t>
  </si>
  <si>
    <t>CFL General Purpose</t>
  </si>
  <si>
    <t>CFL Specialty</t>
  </si>
  <si>
    <t>Other General Purpose</t>
  </si>
  <si>
    <t>Other Specialty</t>
  </si>
  <si>
    <t>Units Forecast</t>
  </si>
  <si>
    <t>Regional Momentum Savings Model (Overall Retail Market Size)</t>
  </si>
  <si>
    <t>Decorative and Mini-Base</t>
  </si>
  <si>
    <t>General Purpose and Three-Way</t>
  </si>
  <si>
    <t>Globe</t>
  </si>
  <si>
    <t>Reflectors and Outdoor</t>
  </si>
  <si>
    <t>LED General PurposeES</t>
  </si>
  <si>
    <t>LED SpecialtyES</t>
  </si>
  <si>
    <t>Each tab in this spreadsheet contains sources and additional information regarding the savings rate calculations.</t>
  </si>
  <si>
    <t>HSPF Rating Bins</t>
  </si>
  <si>
    <t>Res_201301_P19T1</t>
  </si>
  <si>
    <t>Energy Performance Score</t>
  </si>
  <si>
    <t>UHD Televisions</t>
  </si>
  <si>
    <t>ENERGY STAR +20%</t>
  </si>
  <si>
    <t>RES_201403_P7T2</t>
  </si>
  <si>
    <t>ENERGY STAR +35%</t>
  </si>
  <si>
    <t>Smart Water Heat Program Data - Tier 2 Ducted Installs</t>
  </si>
  <si>
    <t>Note: Becase the 7th PowerPlan resets the baseline using 2015 as the baseline year, NEEA subtracts burn outs of bulbs installed after December 31, 2014. The burn outs are based on the distributions in the tables below. NEEA assumes the new sales replace the burned out bulbs.</t>
  </si>
  <si>
    <t>CFL RETIREMENTS SINCE 2015</t>
  </si>
  <si>
    <r>
      <t>4.</t>
    </r>
    <r>
      <rPr>
        <i/>
        <sz val="7"/>
        <color rgb="FF7F7F7F"/>
        <rFont val="Times New Roman"/>
        <family val="1"/>
      </rPr>
      <t xml:space="preserve">       </t>
    </r>
    <r>
      <rPr>
        <i/>
        <sz val="10"/>
        <color rgb="FF7F7F7F"/>
        <rFont val="Calibri"/>
        <family val="2"/>
        <scheme val="minor"/>
      </rPr>
      <t>These savings are net of a forecast of savings the Bonneville Power Administration, the Energy Trust of Oregon and local utilities will claim through their local programs.</t>
    </r>
  </si>
  <si>
    <t>No equivalent Power Plan measure.</t>
  </si>
  <si>
    <t>NEEA is a assuming a 0% baseline.</t>
  </si>
  <si>
    <t xml:space="preserve">Anticipating site-based savings. </t>
  </si>
  <si>
    <t>Stakeholders</t>
  </si>
  <si>
    <t>Report Types</t>
  </si>
  <si>
    <t>Period</t>
  </si>
  <si>
    <t>Allocation</t>
  </si>
  <si>
    <t>ReportArchive</t>
  </si>
  <si>
    <t>Report Name</t>
  </si>
  <si>
    <t>Regional</t>
  </si>
  <si>
    <t>Northwest Power and Conservation Council</t>
  </si>
  <si>
    <t>2015 Annual Report</t>
  </si>
  <si>
    <t>Avista Utilities</t>
  </si>
  <si>
    <t>Montana</t>
  </si>
  <si>
    <t>2016 Annual Report</t>
  </si>
  <si>
    <t>Bonneville Power Administration</t>
  </si>
  <si>
    <t>Oregon</t>
  </si>
  <si>
    <t>Public Utilities</t>
  </si>
  <si>
    <t>2016 Q4 Forecast</t>
  </si>
  <si>
    <t>Idaho</t>
  </si>
  <si>
    <t>Washington Investor Owned</t>
  </si>
  <si>
    <t>2016 Q4 Forecast Funder Adjusted</t>
  </si>
  <si>
    <t>Chelan County PUD</t>
  </si>
  <si>
    <t>Washington</t>
  </si>
  <si>
    <t>2016 Q4 Update</t>
  </si>
  <si>
    <t>Clark Public Utilities</t>
  </si>
  <si>
    <t>2017 Q1 Update</t>
  </si>
  <si>
    <t>Cowlitz County PUD</t>
  </si>
  <si>
    <t>Draft 2018-2019 Targets</t>
  </si>
  <si>
    <t>Douglas County PUD</t>
  </si>
  <si>
    <t>Targets 2016 and 2017</t>
  </si>
  <si>
    <t>Energy Trust of Oregon</t>
  </si>
  <si>
    <t>WA IOU 2016-2017 Targets</t>
  </si>
  <si>
    <t>Eugene Water &amp; Electric Board</t>
  </si>
  <si>
    <t>2017 Q4 Update</t>
  </si>
  <si>
    <t>Grant County PUD</t>
  </si>
  <si>
    <t>Idaho Power Company</t>
  </si>
  <si>
    <t>NorthWestern Energy</t>
  </si>
  <si>
    <t>Pacific Power</t>
  </si>
  <si>
    <t>Puget Sound Energy</t>
  </si>
  <si>
    <t>Rocky Mountain Power</t>
  </si>
  <si>
    <t>Seattle City Light</t>
  </si>
  <si>
    <t>Snohomish County PUD</t>
  </si>
  <si>
    <t>Tacoma Power</t>
  </si>
  <si>
    <t>Report Year</t>
  </si>
  <si>
    <t>Prior Report</t>
  </si>
  <si>
    <t>2018 Q1 Update</t>
  </si>
  <si>
    <t>Baseline Assumptions</t>
  </si>
  <si>
    <t>Frozen</t>
  </si>
  <si>
    <t>Measure_Index</t>
  </si>
  <si>
    <t>In Original Targets*</t>
  </si>
  <si>
    <t>Efficiency Level</t>
  </si>
  <si>
    <t>Share</t>
  </si>
  <si>
    <t>Description</t>
  </si>
  <si>
    <t>Source</t>
  </si>
  <si>
    <t>Savings_Rate</t>
  </si>
  <si>
    <t>N/A</t>
  </si>
  <si>
    <t>The baseline comes from the 7th Power Plan (Baseline saturation for Commercial Energy Management measure).</t>
  </si>
  <si>
    <t>Com_Master_7P.xlsm</t>
  </si>
  <si>
    <t>NEEA BOC-E MPER 2 Final.pdf</t>
  </si>
  <si>
    <t>Certification</t>
  </si>
  <si>
    <t>The baseline comes from the 7th Power Plan (Food, Cold Storage and Fruit Storage measures Energy Conservation Measure numbers: 34, 35, 53, 54, 55, 58).</t>
  </si>
  <si>
    <t>Industrial_tool_7thPlan v09.xlsm</t>
  </si>
  <si>
    <t>Reports available upon request</t>
  </si>
  <si>
    <t>based on site</t>
  </si>
  <si>
    <t>The baseline comes from the 7th Power Plan (54% ENERGY STAR Penetration)</t>
  </si>
  <si>
    <t>Res-ClothesWashers-7p_v4.xlsx</t>
  </si>
  <si>
    <t>The energy use estimates come directly from the 7th PP</t>
  </si>
  <si>
    <t>Commercial Code</t>
  </si>
  <si>
    <t xml:space="preserve">WSEC 2015 </t>
  </si>
  <si>
    <t>Codes adopted by Dec 31, 2014 are in the 7th Power Plan baseline load forecast or explicitly in the measures. As a result, the baseline is the code announced before 2015 (WSEC 2012).</t>
  </si>
  <si>
    <t xml:space="preserve">NEEA Planning. 2016. Guidelines for Reporting against the 7th Power Plan Baseline.  Based on June, 5, 2015 meeting with Northwest Power and Conservation Council staff. Updated based on May 9, 2016 meeting with staff. </t>
  </si>
  <si>
    <t xml:space="preserve">NEEA forecasted the savings rate by building type based on a goal of 5% improvement over the prior code. </t>
  </si>
  <si>
    <t>Available upon request</t>
  </si>
  <si>
    <t>kb</t>
  </si>
  <si>
    <t>based on Building Types</t>
  </si>
  <si>
    <t>Long Term Monitoring and Tracking Report on 2011 Activities.pdf</t>
  </si>
  <si>
    <t>Commercial Desktop</t>
  </si>
  <si>
    <t>ENERGY STAR 6.0</t>
  </si>
  <si>
    <t>COM-Computers-7P_V3.xlsx</t>
  </si>
  <si>
    <t>The baseline comes from the 7th Power Plan (Motor calculation workbook MotorCalc.xlsx).</t>
  </si>
  <si>
    <t>MotorCalc.xls</t>
  </si>
  <si>
    <t>NEEA uses the Regional Technical Forum savings rate then calculates a weighted average kWh savings per rewind based on program data. The original weights are available in the original targets sent in August 2015.</t>
  </si>
  <si>
    <t>AgGreenMotorRewind_v2_0.xlsm
IndGreenMotorRewind_v2_0.xlsm</t>
  </si>
  <si>
    <t>gk</t>
  </si>
  <si>
    <t>Res_Master.xlsx</t>
  </si>
  <si>
    <t>RES_201202_P3T1</t>
  </si>
  <si>
    <t>RES_201202_P3T2</t>
  </si>
  <si>
    <t>Next Step Homes</t>
  </si>
  <si>
    <t>Voluntary Programs (ENERGY STAR, Next Step Homes, Built Green and Home Energy Rating System, etc.)</t>
  </si>
  <si>
    <t xml:space="preserve">The savings rate changes based on the certification program, effective code and housing type. TRC calculates the savings rates. Energy 350 reviews the work. </t>
  </si>
  <si>
    <t>Codes adopted by Dec 31 2014 are in the 7th Power Plan baseline load forecast or explicitly in the measures. As a result, the baseline is the code announced before 2015 (WSEC 2012).</t>
  </si>
  <si>
    <t>The Council recommended using NEEA's assumptions (Based on June, 5, 2015 meeting with Northwest Power and Conservation Council staff. Updated based on May 9, 2016 meeting with staff). NEEA forecasted a savings rate using energy consumption estimates from Ecotope and an anticipated percent decline from the new code.</t>
  </si>
  <si>
    <t>Ecotope's report is available upon request</t>
  </si>
  <si>
    <t xml:space="preserve">The Council recommended using NEEA's assumptions (Based on June, 5, 2015 meeting with Northwest Power and Conservation Council staff. Updated based on May 9, 2016 meeting with staff). The savings rate comes from a model Ecotope built in 2017 in support of NEEA Next Step Homes program. </t>
  </si>
  <si>
    <t>Ecotope's model is available upon request</t>
  </si>
  <si>
    <t>T8 Fluorescent 25W</t>
  </si>
  <si>
    <t xml:space="preserve">The baseline comes from the 7th Power Plan. The baseline market share distribution for the 25W, 28W and 32W T8 fluorescent lamps are: 5%, 15%, and 80%, respectively.  The baseline market shares are incorporated in the savings rate calculation. </t>
  </si>
  <si>
    <t>com-hplowpowergsfl-7p_v6p.xlsx</t>
  </si>
  <si>
    <t>NEEA used the savings rate from the 7th Power Plan. NEEA corrected the HVAC electric yield from 103% to 99% and used the Commercial Building Stock Assessment to weight the average value. Weightings are available in the original targets sent in August 2015.</t>
  </si>
  <si>
    <t>T8 Fluorescent 28W</t>
  </si>
  <si>
    <t>The baseline comes from the 7th Power Plan (incorporated in the savings rate).</t>
  </si>
  <si>
    <t>Res-RefigFreezer-7P_v4.xlsm</t>
  </si>
  <si>
    <t>Side Freezers</t>
  </si>
  <si>
    <t>Bottom Freezers</t>
  </si>
  <si>
    <t>The 7th PP does not have an equivalent measure. As a result, NEEA uses its program data for 2015 to estimate a current practice baseline.</t>
  </si>
  <si>
    <t>Data available upon request</t>
  </si>
  <si>
    <t xml:space="preserve">This is not a 7th PP measure. As a result, NEEA uses program data to estimate the savings above the 7th PP baseline. </t>
  </si>
  <si>
    <t>Calculated</t>
  </si>
  <si>
    <t>More information available upon request</t>
  </si>
  <si>
    <t>The 7th PP does not have an equivalent measure. However, the council agreed that this measure is above the 7th Power Plan baseline.  (Based on June, 5, 2015 meeting with Northwest Power and Conservation Council staff. Updated based on May 9, 2016 meeting with staff)</t>
  </si>
  <si>
    <t>ResClothesDryers_v2.1</t>
  </si>
  <si>
    <t>RES_200601_P3T4</t>
  </si>
  <si>
    <t>RES_201301_P26T5</t>
  </si>
  <si>
    <t>RES_201301_P21T1</t>
  </si>
  <si>
    <t>RES_201301_P22T1</t>
  </si>
  <si>
    <t>RES_201301_P23T1</t>
  </si>
  <si>
    <t>RES_201301_P24T1</t>
  </si>
  <si>
    <t>RES_201301_P25T1</t>
  </si>
  <si>
    <t>RES_201202_P2T3</t>
  </si>
  <si>
    <t>RES_201202_P2T4</t>
  </si>
  <si>
    <t>RES_201202_P3T3</t>
  </si>
  <si>
    <t>RES_201202_P3T4</t>
  </si>
  <si>
    <t>RES_201202_P4T1</t>
  </si>
  <si>
    <t>RES_201202_P4T2</t>
  </si>
  <si>
    <t>RES_201202_P4T3</t>
  </si>
  <si>
    <t>RES_201202_P4T4</t>
  </si>
  <si>
    <t>RES_201202_P1T3</t>
  </si>
  <si>
    <t>RES_201202_P1T4</t>
  </si>
  <si>
    <t>COM_201304_P3T1</t>
  </si>
  <si>
    <t>Standards Savings count against the 7th PP baseline if announced after December 31, 2016</t>
  </si>
  <si>
    <t>Standards Savings count against the 7th PP baseline if announced after December 31, 2017</t>
  </si>
  <si>
    <t>The savings rates for installs came from the Regional Technical Forum (also the source for the 7th PP). NEEA weighted the rates using data from the Residential Building Stock Assessment. The calculation detail is available on the DHP program detail worksheet.</t>
  </si>
  <si>
    <t>The baseline comes from the 7th Power Plan (Baseline Saturation percentages), and is 0% because it is a retrofit measure.</t>
  </si>
  <si>
    <t xml:space="preserve">The savings per certified operator is the product of 3 variables: EUI, % savings from certified building operator, and floor area covered per operator. The floor area assumption differs between ID/MT and OR/WA, so the mix of units between those two regions changes the savings rate over time.
The EUI assumption comes from the 7th Power Plan. The Council recommended using NEEA's assumptions for the % savings from certified building operator and the square footage covered per operator. (Based on June, 5, 2015 meeting with Northwest Power and Conservation Council staff. Updated based on May 9, 2016 meeting with staff). NEEA's assumptions come from the Building Operator Certification Expansion Market Progress and Evaluation Report #2. </t>
  </si>
  <si>
    <t>Rooftop Units</t>
  </si>
  <si>
    <t>Refrigerated Beverage Machines</t>
  </si>
  <si>
    <t>The savings rate and units come from Cadeo Group, which uses information from the DOE's rulemaking proceedings.</t>
  </si>
  <si>
    <t>Cadeo's model uses information from DOE's rulemaking proceedings to develop an estimate of energy saved in the Pacific Northwest due to the establishment of new and amended federal standards from the 2016 BVM Final Rule.  Product class and efficiency level distribution information from the 2016 BVM Final Rule analyses is used to develop two weighted annual energy consumption values, one representative of the BVM market without the establishment of federal standards (No-New-Standards Case) and one representative of the BVM market with the establishment of federal standards (Standards Case).  The difference between the two annual energy consumption values is the unit energy saving.</t>
  </si>
  <si>
    <t>BVMs were included in the 6th Power Plan in the Packaged Refrigeration Equipment measure, but were dropped from the 7th Plan because of the development of Federal Standards.  This means no 7th Plan Baseline exists for BVM.</t>
  </si>
  <si>
    <t>Savings rate (kWh/sf) is incremental to prior code change, analyzed by Mike Kennedy. But it changes each year based on the building distribution of construction completed.</t>
  </si>
  <si>
    <t>Fed. Std. Vending Machines</t>
  </si>
  <si>
    <t>Standards adopted by Dec 31 2014 are in the 7th Power Plan baseline load forecast or explicitly in the measures.</t>
  </si>
  <si>
    <t>Savings rates come from Cadeo's analysis of the pre- and post-case average UES of refrigerated beverage vending machine shipments.</t>
  </si>
  <si>
    <t>RefrigeratedBeverageVendingMachine_StandardModel_15JUNE2018 (002).xlsm
(available upon request)</t>
  </si>
  <si>
    <t>No</t>
  </si>
  <si>
    <t>Target</t>
  </si>
  <si>
    <t>Current</t>
  </si>
  <si>
    <t>WA IOU 2018-2019 Targets</t>
  </si>
  <si>
    <t>Forecasted for Target</t>
  </si>
  <si>
    <t>3. Without reverse cycle, with louvered sides, and 8,000 to 9,999 Btu/h</t>
  </si>
  <si>
    <t>3. Without reverse cycle, with louvered sides, and 10,000 to 13,999 Btu/h</t>
  </si>
  <si>
    <t>ES UEC (2018)</t>
  </si>
  <si>
    <t>ENERGY STAR Version 4</t>
  </si>
  <si>
    <t>NEEA calculation. See below for details. Update is based on sales data.</t>
  </si>
  <si>
    <t xml:space="preserve"> 7th PP assumes 0% baseline saturation. However, the recent standard is incorporated in the baseline unit energy consumption.</t>
  </si>
  <si>
    <t>Calculations Summary Table</t>
  </si>
  <si>
    <t>Year(A)</t>
  </si>
  <si>
    <t>Product Class(B)</t>
  </si>
  <si>
    <t>RPP Tier(3)</t>
  </si>
  <si>
    <t>Sales-weighted AEC(4)
(kWh/yr)</t>
  </si>
  <si>
    <t>Sales-weighted Volume(5)
(ft^3)</t>
  </si>
  <si>
    <t>Sales-weighted % Better Than Fed(6)</t>
  </si>
  <si>
    <t>Year Table layout</t>
  </si>
  <si>
    <t>Not Qualified</t>
  </si>
  <si>
    <t>NA</t>
  </si>
  <si>
    <t>10. Chest freezers and all other freezers except compact freezers.</t>
  </si>
  <si>
    <t>10A</t>
  </si>
  <si>
    <t>10A. Chest freezers with automatic defrost.</t>
  </si>
  <si>
    <t>16. Compact upright freezers with manual defrost.</t>
  </si>
  <si>
    <t>17. Compact upright freezers with automatic defrost.</t>
  </si>
  <si>
    <t>18. Compact chest freezers.</t>
  </si>
  <si>
    <t>Regional Weighted Savings Rate</t>
  </si>
  <si>
    <t>Incremental to tier 3</t>
  </si>
  <si>
    <t>Small HPWHs Existing</t>
  </si>
  <si>
    <t>Large HPWHs Existing</t>
  </si>
  <si>
    <t>Small Tank HPWHs New Construction</t>
  </si>
  <si>
    <t>Large Tank HPWHs New Construction</t>
  </si>
  <si>
    <t>Small Tank Voluntary New Construction</t>
  </si>
  <si>
    <t>Large Tank Voluntary New Construction</t>
  </si>
  <si>
    <t>Small Tank Code New Construction</t>
  </si>
  <si>
    <t>Large Tank Code New Construction</t>
  </si>
  <si>
    <t>Savings Rate Factor - Small</t>
  </si>
  <si>
    <t>Savings Rate Factor - Large</t>
  </si>
  <si>
    <t>HPWH (&lt;=55 gallons) Existing Construction</t>
  </si>
  <si>
    <t>HPWH (&gt;55 gallons) Existing Construction</t>
  </si>
  <si>
    <t>HPWH (&lt;=55 gallons) New Construction</t>
  </si>
  <si>
    <t>HPWH (&gt;55 gallons) New Construction</t>
  </si>
  <si>
    <t>All OR and WA code homes</t>
  </si>
  <si>
    <t>Savings Rate Factor</t>
  </si>
  <si>
    <t>Or. Specialty Code 2017</t>
  </si>
  <si>
    <t>Code Homes with savings accounted for in NEEA New Homes Model</t>
  </si>
  <si>
    <t>NEEA Savings Rate - Or. Specialty Code 2017</t>
  </si>
  <si>
    <t>NEEA Savings Rate - WSEC 2015</t>
  </si>
  <si>
    <t>Savings Rates pulled from NEEA's Savings Models 9/14/2018:</t>
  </si>
  <si>
    <t>From Current HPWH Forecast</t>
  </si>
  <si>
    <t>Calculated difference</t>
  </si>
  <si>
    <t>To de-rate the new construction HPWH savings rate to avoid double-counting with codes</t>
  </si>
  <si>
    <t>Tier 3</t>
  </si>
  <si>
    <t>Tier 4</t>
  </si>
  <si>
    <t>RTF Measure Workbook</t>
  </si>
  <si>
    <t>The energy use estimates come from the most recent RTF measure workbook
Weighted using climate zone and heating types used in the 7th PP</t>
  </si>
  <si>
    <t>New Construction Savings rates are discounted to avoid double-counting with NEEA's code and above-code new homes savings
The energy use estimates come directly from the 7th PP
Weighted using climate zone and heating types used in the 7th PP</t>
  </si>
  <si>
    <t>New Construction Savings rates are discounted to avoid double-counting with NEEA's code and above-code new homes savings
The energy use estimates come from the most recent RTF measure workbook
Weighted using climate zone and heating types used in the 7th PP</t>
  </si>
  <si>
    <t>Total Savings for Tier 3</t>
  </si>
  <si>
    <t>Incremental to Tier 2</t>
  </si>
  <si>
    <t>Weights to Conver to Regional Rate</t>
  </si>
  <si>
    <t>RTF Measure</t>
  </si>
  <si>
    <t>Savings Categories</t>
  </si>
  <si>
    <t>Measure name to columns</t>
  </si>
  <si>
    <t>Corrected Column identifiers</t>
  </si>
  <si>
    <t>Notes</t>
  </si>
  <si>
    <t>2018 Units (Retail sales of lamps)</t>
  </si>
  <si>
    <t>2019 Units (Retail sales of lamps)</t>
  </si>
  <si>
    <t>7th PP applies a 0% baseline saturation to units, the baseline is handled in the savings rate</t>
  </si>
  <si>
    <t>OSSC 2019</t>
  </si>
  <si>
    <t>Codes adopted by Dec 31, 2014 are in the 7th Power Plan baseline load forecast or explicitly in the measures. As a result, the baseline is zero for codes adopted after 2015.</t>
  </si>
  <si>
    <t>increase in ES sales</t>
  </si>
  <si>
    <t>Cx activity increased in 2016 and '17, while rCx dropped quite a bit. Based on those changes, our forecast has increased for Cx and dropped for rCx. For both measures, local program units are up almost five-fold for Cx, and about 50% for rCx.</t>
  </si>
  <si>
    <t>For RWLR, the variance from the target has to do with the slower than expected increase in the 28W lamp market share.</t>
  </si>
  <si>
    <t xml:space="preserve">We took down the forecast because there has been very little happening (and sporadic) and we are no longer directly intervening in the market (in LTMT now).
We will report the savings when they are validated for the annual report. There should be some savings using the funder share approach.
</t>
  </si>
  <si>
    <t>Current (range)</t>
  </si>
  <si>
    <t>This is not a 7th PP measure. As a result, NEEA uses program data to estimate the savings above the 7th PP baseline. NEEA did not track sales in 2017. As a result, the savings rate is 0.</t>
  </si>
  <si>
    <t>7th PP assumes 0% baseline saturation. Current practice baseline incorporated in the savings rate.</t>
  </si>
  <si>
    <t>NEEA Calculation below.</t>
  </si>
  <si>
    <t>As a result, NEEA uses its sales data and the savings are incremental to the Power Plan Baseline.</t>
  </si>
  <si>
    <t>No equivalent measure. 2015 current practice baseline incorporated in the savings rate.</t>
  </si>
  <si>
    <t>No equivalent measure. Baseline incorporated in the savings rate.</t>
  </si>
  <si>
    <t>The savings rate changes based on motor horsepower.</t>
  </si>
  <si>
    <t>OR 2017</t>
  </si>
  <si>
    <t>Codes adopted by Dec 31 2014 are in the 7th Power Plan baseline load forecast or explicitly in the measures. As a result, the baseline is the code announced before 2015 (OR 2014).</t>
  </si>
  <si>
    <t>Standards Savings count against the 7th PP baseline if announced after December 31, 2018</t>
  </si>
  <si>
    <t>Standards Savings count against the 7th PP baseline if announced after December 31, 2019</t>
  </si>
  <si>
    <t>Key Assumptions for the 2018-2019 Savings Reports to the Washington Investor Owned Utilities
More information is available upon request.</t>
  </si>
  <si>
    <t>This is not a 7th PP measure. As a result, NEEA uses program data to estimate the savings above the 7th PP baseline. The savings is updated based on the configuration of the products sold.</t>
  </si>
  <si>
    <t>This is not a 7th PP measure. As a result, NEEA uses program data to estimate the savings above the 7th PP baseline.  The rate changes based on the configuration of the units.</t>
  </si>
  <si>
    <t>This is not a 7th PP measure. As a result, NEEA uses program data to estimate the savings above the 7th PP baseline. Savings rate is updated based on the configuration of the sales.</t>
  </si>
  <si>
    <t>NEEA forecast based on prior code cycle analysis by Mike Kennedy.</t>
  </si>
  <si>
    <t>See Savings Report</t>
  </si>
  <si>
    <t>Savings (kwh/yr.) (incremental to baseline)</t>
  </si>
  <si>
    <t>Life (yrs.)</t>
  </si>
  <si>
    <t>Sales(5)</t>
  </si>
  <si>
    <t xml:space="preserve">RPP Tier(C) </t>
  </si>
  <si>
    <t>Share of Annual Sales</t>
  </si>
  <si>
    <t>ENERGY STAR v3</t>
  </si>
  <si>
    <t>ENERGY STAR v4</t>
  </si>
  <si>
    <t>5b. Without reverse cycle, with louvered sides, and 28,000 Btu/h or more</t>
  </si>
  <si>
    <t>11. With reverse cycle, with louvered sides, and less than 20,000 Btu/h</t>
  </si>
  <si>
    <t>-Analysis by: Energy Solutions. 2019. Consumer Products UES- Energy Solutions. (dataset).</t>
  </si>
  <si>
    <t>-Data from: ICF. 2019. Retail Products Platform. (dataset).</t>
  </si>
  <si>
    <t>Source: Update based on program sales data collected by ICF and processed by Energy Solutions.  See belo</t>
  </si>
  <si>
    <t xml:space="preserve">Source: Calculated values using sales data and RTF asusmptions about cooling degree days from 2017. As requested from the Washington IOUs, the technical assumptions and baseline assumptions are frozen to match the values used in the targets. </t>
  </si>
  <si>
    <t>Savings Rates (kWh/Unit)</t>
  </si>
  <si>
    <t>Frozen Unit Energy Consumption Assumptions (kWh/Unit)</t>
  </si>
  <si>
    <t>Distribution of Tracked Units</t>
  </si>
  <si>
    <t>2018 sales data to estimate distribution of tracked units</t>
  </si>
  <si>
    <t>Freezer Track Units from:</t>
  </si>
  <si>
    <t>Track Units from:</t>
  </si>
  <si>
    <t>Refrigerator Track Units From:</t>
  </si>
  <si>
    <t>RPP Tier(B)</t>
  </si>
  <si>
    <t>Sales-weighted On-Mode Power(1)
(W)</t>
  </si>
  <si>
    <t>Sales-weighted Idle Power(2)
(W)</t>
  </si>
  <si>
    <t>Sales-weighted Standby Power(3)
(W)</t>
  </si>
  <si>
    <t>Sales-weighted % Better than ESTAR(4)</t>
  </si>
  <si>
    <t>Sales-weighted UEC(5)
(kWh/yr)</t>
  </si>
  <si>
    <t>Sales(6)</t>
  </si>
  <si>
    <t>Non-ENERGY STAR</t>
  </si>
  <si>
    <t>ENERGY STAR v3 +15%</t>
  </si>
  <si>
    <t>ENERGY STAR v3 +50%</t>
  </si>
  <si>
    <t>Savings Rate (kWh/Units)</t>
  </si>
  <si>
    <t xml:space="preserve">The ENERGY STAR spec allows products to be +15% while using more energy than the base tier. As a result, the savings rate is negative. </t>
  </si>
  <si>
    <t>-Analysis by: Energy Solutions. 2019. Consumer Products UES- Energy Solutions. (dataset). 
-Data from: ICF. 2019. Retail Products Platform. (dataset).
Evaluated by Research Into Action. (2016).</t>
  </si>
  <si>
    <t>Sound bars were not in the 7th PP. As a result, NEEA calculates the savings rate using program data and a 2015 baseline year.</t>
  </si>
  <si>
    <t>Sales(7)</t>
  </si>
  <si>
    <t>Adjusted Sales</t>
  </si>
  <si>
    <t>Normalized Within the Year AEC(8C)
(kWh/yr)</t>
  </si>
  <si>
    <t>Percent of Annual Market Share</t>
  </si>
  <si>
    <t>ESTAR v5</t>
  </si>
  <si>
    <t>ESTAR v5 +5%</t>
  </si>
  <si>
    <t>ES + Savings Rate</t>
  </si>
  <si>
    <t>Baseline Unit Energy Consumption (kWh/Unit)</t>
  </si>
  <si>
    <t>ES+ Unit Energy Consumption (kWh/Unit)</t>
  </si>
  <si>
    <t>ES + Savings Rate w/ HVAC Interaction</t>
  </si>
  <si>
    <t>Note: these factors were updated by the RTF in 2018. However, this report freezes the technical assumptions based on what NEEA used to set the targets.</t>
  </si>
  <si>
    <t>No Sales</t>
  </si>
  <si>
    <t>ENERGY STAR Refrigerators and Freezers 7th PP values</t>
  </si>
  <si>
    <t>Above ENERGY STAR Freezers</t>
  </si>
  <si>
    <t>-Apex Analytics, LLC. 2019. Desktop Power Supplies ENERGY STAR Version 6 Baseline Methodology and Specification Influence Review.</t>
  </si>
  <si>
    <t>PREPARED BY:</t>
  </si>
  <si>
    <t>Sections</t>
  </si>
  <si>
    <t>Remaining Tabs</t>
  </si>
  <si>
    <t>These tabs contain:</t>
  </si>
  <si>
    <t>Savings summary by market</t>
  </si>
  <si>
    <t>Savings calculation</t>
  </si>
  <si>
    <t>Summary of data sources</t>
  </si>
  <si>
    <t>Details about the savings rate calculation</t>
  </si>
  <si>
    <t>Methodology</t>
  </si>
  <si>
    <t>The Commercial Real Estate (CRE) Infrastructure program leverages strategic relationships to deliver regional market resources to advance energy efficiency best practices and increase utility program participation by the region's commercial real estate market.</t>
  </si>
  <si>
    <t>Manufactured Homes</t>
  </si>
  <si>
    <t>The Manufactured Homes Initiative will develop a new voluntary above code specification (NEEM 2.0) and increase adoption with manufactured home factories and retailers as the current volutnary specification (NEEM 1.0) is adopted into the Federal HUD code.</t>
  </si>
  <si>
    <t>RES_201601</t>
  </si>
  <si>
    <t>Other ENERGY STAR Products</t>
  </si>
  <si>
    <t>This is a placefholder for Other Energy Star products associated with Desktop Power supplies. This will be tracking desktops and laptops influenced by NEEA, but not directly tied to 80+ efforts.</t>
  </si>
  <si>
    <t>OTH_201601</t>
  </si>
  <si>
    <t>NEEA leveraged its relationships with retailers to accelerate the market adoption of ENERGY STAR refrigerators as part of a “white goods” strategy to increase market awareness of ENERGY STAR “white goods” appliances such as refrigerators and dishwashers.</t>
  </si>
  <si>
    <t>RES_200006</t>
  </si>
  <si>
    <t>The Next Step Homes initiative leverages the infrastructure created by prior Efficient Homes programs to develop and increase market adoption of energy efficient advanced building practices for single-family homes, aimed at influencing and accelerating code adoption.</t>
  </si>
  <si>
    <t>COM_200002_P3T1</t>
  </si>
  <si>
    <t>Cx-Industrial</t>
  </si>
  <si>
    <t>COM_200002_P4T1</t>
  </si>
  <si>
    <t>rCx-Industrial</t>
  </si>
  <si>
    <t>COM_200202_P1T10</t>
  </si>
  <si>
    <t>IECC 2030</t>
  </si>
  <si>
    <t>COM_200202_P1T7</t>
  </si>
  <si>
    <t>COM_200202_P1T8</t>
  </si>
  <si>
    <t>IECC 2024</t>
  </si>
  <si>
    <t>COM_200202_P1T9</t>
  </si>
  <si>
    <t>IECC 2027</t>
  </si>
  <si>
    <t>COM_200202_P2T10</t>
  </si>
  <si>
    <t>COM_200202_P2T6</t>
  </si>
  <si>
    <t>COM_200202_P2T7</t>
  </si>
  <si>
    <t>COM_200202_P2T8</t>
  </si>
  <si>
    <t>COM_200202_P2T9</t>
  </si>
  <si>
    <t>COM_200202_P3T10</t>
  </si>
  <si>
    <t>OEESC 2029</t>
  </si>
  <si>
    <t>COM_200202_P3T8</t>
  </si>
  <si>
    <t>OEESC 2023</t>
  </si>
  <si>
    <t>WA 2015 WSEC</t>
  </si>
  <si>
    <t>COM_200202_P4T8</t>
  </si>
  <si>
    <t>COM_200202_P4T9</t>
  </si>
  <si>
    <t>WSEC 2021</t>
  </si>
  <si>
    <t>COM_201304_P12T1</t>
  </si>
  <si>
    <t>Pre-rinse Spray Valves</t>
  </si>
  <si>
    <t>COM_201602_P1T1</t>
  </si>
  <si>
    <t>Commercial Code Enhancement</t>
  </si>
  <si>
    <t>COM_201602_P1T2</t>
  </si>
  <si>
    <t>COM_201602_P1T3</t>
  </si>
  <si>
    <t>COM_201602_P1T4</t>
  </si>
  <si>
    <t>COM_201602_P2T1</t>
  </si>
  <si>
    <t>COM_201602_P2T2</t>
  </si>
  <si>
    <t>COM_201602_P2T3</t>
  </si>
  <si>
    <t>COM_201602_P2T4</t>
  </si>
  <si>
    <t>COM_201602_P2T5</t>
  </si>
  <si>
    <t>COM_201602_P3T2</t>
  </si>
  <si>
    <t>COM_201602_P3T4</t>
  </si>
  <si>
    <t>COM_201602_P4T1</t>
  </si>
  <si>
    <t>COM_201602_P4T10</t>
  </si>
  <si>
    <t>WSEC 2024</t>
  </si>
  <si>
    <t>COM_201602_P4T11</t>
  </si>
  <si>
    <t>WSEC 2027</t>
  </si>
  <si>
    <t>COM_201602_P4T12</t>
  </si>
  <si>
    <t>WSEC 2030</t>
  </si>
  <si>
    <t>COM_201602_P4T2</t>
  </si>
  <si>
    <t>COM_201602_P4T3</t>
  </si>
  <si>
    <t>COM_201602_P4T4</t>
  </si>
  <si>
    <t>COM_201602_P4T5</t>
  </si>
  <si>
    <t>OTH_201601_P1T1</t>
  </si>
  <si>
    <t>Commercial Laptops</t>
  </si>
  <si>
    <t>OTH_201601_P3T1</t>
  </si>
  <si>
    <t>Residential Laptops</t>
  </si>
  <si>
    <t>RES_199703_P5T1</t>
  </si>
  <si>
    <t>RES_199703_P6T1</t>
  </si>
  <si>
    <t>WA Homes (ENERGY STAR Northwest Homes)</t>
  </si>
  <si>
    <t>Energy Star</t>
  </si>
  <si>
    <t>Or. Res Specialty 2012</t>
  </si>
  <si>
    <t>ID Homes (ENERGY STAR Northwest Homes)</t>
  </si>
  <si>
    <t>MT Homes (ENERGY STAR Northwest Homes)</t>
  </si>
  <si>
    <t>OR Homes (ENERGY STAR Northwest Homes)</t>
  </si>
  <si>
    <t>RES_201202_P1T5</t>
  </si>
  <si>
    <t>Tier 5</t>
  </si>
  <si>
    <t>RES_201202_P2T5</t>
  </si>
  <si>
    <t>RES_201202_P3T5</t>
  </si>
  <si>
    <t>RES_201202_P4T5</t>
  </si>
  <si>
    <t>ID National Green Building Standard  Single-family</t>
  </si>
  <si>
    <t>Above Code Building</t>
  </si>
  <si>
    <t>MT National Green Building Standard  Single-family</t>
  </si>
  <si>
    <t>OR National Green Building Standard  Single-family</t>
  </si>
  <si>
    <t>WA National Green Building Standard Single-family</t>
  </si>
  <si>
    <t>WA BuiltGreen Single-family</t>
  </si>
  <si>
    <t>ID HERS and National ENERGY STAR Homes</t>
  </si>
  <si>
    <t>MT HERS and National ENERGY STAR Homes</t>
  </si>
  <si>
    <t>OR HERS and National ENERGY STAR Homes</t>
  </si>
  <si>
    <t>WA HERS and National ENERGY STAR Homes</t>
  </si>
  <si>
    <t>WA BuiltGreen Multifamily</t>
  </si>
  <si>
    <t>ID Performance Path</t>
  </si>
  <si>
    <t>MT Performance Path</t>
  </si>
  <si>
    <t>OR Performance Path</t>
  </si>
  <si>
    <t>WA Performance Path</t>
  </si>
  <si>
    <t>WA National Green Building Standard Multifamily</t>
  </si>
  <si>
    <t>OR Earth Advantage</t>
  </si>
  <si>
    <t>Or. Specialty Code 2020</t>
  </si>
  <si>
    <t>Or. Specialty Code 2023</t>
  </si>
  <si>
    <t>Freezers- Compact</t>
  </si>
  <si>
    <t>ENERGY STAR V5.0 +5%</t>
  </si>
  <si>
    <t>ENERGY STAR 7</t>
  </si>
  <si>
    <t>ENERGY STAR Most Efficient 2017</t>
  </si>
  <si>
    <t>ENERGY STAR 1.2</t>
  </si>
  <si>
    <t>ENERGY STAR 1.2 +30%</t>
  </si>
  <si>
    <t>ENERGY STAR 1.2 +50%</t>
  </si>
  <si>
    <t>ENERGY STAR V4</t>
  </si>
  <si>
    <t>ENERGY STAR V3</t>
  </si>
  <si>
    <t>ENERGY STAR V3 +15%</t>
  </si>
  <si>
    <t>ENERGY STAR V3 +50%</t>
  </si>
  <si>
    <t>Freezers- Upright</t>
  </si>
  <si>
    <t>ENERGY STAR Most Efficient 2017 +5%</t>
  </si>
  <si>
    <t>Freezers- Chest</t>
  </si>
  <si>
    <t>RES_201601_P1T1</t>
  </si>
  <si>
    <t>ID Manufactured Home</t>
  </si>
  <si>
    <t>HUD Code</t>
  </si>
  <si>
    <t>RES_201601_P1T3</t>
  </si>
  <si>
    <t>RES_201601_P2T1</t>
  </si>
  <si>
    <t>MT Manufactured Home</t>
  </si>
  <si>
    <t>RES_201601_P2T3</t>
  </si>
  <si>
    <t>RES_201601_P3T1</t>
  </si>
  <si>
    <t>OR Manufactured Home</t>
  </si>
  <si>
    <t>RES_201601_P3T3</t>
  </si>
  <si>
    <t>RES_201601_P4T1</t>
  </si>
  <si>
    <t>WA Manufactured Home</t>
  </si>
  <si>
    <t>RES_201601_P4T3</t>
  </si>
  <si>
    <t>Other ENERGY STAR Products (Computers):</t>
  </si>
  <si>
    <t>OTH_201601_P2T1</t>
  </si>
  <si>
    <t>Savings Rate Calculations</t>
  </si>
  <si>
    <t>Conventional</t>
  </si>
  <si>
    <t>Savings</t>
  </si>
  <si>
    <t>The program receives national commercial desktop computer shipment data on an annual basis.  The share of these shipments sent to the Northwest is estimated using employment data from the Bureau of Labor and Statistics monthly establishment data: "Table D-2: Employees on non farm payrolls in States and selected areas by major industry".  Selected industries: Education and health services, Financial Activities, Government, Information, and Professional and Business Services.</t>
  </si>
  <si>
    <t>Rate</t>
  </si>
  <si>
    <t>US Total</t>
  </si>
  <si>
    <t>Employees</t>
  </si>
  <si>
    <t>This savings rate is then adjusted downward based on the 7th Power Plan baseline of 75%, yielding the savings rate above the baseline market mix of desktops, rather than above the non-qualifying conventional desktop.</t>
  </si>
  <si>
    <t xml:space="preserve">Source:  </t>
  </si>
  <si>
    <t>NW share of Total U.S. Employment</t>
  </si>
  <si>
    <t>The program receives national commercial desktop computer shipment data on an annual basis.
For commercial laptops. the share of these shipments sent to the Northwest is estimated using employment data from the Bureau of Labor and Statistics monthly establishment data: Table D-2: "Employees on non farm payrolls in States and selected areas by major industry".  Selected industries: Education and health services, Financial Activities, Government, Information, and Professional and Business Services.
For residential desktops and laptops, the share of these shipments sent to the Northwest is estimated using the number of households with a desktop or laptop computer, available from the U.S. Census Bureau.  Table B28010: "Computers in Household".</t>
  </si>
  <si>
    <t>U.S. Census, Table B28010.  2016.</t>
  </si>
  <si>
    <t>Households with a Desktop or Laptop</t>
  </si>
  <si>
    <t>Commercial Laptop</t>
  </si>
  <si>
    <t>Residential Desktop</t>
  </si>
  <si>
    <t>Residential Laptop</t>
  </si>
  <si>
    <t>Data Source</t>
  </si>
  <si>
    <t>The baseline comes from the 7th Power Plan (75% baseline market share incorporated in the savings rate).</t>
  </si>
  <si>
    <t>ENERGY STAR V. 6</t>
  </si>
  <si>
    <t>The baseline comes from the 7th Power Plan (90% baseline market share incorporated in the savings rate).</t>
  </si>
  <si>
    <t>The baseline comes from the 7th Power Plan (25% baseline market share incorporated in the savings rate).</t>
  </si>
  <si>
    <t>The baseline comes from the 7th Power Plan (74% baseline market share incorporated in the savings rate).</t>
  </si>
  <si>
    <t>Com_Master_7P.xlsx</t>
  </si>
  <si>
    <t>The savings rate comes from the 7th Power Plan.  The baseline is incorporated into the savings rate.</t>
  </si>
  <si>
    <t>Res-Computers-7P_v4.xlsx</t>
  </si>
  <si>
    <t>Existing Construction</t>
  </si>
  <si>
    <t>New Construction</t>
  </si>
  <si>
    <t>NEEA Savings Rate - HPWH (Any tier)</t>
  </si>
  <si>
    <t>Any Size</t>
  </si>
  <si>
    <t>Small Tanks</t>
  </si>
  <si>
    <t>Large Tanks</t>
  </si>
  <si>
    <t>The savings rate is based on the 7th Power Plan workbook "COM-Computers-7P_V3.xlsx", and incorporates the 7th Power Plan baseline.</t>
  </si>
  <si>
    <t>90% of the savings are baseline according to the original 7th Power Plan.  Source: Com_Master_7P.xlsm.</t>
  </si>
  <si>
    <t>25% of the savings are baseline according to the original 7th Power Plan.  Source: Res_Master.xlsm.</t>
  </si>
  <si>
    <t>74% of the savings are baseline according to the original 7th Power Plan.  Source: Res_Master.xlsm.</t>
  </si>
  <si>
    <t>The savings rate is based on the 7th Power Plan workbook "Res-Computers-7P_v4.xlsx", and incorporates the 7th Power Plan baseline.</t>
  </si>
  <si>
    <t>The savings rate does not change in the forecast, however.</t>
  </si>
  <si>
    <t>Desktops</t>
  </si>
  <si>
    <t>Performance Level</t>
  </si>
  <si>
    <t>Low budget/ grade model</t>
  </si>
  <si>
    <t>Medium budget/ grade model</t>
  </si>
  <si>
    <t>High budget/ grade model</t>
  </si>
  <si>
    <t>*Weighting is based on availability of machines per Energy Star's product list</t>
  </si>
  <si>
    <t>Laptops</t>
  </si>
  <si>
    <t xml:space="preserve"> Annual electricity consumption per desktop computer (kWh) - Residential</t>
  </si>
  <si>
    <t xml:space="preserve"> Annual electricity consumption per computer (kWh) - Residential</t>
  </si>
  <si>
    <t>Weight*</t>
  </si>
  <si>
    <t>This savings rate is then adjusted downward based on the 7th Power Plan baselines for each product.</t>
  </si>
  <si>
    <t>The savings rate for ENERGY STAR Version 6 commercial laptops is based on the difference in annual EUI for qualifying and non-qualifying computers.  These values are found in the 7th Power Plan Residential Computers workbook and are taken directly from the ENERGY STAR Office Equipment Calculator.</t>
  </si>
  <si>
    <t>The savings rate for ENERGY STAR Version 6 residential desktops and laptops is based on the 7th Power Plan's analysis of qualifying and non-qualifying computers, which utilizes the ENERGY STAR Office Equipment Calculator as well as the product availability at various performance levels on the ENERGY STAR Qualified Products List.  Please see the 7th Power Plan Residential Computers workbook, Summary tab, for details.</t>
  </si>
  <si>
    <t>Comm/Indy Blended using 7th Plan EUI</t>
  </si>
  <si>
    <t>Industrial Savings Rates</t>
  </si>
  <si>
    <t>Industrial Share in 2018</t>
  </si>
  <si>
    <t>Blended Rate</t>
  </si>
  <si>
    <t>Ratio of Comm. to Blended Rate</t>
  </si>
  <si>
    <t>Adjusted from existing construction rate</t>
  </si>
  <si>
    <t>Savings Rate Summary Table</t>
  </si>
  <si>
    <t>Reviewed:</t>
  </si>
  <si>
    <t>Ecotope. 2019. HPWH/DHP ACE Model Review Memo.</t>
  </si>
  <si>
    <t>Here NEEA is calculating the new construction savings rate factor to be applied to HPWHs in new construction. This rate is calculated in order to avoid any double-counting of savings with NEEA's new homes model. 
To do this we remove: 
A) all above-code home savings, and 
B) code savings discounted for the differential in savings rates.</t>
  </si>
  <si>
    <t xml:space="preserve">Hardcoded from HPWH Model Projection of HPWHs installed in voluntary above-code programs.
These are removed entirely by reducing the savings rate proportionally. </t>
  </si>
  <si>
    <t>For code-built homes NEEA calculates the differential in savings rates we attribute to the code homes and HPWHs and then removes that proportion of the savings from our HPWH estimate. This avoids double-counting savings with our new homes model.</t>
  </si>
  <si>
    <t>250 to 1049 lumens</t>
  </si>
  <si>
    <t>1050 to 1489 lumens</t>
  </si>
  <si>
    <t>1490 to 2600 lumens</t>
  </si>
  <si>
    <t>Application</t>
  </si>
  <si>
    <t>Lumen Bin</t>
  </si>
  <si>
    <t>In order to estimate the totals of retail lamps sold NEEA utilizes stock turnover assumptions in the Regional Momentum Savings Model to arrive at the total size of the retail market. NEEA then removes 8% of the lamps, assuming those are going into commercial applications. 
From there NEEA applies the market share assumptions by technology and lumen bin for each individual year. Those are estimated using a combination of shelf survey and purchased sales data. This method has been vetted by regional stakeholders through the RTF's Market Analysis Subcommittee.</t>
  </si>
  <si>
    <t>Allpication</t>
  </si>
  <si>
    <t>Savings Rate - RTF-  Tier 4 (Existing Construction)</t>
  </si>
  <si>
    <t>RTF Savings Rates (Existing Construction Tier 4)</t>
  </si>
  <si>
    <t>NEEA ADJUSTMENT TO NEW CONSTRUCTION SAVINGS RATES</t>
  </si>
  <si>
    <r>
      <t xml:space="preserve">All technical assumptions are consistent with those that went into the original target values NEEA sent. NEEA </t>
    </r>
    <r>
      <rPr>
        <b/>
        <i/>
        <sz val="10"/>
        <color theme="1"/>
        <rFont val="Calibri"/>
        <family val="2"/>
        <scheme val="minor"/>
      </rPr>
      <t xml:space="preserve">has </t>
    </r>
    <r>
      <rPr>
        <b/>
        <sz val="10"/>
        <color theme="1"/>
        <rFont val="Calibri"/>
        <family val="2"/>
        <scheme val="minor"/>
      </rPr>
      <t>however updated the split of HPWH installs between new- and existing-construction, the volume of code-built homes tracked in our homes model, as well as the volume of voluntary above-code homes NEEA has tracked with HPWHs. These updates to the units lead to a slight change in the savings rates applied to new-construction HPWHs.</t>
    </r>
  </si>
  <si>
    <t>NEEA Adjustment Factors</t>
  </si>
  <si>
    <t xml:space="preserve">Note: NEEA avoids double-counting savings from HPWH savings reported through its new construction programs (code and above-code). We do this by adjusting the savings rate to proportionally remove:
   A) all above-code home savings and 
   B) code savings discounted for the differential in savings rates. 
</t>
  </si>
  <si>
    <t>See below for more details about the new construction adjustments.</t>
  </si>
  <si>
    <t>Single-family Codes</t>
  </si>
  <si>
    <t>Tracked Units</t>
  </si>
  <si>
    <t>Residential Codes</t>
  </si>
  <si>
    <t xml:space="preserve">Multifamily Codes </t>
  </si>
  <si>
    <t>Commercial Codes</t>
  </si>
  <si>
    <t>See Below</t>
  </si>
  <si>
    <t>Savings Rate is above the existing code. NEEA updates the rates with actual data using regional assumptions (e.g. RTF or the REM Rate tool adjusted for Northwest assumptions).</t>
  </si>
  <si>
    <t xml:space="preserve">-No equivalent Power Plan measure. The Council recommended NEEA use its savings rates. 
-For voluntary programs, NEEA uses TRC. Feb. 15, 2018. NewHomesCPC_TRC_2017ProgramSavingsReporting_2018-02-15. The analysis is evaluated by Energy 350.
</t>
  </si>
  <si>
    <t>Savings Rate Source</t>
  </si>
  <si>
    <t>Total Regional Sales * Market Share =  Tracked Units 
Market Share Analysis: 
-Energy Solutions. 2019. Consumer Products UES- Energy Solutions. (dataset).
-Data from: ICF. 2019. Retail Products Platform. (dataset).
Total Sales:
-Association of Home Appliance Manufacturers. 2015-2017 County Sales Report. (dataset). Note AHAM discontinued its regional reports in 2018. As a result, NEEA used the 2017 values as a proxy for 2018.</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</si>
  <si>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Market Share Analysis</t>
    </r>
    <r>
      <rPr>
        <sz val="10"/>
        <color theme="1"/>
        <rFont val="Calibri"/>
        <family val="2"/>
        <scheme val="minor"/>
      </rPr>
      <t xml:space="preserve">: 
-Energy Solutions. 2019. </t>
    </r>
    <r>
      <rPr>
        <i/>
        <sz val="10"/>
        <color theme="1"/>
        <rFont val="Calibri"/>
        <family val="2"/>
        <scheme val="minor"/>
      </rPr>
      <t>Consumer Products UES- Energy Solutions (dataset)</t>
    </r>
    <r>
      <rPr>
        <sz val="10"/>
        <color theme="1"/>
        <rFont val="Calibri"/>
        <family val="2"/>
        <scheme val="minor"/>
      </rPr>
      <t xml:space="preserve">.
-Data from: ICF. 2019. </t>
    </r>
    <r>
      <rPr>
        <i/>
        <sz val="10"/>
        <color theme="1"/>
        <rFont val="Calibri"/>
        <family val="2"/>
        <scheme val="minor"/>
      </rPr>
      <t>Retail Products Platform (dataset)</t>
    </r>
    <r>
      <rPr>
        <sz val="10"/>
        <color theme="1"/>
        <rFont val="Calibri"/>
        <family val="2"/>
        <scheme val="minor"/>
      </rPr>
      <t xml:space="preserve">.
</t>
    </r>
    <r>
      <rPr>
        <u/>
        <sz val="10"/>
        <color theme="1"/>
        <rFont val="Calibri"/>
        <family val="2"/>
        <scheme val="minor"/>
      </rPr>
      <t>Total Sales</t>
    </r>
    <r>
      <rPr>
        <sz val="10"/>
        <color theme="1"/>
        <rFont val="Calibri"/>
        <family val="2"/>
        <scheme val="minor"/>
      </rPr>
      <t>:
-Association of Home Appliance Manufacturers.</t>
    </r>
    <r>
      <rPr>
        <i/>
        <sz val="10"/>
        <color theme="1"/>
        <rFont val="Calibri"/>
        <family val="2"/>
        <scheme val="minor"/>
      </rPr>
      <t xml:space="preserve"> 2015-2017 County Sales Report. (dataset)</t>
    </r>
    <r>
      <rPr>
        <sz val="10"/>
        <color theme="1"/>
        <rFont val="Calibri"/>
        <family val="2"/>
        <scheme val="minor"/>
      </rPr>
      <t>. Note AHAM discontinued its regional reports in 2018. As a result, NEEA used the 2017 values as a proxy for 2018.</t>
    </r>
  </si>
  <si>
    <t>From 7th Power Plan SavingsNew worksheet:</t>
  </si>
  <si>
    <t>Other_ES_Products</t>
  </si>
  <si>
    <t>Residential Desktops</t>
  </si>
  <si>
    <t>NEEA is using the 7th PP savings rate assumptions for both eFAF DHP measures.</t>
  </si>
  <si>
    <t>Bureau of Labor and Statistics, Table D-2.  2018.</t>
  </si>
  <si>
    <t>In prior years, NEEA has used distributor data to estimate total DHP shipments to the region by state. In 2017, NEEA staff began a new data collection methodology that is still in its early stages, and does not yet provide full market data.
During the transition, NEEA is relying on incented units reported by our utility partners through NEEA's Local Programs Survey and assuming a fixed volume of non-incented sales.</t>
  </si>
  <si>
    <t>Since the 7th Power Plan was released and prior to NEEA setting targets for 2018-2019, the Regional Technical Forum approved a tiered savings structure in their measure workbook for the SF Zonal DHP measure. NEEA used these tiered savings rates.  NEEA uses distributor data to weight the savings by tier to account for higher efficiency equipment that is being installed. The baseline is the same as the Power Plan analysis.</t>
  </si>
  <si>
    <t>Values are updated based on sales.</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</si>
  <si>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Solutions. 2019. Consumer Products UES- Energy Solutions. (dataset).
</t>
    </r>
    <r>
      <rPr>
        <u/>
        <sz val="10"/>
        <color theme="1"/>
        <rFont val="Calibri"/>
        <family val="2"/>
        <scheme val="minor"/>
      </rPr>
      <t>Total Sales:</t>
    </r>
    <r>
      <rPr>
        <sz val="10"/>
        <color theme="1"/>
        <rFont val="Calibri"/>
        <family val="2"/>
        <scheme val="minor"/>
      </rPr>
      <t xml:space="preserve">
-Data from: ICF. 2019. Retail Products Platform. (dataset).</t>
    </r>
  </si>
  <si>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Solutions. 2019. Consumer Products UES- Energy Solutions. (dataset).
</t>
    </r>
    <r>
      <rPr>
        <u/>
        <sz val="10"/>
        <color theme="1"/>
        <rFont val="Calibri"/>
        <family val="2"/>
        <scheme val="minor"/>
      </rPr>
      <t>Total Sales:</t>
    </r>
    <r>
      <rPr>
        <sz val="10"/>
        <color theme="1"/>
        <rFont val="Calibri"/>
        <family val="2"/>
        <scheme val="minor"/>
      </rPr>
      <t xml:space="preserve">
-Data from: ICF. 2019. Retail Products Platform. (dataset). Reported by Climate Zone.</t>
    </r>
  </si>
  <si>
    <r>
      <t xml:space="preserve">NEEA collects detailed certificant data from NEEC, the certifying organization, each year. The database provided is analyzed by a contractor and summarized to arrive at new certificant counts for the year.
-Research Into Action. 2019. </t>
    </r>
    <r>
      <rPr>
        <i/>
        <sz val="10"/>
        <color theme="1"/>
        <rFont val="Calibri"/>
        <family val="2"/>
        <scheme val="minor"/>
      </rPr>
      <t>Combined BOC data for PNW</t>
    </r>
    <r>
      <rPr>
        <sz val="10"/>
        <color theme="1"/>
        <rFont val="Calibri"/>
        <family val="2"/>
        <scheme val="minor"/>
      </rPr>
      <t xml:space="preserve"> (dataset).</t>
    </r>
  </si>
  <si>
    <r>
      <rPr>
        <u/>
        <sz val="10"/>
        <color theme="1"/>
        <rFont val="Calibri"/>
        <family val="2"/>
        <scheme val="minor"/>
      </rPr>
      <t>2018 Commissioning Floor area</t>
    </r>
    <r>
      <rPr>
        <sz val="10"/>
        <color theme="1"/>
        <rFont val="Calibri"/>
        <family val="2"/>
        <scheme val="minor"/>
      </rPr>
      <t xml:space="preserve">:
NEEA tracks commissioned floor area by surveying regional commissioning firms.
-Cadmus. 2019. </t>
    </r>
    <r>
      <rPr>
        <i/>
        <sz val="10"/>
        <color theme="1"/>
        <rFont val="Calibri"/>
        <family val="2"/>
        <scheme val="minor"/>
      </rPr>
      <t>NEEA Cx 2018-2019 Analysis_20190214 (dataset)</t>
    </r>
    <r>
      <rPr>
        <sz val="10"/>
        <color theme="1"/>
        <rFont val="Calibri"/>
        <family val="2"/>
        <scheme val="minor"/>
      </rPr>
      <t xml:space="preserve">.
</t>
    </r>
    <r>
      <rPr>
        <u/>
        <sz val="10"/>
        <color theme="1"/>
        <rFont val="Calibri"/>
        <family val="2"/>
        <scheme val="minor"/>
      </rPr>
      <t>Forecast</t>
    </r>
    <r>
      <rPr>
        <sz val="10"/>
        <color theme="1"/>
        <rFont val="Calibri"/>
        <family val="2"/>
        <scheme val="minor"/>
      </rPr>
      <t xml:space="preserve">:
NEEA uses building market penetration and a conservative construction growth forecast to forecast new building Cx. For rCx, which is in existing buildings, NEEA assumes no growth as a conservative assumption.
-Dodge. 2019. </t>
    </r>
    <r>
      <rPr>
        <i/>
        <sz val="10"/>
        <color theme="1"/>
        <rFont val="Calibri"/>
        <family val="2"/>
        <scheme val="minor"/>
      </rPr>
      <t>2018 Residential and Commercial New Construction (dataset)</t>
    </r>
    <r>
      <rPr>
        <sz val="10"/>
        <color theme="1"/>
        <rFont val="Calibri"/>
        <family val="2"/>
        <scheme val="minor"/>
      </rPr>
      <t>.</t>
    </r>
  </si>
  <si>
    <t>ENERGY STAR 6.0 Desktops</t>
  </si>
  <si>
    <t>ENERGY STAR 6.0  Laptops</t>
  </si>
  <si>
    <t>ENERGY STAR 6.0 Laptops</t>
  </si>
  <si>
    <t>OTH_201601_P1T0</t>
  </si>
  <si>
    <t>Non-Qualifying</t>
  </si>
  <si>
    <t>OTH_201601_P2T0</t>
  </si>
  <si>
    <t>OTH_201601_P3T0</t>
  </si>
  <si>
    <t>Pre-Rinse Spray Valves</t>
  </si>
  <si>
    <t>Savings rates come from Cadeo's analysis of the pre- and post-case average UES of pre-rinse spray valve shipments across three product classes.</t>
  </si>
  <si>
    <t>NonRes_PrerinseSprayValves_Model.xlsm (available upon request)</t>
  </si>
  <si>
    <t>Cadeo's model uses information from DOE's rulemaking proceedings to develop an estimate of energy saved in the Pacific Northwest due to the establishment of the amended standard from the January 2016 Final Rule.  Product class and efficiency level distribution information from the 2016 Final Rule analyses is used to develop two weighted annual energy consumption values, one representative of the PRSV market without the establishment of federal standards (No-New-Standards Case) and one representative of the PRSV market with the establishment of federal standards (Standards Case).  The difference between the two annual energy consumption values is the unit energy saving.</t>
  </si>
  <si>
    <t>Updates from Targets</t>
  </si>
  <si>
    <t>Below is a list of the primary updates from original targets.</t>
  </si>
  <si>
    <t/>
  </si>
  <si>
    <t>Utility Program Version 2 (Idaho)</t>
  </si>
  <si>
    <t>Utility Program Version 2 (Montana)</t>
  </si>
  <si>
    <t>Utility Program Version 2 (Oregon)</t>
  </si>
  <si>
    <t>Utility Program Version 2 (Washington)</t>
  </si>
  <si>
    <t>Non Qualifying</t>
  </si>
  <si>
    <t>HPWH (&lt;=55 gallons)</t>
  </si>
  <si>
    <t>HPWH (&gt;55 gallons)</t>
  </si>
  <si>
    <t>MT Code 2017-2020</t>
  </si>
  <si>
    <t>WA Code 2016-2019</t>
  </si>
  <si>
    <t>Future Code Cycle</t>
  </si>
  <si>
    <t>7th PP Baseline Adjustment</t>
  </si>
  <si>
    <t>Other ENERGY STAR Computers</t>
  </si>
  <si>
    <t>Reduce Wattage Lamp</t>
  </si>
  <si>
    <t>Katie is updating</t>
  </si>
  <si>
    <t>The Council recommended using NEEA's assumptions (Based on June, 5, 2015 meeting with Northwest Power and Conservation Council staff. Updated based on May 9, 2016 meeting with staff).  
NEEA assumes 8% for new building commissioning based on its 2009 and 2011 Long-term Monitoring and Tracking reports. NEEA updates the weighted savings rate based on industrial and commercial units.</t>
  </si>
  <si>
    <t>The Council recommended using NEEA's assumptions (Based on June, 5, 2015 meeting with Northwest Power and Conservation Council staff. Updated based on May 9, 2016 meeting with staff). 
NEEA assumes 9% electricity savings for retro-commissioning based on its 2009 and 2011 Long-term Monitoring and Tracking reports. NEEA updates the weighted savings rate based on industrial and commercial units.</t>
  </si>
  <si>
    <t>2018 Units</t>
  </si>
  <si>
    <t>Weighted Savings Rate</t>
  </si>
  <si>
    <t>% of Target</t>
  </si>
  <si>
    <t>Total</t>
  </si>
  <si>
    <t>No equivalent Power Plan measure. The Council recommended NEEA use its savings rates. The baseline is code. The targets used a forecast of the codes in place in 2016 and 2017. NEEA updated the baseline values with the final code in order to model the savings.</t>
  </si>
  <si>
    <t>TRC. Feb. 15, 2019. NewHomesCPC_TRC_2018ProgramSavingsReporting_2019-02-15_FINAL.xlsx. The analysis is evaluated by Energy 350.</t>
  </si>
  <si>
    <t>The savings rate comes from the 7th Power Plan.  The baseline is incorporated into the savings rate. Note: the original forecast incorporated the baseline in the units calculation.</t>
  </si>
  <si>
    <t>RES_201403_P12T3</t>
  </si>
  <si>
    <t>RES_201403_P12T4</t>
  </si>
  <si>
    <t>This is not a 7th PP measure. As a result, NEEA uses program data to estimate the savings above the 7th PP baseline.  The negative savings rate is because the ENERGY STAR specification can allow units to use more energy. NEEA is working with ENERGY STAR to correct the specification.</t>
  </si>
  <si>
    <t>-Analysis by: Energy Solutions. 2019. Consumer Products UES- Energy Solutions. (dataset). 
-Data from: ICF. 2019. Retail Products Platform. (dataset).
-Evaluated by Research Into Action. (2016).</t>
  </si>
  <si>
    <t>-Analysis by: Energy Solutions. 2017. Consumer Products UES- Energy Solutions. (dataset).
-Data from: ICF. 2017. Retail Products Platform. (dataset).</t>
  </si>
  <si>
    <t>-Analysis by: Energy Solutions. 2017. Consumer Products UES- Energy Solutions. (dataset). 
-Data from: ICF. 2017. Retail Products Platform. (dataset).
-Climate Zones: NEEA uses RTF (2011) CDD by mapping AHAM shipments to RTF climate zones.
NEEA updates the rate based on the size of the units sold (BTUs)</t>
  </si>
  <si>
    <t>aMW savings are estimate directly.</t>
  </si>
  <si>
    <t>RTU_Standards_Model.xlsm 
Savings Rate analysis by Mike Kennedy. (2017); Units estimate by Cadeo Group (2017)
(available upon request)</t>
  </si>
  <si>
    <t>Vending Machines, Roof Top Units, Pre-rinse Spray Valves</t>
  </si>
  <si>
    <t>Commerical Code</t>
  </si>
  <si>
    <t>Unevaluated site-based savings from RETA's RCD database. RCD savings capped at 80% of total to provide proxy for possible 2018 validation changes (validation to be received 4/1/2019).</t>
  </si>
  <si>
    <t>A third-party evaluator validates savings from the projects submitted by CRES-certified operators. Savings are proxy from 2018 RCD database capped at 80% of total kWh saved to estimate validation changes when data arrives (4/1/2019). The savings rate is the kWh validated /aMW.</t>
  </si>
  <si>
    <t>Evaluation available upon request (updated in March 2019).</t>
  </si>
  <si>
    <t>Ducltess Heat Pumps</t>
  </si>
  <si>
    <t>NEEA Planning Staff</t>
  </si>
  <si>
    <t>RES_201403_P2T0</t>
  </si>
  <si>
    <t>Forecast of aMW Savings</t>
  </si>
  <si>
    <r>
      <t xml:space="preserve">The amount of new and retro commissioning has declined. Meanwhile, the amount of commissioning savings claimed through local utilty programs have increased, leading to fewer saving to report through NEEA. </t>
    </r>
    <r>
      <rPr>
        <sz val="10"/>
        <color rgb="FF0083CA"/>
        <rFont val="Trade Gothic LT Std"/>
      </rPr>
      <t>The 2018-2019 savings estimate declined by 0.05 aMW.</t>
    </r>
  </si>
  <si>
    <r>
      <t xml:space="preserve">CFLs have exited the market more rapidly than forecasted by NEEA when targets were established. This is especially true for Specialty CFLs where NEEA expected a slower rate of decrease. </t>
    </r>
    <r>
      <rPr>
        <sz val="10"/>
        <color rgb="FF0083CA"/>
        <rFont val="Trade Gothic LT Std"/>
      </rPr>
      <t>The 2018-2019 savings estimate declined by 0.01 aMW.</t>
    </r>
  </si>
  <si>
    <r>
      <t>2.</t>
    </r>
    <r>
      <rPr>
        <i/>
        <sz val="7"/>
        <color rgb="FF7F7F7F"/>
        <rFont val="Times New Roman"/>
        <family val="1"/>
      </rPr>
      <t xml:space="preserve">       </t>
    </r>
    <r>
      <rPr>
        <i/>
        <sz val="10"/>
        <color rgb="FF7F7F7F"/>
        <rFont val="Calibri"/>
        <family val="2"/>
        <scheme val="minor"/>
      </rPr>
      <t>NEEA has multiple savings reports. The purpose of this report is to support the Washington Investor Owned Utilities' Biennial Conservation Target (see Methodology Tab).</t>
    </r>
  </si>
  <si>
    <r>
      <t xml:space="preserve">The adoption forecast was reduced because after multiple years of very strong growth, shipments from manufacturers to the Northwest have shown no growth from 2017 to 2018. NEEA believes this is in large part due to a significant increase in price to the consumer after the removal of upstream incentives, state and federal tax benefits and the addition of the federal steel tariff all occurring at the beginning of 2018. </t>
    </r>
    <r>
      <rPr>
        <sz val="10"/>
        <color rgb="FF0083CA"/>
        <rFont val="Trade Gothic LT Std"/>
      </rPr>
      <t>The 2018-2019 savings estimate decreased by 0.04 aMW.</t>
    </r>
  </si>
  <si>
    <r>
      <t xml:space="preserve">The variance from the target has to do with the slower than expected increase in the 28W lamp market share. </t>
    </r>
    <r>
      <rPr>
        <sz val="10"/>
        <color rgb="FF0083CA"/>
        <rFont val="Trade Gothic LT Std"/>
      </rPr>
      <t>The 2018-2019 savings estimate declined by 0.02 aMW.</t>
    </r>
  </si>
  <si>
    <r>
      <t xml:space="preserve">-Although the number of installations was 17 percent more than NEEA forecasted, the share of the savings claimed through local utility programs increased from a forecast of 64% to 84%. </t>
    </r>
    <r>
      <rPr>
        <sz val="10"/>
        <color rgb="FF0083CA"/>
        <rFont val="Trade Gothic LT Std"/>
      </rPr>
      <t>The 2018-2019 savings estimate declined by 0.01 aMW.</t>
    </r>
  </si>
  <si>
    <r>
      <t xml:space="preserve">NEEA contracted Apex Analytics, LLC, to evaluate the extent of NEEA’s influence on the ENERGY STAR Version 6.0 specification development.   The evaluation determined that NEEA’s submitted comments and, notably, prior work in the market, affected the national market for desktops as well as laptops in both the commercial and residential sectors. NEEA added these savings to the report using savings rates from teh 7th Power Plan. </t>
    </r>
    <r>
      <rPr>
        <sz val="10"/>
        <color rgb="FF0083CA"/>
        <rFont val="Trade Gothic LT Std"/>
      </rPr>
      <t>The 2018-2019 savings estimate increased by 0.09 aMW.</t>
    </r>
  </si>
  <si>
    <r>
      <rPr>
        <sz val="10"/>
        <rFont val="Trade Gothic LT Std"/>
      </rPr>
      <t>The new forecast of commercial building in Washington is nearly double the original forecast.</t>
    </r>
    <r>
      <rPr>
        <sz val="10"/>
        <color rgb="FFFF0000"/>
        <rFont val="Trade Gothic LT Std"/>
      </rPr>
      <t xml:space="preserve"> </t>
    </r>
    <r>
      <rPr>
        <sz val="10"/>
        <color rgb="FF0083CA"/>
        <rFont val="Trade Gothic LT Std"/>
      </rPr>
      <t>The savings increased by 0.02 aMW.</t>
    </r>
  </si>
  <si>
    <r>
      <t xml:space="preserve">NEEA was able to track more than 1,000 additional homes without a utility incentive that were built through an above-code home certification program. </t>
    </r>
    <r>
      <rPr>
        <sz val="10"/>
        <color rgb="FF0083CA"/>
        <rFont val="Trade Gothic LT Std"/>
      </rPr>
      <t>These homes increased the savings in 2018 by 0.02 aMW.</t>
    </r>
  </si>
  <si>
    <t>Lamp Weight From 2017 Sales Data</t>
  </si>
  <si>
    <t>Savings Rate From RTF Analysis</t>
  </si>
  <si>
    <t>Decorative and Mini-Base250 to 1049 lumens</t>
  </si>
  <si>
    <t>Decorative and Mini-Base1050 to 1489 lumens</t>
  </si>
  <si>
    <t>Decorative and Mini-Base1490 to 2600 lumens</t>
  </si>
  <si>
    <t>General Purpose and Three-Way250 to 1049 lumens</t>
  </si>
  <si>
    <t>General Purpose and Three-Way1050 to 1489 lumens</t>
  </si>
  <si>
    <t>General Purpose and Three-Way1490 to 2600 lumens</t>
  </si>
  <si>
    <t>Globe250 to 1049 lumens</t>
  </si>
  <si>
    <t>Globe1050 to 1489 lumens</t>
  </si>
  <si>
    <t>Globe1490 to 2600 lumens</t>
  </si>
  <si>
    <t>Reflectors and Outdoor250 to 1049 lumens</t>
  </si>
  <si>
    <t>Reflectors and Outdoor1050 to 1489 lumens</t>
  </si>
  <si>
    <t>Reflectors and Outdoor1490 to 2600 lumens</t>
  </si>
  <si>
    <t>These are inputs to the baseline replacement model</t>
  </si>
  <si>
    <t>Outputs from baseline replace model</t>
  </si>
  <si>
    <t>Market shares (add up to 100% per delivery mechanism)</t>
  </si>
  <si>
    <t>Current Practice Market Shares (%) (add up to 100% per lamp type/lumen bin)
For Direct Install, the initial installation only considers INC and HAL.</t>
  </si>
  <si>
    <t>Wattage, adjusted for lumen normalization</t>
  </si>
  <si>
    <t>Lifetime (hours)</t>
  </si>
  <si>
    <t>Lamp cost (2012$)</t>
  </si>
  <si>
    <t>Replace with EISA 2020?</t>
  </si>
  <si>
    <t>End-use Savings</t>
  </si>
  <si>
    <t>Delivery Mechanism</t>
  </si>
  <si>
    <t>Lamp Type</t>
  </si>
  <si>
    <t>Lumen Category</t>
  </si>
  <si>
    <t>Lookup - HOU and HVAC %</t>
  </si>
  <si>
    <t>Lookup- Technology</t>
  </si>
  <si>
    <t>Hours of Use</t>
  </si>
  <si>
    <t>Conditioned Space %</t>
  </si>
  <si>
    <t>HVAC Interaction (kWh_HVAC/kWh_ltg)</t>
  </si>
  <si>
    <t>HVAC Interaction (therms_HVAC/kWh_ltg)</t>
  </si>
  <si>
    <t>Modeled Initial source lumens</t>
  </si>
  <si>
    <t>INC</t>
  </si>
  <si>
    <t>HAL</t>
  </si>
  <si>
    <t>CFL</t>
  </si>
  <si>
    <t>LED</t>
  </si>
  <si>
    <t>EISA 2020</t>
  </si>
  <si>
    <t>Storage Rate</t>
  </si>
  <si>
    <t>Removal Rate</t>
  </si>
  <si>
    <t>Initial Installation Rate</t>
  </si>
  <si>
    <t>Average 2020- end of measure life</t>
  </si>
  <si>
    <t>Initially installed lamps</t>
  </si>
  <si>
    <t>Lamps installed after storage</t>
  </si>
  <si>
    <t>First Year Savings (kWh)</t>
  </si>
  <si>
    <t>Average Annual Savings, 2020 - end of measure life (kWh)</t>
  </si>
  <si>
    <t>AnyDecorative and Mini-Base250 to 1049 lumens</t>
  </si>
  <si>
    <t>X</t>
  </si>
  <si>
    <t>[no data]</t>
  </si>
  <si>
    <t>[insufficient data]</t>
  </si>
  <si>
    <t>[n/a]</t>
  </si>
  <si>
    <t>AnyGeneral Purpose and Three-Way250 to 1049 lumens</t>
  </si>
  <si>
    <t>AnyGeneral Purpose and Three-Way1050 to 1489 lumens</t>
  </si>
  <si>
    <t>AnyGeneral Purpose and Three-Way1490 to 2600 lumens</t>
  </si>
  <si>
    <t>AnyGlobe250 to 1049 lumens</t>
  </si>
  <si>
    <t>AnyReflectors and Outdoor250 to 1049 lumens</t>
  </si>
  <si>
    <t>AnyReflectors and Outdoor1050 to 1489 lumens</t>
  </si>
  <si>
    <t>AnyReflectors and Outdoor1490 to 2600 lumens</t>
  </si>
  <si>
    <t>ResLighting_v7_0.xlsm</t>
  </si>
  <si>
    <t>First Year (2019)</t>
  </si>
  <si>
    <t>Third Year (2021)</t>
  </si>
  <si>
    <t>Average 2022- end of measure life</t>
  </si>
  <si>
    <t>CFL First Year Savings Rates</t>
  </si>
  <si>
    <t>2019 Savings Rate From RTF Analysis</t>
  </si>
  <si>
    <r>
      <rPr>
        <b/>
        <sz val="10"/>
        <color theme="3"/>
        <rFont val="Calibri"/>
        <family val="2"/>
        <scheme val="minor"/>
      </rPr>
      <t xml:space="preserve">Note: </t>
    </r>
    <r>
      <rPr>
        <sz val="10"/>
        <color theme="3"/>
        <rFont val="Calibri"/>
        <family val="2"/>
        <scheme val="minor"/>
      </rPr>
      <t>The RTF analysis does not currently produce savings rates for CFL lamps however the data exists in the workbooks to estiamte the savings for CFLs.</t>
    </r>
  </si>
  <si>
    <t>Savings Rate - RTF - Tiers 1-3 (Existing Construction)</t>
  </si>
  <si>
    <t>ResHPWH_v4_1.xlsm</t>
  </si>
  <si>
    <t>Tier1_garage_HZ1_AnySize</t>
  </si>
  <si>
    <t>Tier1_garage_HZ2_AnySize</t>
  </si>
  <si>
    <t>Tier1_garage_HZ3_AnySize</t>
  </si>
  <si>
    <t>Tier1_basmnt_HZ1_AnySize</t>
  </si>
  <si>
    <t>Tier1_basmnt_HZ2_AnySize</t>
  </si>
  <si>
    <t>Tier1_basmnt_HZ3_AnySize</t>
  </si>
  <si>
    <t>Tier1_indor2_HZ1_gas_AnySize</t>
  </si>
  <si>
    <t>Tier1_indor2_HZ1_resistheat_AnySize</t>
  </si>
  <si>
    <t>Tier1_indor2_HZ1_hp85_AnySize</t>
  </si>
  <si>
    <t>Tier1_indor2_HZ2_gas_AnySize</t>
  </si>
  <si>
    <t>Tier1_indor2_HZ2_resistheat_AnySize</t>
  </si>
  <si>
    <t>Tier1_indor2_HZ2_hp85_AnySize</t>
  </si>
  <si>
    <t>Tier1_indor2_HZ3_gas_AnySize</t>
  </si>
  <si>
    <t>Tier1_indor2_HZ3_resistheat_AnySize</t>
  </si>
  <si>
    <t>Tier1_indor2_HZ3_hp85_AnySize</t>
  </si>
  <si>
    <t>Tier2_garage_HZ1_AnySize</t>
  </si>
  <si>
    <t>Tier2_garage_HZ2_AnySize</t>
  </si>
  <si>
    <t>Tier2_garage_HZ3_AnySize</t>
  </si>
  <si>
    <t>Tier2_basmnt_HZ1_AnySize</t>
  </si>
  <si>
    <t>Tier2_basmnt_HZ2_AnySize</t>
  </si>
  <si>
    <t>Tier2_basmnt_HZ3_AnySize</t>
  </si>
  <si>
    <t>Tier2_indor2_HZ1_gas_AnySize</t>
  </si>
  <si>
    <t>Tier2_indor2_HZ1_resistheat_AnySize</t>
  </si>
  <si>
    <t>Tier2_indor2_HZ1_hp85_AnySize</t>
  </si>
  <si>
    <t>Tier2_indor2_HZ2_gas_AnySize</t>
  </si>
  <si>
    <t>Tier2_indor2_HZ2_resistheat_AnySize</t>
  </si>
  <si>
    <t>Tier2_indor2_HZ2_hp85_AnySize</t>
  </si>
  <si>
    <t>Tier2_indor2_HZ3_gas_AnySize</t>
  </si>
  <si>
    <t>Tier2_indor2_HZ3_resistheat_AnySize</t>
  </si>
  <si>
    <t>Tier2_indor2_HZ3_hp85_AnySize</t>
  </si>
  <si>
    <t>Tier2_ducted_HZ1_gas_AnySize</t>
  </si>
  <si>
    <t>Tier2_ducted_HZ1_resistheat_AnySize</t>
  </si>
  <si>
    <t>Tier2_ducted_HZ1_hp85_AnySize</t>
  </si>
  <si>
    <t>Tier2_ducted_HZ2_gas_AnySize</t>
  </si>
  <si>
    <t>Tier2_ducted_HZ2_resistheat_AnySize</t>
  </si>
  <si>
    <t>Tier2_ducted_HZ2_hp85_AnySize</t>
  </si>
  <si>
    <t>Tier2_ducted_HZ3_gas_AnySize</t>
  </si>
  <si>
    <t>Tier2_ducted_HZ3_resistheat_AnySize</t>
  </si>
  <si>
    <t>Tier2_ducted_HZ3_hp85_AnySize</t>
  </si>
  <si>
    <t>Tier1</t>
  </si>
  <si>
    <t>Tier2</t>
  </si>
  <si>
    <t>RTF Savings Rates (Existing Construction Tiers 1-3)</t>
  </si>
  <si>
    <t>Regional Savings Rate for Tiers 1-3</t>
  </si>
  <si>
    <t>Total Savings for Tier 1</t>
  </si>
  <si>
    <t>Total Savings for Tier 2</t>
  </si>
  <si>
    <t>Incremental to Tier 1</t>
  </si>
  <si>
    <t>Tier 1 HPWH</t>
  </si>
  <si>
    <t>Tier3 NoResistance_SplitSystem_HZ1_AnySize</t>
  </si>
  <si>
    <t>Tier3 NoResistance_SplitSystem_HZ2_AnySize</t>
  </si>
  <si>
    <t>Tier3 NoResistance_SplitSystem_HZ3_AnySize</t>
  </si>
  <si>
    <t xml:space="preserve">The energy use estimates come from the most recent RTF measure workbook
</t>
  </si>
  <si>
    <t>ResHPWH_v4_1.xlsm; Adjusted by NEEA staff; Reviewed by Ecotope</t>
  </si>
  <si>
    <t>The savings rates for HPWHs are relative to the RTFs current practice baseline</t>
  </si>
  <si>
    <t>The savings rates for Residential Lighting are relative to the RTFs current practice baseline</t>
  </si>
  <si>
    <t>ResDHPonFAF_v2_1.xlsx</t>
  </si>
  <si>
    <t>The savings rates for installs came from the Regional Technical Forum's December 2018 updated workbook. NEEA weighted the rates using data from the Residential Building Stock Assessment. The calculation detail is available on the DHP program detail worksheet.</t>
  </si>
  <si>
    <t>ResDHPonFAF_v2_1.xlsm</t>
  </si>
  <si>
    <t>To align with the WA Investor Owned Utilities, NEEA uses the 2018 RTF savings rates with a baseline of the 2015 market sales mix.</t>
  </si>
  <si>
    <t>ResClothesDryers_v3.1; Energy Solutions market share analysis (available upon request)</t>
  </si>
  <si>
    <t>ResClothesDryers_v3.1.xlsm</t>
  </si>
  <si>
    <t>Savings rates come directly from the RTF's most recent dryer workbook. The RTF workbook contians more granular UEC tiers than NEEA tracks, so closest-matching RTF tiers are used for each NEEA tier (see mapping  below). Note in particular that NEEA's tier named "UCEF 3.00 to 3.39" actually maps to the RTF Energy Star tier. These savings rates are then weighted by the share of vented and ventless dryer shipments  in each tier.</t>
  </si>
  <si>
    <t>Measure Application</t>
  </si>
  <si>
    <t>Savings Component</t>
  </si>
  <si>
    <t>Savings for Period 1</t>
  </si>
  <si>
    <t>Measure Life</t>
  </si>
  <si>
    <t>Vented_ENERGY STAR</t>
  </si>
  <si>
    <t>Clothes Drying</t>
  </si>
  <si>
    <t>R-All-Plug-Dryer-All-All-R</t>
  </si>
  <si>
    <t>Vented_UCEF 3.00 to 3.19</t>
  </si>
  <si>
    <t>Vented_UCEF 3.20 to 3.39</t>
  </si>
  <si>
    <t>Vented_UCEF 3.40 to 3.59</t>
  </si>
  <si>
    <t>Vented_UCEF 3.60 to 3.79</t>
  </si>
  <si>
    <t>Vented_UCEF 3.80 to 4.19</t>
  </si>
  <si>
    <t>Vented_UCEF 4.20 to 4.69</t>
  </si>
  <si>
    <t>Vented_UCEF 4.70 to 5.29</t>
  </si>
  <si>
    <t>Vented_UCEF 5.30 to 6.09</t>
  </si>
  <si>
    <t>Vented_UCEF 6.10 to 7.19</t>
  </si>
  <si>
    <t>Vented_UCEF 7.20 to 8.00</t>
  </si>
  <si>
    <t>Ventless_ENERGY STAR</t>
  </si>
  <si>
    <t>Ventless_UCEF 3.00 to 3.19</t>
  </si>
  <si>
    <t>Ventless_UCEF 3.20 to 3.39</t>
  </si>
  <si>
    <t>Ventless_UCEF 3.40 to 3.59</t>
  </si>
  <si>
    <t>Ventless_UCEF 3.60 to 3.79</t>
  </si>
  <si>
    <t>Ventless_UCEF 3.80 to 4.19</t>
  </si>
  <si>
    <t>Ventless_UCEF 4.20 to 4.69</t>
  </si>
  <si>
    <t>Ventless_UCEF 4.70 to 5.29</t>
  </si>
  <si>
    <t>Ventless_UCEF 5.30 to 6.09</t>
  </si>
  <si>
    <t>Ventless_UCEF 6.10 to 7.19</t>
  </si>
  <si>
    <t>Ventless_UCEF 7.20 to 8.00</t>
  </si>
  <si>
    <t>RTF -&gt; NEEA Measure Mapping</t>
  </si>
  <si>
    <t>Vented</t>
  </si>
  <si>
    <t>Tier_4</t>
  </si>
  <si>
    <t>Tier_5</t>
  </si>
  <si>
    <t>Tier_6</t>
  </si>
  <si>
    <t>Ventless</t>
  </si>
  <si>
    <t>7th PP Venting Weighting</t>
  </si>
  <si>
    <t>Incremental</t>
  </si>
  <si>
    <t>COM_200701_P1T4</t>
  </si>
  <si>
    <t>Extended Motor Products</t>
  </si>
  <si>
    <t>Window Attachments</t>
  </si>
  <si>
    <t>ENERGY STAR 7.0</t>
  </si>
  <si>
    <t>75% of the savings are baseline according to the original 7th Power Plan.  Source: Com_Master_7P.xlsm. Incorporated in the savings rate.</t>
  </si>
  <si>
    <t>total sockets that turn over at end of year</t>
  </si>
  <si>
    <t>Regional Technical Forum</t>
  </si>
  <si>
    <t>Standard Size Refrigerator and Refrigerator-Freezer - Bottom-mounted Freezer - ENERGY STAR</t>
  </si>
  <si>
    <t>Refrigeration</t>
  </si>
  <si>
    <t>Standard Size Refrigerator and Refrigerator-Freezer - Side-mounted Freezer - ENERGY STAR</t>
  </si>
  <si>
    <t>Standard Size Refrigerator and Refrigerator-Freezer - Other - ENERGY STAR</t>
  </si>
  <si>
    <t>Compact Size Refrigerator and Refrigerator-Freezer - ENERGY STAR</t>
  </si>
  <si>
    <t>Standard Size Freezer - Upright - ENERGY STAR</t>
  </si>
  <si>
    <t>Standard Size Freezer - Chest - ENERGY STAR</t>
  </si>
  <si>
    <t>Compact Standard Size Freezer - ENERGY STAR</t>
  </si>
  <si>
    <t>Standard Size Refrigerator and Refrigerator-Freezer - Bottom-mounted Freezer - ESME</t>
  </si>
  <si>
    <t>Standard Size Refrigerator and Refrigerator-Freezer - Side-mounted Freezer - ESME</t>
  </si>
  <si>
    <t>Standard Size Refrigerator and Refrigerator-Freezer - Other - ESME</t>
  </si>
  <si>
    <t>Compact Size Refrigerator and Refrigerator-Freezer - ESME</t>
  </si>
  <si>
    <t>Standard Size Freezer - Upright - ESME</t>
  </si>
  <si>
    <t>Standard Size Freezer - Chest - ESME</t>
  </si>
  <si>
    <t>Compact Standard Size Freezer - ESME</t>
  </si>
  <si>
    <t>Heating and Cooling</t>
  </si>
  <si>
    <t>ResRefrigeratorsAndFreezers_v5_1.xlsm</t>
  </si>
  <si>
    <t>NEEA Lookup</t>
  </si>
  <si>
    <t>RTF</t>
  </si>
  <si>
    <t>Savings for Period 1 (kwh/yr)</t>
  </si>
  <si>
    <t>Measure Life (yrs)</t>
  </si>
  <si>
    <t>Starting February 2018_Top Load_Any ENERGY STAR_Electric DHW_Electric Dryer</t>
  </si>
  <si>
    <t>Washer Savings</t>
  </si>
  <si>
    <t>Starting February 2018_Top Load_Any ENERGY STAR_Electric DHW_Gas Dryer</t>
  </si>
  <si>
    <t>Starting February 2018_Top Load_Any ENERGY STAR_Gas DHW_Electric Dryer</t>
  </si>
  <si>
    <t>Starting February 2018_Top Load_Any ENERGY STAR_Gas DHW_Gas Dryer</t>
  </si>
  <si>
    <t>Starting February 2018_Top Load_Any ENERGY STAR_Any fuel type</t>
  </si>
  <si>
    <t>Starting February 2018_Top Load_ENERGY STAR but not CEE_Electric DHW_Electric Dryer</t>
  </si>
  <si>
    <t>Starting February 2018_Top Load_ENERGY STAR but not CEE_Electric DHW_Gas Dryer</t>
  </si>
  <si>
    <t>Starting February 2018_Top Load_ENERGY STAR but not CEE_Gas DHW_Electric Dryer</t>
  </si>
  <si>
    <t>Starting February 2018_Top Load_ENERGY STAR but not CEE_Gas DHW_Gas Dryer</t>
  </si>
  <si>
    <t>Starting February 2018_Top Load_ENERGY STAR but not CEE_Any fuel type</t>
  </si>
  <si>
    <t>Starting February 2018_Top Load_CEE Tier 1_Electric DHW_Electric Dryer</t>
  </si>
  <si>
    <t>Starting February 2018_Top Load_CEE Tier 1_Electric DHW_Gas Dryer</t>
  </si>
  <si>
    <t>Starting February 2018_Top Load_CEE Tier 1_Gas DHW_Electric Dryer</t>
  </si>
  <si>
    <t>Starting February 2018_Top Load_CEE Tier 1_Gas DHW_Gas Dryer</t>
  </si>
  <si>
    <t>Starting February 2018_Top Load_CEE Tier 1_Any fuel type</t>
  </si>
  <si>
    <t>Starting February 2018_Front Load_not-ENERGY STAR_Electric DHW_Electric Dryer</t>
  </si>
  <si>
    <t>Starting February 2018_Front Load_not-ENERGY STAR_Electric DHW_Gas Dryer</t>
  </si>
  <si>
    <t>Starting February 2018_Front Load_not-ENERGY STAR_Gas DHW_Electric Dryer</t>
  </si>
  <si>
    <t>Starting February 2018_Front Load_not-ENERGY STAR_Gas DHW_Gas Dryer</t>
  </si>
  <si>
    <t>Starting February 2018_Front Load_not-ENERGY STAR_Any fuel type</t>
  </si>
  <si>
    <t>Starting February 2018_Front Load_Any ENERGY STAR_Electric DHW_Electric Dryer</t>
  </si>
  <si>
    <t>Starting February 2018_Front Load_Any ENERGY STAR_Electric DHW_Gas Dryer</t>
  </si>
  <si>
    <t>Starting February 2018_Front Load_Any ENERGY STAR_Gas DHW_Electric Dryer</t>
  </si>
  <si>
    <t>Starting February 2018_Front Load_Any ENERGY STAR_Gas DHW_Gas Dryer</t>
  </si>
  <si>
    <t>Starting February 2018_Front Load_Any ENERGY STAR_Any fuel type</t>
  </si>
  <si>
    <t>Starting February 2018_Front Load_CEE Tier 1_Electric DHW_Electric Dryer</t>
  </si>
  <si>
    <t>Starting February 2018_Front Load_CEE Tier 1_Electric DHW_Gas Dryer</t>
  </si>
  <si>
    <t>Starting February 2018_Front Load_CEE Tier 1_Gas DHW_Electric Dryer</t>
  </si>
  <si>
    <t>Starting February 2018_Front Load_CEE Tier 1_Gas DHW_Gas Dryer</t>
  </si>
  <si>
    <t>Starting February 2018_Front Load_CEE Tier 1_Any fuel type</t>
  </si>
  <si>
    <t>Starting February 2018_Front Load_CEE Tier 2_Electric DHW_Electric Dryer</t>
  </si>
  <si>
    <t>Starting February 2018_Front Load_CEE Tier 2_Electric DHW_Gas Dryer</t>
  </si>
  <si>
    <t>Starting February 2018_Front Load_CEE Tier 2_Gas DHW_Electric Dryer</t>
  </si>
  <si>
    <t>Starting February 2018_Front Load_CEE Tier 2_Gas DHW_Gas Dryer</t>
  </si>
  <si>
    <t>Starting February 2018_Front Load_CEE Tier 2_Any fuel type</t>
  </si>
  <si>
    <t>Starting February 2018_Front Load_CEE Advanced Tier_Electric DHW_Electric Dryer</t>
  </si>
  <si>
    <t>Starting February 2018_Front Load_CEE Advanced Tier_Electric DHW_Gas Dryer</t>
  </si>
  <si>
    <t>Starting February 2018_Front Load_CEE Advanced Tier_Gas DHW_Electric Dryer</t>
  </si>
  <si>
    <t>Starting February 2018_Front Load_CEE Advanced Tier_Gas DHW_Gas Dryer</t>
  </si>
  <si>
    <t>Starting February 2018_Front Load_CEE Advanced Tier_Any fuel type</t>
  </si>
  <si>
    <t>Waste Water Energy</t>
  </si>
  <si>
    <t>NEEA Index</t>
  </si>
  <si>
    <t>Ecotope Calculation using SEEM. Baseline is prior code.</t>
  </si>
  <si>
    <t>Mike Kennedy.</t>
  </si>
  <si>
    <t>COM_201304_P9T3</t>
  </si>
  <si>
    <t>COM_201304_P9T1</t>
  </si>
  <si>
    <t>COM_201304_P9T2</t>
  </si>
  <si>
    <t>COM_201304_P6T2</t>
  </si>
  <si>
    <t>Standards Savings count against the 7th PP baseline if announced after December 31, 2020</t>
  </si>
  <si>
    <t>TRS</t>
  </si>
  <si>
    <t>The savings rate for ENERGY STAR Version 6 Commercial Desktops is sourced from the ENERGY STAR Office Equipment Calculator (which utilizes the Version 6 specification) and is based on the difference in annual EUI for qualifying and non-qualifying  desktops.</t>
  </si>
  <si>
    <t>Unit Energy Consumption (kWh)</t>
  </si>
  <si>
    <t>ENERGY STAR 7 Savings Rate</t>
  </si>
  <si>
    <t>ENERGY STAR 6</t>
  </si>
  <si>
    <t>The savings rate is based on the difference between a Version 7 UEC and a weighted baseline UEC.</t>
  </si>
  <si>
    <t>NonResLightingMidstream_v2_1.xlsm</t>
  </si>
  <si>
    <t>From the RTF Non-Residential Midstream Lighting UES Workbook</t>
  </si>
  <si>
    <t>Retail_RWLF25_2200 to 3999 lumens</t>
  </si>
  <si>
    <t>Lighting</t>
  </si>
  <si>
    <t>Retail_RWLF28_2200 to 3999 lumens</t>
  </si>
  <si>
    <t>HVAC</t>
  </si>
  <si>
    <t>Lighting &amp; HVAC Combined</t>
  </si>
  <si>
    <t>7th Plan</t>
  </si>
  <si>
    <t>The current practice baseline is incorporated in the savings rate analysis</t>
  </si>
  <si>
    <t>RTF Analysis of Non-residential midstream lighting measures.</t>
  </si>
  <si>
    <t>There is a Planning RTF UES for medium and large office application: Commercial Secondary Glazing Systems v1.1.xlsm</t>
  </si>
  <si>
    <t>There is a Planning RTF UES for Commercial &amp; Industrial pumps: ComIndAgPumps_1_1.xlsm</t>
  </si>
  <si>
    <t>https://nwcouncil.app.box.com/v/ComIndAgPumpsv1-1</t>
  </si>
  <si>
    <t>https://nwcouncil.app.box.com/v/ComSecGlazingSys-v1-1</t>
  </si>
  <si>
    <t>Normalized Across All Years AEC(8A)
(kWh/yr)</t>
  </si>
  <si>
    <t>Normalized to 2015 AEC(8B)
(kWh/yr)</t>
  </si>
  <si>
    <t>Share by category</t>
  </si>
  <si>
    <t>Source: RPP Program Data. February 2019.</t>
  </si>
  <si>
    <t>(A)</t>
  </si>
  <si>
    <t>Data range is from March 2015 to December 2018, no months excluded</t>
  </si>
  <si>
    <t>(B)</t>
  </si>
  <si>
    <t>DOE product class, "compact" defined as total volume less than or equal to 7.75 cubic feet</t>
  </si>
  <si>
    <t>(1A)</t>
  </si>
  <si>
    <t>Product of freezer internal volume and DOE-specified adjustment factor of 1.73, sales-weighted average over all years</t>
  </si>
  <si>
    <t>ENERGY STAR v5 +5%</t>
  </si>
  <si>
    <t>(1B)</t>
  </si>
  <si>
    <t>Product of freezer internal volume, sales-weighted for 2015, and DOE-specified adjustment factor of 1.73 - note that this gives "NA" values for product classes that had no sales in 2015</t>
  </si>
  <si>
    <t>(1C)</t>
  </si>
  <si>
    <t>Product of freezer internal volume, sales-weighted within the year, and DOE-specified adjustment factor of 1.73</t>
  </si>
  <si>
    <t>(2A)</t>
  </si>
  <si>
    <t>Calculated from DOE 4th Standard (effective 2014) coefficients listed to the right of this table and product class sales-weighted (across all years) adjusted volume</t>
  </si>
  <si>
    <t>(2B)</t>
  </si>
  <si>
    <t>Calculated from DOE 4th Standard (effective 2014) coefficients listed to the right of this table and product class sales-weighted (for 2015) adjusted volume - note that this gives "NA" values for product classes that had no sales in 2015</t>
  </si>
  <si>
    <t>(2C)</t>
  </si>
  <si>
    <t>Calculated from DOE 4th Standard (effective 2014) coefficients listed to the right of this table and product class sales-weighted (within the year) adjusted volume</t>
  </si>
  <si>
    <t>(3)</t>
  </si>
  <si>
    <t>Portal tiers are advanced if calculated % better than ESTAR is 5 or more, Basic if calculated % better than ESTAR is between 0 and 5, Not Qualified otherwise</t>
  </si>
  <si>
    <t>(4)</t>
  </si>
  <si>
    <t>Sumproduct of unit annual energy consumption and market share</t>
  </si>
  <si>
    <t>(5)</t>
  </si>
  <si>
    <t>Sumproduct of per-unit total volume and market share</t>
  </si>
  <si>
    <t>(6)</t>
  </si>
  <si>
    <t>Difference between unit AEC and federal maximum for the unit's class/size, as a percent of the federal maximum</t>
  </si>
  <si>
    <t>(7)</t>
  </si>
  <si>
    <t>Any negative sales were excluded.</t>
  </si>
  <si>
    <t>(8A)</t>
  </si>
  <si>
    <t>Representative Federal Minimum AEC (which is volume-normalized across all years) adjusted by the calculated "% Better than Fed"</t>
  </si>
  <si>
    <t>(8B)</t>
  </si>
  <si>
    <t>Representative Federal Minimum AEC (which is volume-normalized for 2015) adjusted by the calculated "% Better than Fed"</t>
  </si>
  <si>
    <t>(8C)</t>
  </si>
  <si>
    <t>Representative Federal Minimum AEC (which is volume-normalized within the year) adjusted by the calculated "% Better than Fed"</t>
  </si>
  <si>
    <t>(9)</t>
  </si>
  <si>
    <t>"NA" means no NEEA RPP sales for the category/tier.</t>
  </si>
  <si>
    <t>2020-2021 NEEA Calc for ES +5%</t>
  </si>
  <si>
    <t>Determined based on the calculated % better than ESTAR</t>
  </si>
  <si>
    <t>(1)</t>
  </si>
  <si>
    <t>Sumproduct of on-mode power given by ESTAR and market share</t>
  </si>
  <si>
    <t>New ENERGY STAR Spec</t>
  </si>
  <si>
    <t>(2)</t>
  </si>
  <si>
    <t>Sumproduct of idle power given by ESTAR and market share</t>
  </si>
  <si>
    <t>Sumproduct of standby power given by ESTAR and market share</t>
  </si>
  <si>
    <t>Minimum of the % differences between a unit's on-mode, idle, and standby power and the ESTAR requirements</t>
  </si>
  <si>
    <t>Assumes 1580 hours on, 730 hours idle, and 6450 hours standby per year</t>
  </si>
  <si>
    <t>The values for 2013 and 2014 were taken from the 2016 UES spreadsheet.</t>
  </si>
  <si>
    <t>(8)</t>
  </si>
  <si>
    <t>For sound bars, all unmatched sales are categorized as non-qualifying.</t>
  </si>
  <si>
    <t>Calculation for Future ENERGY STAR Specification (note the current specification is under revision)</t>
  </si>
  <si>
    <t>Most Recent RTF Savings Rates</t>
  </si>
  <si>
    <t>Market Transformation</t>
  </si>
  <si>
    <t>7th Power Plan (RTF Updates)</t>
  </si>
  <si>
    <t>7th Power Plan (NEEA Updates)</t>
  </si>
  <si>
    <t>7th Power Plan (Frozen)</t>
  </si>
  <si>
    <t>Potential Savings Rate Source</t>
  </si>
  <si>
    <r>
      <rPr>
        <b/>
        <sz val="10"/>
        <color theme="1"/>
        <rFont val="Calibri"/>
        <family val="2"/>
        <scheme val="minor"/>
      </rPr>
      <t xml:space="preserve">Pump measures:  </t>
    </r>
    <r>
      <rPr>
        <sz val="10"/>
        <color theme="1"/>
        <rFont val="Calibri"/>
        <family val="2"/>
        <scheme val="minor"/>
      </rPr>
      <t>Currently in the early phase of program development, may have some savings to report in 2020-2021</t>
    </r>
  </si>
  <si>
    <r>
      <rPr>
        <b/>
        <sz val="10"/>
        <color theme="1"/>
        <rFont val="Calibri"/>
        <family val="2"/>
        <scheme val="minor"/>
      </rPr>
      <t xml:space="preserve">Window Attachments measures:  </t>
    </r>
    <r>
      <rPr>
        <sz val="10"/>
        <color theme="1"/>
        <rFont val="Calibri"/>
        <family val="2"/>
        <scheme val="minor"/>
      </rPr>
      <t>Currently in the early phase of program development, may be able to acquire some data to report savings in 2020-2021</t>
    </r>
  </si>
  <si>
    <t>ENERGY STAR 6 Savings Rate</t>
  </si>
  <si>
    <t>2020-2021</t>
  </si>
  <si>
    <t>Savings Rate in 7th PP</t>
  </si>
  <si>
    <t>Heat Pump Dryer</t>
  </si>
  <si>
    <t xml:space="preserve">The original Power Plan only included a rough estimate for savings from a heat pump hybrid dryer. </t>
  </si>
  <si>
    <t>Temp - 7th PP savings rate</t>
  </si>
  <si>
    <t>2020 Units (Retail sales of lamps)</t>
  </si>
  <si>
    <t>2021 Units (Retail sales of lamps)</t>
  </si>
  <si>
    <t>DNV-GL &amp; APEX Analytics. NEEA 2018 Residential Lighting Long-Term Monitoring and Tracking Data Collection and Analysis. (2018 Market Share and Forecast)</t>
  </si>
  <si>
    <t>AgGreenMotorRewind_v2_0.xlsm</t>
  </si>
  <si>
    <t>IndGreenMotorRewind_v2_0.xlsm</t>
  </si>
  <si>
    <t>Ind_and_Ag_GreenMotorRewind_v3_1.xlsm </t>
  </si>
  <si>
    <t>HP</t>
  </si>
  <si>
    <t>Current practice % standard rewind</t>
  </si>
  <si>
    <t>Current practice % green rewind</t>
  </si>
  <si>
    <t>UEC (kWh/yr) - Standard</t>
  </si>
  <si>
    <t>UEC (kWh/yr) - Green</t>
  </si>
  <si>
    <t>UEC Difference</t>
  </si>
  <si>
    <t>UEC Current Practice Baseline (kWh/yr)</t>
  </si>
  <si>
    <t>Savings - Current Practice (kWh/yr)</t>
  </si>
  <si>
    <t>Combined</t>
  </si>
  <si>
    <t>Units by HP</t>
  </si>
  <si>
    <t>Extrapolation</t>
  </si>
  <si>
    <t>N</t>
  </si>
  <si>
    <t>n</t>
  </si>
  <si>
    <t>Distribution of All GMR</t>
  </si>
  <si>
    <t>Sample Qty</t>
  </si>
  <si>
    <t>Extrapolated Qty</t>
  </si>
  <si>
    <t>The Extended Motor Products (XMP) program aims to increase the adoption of efficient packaged pump systems up to 50 horsepower by leveraging the Hydraulic Institute Energy Rating label and working with pump distributors and manufacturers.</t>
  </si>
  <si>
    <t>This new program is working on getting market data to forecast savings. A research is in progress to update the current RTF UES, which we anticipate to be approved 2020.  Given the timeline, NEEA will use the UES values from the existing RTF workbook for technical assumption to report 2020-2021 savings.</t>
  </si>
  <si>
    <t xml:space="preserve">The program is working on getting market data to forecast savings. When NEEA acquires SGS installation data, NEEA will use the RTF UES for medium/large office installations and will likely use a third party to validate savings for the installations in other building types. </t>
  </si>
  <si>
    <t>The Window Attachments Initiative will create market differentiation and leverage policies to accelerate the adoption of high performance window attachment products in commercial buildings.</t>
  </si>
  <si>
    <t>https://nwcouncil.app.box.com/v/MHReplaceSavingCostCalcV1-1</t>
  </si>
  <si>
    <t>Although there is no equivalent RTF measure, the forum does have a calculator, which NEEA is using for savings rate estimation, given the NEEM specifications</t>
  </si>
  <si>
    <t>0.05-0.15 aMW</t>
  </si>
  <si>
    <t>Estimated Total Regional Savings 2020-21:</t>
  </si>
  <si>
    <t>No estimate for remaining savings - all units are expected to be incented in the near term.</t>
  </si>
  <si>
    <r>
      <rPr>
        <b/>
        <sz val="10"/>
        <color theme="1"/>
        <rFont val="Calibri"/>
        <family val="2"/>
        <scheme val="minor"/>
      </rPr>
      <t>Note:</t>
    </r>
    <r>
      <rPr>
        <sz val="10"/>
        <color theme="1"/>
        <rFont val="Calibri"/>
        <family val="2"/>
        <scheme val="minor"/>
      </rPr>
      <t xml:space="preserve"> These savings rates utilize the RTF's current practice baseline that utilizes 2017 market data</t>
    </r>
  </si>
  <si>
    <r>
      <t xml:space="preserve">Location of the installation - </t>
    </r>
    <r>
      <rPr>
        <b/>
        <sz val="10"/>
        <color theme="5"/>
        <rFont val="Calibri"/>
        <family val="2"/>
        <scheme val="minor"/>
      </rPr>
      <t>Tier 1</t>
    </r>
  </si>
  <si>
    <r>
      <t xml:space="preserve">Weights for Location of the installation - </t>
    </r>
    <r>
      <rPr>
        <b/>
        <sz val="10"/>
        <color theme="5"/>
        <rFont val="Calibri"/>
        <family val="2"/>
        <scheme val="minor"/>
      </rPr>
      <t>Tiers 2 &amp; 3</t>
    </r>
  </si>
  <si>
    <r>
      <rPr>
        <b/>
        <sz val="10"/>
        <color theme="1"/>
        <rFont val="Calibri"/>
        <family val="2"/>
        <scheme val="minor"/>
      </rPr>
      <t>Notes:</t>
    </r>
    <r>
      <rPr>
        <sz val="10"/>
        <color theme="1"/>
        <rFont val="Calibri"/>
        <family val="2"/>
        <scheme val="minor"/>
      </rPr>
      <t xml:space="preserve"> 
- These savings rates utilize the RTF's current practice baseline that utilizes 2017 market data.
- NEEA's model categorizes split systems as Tier 4, however in a recent update the RTF changed the category back to Tier 3 but does a separate calculation for the split systems. The difference in naming of the measures aside, NEEA is using the same data as the RTF in this report for split system HPWHs.</t>
    </r>
  </si>
  <si>
    <r>
      <t xml:space="preserve">Site Savings Rate </t>
    </r>
    <r>
      <rPr>
        <sz val="10"/>
        <color theme="1" tint="0.499984740745262"/>
        <rFont val="Calibri"/>
        <family val="2"/>
        <scheme val="minor"/>
      </rPr>
      <t>(kWh/ Unit-yr)</t>
    </r>
  </si>
  <si>
    <t xml:space="preserve">The RTF analysis, NEEA uses the most recent RTF savings rates for all tiers. These savings are relative to the RTF's current practice baseline. Each tier is represented as incremental above the prior tier. Below is a summary table. Each cell is linked the calculation source. </t>
  </si>
  <si>
    <t xml:space="preserve">For the Washington investor-owned utilities, NEEA uses the original 7th Power Plan assumptions for the tiers that were in the original plan (tiers 1 and 2). NEEA uses the RTF savings rates for all tiers that have come to market since the Power Plan analysis (tiers 3 and 4). These are all represented as incremental above the prior tier. Below is a summary table. Each cell is linked the calculation source. </t>
  </si>
  <si>
    <t>7th PP Conservation Supply Workbook</t>
  </si>
  <si>
    <t>Savings Rate -7th Power Plan Original - Tier 1 and 2</t>
  </si>
  <si>
    <t>Res-HPWH-7P_v4.xlsx</t>
  </si>
  <si>
    <r>
      <rPr>
        <b/>
        <sz val="11"/>
        <color theme="1"/>
        <rFont val="Calibri"/>
        <family val="2"/>
        <scheme val="minor"/>
      </rPr>
      <t xml:space="preserve">Note: </t>
    </r>
    <r>
      <rPr>
        <sz val="11"/>
        <color theme="1"/>
        <rFont val="Calibri"/>
        <family val="2"/>
        <scheme val="minor"/>
      </rPr>
      <t>RTF savings rates used in the Council's analysis take into account the variation in tank sizes and impact of the standard so they are the same across tank sizes.</t>
    </r>
  </si>
  <si>
    <t>7th Power Plan Savings Rates (Existing Construction Tiers 1 &amp; 2)</t>
  </si>
  <si>
    <t>Heating System Distribution</t>
  </si>
  <si>
    <t>Weights for the Location of the Installs</t>
  </si>
  <si>
    <t>Single Family Tier1_buffered</t>
  </si>
  <si>
    <t>Single Family Tier1_indor2_efaf</t>
  </si>
  <si>
    <t>Single Family Tier1_indor2_gfac</t>
  </si>
  <si>
    <t>Single Family Tier1_indor2_gfnc</t>
  </si>
  <si>
    <t>SF</t>
  </si>
  <si>
    <t>Single Family Tier1_indor2_hp85</t>
  </si>
  <si>
    <t>Indoor</t>
  </si>
  <si>
    <t>Single Family Tier1_indor2_zonl</t>
  </si>
  <si>
    <t>Buffered</t>
  </si>
  <si>
    <t>Single Family Tier2_buffered</t>
  </si>
  <si>
    <t>Single Family Tier2_indor2_efaf</t>
  </si>
  <si>
    <t>Single Family Tier2_indor2_gfac</t>
  </si>
  <si>
    <t>Single Family Tier2_indor2_gfnc</t>
  </si>
  <si>
    <t>Weights for Heating Systems</t>
  </si>
  <si>
    <t>Single Family Tier2_indor2_hp85</t>
  </si>
  <si>
    <t>Single Family Tier2_indor2_zonl</t>
  </si>
  <si>
    <t>EFAF</t>
  </si>
  <si>
    <t>HP85</t>
  </si>
  <si>
    <t>Zonl</t>
  </si>
  <si>
    <t>GFAC</t>
  </si>
  <si>
    <t>GFNC</t>
  </si>
  <si>
    <t>Sing</t>
  </si>
  <si>
    <t>Savings Rate - RTF - Tier 3 (Existing Construction)</t>
  </si>
  <si>
    <t>Res_HPWH_v3_4.xlsm</t>
  </si>
  <si>
    <t>RTF measure workbook from April 2017</t>
  </si>
  <si>
    <r>
      <t xml:space="preserve">Weights for Location of the installation - </t>
    </r>
    <r>
      <rPr>
        <b/>
        <sz val="11"/>
        <color theme="5"/>
        <rFont val="Calibri"/>
        <family val="2"/>
        <scheme val="minor"/>
      </rPr>
      <t>Tier 3</t>
    </r>
  </si>
  <si>
    <t>Regional Savings Rate for Tier 3</t>
  </si>
  <si>
    <t>RTF Savings Rates (Existing Construction Tier 3)</t>
  </si>
  <si>
    <t>Costs</t>
  </si>
  <si>
    <t>NON-E Val</t>
  </si>
  <si>
    <t>Tier4_splits_HZ1_AnySize</t>
  </si>
  <si>
    <t>Tier4_splits_HZ2_AnySize</t>
  </si>
  <si>
    <t>Tier4_splits_HZ3_AnySize</t>
  </si>
  <si>
    <t>7th Power Plan Calculation</t>
  </si>
  <si>
    <t>RTF Calculation</t>
  </si>
  <si>
    <t>DNV-GL &amp; APEX Analytics. NEEA 2018 Residential Lighting Long-Term Monitoring and Tracking Data Collection and Analysis. (Market Share Forecast)</t>
  </si>
  <si>
    <r>
      <rPr>
        <b/>
        <sz val="11"/>
        <color theme="1"/>
        <rFont val="Calibri"/>
        <family val="2"/>
        <scheme val="minor"/>
      </rPr>
      <t>Note:</t>
    </r>
    <r>
      <rPr>
        <sz val="11"/>
        <color theme="1"/>
        <rFont val="Calibri"/>
        <family val="2"/>
        <scheme val="minor"/>
      </rPr>
      <t xml:space="preserve"> The power plan dealt with lighting savings in 2 distinct time periods because of the upcoming EISA 2020 legislative backstop requiring General Service Lamps to acheive efficacy of 45 lumens/watt. Prior to 2020 the general service bulbs will receive savings from the current practice baseline to the efficient measure level of performance. After 2020 they will only receive savings above the 45 lumens/watt level. These increments are calculated separately below.</t>
    </r>
  </si>
  <si>
    <t>45 lm/w to CFL level</t>
  </si>
  <si>
    <t>Current Practice Baseline to CFL level</t>
  </si>
  <si>
    <t>Current Practice to 45 lm/w</t>
  </si>
  <si>
    <t>From RBSA</t>
  </si>
  <si>
    <t>Res-Lighting_PPA-7P_v5.xlsx</t>
  </si>
  <si>
    <t>Res-Lighting-7P_v5.xlsx</t>
  </si>
  <si>
    <t>Lamp Weight</t>
  </si>
  <si>
    <t>Savings Rate (Pre-2020 EISA - Lighting PPA Model)</t>
  </si>
  <si>
    <t>Savings Rate (Lighting Model)</t>
  </si>
  <si>
    <t>Compact FluorescentDecorative and Mini-Base250 to 664 lumens</t>
  </si>
  <si>
    <t>Compact FluorescentDecorative and Mini-Base665 to 1439 lumens</t>
  </si>
  <si>
    <t>Compact FluorescentDecorative and Mini-Base1440 to 2600 lumens</t>
  </si>
  <si>
    <t>Compact FluorescentGeneral Purpose and Dimmable250 to 664 lumens</t>
  </si>
  <si>
    <t>Compact FluorescentGeneral Purpose and Dimmable665 to 1439 lumens</t>
  </si>
  <si>
    <t>Compact FluorescentGeneral Purpose and Dimmable1440 to 2600 lumens</t>
  </si>
  <si>
    <t>Compact FluorescentGlobe250 to 664 lumens</t>
  </si>
  <si>
    <t>Compact FluorescentGlobe665 to 1439 lumens</t>
  </si>
  <si>
    <t>Compact FluorescentGlobe1440 to 2600 lumens</t>
  </si>
  <si>
    <t>Compact FluorescentReflectors and Outdoor250 to 664 lumens</t>
  </si>
  <si>
    <t>Compact FluorescentReflectors and Outdoor665 to 1439 lumens</t>
  </si>
  <si>
    <t>Compact FluorescentReflectors and Outdoor1440 to 2600 lumens</t>
  </si>
  <si>
    <t>Compact FluorescentThree-Way250 to 664 lumens</t>
  </si>
  <si>
    <t>Compact FluorescentThree-Way665 to 1439 lumens</t>
  </si>
  <si>
    <t>Compact FluorescentThree-Way1440 to 2600 lumens</t>
  </si>
  <si>
    <t>MARKET AVG BASELINE</t>
  </si>
  <si>
    <t>45 lm/Watt</t>
  </si>
  <si>
    <t>Using Cost &amp; EUL of CFLs from RTF work</t>
  </si>
  <si>
    <t>Efficient</t>
  </si>
  <si>
    <t>Storage/Takeback/Removal</t>
  </si>
  <si>
    <t>Electric Savings</t>
  </si>
  <si>
    <t>Gas Savings</t>
  </si>
  <si>
    <t>Baseline Lookup Name</t>
  </si>
  <si>
    <t>Efficient Lookup Name</t>
  </si>
  <si>
    <t>Full Measure Name</t>
  </si>
  <si>
    <t>HOU</t>
  </si>
  <si>
    <t>Conditioned %</t>
  </si>
  <si>
    <t>Lumens</t>
  </si>
  <si>
    <t>x</t>
  </si>
  <si>
    <t>Watts</t>
  </si>
  <si>
    <t>Cost (2012$)</t>
  </si>
  <si>
    <t>Lifetime (years)</t>
  </si>
  <si>
    <t>Efficacy</t>
  </si>
  <si>
    <t>Cost</t>
  </si>
  <si>
    <t>Lifetime (Hours)</t>
  </si>
  <si>
    <t>Savings Adjustment</t>
  </si>
  <si>
    <t>Lifetime Adjustment</t>
  </si>
  <si>
    <t>Electric Adjustment</t>
  </si>
  <si>
    <t>Gas (therms per kWh)</t>
  </si>
  <si>
    <t>UEC baseline (kWh)</t>
  </si>
  <si>
    <t>UEC efficient (kWh)</t>
  </si>
  <si>
    <t>Savings - before adjustments (kWh)</t>
  </si>
  <si>
    <t>Savings - adjusted for Storage/Takeback/Removal (kWh)</t>
  </si>
  <si>
    <t>Savings - adjusted for HVAC (kWh)</t>
  </si>
  <si>
    <t>Gas Savings (therms)</t>
  </si>
  <si>
    <t>General Purpose and Dimmable250 to 664 lumens</t>
  </si>
  <si>
    <t>45lm/WGeneral Purpose and Dimmable250 to 664 lumens</t>
  </si>
  <si>
    <t>45lm/WGeneral Purpose and Dimmable250 to 664 lumensANY</t>
  </si>
  <si>
    <t>all45lm/WGeneral Purpose and Dimmable250 to 664 lumensANY</t>
  </si>
  <si>
    <t>General Purpose and Dimmable665 to 1439 lumens</t>
  </si>
  <si>
    <t>45lm/WGeneral Purpose and Dimmable665 to 1439 lumens</t>
  </si>
  <si>
    <t>45lm/WGeneral Purpose and Dimmable665 to 1439 lumensANY</t>
  </si>
  <si>
    <t>all45lm/WGeneral Purpose and Dimmable665 to 1439 lumensANY</t>
  </si>
  <si>
    <t>General Purpose and Dimmable1440 to 2600 lumens</t>
  </si>
  <si>
    <t>45lm/WGeneral Purpose and Dimmable1440 to 2600 lumens</t>
  </si>
  <si>
    <t>45lm/WGeneral Purpose and Dimmable1440 to 2600 lumensANY</t>
  </si>
  <si>
    <t>all45lm/WGeneral Purpose and Dimmable1440 to 2600 lumensANY</t>
  </si>
  <si>
    <t>Decorative and Mini-Base250 to 664 lumens</t>
  </si>
  <si>
    <t>RetailCompact FluorescentDecorative and Mini-Base250 to 664 lumensANY</t>
  </si>
  <si>
    <t>Decorative and Mini-Base665 to 1439 lumens</t>
  </si>
  <si>
    <t>RetailCompact FluorescentDecorative and Mini-Base665 to 1439 lumensANY</t>
  </si>
  <si>
    <t>Decorative and Mini-Base1440 to 2600 lumens</t>
  </si>
  <si>
    <t>RetailCompact FluorescentDecorative and Mini-Base1440 to 2600 lumensANY</t>
  </si>
  <si>
    <t>[no products]</t>
  </si>
  <si>
    <t>RetailCompact FluorescentGeneral Purpose and Dimmable250 to 664 lumensANY</t>
  </si>
  <si>
    <t>RetailCompact FluorescentGeneral Purpose and Dimmable665 to 1439 lumensANY</t>
  </si>
  <si>
    <t>RetailCompact FluorescentGeneral Purpose and Dimmable1440 to 2600 lumensANY</t>
  </si>
  <si>
    <t>Globe250 to 664 lumens</t>
  </si>
  <si>
    <t>RetailCompact FluorescentGlobe250 to 664 lumensANY</t>
  </si>
  <si>
    <t>Globe665 to 1439 lumens</t>
  </si>
  <si>
    <t>RetailCompact FluorescentGlobe665 to 1439 lumensANY</t>
  </si>
  <si>
    <t>Globe1440 to 2600 lumens</t>
  </si>
  <si>
    <t>RetailCompact FluorescentGlobe1440 to 2600 lumensANY</t>
  </si>
  <si>
    <t>Reflectors and Outdoor250 to 664 lumens</t>
  </si>
  <si>
    <t>RetailCompact FluorescentReflectors and Outdoor250 to 664 lumensANY</t>
  </si>
  <si>
    <t>Reflectors and Outdoor665 to 1439 lumens</t>
  </si>
  <si>
    <t>RetailCompact FluorescentReflectors and Outdoor665 to 1439 lumensANY</t>
  </si>
  <si>
    <t>Reflectors and Outdoor1440 to 2600 lumens</t>
  </si>
  <si>
    <t>RetailCompact FluorescentReflectors and Outdoor1440 to 2600 lumensANY</t>
  </si>
  <si>
    <t>Three-Way250 to 664 lumens</t>
  </si>
  <si>
    <t>RetailCompact FluorescentThree-Way250 to 664 lumensANY</t>
  </si>
  <si>
    <t>Three-Way665 to 1439 lumens</t>
  </si>
  <si>
    <t>RetailCompact FluorescentThree-Way665 to 1439 lumensANY</t>
  </si>
  <si>
    <t>Three-Way1440 to 2600 lumens</t>
  </si>
  <si>
    <t>RetailCompact FluorescentThree-Way1440 to 2600 lumensANY</t>
  </si>
  <si>
    <t>45 lm/w to LED level</t>
  </si>
  <si>
    <t>Current Practice Baseline to LED level</t>
  </si>
  <si>
    <t>2011. Ecotope. Residential Building Stock Assessment.</t>
  </si>
  <si>
    <t>LEDDecorative and Mini-Base250 to 664 lumens</t>
  </si>
  <si>
    <t>RetailLEDDecorative and Mini-Base250 to 664 lumensANY</t>
  </si>
  <si>
    <t>LEDDecorative and Mini-Base665 to 1439 lumens</t>
  </si>
  <si>
    <t>RetailLEDDecorative and Mini-Base665 to 1439 lumensANY</t>
  </si>
  <si>
    <t>LEDDecorative and Mini-Base1440 to 2600 lumens</t>
  </si>
  <si>
    <t>RetailLEDDecorative and Mini-Base1440 to 2600 lumensANY</t>
  </si>
  <si>
    <t>LEDGeneral Purpose and Dimmable250 to 664 lumens</t>
  </si>
  <si>
    <t>RetailLEDGeneral Purpose and Dimmable250 to 664 lumensANY</t>
  </si>
  <si>
    <t>LEDGeneral Purpose and Dimmable665 to 1439 lumens</t>
  </si>
  <si>
    <t>RetailLEDGeneral Purpose and Dimmable665 to 1439 lumensANY</t>
  </si>
  <si>
    <t>LEDGeneral Purpose and Dimmable1440 to 2600 lumens</t>
  </si>
  <si>
    <t>RetailLEDGeneral Purpose and Dimmable1440 to 2600 lumensANY</t>
  </si>
  <si>
    <t>LEDGlobe250 to 664 lumens</t>
  </si>
  <si>
    <t>RetailLEDGlobe250 to 664 lumensANY</t>
  </si>
  <si>
    <t>LEDGlobe665 to 1439 lumens</t>
  </si>
  <si>
    <t>RetailLEDGlobe665 to 1439 lumensANY</t>
  </si>
  <si>
    <t>LEDGlobe1440 to 2600 lumens</t>
  </si>
  <si>
    <t>RetailLEDGlobe1440 to 2600 lumensANY</t>
  </si>
  <si>
    <t>LEDReflectors and Outdoor250 to 664 lumens</t>
  </si>
  <si>
    <t>RetailLEDReflectors and Outdoor250 to 664 lumensANY</t>
  </si>
  <si>
    <t>LEDReflectors and Outdoor665 to 1439 lumens</t>
  </si>
  <si>
    <t>RetailLEDReflectors and Outdoor665 to 1439 lumensANY</t>
  </si>
  <si>
    <t>LEDReflectors and Outdoor1440 to 2600 lumens</t>
  </si>
  <si>
    <t>RetailLEDReflectors and Outdoor1440 to 2600 lumensANY</t>
  </si>
  <si>
    <t>LEDThree-Way250 to 664 lumens</t>
  </si>
  <si>
    <t>RetailLEDThree-Way250 to 664 lumensANY</t>
  </si>
  <si>
    <t>LEDThree-Way665 to 1439 lumens</t>
  </si>
  <si>
    <t>RetailLEDThree-Way665 to 1439 lumensANY</t>
  </si>
  <si>
    <t>LEDThree-Way1440 to 2600 lumens</t>
  </si>
  <si>
    <t>RetailLEDThree-Way1440 to 2600 lumensANY</t>
  </si>
  <si>
    <t>7th Power Plan</t>
  </si>
  <si>
    <t>RTF workbook source (Approved Dec 2017):</t>
  </si>
  <si>
    <t>The RTF updated operating hours and introduced current practice baseline assumption from the previous workbook</t>
  </si>
  <si>
    <t>PP Model Source:</t>
  </si>
  <si>
    <t>Industrial_tool_7thPlan v05p.xlsm</t>
  </si>
  <si>
    <t>ECM No. &amp; Conservation Measures:</t>
  </si>
  <si>
    <t>Motors: Rewind 20-50 HP</t>
  </si>
  <si>
    <t>Motors: Rewind 51-100 HP</t>
  </si>
  <si>
    <t>Motors: Rewind 101-200 HP</t>
  </si>
  <si>
    <t>Motors: Rewind 201-500 HP</t>
  </si>
  <si>
    <t>Motors: Rewind 501-5000 HP</t>
  </si>
  <si>
    <t>The savings rate for motor rewinds is a weighted savings rate based on the HP sizes of motors rewound. The weighted average kWh savings per rewind changes each year due to the changes in the mix of the motor horsepower.</t>
  </si>
  <si>
    <t>kWh Savings</t>
  </si>
  <si>
    <t>Member/Non</t>
  </si>
  <si>
    <t>Industrial/Ag</t>
  </si>
  <si>
    <t>Extrapolated</t>
  </si>
  <si>
    <t>% Savings from &lt;20 HP</t>
  </si>
  <si>
    <t>PP Savings Rate</t>
  </si>
  <si>
    <t>ID</t>
  </si>
  <si>
    <t>MT</t>
  </si>
  <si>
    <t>OR</t>
  </si>
  <si>
    <t>WA</t>
  </si>
  <si>
    <t>Source: RTF (not a 7th PP measure and NEEA does not have new data to update RTF value)</t>
  </si>
  <si>
    <t>Sales-weighted On Power(1)
(W)</t>
  </si>
  <si>
    <t>Sales-weighted Off Power(2)
(W)</t>
  </si>
  <si>
    <t>Sales-weighted Cooling Capacity(3)
(BTU/hr)</t>
  </si>
  <si>
    <t>Sales-weighted CEER(4)</t>
  </si>
  <si>
    <t>Zone 1 Weighted UEC (kWh/yr)</t>
  </si>
  <si>
    <t>Zone 2 Weighted UEC (kWh/yr)</t>
  </si>
  <si>
    <t>Zone 3 Weighted UEC (kWh/yr)</t>
  </si>
  <si>
    <t>Net UEC - All Zones (kWh/yr)</t>
  </si>
  <si>
    <t>Product Class</t>
  </si>
  <si>
    <t>NEEA Tier</t>
  </si>
  <si>
    <t>3b</t>
  </si>
  <si>
    <t>5a</t>
  </si>
  <si>
    <t>5b</t>
  </si>
  <si>
    <t>8b</t>
  </si>
  <si>
    <t>ES V4</t>
  </si>
  <si>
    <t>ES Weights</t>
  </si>
  <si>
    <t>NEEA calculation. See below.</t>
  </si>
  <si>
    <t>3a</t>
  </si>
  <si>
    <t>8a</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</si>
  <si>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Solutions. 2019. Consumer Products UES- Energy Solutions. (dataset).
-Data from: ICF. 2019. Retail Products Platform. (dataset).
</t>
    </r>
    <r>
      <rPr>
        <u/>
        <sz val="10"/>
        <color theme="1"/>
        <rFont val="Calibri"/>
        <family val="2"/>
        <scheme val="minor"/>
      </rPr>
      <t>Total Sales:</t>
    </r>
    <r>
      <rPr>
        <sz val="10"/>
        <color theme="1"/>
        <rFont val="Calibri"/>
        <family val="2"/>
        <scheme val="minor"/>
      </rPr>
      <t xml:space="preserve">
-Association of Home Appliance Manufacturers. 2015-2017 County Sales Report. (dataset). Note AHAM discontinued its regional reports in 2018. As a result, NEEA used the 2017 values as a proxy for 2018.</t>
    </r>
  </si>
  <si>
    <r>
      <t xml:space="preserve">NEEA tracks green motor rewinds through a survey of motor rewind firms in the region. These are broken out by motor size (in HP), sector (Industrial or Agricultural), and whether the rewind firm is a Green Motor Practices Group member.
- Cadmus. 2019. </t>
    </r>
    <r>
      <rPr>
        <i/>
        <sz val="10"/>
        <color theme="1"/>
        <rFont val="Calibri"/>
        <family val="2"/>
        <scheme val="minor"/>
      </rPr>
      <t>2018 GMR Savings Calculations (dataset)</t>
    </r>
    <r>
      <rPr>
        <sz val="10"/>
        <color theme="1"/>
        <rFont val="Calibri"/>
        <family val="2"/>
        <scheme val="minor"/>
      </rPr>
      <t>.</t>
    </r>
  </si>
  <si>
    <r>
      <t>Weighted Average UES Current Practice (with</t>
    </r>
    <r>
      <rPr>
        <b/>
        <u/>
        <sz val="10"/>
        <color theme="1"/>
        <rFont val="Calibri"/>
        <family val="2"/>
        <scheme val="minor"/>
      </rPr>
      <t>out</t>
    </r>
    <r>
      <rPr>
        <b/>
        <sz val="10"/>
        <color theme="1"/>
        <rFont val="Calibri"/>
        <family val="2"/>
        <scheme val="minor"/>
      </rPr>
      <t xml:space="preserve"> 15 HP)</t>
    </r>
  </si>
  <si>
    <t>NEEA Calc of 7th PP</t>
  </si>
  <si>
    <t>Region</t>
  </si>
  <si>
    <t>RTF workbook source (June 2013):</t>
  </si>
  <si>
    <t>The 7th Power Plan assumes baseline market share of efficient motor rewinds:</t>
  </si>
  <si>
    <t>See Details!AH46 of Motor calculation workbook, MotorCalc.xlsx</t>
  </si>
  <si>
    <t>Regional Technical Forum Update</t>
  </si>
  <si>
    <t>7th Power Plan - For 2018-2019 Assumptions</t>
  </si>
  <si>
    <t>7th Power Plan - For 2020-2021 Assumptions</t>
  </si>
  <si>
    <t xml:space="preserve">Note the Green Rewind current pratice assumptions come from NEEA's 2015 Long-Term Monitoring and Tracking Report. </t>
  </si>
  <si>
    <t>Baseline assumption is incorporated in the savings rate calculation</t>
  </si>
  <si>
    <t>Draft WA IOU 2020-2021 Targets</t>
  </si>
  <si>
    <t>Net Market Effects</t>
  </si>
  <si>
    <t>These are site-base, first year savings allocated by funding share. The savings are net of a forecast of savings the Bonneville Power Administration, the Energy Trust of Oregon and local utilities will claim through their local programs.</t>
  </si>
  <si>
    <t>linked</t>
  </si>
  <si>
    <r>
      <rPr>
        <b/>
        <sz val="10"/>
        <color theme="1" tint="0.499984740745262"/>
        <rFont val="Calibri"/>
        <family val="2"/>
        <scheme val="minor"/>
      </rPr>
      <t xml:space="preserve">-7th Power Plan (Frozen): </t>
    </r>
    <r>
      <rPr>
        <sz val="10"/>
        <color theme="1" tint="0.499984740745262"/>
        <rFont val="Calibri"/>
        <family val="2"/>
        <scheme val="minor"/>
      </rPr>
      <t>The savings rates come directly from the 7th Power Plan if available. Otherwise, NEEA calculates a 7th Power Plan equivalent baseline.</t>
    </r>
  </si>
  <si>
    <r>
      <rPr>
        <b/>
        <sz val="10"/>
        <color theme="1" tint="0.499984740745262"/>
        <rFont val="Calibri"/>
        <family val="2"/>
        <scheme val="minor"/>
      </rPr>
      <t>-7th Power Plan (RTF):</t>
    </r>
    <r>
      <rPr>
        <sz val="10"/>
        <color theme="1" tint="0.499984740745262"/>
        <rFont val="Calibri"/>
        <family val="2"/>
        <scheme val="minor"/>
      </rPr>
      <t xml:space="preserve"> The savings rates come directly from the Regional Technical Forum (RTF) if the RTF approved a new measure after 2015. The baseline is the current practice when the RTF approved the new measure. Otherwise, the savings rates come directly from the 7th Power Plan if available. If not, NEEA calculates a 7th Power Plan equivalent baseline. </t>
    </r>
  </si>
  <si>
    <r>
      <rPr>
        <b/>
        <sz val="10"/>
        <color theme="1" tint="0.499984740745262"/>
        <rFont val="Calibri"/>
        <family val="2"/>
        <scheme val="minor"/>
      </rPr>
      <t xml:space="preserve">-7th Power Plan (NEEA Update): </t>
    </r>
    <r>
      <rPr>
        <sz val="10"/>
        <color theme="1" tint="0.499984740745262"/>
        <rFont val="Calibri"/>
        <family val="2"/>
        <scheme val="minor"/>
      </rPr>
      <t xml:space="preserve">If new information is available, NEEA calculates a 7th Power Plan equivalent baseline to measure savings. The baseline year is the year the 7th Power Plan uses (usually 2015). Otherwise, NEEA uses the savings rates within the 7th Power Plan. NEEA reviews this analysis with Northwest Power and Conservation Council staff. The Council, the Bonneville Power Administration and public utilities use this approach. </t>
    </r>
  </si>
  <si>
    <r>
      <rPr>
        <b/>
        <sz val="10"/>
        <color theme="1" tint="0.499984740745262"/>
        <rFont val="Calibri"/>
        <family val="2"/>
        <scheme val="minor"/>
      </rPr>
      <t>-Net Market Effect:</t>
    </r>
    <r>
      <rPr>
        <sz val="10"/>
        <color theme="1" tint="0.499984740745262"/>
        <rFont val="Calibri"/>
        <family val="2"/>
        <scheme val="minor"/>
      </rPr>
      <t xml:space="preserve"> This approach uses NEEA's market transformation baseline. The baseline accounts for change that would have occurred absent market intervention by NEEA and its partners. The baseline start year aligns with the start of market transformation work by NEEA. Third-party evaluators review the baseline assumptions. </t>
    </r>
  </si>
  <si>
    <t>Summary 2020-2021</t>
  </si>
  <si>
    <t>Summary by Program 2020-2021</t>
  </si>
  <si>
    <t>Code Savings count against the 7th PP baseline if announced after December 31, 2016</t>
  </si>
  <si>
    <t>2.67 (2.33-3.02)</t>
  </si>
  <si>
    <t>Pacific Power Hard Coded</t>
  </si>
  <si>
    <t>Avista Washington Hard Coded</t>
  </si>
  <si>
    <t>A part of Voluntary Program</t>
  </si>
  <si>
    <t>A part of Other Codes &amp; Standards Work</t>
  </si>
  <si>
    <t>Total (20HP and above)</t>
  </si>
  <si>
    <t>Proposed by PSE</t>
  </si>
  <si>
    <t>NEEA</t>
  </si>
  <si>
    <t>Bonneville Approach</t>
  </si>
  <si>
    <t>1) Overview of methodology and summary of results by savings category (program/codes/trackable)</t>
  </si>
  <si>
    <t>2) How were the three baselines derived? Pros &amp; cons?</t>
  </si>
  <si>
    <t>3) Explain impacts of different baselines on forecast line items</t>
  </si>
  <si>
    <t>4)   Detailed walk through of savings calculations and data sources for 1-2 large measures (like DHP)</t>
  </si>
  <si>
    <t>HPWH, because it addresses come of the codes and standards questions</t>
  </si>
  <si>
    <r>
      <t>-</t>
    </r>
    <r>
      <rPr>
        <u/>
        <sz val="10"/>
        <color theme="1" tint="0.499984740745262"/>
        <rFont val="Calibri"/>
        <family val="2"/>
        <scheme val="minor"/>
      </rPr>
      <t>Program Measures:</t>
    </r>
    <r>
      <rPr>
        <sz val="10"/>
        <color theme="1" tint="0.499984740745262"/>
        <rFont val="Calibri"/>
        <family val="2"/>
        <scheme val="minor"/>
      </rPr>
      <t xml:space="preserve"> These savings come from measures NEEA worked on. For example, NEEA worked on CFLs; therefore, this report counts all the savings above the Council baseline from CFLs less those claimed through local programs.</t>
    </r>
  </si>
  <si>
    <r>
      <t>-</t>
    </r>
    <r>
      <rPr>
        <u/>
        <sz val="10"/>
        <color theme="1" tint="0.499984740745262"/>
        <rFont val="Calibri"/>
        <family val="2"/>
        <scheme val="minor"/>
      </rPr>
      <t>Codes and Standards Measures:</t>
    </r>
    <r>
      <rPr>
        <sz val="10"/>
        <color theme="1" tint="0.499984740745262"/>
        <rFont val="Calibri"/>
        <family val="2"/>
        <scheme val="minor"/>
      </rPr>
      <t xml:space="preserve"> These savings come from codes and standards NEEA worked on. For example, NEEA contractors develop code proposals, implement and facilitate code-development meetings, and provide testimony for the Technical Advisory Groups and the State Building Code Board.  After adoption, NEEA quantifies and reports the savings for the region.</t>
    </r>
  </si>
  <si>
    <r>
      <t>-</t>
    </r>
    <r>
      <rPr>
        <u/>
        <sz val="10"/>
        <color theme="1" tint="0.499984740745262"/>
        <rFont val="Calibri"/>
        <family val="2"/>
        <scheme val="minor"/>
      </rPr>
      <t>Trackable Measures</t>
    </r>
    <r>
      <rPr>
        <b/>
        <sz val="10"/>
        <color theme="1" tint="0.499984740745262"/>
        <rFont val="Calibri"/>
        <family val="2"/>
        <scheme val="minor"/>
      </rPr>
      <t>:</t>
    </r>
    <r>
      <rPr>
        <sz val="10"/>
        <color theme="1" tint="0.499984740745262"/>
        <rFont val="Calibri"/>
        <family val="2"/>
        <scheme val="minor"/>
      </rPr>
      <t xml:space="preserve"> Through its work, NEEA often collects additional data. For example, NEEA worked on both the residential lighting standard and on CFLs. In doing so, NEEA is able to collect total market data, which includes other efficient measures like LEDs. This report includes savings from those efficient measures.</t>
    </r>
  </si>
  <si>
    <t>Source: RTF (not a 7th PP measure and NEEA does not have new data to update RTF value). Using the RTF current practice baseline, which is likely similar to 2015.</t>
  </si>
  <si>
    <t>2020-2021 Biennial</t>
  </si>
  <si>
    <t>Programs</t>
  </si>
  <si>
    <t>Code or Standard</t>
  </si>
  <si>
    <t>Details</t>
  </si>
  <si>
    <t>Next Step Homes/Efficient Homes</t>
  </si>
  <si>
    <t>Oregon Residential Specialty Code 2017</t>
  </si>
  <si>
    <t>Washington Code 2015 WSEC</t>
  </si>
  <si>
    <t>Washington 2015 WSEC</t>
  </si>
  <si>
    <t>Washington Code WSEC 2018</t>
  </si>
  <si>
    <t>Next Step Homes (NSH) supports code development by both increasing knowledge of and opportunities for above-code, residential new construction. Increasing market knowledge is accomplished through builder/rater engagement, technical assistance and training; increased opportunities for this type of construction is largely realized through support of utility and voluntary energy efficiency programs.  NSH gathers information during these activities that can then be used to develop and support code proposals.</t>
  </si>
  <si>
    <t>Federal Standard, Effective 2019, DOE Final Rule 2016, Refrigerated Beverage Vending Machine</t>
  </si>
  <si>
    <t>Federal Standard, Effective 2019, DOE Final Rule 2016, Pre-rinse Spray Valves</t>
  </si>
  <si>
    <t>Federal Standard, Effective 2018 and 2023, Rooftop Units</t>
  </si>
  <si>
    <t>Federal Standard Effective 2020, Pumps</t>
  </si>
  <si>
    <t>Federal Standard, Effective 2020, DOE Final Rule 2017, Walk-in Coolers</t>
  </si>
  <si>
    <t>Savings rate is incremental to a standard electric water heater.</t>
  </si>
  <si>
    <t>Activities include:  Identify opportunities, provide technical expertise, present to committees, submit comments to improve test procedures, support national coalitions.</t>
  </si>
  <si>
    <t>Montana IECC 2018</t>
  </si>
  <si>
    <t>Idaho IECC 2018</t>
  </si>
  <si>
    <t>Savings rate is incremental to Tier 1</t>
  </si>
  <si>
    <t>Savings rate is incremental to Tier 2</t>
  </si>
  <si>
    <t>Savings rate is incremental to Tier 3</t>
  </si>
  <si>
    <t xml:space="preserve"> Copyright Northwest Energy Efficiency Alliance, Inc. All Rights Reserved. A limited license to use the report contained herein is hereby granted to the End User, subject to the following terms and conditions: Reproduction, incorporation in any derivative work, or distribution of all or any part of this data is prohibited without express written permission of the Northwest Energy Efficiency Alliance (NEEA) and acknowledgement of copyright ownership of NEEA. End User must ensure that credit is attributed to NEEA in any work derived, in whole or in part, from the data contained herein.</t>
  </si>
  <si>
    <t>C&amp;S List</t>
  </si>
  <si>
    <t>2020-2021 Savings Forecast (aMW)</t>
  </si>
  <si>
    <t>Other Standards</t>
  </si>
  <si>
    <t>NEEA’s Codes Program has made a significant contribution to the Northwest region through its support of energy code development and adoption, and implementation, as well as the Program’s efforts on the national model code.
In Washington, NEEA's evaluators concluded that "the program has made excellent progress: a strong infrastructure is in place, code processes are working well, and the Program is heavily involved in many activities that are advancing the Washington State Energy Code, one of the most stringent energy codes in the nation. Cadmus’ analysis shows that Washington is achieving or making progress in eight of the eleven outcomes identified in the program logic model."  (Cadmus. Feb. 14, 2017. Market Progress Evaluation Report 1: Energy Codes Program)</t>
  </si>
  <si>
    <t>Energy Star v7</t>
  </si>
  <si>
    <t>ENERGY STAR v8</t>
  </si>
  <si>
    <t>ENERGY STAR Most Efficient 2018</t>
  </si>
  <si>
    <t>ENERGY STAR Most Efficient 2018 +5%</t>
  </si>
  <si>
    <t>ENERGY STAR Effective Date</t>
  </si>
  <si>
    <t>https://www.energystar.gov/products/spec/clothes_washers_specification_version_7_0_pd</t>
  </si>
  <si>
    <t>https://www.energystar.gov/sites/default/files/Clothes%20Washers%20ENERGY%20STAR%20Most%20Efficient%202017%20Criteria.pdf</t>
  </si>
  <si>
    <t>https://www.energystar.gov/products/clothes_washer_specification_version_8_0</t>
  </si>
  <si>
    <t>https://www.energystar.gov/sites/default/files/Clothes%20Washers%20ENERGY%20STAR%20Most%20Efficient%202018%20Final%20Criteria.pdf</t>
  </si>
  <si>
    <t>https://library.cee1.org/system/files/library/13445/CEE_ResidentialClothesWasherSpecification_05Feb2018.pdf</t>
  </si>
  <si>
    <t>Configeration</t>
  </si>
  <si>
    <t>NEEA Measures Name</t>
  </si>
  <si>
    <t>Equiv. CEE Tier</t>
  </si>
  <si>
    <t>CEE Effective Date</t>
  </si>
  <si>
    <t>CEE Specification</t>
  </si>
  <si>
    <t>ENERGY STAR Specification</t>
  </si>
  <si>
    <t>Measure Lookup Table</t>
  </si>
  <si>
    <t>ENERGY STAR v5</t>
  </si>
  <si>
    <t>https://www.energystar.gov/products/spec/residential_refrigerators_and_freezers_specification_version_5_0_pd</t>
  </si>
  <si>
    <t>https://library.cee1.org/system/files/library/9563/CEE_ResidentialRefrigeratorSpecification_15Sep2014.pdf</t>
  </si>
  <si>
    <t>https://www.energystar.gov/sites/default/files/Refrigerator-Freezers%20ENERGY%20STAR%20Most%20Efficient%202017%20Criteria.pdf</t>
  </si>
  <si>
    <t>https://www.energystar.gov/sites/default/files/Refrigerator-Freezers%20ENERGY%20STAR%20Most%20Efficient%202018%20Final%20Criteria.pdf</t>
  </si>
  <si>
    <t>Refrigerators- Other (Mostly top-mount freezers, compacts.)</t>
  </si>
  <si>
    <t>Measure Lookup</t>
  </si>
  <si>
    <t>ENERGY STAR Desktops</t>
  </si>
  <si>
    <t>ENERGY STAR Laptops</t>
  </si>
  <si>
    <t>Updated 7/29/2019</t>
  </si>
  <si>
    <r>
      <t xml:space="preserve">NEEA uses Ecotope's SEEM modeling and technical assumptions from the Regional Technical Forum Savings are calculated as the difference between 2015 average energy use and 2018 average energy use for code-compliant homes.
For Washington (2018), Ecotope provided estimated savings between the WSEC 2015 code and current WSEC 2018 code proposal (as of March 2019). Note that WSEC 2018 was modeled using a single Multifamily prototype with zonal heat, whereas Single Family homes included gas furnace, heat pump, as well as zonal scenarios. Final model will be available in </t>
    </r>
    <r>
      <rPr>
        <b/>
        <sz val="10"/>
        <color theme="1"/>
        <rFont val="Calibri"/>
        <family val="2"/>
        <scheme val="minor"/>
      </rPr>
      <t>Q1 2020</t>
    </r>
    <r>
      <rPr>
        <sz val="10"/>
        <color theme="1"/>
        <rFont val="Calibri"/>
        <family val="2"/>
        <scheme val="minor"/>
      </rPr>
      <t xml:space="preserve">.
</t>
    </r>
  </si>
  <si>
    <t>Common Questions</t>
  </si>
  <si>
    <t xml:space="preserve">For DHP, the final savings figures are weighted according to heating zone and cooling zone.  Does that weight distribution reflect the entire region, or just PSE service territory?  PSE’s service territory is primarily in cooling zone 1, for instance.  But is that reflected in the weight distribution, or are you just doing the entire region? </t>
  </si>
  <si>
    <t xml:space="preserve">NEEA reports savings to the Washington IOUs using funding shares. As a result, all savings rates are calculated at the regional level, using a weighting distribution reflective of the regional. Funder share allocations are the best approximation for a representation of value and an appropriate methodology for a regionally focused organization. </t>
  </si>
  <si>
    <t>The DHP data noted that the RBSA 2011 was used as a data source for climate zone weighting – why 2011 and not the 2017 RBSA?  Is it because that was the most recent data available for the 7th PP?</t>
  </si>
  <si>
    <t xml:space="preserve">NEEA updates it's planning models twice a year. For DHPs, NEEA staff was still vetting the RBSA results in March when it pulled together its Annual Report. NEEA's next round of updates is in September, and will incorporate the 2017 RBSA results for the final 2020-201 WA IOU targets. </t>
  </si>
  <si>
    <t>The data shows that of the DHPs sold, roughly 47% are attributable to local programs.  But local programs have certain requirements for eligibility.  For example, for PSE customers, to qualify for a rebate the customer must be using electric heating in their home, and at least one DHP unit must be installed in the main living area.  So if a customer installed one DHP head in the bedroom, for instance, they wouldn’t qualify for PSE incentive and we wouldn’t count them in our program’s units.  But are the total units not attributable to local programs adjusted for any similar conditions?  Or is NEEA simply counting any unit sold with no qualifying conditions?  Presumably the savings would be lower for units that that do not serve the main living area.</t>
  </si>
  <si>
    <t>NEEA only counts savings from installations in the main living space of existing homes in NEEA's market transformation initiative's target market home types (1. manufactured homes with electric FAF heat, 2. single-family homes with zonal heat, and 3. single-family homes with electric FAF heat). NEEA combines utility local program data and distributor data to estimate total regional DHP installations. To estimate the share of those installations occurring in main living areas and in target market homes, NEEA conducts an installer survey every 1-3 years. The next installer survey will be completed this year. Moreover, NEEA uses the RTF’s savings rates by climate zone for each target home type, which account for unknowns such as wood heating and varying insulation levels.</t>
  </si>
  <si>
    <t xml:space="preserve">In regards to Codes, how long does NEEA claim savings for codes?  </t>
  </si>
  <si>
    <t xml:space="preserve">Similar to the Power Plan, NEEA reports code savings until the Northwest Power and Conservation Council adopts a new plan. All codes and standards approved prior to the start of a new Power Plan goes into the baseline of that Plan. For example, both Montana and Idaho adopted a code change just prior to the start of the 7th Power Plan but their effective dates were after the start of the Plan. Because of the timing, NEEA never reported the savings from these code changes as 7th Power Plan savings. Similarly, NEEA might only be able to report savings from the WA 2018 code change in 2020 (commercial) and 2021 (commercial and residential) because all the savings will be a part of the 2021 Power Plan baseline. </t>
  </si>
  <si>
    <t xml:space="preserve">From the year of adoption, does NEEA claim savings each year until the code is updated? </t>
  </si>
  <si>
    <t xml:space="preserve">No, NEEA starts counting savings after the effective date. Additionally, NEEA assumes there is a period after the effective date that construction is still being done under the prior code. For residential codes, NEEA starts counting savings 6 months after the effective date. For commercial codes, NEEA has a slow ramp rate that starts after the effective date (thus you will see a small about of commercial savings in 2020 from the WA 2018 code). In addition, NEEA applies a rate to account for compliance. 
It is important to note that NEEA is not claiming savings. NEEA reports estimated savings above the Power Plan baseline associated with its programs. </t>
  </si>
  <si>
    <t xml:space="preserve"> If a code isn’t updated, does NEEA continue to claim savings indefinitely, or is there a maximum? </t>
  </si>
  <si>
    <t xml:space="preserve">No, NEEA would assume zero units. 
It is important to note that NEEA is not claiming savings. NEEA reports estimated savings above the Power Plan baseline associated with its programs. </t>
  </si>
  <si>
    <t xml:space="preserve">In the Washington State IOU estimates, why are we including codes developed in OR/ID/MT?  </t>
  </si>
  <si>
    <t xml:space="preserve">NEEA reports savings to the Washington IOUs using funding shares. As a result, all savings are calculated at the regional level. Mixing methods within a funder report would no longer make the funder report representative of the regional value NEEA brings. </t>
  </si>
  <si>
    <t>A few of the codes refer to WA WSEC 2018.  Our understanding is that this is a proposal for a code.  Is NEEA projecting savings for a code not yet adopted?  Is there some information you use to estimate when a code will be adopted to claim savings in 2020-21?</t>
  </si>
  <si>
    <t xml:space="preserve">Yes, NEEA is projecting savings from WA 2018. Washington is very close to finalizing the code with an effective date of July 2020. For residential, the savings rate comes from preliminary analysis by Ecotope using the standard SEEM model. For Commercial, NEEA is basing the forecast on Mike Kennedy's assumptions of energy use by building type using Energy Plus and NEEA's assumption of a percent savings. NEEA is reviewing these assumptions as part of its Operations planning and could have an update by September. </t>
  </si>
  <si>
    <t xml:space="preserve">In regards to Commissioning, NEEA tracks kWh per sq. foot, with data from surveys of regional commissioning firms.  What exactly does the NEEA-claimed portion of that savings consist of?  For example, PSE will claim savings if someone participates in one of our commissioning programs and we incentivize their effort.  NEEA is claiming savings from some of your efforts in the commissioning industry, but it’s not clear from the workbook what those efforts are or have been.  What share from the industry’s commissioning efforts (not attributable to local programs) is NEEA claiming is attributable to them?  100% or some other fraction? </t>
  </si>
  <si>
    <t>NEEA does not claim savings. Rather, NEEA reports estimated savings that occur above the Power Plan baseline associated with its programs.
For the WA IOUs, NEEA aligns with the 7th Power Plan's measure definition and baseline. The Plan only counts savings from retro-commissioning, re-commissioning and ongoing commissioning. To estimate the square feet of commissioned space NEEA conducts an annual survey of commissioning firms in the region, and estimates market coverage of the survey respondents to extrapolate to a full market commissioning activity estimate. Based on the Power Plan's baseline assumption, NEEA removes 19 percent of the regional savings and all local program savings prior to reporting the remainder back to its funders.</t>
  </si>
  <si>
    <t xml:space="preserve">Our understanding of the “Bonneville Approach” is that NEEA starts with the 7th PP baseline, but then as new technical savings data comes in, you use that data to update the 7th PP all the way back to their baseline year.  It “back-casts,” in other words, the savings figures from the baseline year all the way up to the present.  Whereas, with the RTF Update approach, no effort is made to adjust the baseline all the way back to the baseline year, but rather the baseline simply adjusts starting in the year that the RTF value was created.  Do we understand that accurately? </t>
  </si>
  <si>
    <t xml:space="preserve">Your understanding of the "Bonneville Approach" and the RTF updates is correct. However, for WA IOUs, we would not create any historical updates once the targets are set. </t>
  </si>
  <si>
    <t>RTF. Feb. 5, 2018. Residential Clothes Washers V6.1</t>
  </si>
  <si>
    <t xml:space="preserve">The current practice baseline is based on NEEA's program data provided in 2018. </t>
  </si>
  <si>
    <t>See RTF workbook</t>
  </si>
  <si>
    <t>RTF. Feb. 25, 2019. Residential  Refrigerators and Freezers v 5.1</t>
  </si>
  <si>
    <t>Based on ENERGY STAR v3 +50%</t>
  </si>
  <si>
    <t>Not an RTF or 7th PP Measure. Savings rate is based on ENERGY STAR v3 +50%.</t>
  </si>
  <si>
    <t>NEEA. 2018. Retail Products Portfolio Sales Data.</t>
  </si>
  <si>
    <t>The current practice baseline is based on NEEA's program data provided in 2018 using 2015 as the baseline year.</t>
  </si>
  <si>
    <t>Not an RTF or 7th PP Measure. Savings rate is based on ENERGY STAR v4 using 2015 as the baseline year.</t>
  </si>
  <si>
    <t>ENERGY STAR V4 (future spec)</t>
  </si>
  <si>
    <t>ENERGY STAR V4 ME (future spec)</t>
  </si>
  <si>
    <t xml:space="preserve">Retail ENERGY STAR V4 Most Efficient (future spec) Soundbar </t>
  </si>
  <si>
    <t>Consumer Electronics, Soundbar- equiv. to ENERGY STAR v3 +50%</t>
  </si>
  <si>
    <t xml:space="preserve">Retail ENERGY STAR V4 (future spec) Soundbar </t>
  </si>
  <si>
    <t>Not an RTF or 7th PP Measure. Savings rate is based on ENERGY STAR v4.</t>
  </si>
  <si>
    <t>NEEA. 2018. Retail Products Portfolio Sales Data. Updated July 2019.</t>
  </si>
  <si>
    <t>Above Code</t>
  </si>
  <si>
    <t xml:space="preserve">No equivalent Power Plan measure. The Council recommended NEEA use its savings rates. The baseline is code. </t>
  </si>
  <si>
    <t>See Homes Tab</t>
  </si>
  <si>
    <t>The Council recommended using NEEA's assumptions (Based on June, 5, 2015 meeting with Northwest Power and Conservation Council staff. Updated based on May 9, 2016 meeting with staff).</t>
  </si>
  <si>
    <t>Or. Specialty Code 2020-2022</t>
  </si>
  <si>
    <t>2015 7th Power Plan Baseline Market Share</t>
  </si>
  <si>
    <t>ENERGY STAR 5</t>
  </si>
  <si>
    <t>7th Power Plan Baseline: Com_Master_7P.xlsx.  UECs: Xergy Consulting.  March 4, 2019 (most recent).  NEEA ENERGY STAR-80 PLUS Savings Calculator_2019_03-04.xlsx.</t>
  </si>
  <si>
    <t>ResSFExistingHVAC_v4_2.xls</t>
  </si>
  <si>
    <t>NEEA is using 4% savings over the prior code based on preliminary analysis by Mike Kennedy. The code is expected to spur lighting improvements, envelope improvements for certain building types, among others.</t>
  </si>
  <si>
    <t>Communication with Mike Kennedy.</t>
  </si>
  <si>
    <t>NEEA forecasted a savings rate slightly below the average of the prior four code cycles.</t>
  </si>
  <si>
    <t>The savings rates for installs came from the Regional Technical Forum's December 2018 updated workbook. NEEA weighted the rates using data from the 2016 Residential Building Stock Assessment. The calculation detail is available on the DHP program detail worksheet.</t>
  </si>
  <si>
    <t>The savings rates for installs came from the Regional Technical Forum's December 2017 workbook. NEEA weighted the rates using data from the 2016 Residential Building Stock Assessment. The calculation detail is available on the DHP program detail worksheet.</t>
  </si>
  <si>
    <t>RBSA 2016</t>
  </si>
  <si>
    <t>NEEA uses the 2018 RTF UEC values with a savings rate baseline of the 2015 market sales mix. Detailed calculations can be found on the Clothes_Dryers tab.</t>
  </si>
  <si>
    <t xml:space="preserve"> The rate is incremental to prior code change that was analyzed by Mike Kennedy. It changes each year based on the building distribution of construction completed.
The WA 2018 savings rate is an internal estimate of 4% savings over the prior code. This estimate is based on preliminary analysis by Mike Kennedy. The code is expected to spur lighting improvements, envelope improvements for certain building types, among others.</t>
  </si>
  <si>
    <t>Heating
Zone</t>
  </si>
  <si>
    <t>Cooling
Zone</t>
  </si>
  <si>
    <t>RTF. Jul. 23, 2018. ResClothesDryers_v3.1; Energy Solutions market share analysis (available upon request)</t>
  </si>
  <si>
    <t>RTF. Dec. 7, 2018. ResDHPonFAF_v2_1.xlsm</t>
  </si>
  <si>
    <t>RTF. Dec. 5, 2017. ResSFExistingHVAC_v4_1.xlsm</t>
  </si>
  <si>
    <t>NEEA. Feb. 18, 2015. BOC-Expansion Initiative Market Progress Evaluation Report #2 Final Report.</t>
  </si>
  <si>
    <t>Cadeo. Jun. 2018. RefrigeratedBeverageVendingMachine_StandardModel.xlsm (available upon request)</t>
  </si>
  <si>
    <t>Cadeo. Oct. 18, 2018. NonRes_PrerinseSprayValves_Model.xlsm (available upon request)</t>
  </si>
  <si>
    <t>Cadeo. Aug. 15, 2017. RTU_Standards_Model.xlsm (available upon request); Savings Rate analysis by Mike Kennedy;</t>
  </si>
  <si>
    <t>The baseline is based on the UECs of non-qualifying (non-ENERGY STAR), 80 PLUS, and ENERGY STAR Versions 5 and 6 commercial desktop computers, weighted using the efficient baseline value provided in the 7th Power Plan (75%) and the calculated shares of less efficient tiers in 2015.</t>
  </si>
  <si>
    <t>7th Power Plan Baseline: Com_Master_7P.xlsx.  UECs: Xergy Consulting.  March 4, 2019 (most recent version).  NEEA ENERGY STAR-80 PLUS Savings Calculator_2019_03-04.xlsx.</t>
  </si>
  <si>
    <t>The Council recommended using NEEA's assumptions (Based on June, 5, 2015 meeting with Northwest Power and Conservation Council staff. Updated based on May 9, 2016 meeting with staff). Ecotope provided NEEA with an estimated savings between the WSEC 2015 code and current WSEC 2018 code proposal (as of March 2019).  The estimated 185 kWh savings is a 3% improvement over the 2015 code.</t>
  </si>
  <si>
    <t>The savings rate for ENERGY STAR Version 7 Commercial Desktops is based on the difference between a calculated unit energy consumption of Version 7 units and a weighted baseline using the efficient market share provided in the 7th Power Plan (75%) and the calculated shares of less efficient tiers in 2015.</t>
  </si>
  <si>
    <t>Ecotope calculation using SEEM.  Baseline is the prior code.</t>
  </si>
  <si>
    <t>Ecotope. 2019. WSEC2018_proposal_estsavings.xlsx</t>
  </si>
  <si>
    <t>The 7th Power Plan does not provide a savings rate for ENERGY STAR Version 7 commercial desktop computers.  When a rate is not provided by the Plan, NEEA will calculate one using the best and most recent data and information available.  For ENERGY STAR Version 7 commercial desktop computers, NEEA utilizes a product efficiency analysis performed by Xergy Consulting in early 2019.
The savings rate for ENERGY STAR Version 7 Commercial Desktops is based on the difference between a calculated unit energy consumption of Version 7 units and a weighted baseline.  Xergy Consulting developed UECs for 80 PLUS, ENERGY STAR Versions 5, 6, and 7, as well as an initial baseline product (shown below) using commercial desktop hours of use and the wattage of units on the ENERGY STAR Qualified Products list (existing lists near the time of each tier's effective date).  The 7th Power Plan 2015 market share of 75% is used as the efficient baseline.  The remaining 25% of the market is divided among less efficient tiers based on their calculated share in 2015.</t>
  </si>
  <si>
    <t>Ecotope. 2018. OR_Code_Impact_2018-05-09.xlsx.</t>
  </si>
  <si>
    <t>Ecotope. 2018. WSEC_Analysis_2016-09-13.xlsx.</t>
  </si>
  <si>
    <t>Energy 350. 2019. Final-2018-NEEA_Homes_Savings_Validation_Memo.docx.</t>
  </si>
  <si>
    <t>Savings rates come from Cadeo's analysis of the pre- and post-case average UEC of Walk-In Cooler and Freezer shipments.</t>
  </si>
  <si>
    <t>Savings rates come from Cadeo's analysis of the pre- and post-case average UEC of refrigerated beverage vending machine shipments.</t>
  </si>
  <si>
    <t>Savings rates come from Cadeo's analysis of the pre- and post-case average UEC of pre-rinse spray valve shipments across three product classes.</t>
  </si>
  <si>
    <t>Savings rates come from Cadeo's analysis of the pre- and post-case average UEC of Pump shipments.</t>
  </si>
  <si>
    <t>Cadeo. Commercial_Industrial_Pumps_Standards_Model.xlsm</t>
  </si>
  <si>
    <t>Refrigerated Beverage Vending Machines</t>
  </si>
  <si>
    <t>MT Code 2019</t>
  </si>
  <si>
    <t>Mike Kennedy. Jul. 2018. SupplySummary-WSEC2015-NresCode-15July2018.xlsx</t>
  </si>
  <si>
    <t>Approximate site-based savings for RETA CRES certified projects in through energy savings validation provided by Energy350 and documented RETA projects through RETA CRES RCD database.</t>
  </si>
  <si>
    <t>RES_200601_P3T5</t>
  </si>
  <si>
    <t>NEEA estimated a savings rate.</t>
  </si>
  <si>
    <t>NEEA. Jul. 23, 2012. Long Term Monitoring and Tracking Report on 2011 Activities. NEEA updates the savings rates based on commercial and industrial.</t>
  </si>
  <si>
    <t>aMW savings are estimate directly. Calculation available upon request.</t>
  </si>
  <si>
    <t>The current practice baseline comes from the RTF workbook and is incorporated in the savings rate calculation.</t>
  </si>
  <si>
    <t>RTF. Feb. 27, 2019. NonResLightingMidstream_v2_1.xlsm</t>
  </si>
  <si>
    <t>ResHPWH_v4_2.xlsm</t>
  </si>
  <si>
    <t>ResHPWH_v4_2.xlsm; Adjusted by NEEA staff; Reviewed by Ecotope</t>
  </si>
  <si>
    <t>Res_HPWH_v4_2.xlsm</t>
  </si>
  <si>
    <t>RTF measure workbook from June 2019</t>
  </si>
  <si>
    <t>RTF measure workbook from June2019</t>
  </si>
  <si>
    <t>RES_200601_P1T4</t>
  </si>
  <si>
    <t>RES_200601_P2T4</t>
  </si>
  <si>
    <t>ResLighting_v7_1.xlsm</t>
  </si>
  <si>
    <t>LED Savings Rates - 2020 to end of useful life</t>
  </si>
  <si>
    <t>The current practice baseline assumption is incorporated in the savings rate calculation.</t>
  </si>
  <si>
    <t>RTF. Dec. 29, 2017. Ind_and_Ag_GreenMotorRewind_v3_1.xlsm</t>
  </si>
  <si>
    <t>NEEA uses the Regional Technical Forum savings rate then calculates a weighted average kWh savings per rewind based on 2018 market data.</t>
  </si>
  <si>
    <t>Validation reports will be provided as they become available.</t>
  </si>
  <si>
    <t>NEEM Plus</t>
  </si>
  <si>
    <t>Key Assumptions for the 2020-2021 Savings Reports to the Washington Investor Owned Utilities
More information is available upon request.</t>
  </si>
  <si>
    <t>Measures</t>
  </si>
  <si>
    <t>Source for the Savings Rate</t>
  </si>
  <si>
    <t>2020-2021 targets with RTF updates current as of Aug. 1, 2019</t>
  </si>
  <si>
    <t>Final 2018-2019 savings estimate using prior methodology</t>
  </si>
  <si>
    <t>Updated forecast 2020-2021 estimate with RTF updates as of Aug. 1 2020</t>
  </si>
  <si>
    <t>2022-2023 targets with RTF updates current as of Aug. 1, 2021</t>
  </si>
  <si>
    <t>Final 2020-2021 estimate with RTF updates as of Aug. 1, 2021</t>
  </si>
  <si>
    <t>Reporting Timeline</t>
  </si>
  <si>
    <r>
      <t>Sept. 2019</t>
    </r>
    <r>
      <rPr>
        <sz val="10"/>
        <color rgb="FF0083CA"/>
        <rFont val="Calibri"/>
        <family val="2"/>
        <scheme val="minor"/>
      </rPr>
      <t xml:space="preserve"> </t>
    </r>
  </si>
  <si>
    <t>How were the three baselines derived? Pros &amp; cons?</t>
  </si>
  <si>
    <r>
      <rPr>
        <b/>
        <sz val="10"/>
        <color rgb="FF0083CA"/>
        <rFont val="Calibri"/>
        <family val="2"/>
        <scheme val="minor"/>
      </rPr>
      <t xml:space="preserve">-7th Power Plan (Frozen): </t>
    </r>
    <r>
      <rPr>
        <sz val="10"/>
        <color rgb="FF0083CA"/>
        <rFont val="Calibri"/>
        <family val="2"/>
        <scheme val="minor"/>
      </rPr>
      <t>The savings rates come directly from the 7th Power Plan if available. Otherwise, NEEA calculates a 7th Power Plan equivalent baseline.</t>
    </r>
  </si>
  <si>
    <r>
      <rPr>
        <b/>
        <sz val="10"/>
        <color rgb="FF0083CA"/>
        <rFont val="Calibri"/>
        <family val="2"/>
        <scheme val="minor"/>
      </rPr>
      <t>-7th Power Plan (RTF):</t>
    </r>
    <r>
      <rPr>
        <sz val="10"/>
        <color rgb="FF0083CA"/>
        <rFont val="Calibri"/>
        <family val="2"/>
        <scheme val="minor"/>
      </rPr>
      <t xml:space="preserve"> The savings rates come directly from the Regional Technical Forum (RTF) if the RTF approved a new measure after 2015. The baseline is the current practice when the RTF approved the new measure. Otherwise, the savings rates come directly from the 7th Power Plan if available. If not, NEEA calculates a 7th Power Plan equivalent baseline. </t>
    </r>
  </si>
  <si>
    <r>
      <rPr>
        <b/>
        <sz val="10"/>
        <color rgb="FF0083CA"/>
        <rFont val="Calibri"/>
        <family val="2"/>
        <scheme val="minor"/>
      </rPr>
      <t xml:space="preserve">-7th Power Plan (NEEA Update): </t>
    </r>
    <r>
      <rPr>
        <sz val="10"/>
        <color rgb="FF0083CA"/>
        <rFont val="Calibri"/>
        <family val="2"/>
        <scheme val="minor"/>
      </rPr>
      <t xml:space="preserve">If new information is available, NEEA calculates a 7th Power Plan equivalent baseline to measure savings. The baseline year is the year the 7th Power Plan uses (usually 2015). Otherwise, NEEA uses the savings rates within the 7th Power Plan. NEEA reviews this analysis with Northwest Power and Conservation Council staff. The Council, the Bonneville Power Administration and public utilities use this approach. </t>
    </r>
  </si>
  <si>
    <r>
      <rPr>
        <b/>
        <sz val="10"/>
        <color rgb="FF0083CA"/>
        <rFont val="Calibri"/>
        <family val="2"/>
        <scheme val="minor"/>
      </rPr>
      <t>-Net Market Effect:</t>
    </r>
    <r>
      <rPr>
        <sz val="10"/>
        <color rgb="FF0083CA"/>
        <rFont val="Calibri"/>
        <family val="2"/>
        <scheme val="minor"/>
      </rPr>
      <t xml:space="preserve"> This approach uses NEEA's market transformation baseline. The baseline accounts for change that would have occurred absent market intervention by NEEA and its partners. The baseline start year aligns with the start of market transformation work by NEEA. Third-party evaluators review the baseline assumptions. </t>
    </r>
  </si>
  <si>
    <t>Portfolio-level Savings</t>
  </si>
  <si>
    <t>Beverage Machines, Roof Top Units, Pre-rinse Spray Valves</t>
  </si>
  <si>
    <t>Pumps (Ag and Industrial)</t>
  </si>
  <si>
    <t>Key Assumptions 20-21</t>
  </si>
  <si>
    <t>Common Qs</t>
  </si>
  <si>
    <t xml:space="preserve">For comparison against the targets, NEEA will update the savings rates with the RTF. However, all other savings rates will remain the same. These savings rates will only change based on tracked units (e.g. the DHP savings rate would change based on the climate zone of the actual installs) and not based on updates to technical assumptions or baselines. </t>
  </si>
  <si>
    <t>Note: NEEA will update the 2020-2021 funding share based on the final 2020-2024 Business Plan.</t>
  </si>
  <si>
    <t>Definitions</t>
  </si>
  <si>
    <t>Remaining Savings (aMW)</t>
  </si>
  <si>
    <r>
      <t>-</t>
    </r>
    <r>
      <rPr>
        <u/>
        <sz val="10"/>
        <color theme="1" tint="0.499984740745262"/>
        <rFont val="Calibri"/>
        <family val="2"/>
        <scheme val="minor"/>
      </rPr>
      <t>Remaining Savings</t>
    </r>
    <r>
      <rPr>
        <sz val="10"/>
        <color theme="1" tint="0.499984740745262"/>
        <rFont val="Calibri"/>
        <family val="2"/>
        <scheme val="minor"/>
      </rPr>
      <t>: Savings above the Power Plan Baseline not counted through the Bonneville Power Administration, Energy Trust of Oregon, or local utility programs. NEEA updates the baseline to the Regional Technical Forum (RTF) for measures the RTF updated after the development of the 7th Power Plan.</t>
    </r>
  </si>
  <si>
    <r>
      <t>-</t>
    </r>
    <r>
      <rPr>
        <u/>
        <sz val="10"/>
        <color theme="1" tint="0.499984740745262"/>
        <rFont val="Calibri"/>
        <family val="2"/>
        <scheme val="minor"/>
      </rPr>
      <t>Program Measures:</t>
    </r>
    <r>
      <rPr>
        <sz val="10"/>
        <color theme="1" tint="0.499984740745262"/>
        <rFont val="Calibri"/>
        <family val="2"/>
        <scheme val="minor"/>
      </rPr>
      <t xml:space="preserve"> These savings come from measures a part of a NEEA program but not a code or a standard. For example, NEEA worked on ductless heat pumps; therefore, this report counts all the savings above the Council baseline from ductless heat pumps less those claimed through local programs.</t>
    </r>
  </si>
  <si>
    <r>
      <t>-</t>
    </r>
    <r>
      <rPr>
        <u/>
        <sz val="10"/>
        <color theme="1" tint="0.499984740745262"/>
        <rFont val="Calibri"/>
        <family val="2"/>
        <scheme val="minor"/>
      </rPr>
      <t>Codes and Standards Measures:</t>
    </r>
    <r>
      <rPr>
        <sz val="10"/>
        <color theme="1" tint="0.499984740745262"/>
        <rFont val="Calibri"/>
        <family val="2"/>
        <scheme val="minor"/>
      </rPr>
      <t xml:space="preserve"> These savings come from codes or standards either a part of a NEEA program or separate work. For example, NEEA contractors develop code proposals, implement and facilitate code-development meetings, and provide testimony for the Technical Advisory Groups and the State Building code Board.  After adoption, NEEA quantifies and reports the savings for the region.</t>
    </r>
  </si>
  <si>
    <r>
      <t>-</t>
    </r>
    <r>
      <rPr>
        <u/>
        <sz val="10"/>
        <color theme="1" tint="0.499984740745262"/>
        <rFont val="Calibri"/>
        <family val="2"/>
        <scheme val="minor"/>
      </rPr>
      <t>Trackable Measures:</t>
    </r>
    <r>
      <rPr>
        <sz val="10"/>
        <color theme="1" tint="0.499984740745262"/>
        <rFont val="Calibri"/>
        <family val="2"/>
        <scheme val="minor"/>
      </rPr>
      <t xml:space="preserve"> Through its work, NEEA often collects additional data. For example, NEEA worked on both the residential lighting standard and on CFLs. In doing so, NEEA collects total market data, which include other efficient measures like LEDs. This report includes Savings from those efficient measures.</t>
    </r>
  </si>
  <si>
    <t>Walk-In Coolers and Freezers</t>
  </si>
  <si>
    <t>Cadeo's model uses information from DOE's rulemaking proceedings to develop an estimate of energy saved in the Pacific Northwest due to the establishment of the amended standard from the 2017 Final Rule.  Product class and efficiency level distribution information from the 2017 Final Rule analyses is used to develop two weighted annual energy consumption values, one representative of the WICF market without the establishment of federal standards (No-New-Standards Case) and one representative of the WICF market with the establishment of federal standards (Standards Case).  The difference between the two annual energy consumption values is the unit energy saving. Note the 2017 standard is a result of lawsuits against the 2014 standard for WICF being resolved.</t>
  </si>
  <si>
    <t>Pumps</t>
  </si>
  <si>
    <t>Cadeo's model uses information from DOE's rulemaking proceedings to develop an estimate of energy saved in the Pacific Northwest due to the establishment of the amended standard from the 2015 Final Rule.  Product class and efficiency level distribution information from the 2015 Final Rule analyses is used to develop two weighted annual energy consumption values, one representative of the Pump market without the establishment of federal standards (No-New-Standards Case) and one representative of the Pump market with the establishment of federal standards (Standards Case).  The difference between the two annual energy consumption values is the unit energy saving. The analysis splits shipments by application (industrial, commercial, agricultural), and so NEEA tracks units for three separate measures.</t>
  </si>
  <si>
    <t>Savings by Program</t>
  </si>
  <si>
    <t>Codes and Standards Savings Included</t>
  </si>
  <si>
    <t>Data Sources and Baseline Used</t>
  </si>
  <si>
    <t>Log of Common Questions and Answers</t>
  </si>
  <si>
    <t>Description of the Baseline Used</t>
  </si>
  <si>
    <r>
      <rPr>
        <b/>
        <sz val="10"/>
        <color theme="1"/>
        <rFont val="Calibri"/>
        <family val="2"/>
        <scheme val="minor"/>
      </rPr>
      <t>This report uses:</t>
    </r>
    <r>
      <rPr>
        <sz val="10"/>
        <color theme="1"/>
        <rFont val="Calibri"/>
        <family val="2"/>
        <scheme val="minor"/>
      </rPr>
      <t xml:space="preserve">
- Savings rates from the Regional Technical Forum (RTF) approved after 2015 and prior to </t>
    </r>
    <r>
      <rPr>
        <i/>
        <sz val="10"/>
        <color theme="5"/>
        <rFont val="Calibri"/>
        <family val="2"/>
        <scheme val="minor"/>
      </rPr>
      <t>Aug. 1, 2019</t>
    </r>
    <r>
      <rPr>
        <sz val="10"/>
        <color theme="1"/>
        <rFont val="Calibri"/>
        <family val="2"/>
        <scheme val="minor"/>
      </rPr>
      <t>.      
- If RTF savings rates are not available, the report uses savings rates from the original 7th Power Plan. 
- If those rates are not available, NEEA calculates savings rates using the 7th Power Plan baseline (e.g. 2015).</t>
    </r>
  </si>
  <si>
    <t>Air Cleaners</t>
  </si>
  <si>
    <t>Televisions</t>
  </si>
  <si>
    <t>ES Spec is under revision</t>
  </si>
  <si>
    <t>NEEA is conducting field testing</t>
  </si>
  <si>
    <t>Medium and Large Office</t>
  </si>
  <si>
    <t>Extended Motors Products</t>
  </si>
  <si>
    <t>Commercial &amp; Industrial Pumps</t>
  </si>
  <si>
    <t>2020-2021 (f)</t>
  </si>
  <si>
    <t>New Program</t>
  </si>
  <si>
    <r>
      <t>These are site-base, first year savings allocated by funding share.
*</t>
    </r>
    <r>
      <rPr>
        <i/>
        <sz val="10"/>
        <color theme="1" tint="0.499984740745262"/>
        <rFont val="Calibri"/>
        <family val="2"/>
        <scheme val="minor"/>
      </rPr>
      <t>Program Measures</t>
    </r>
    <r>
      <rPr>
        <sz val="10"/>
        <color theme="1" tint="0.499984740745262"/>
        <rFont val="Calibri"/>
        <family val="2"/>
        <scheme val="minor"/>
      </rPr>
      <t xml:space="preserve"> can result in a code or standard. As a result, some of the first year savings from </t>
    </r>
    <r>
      <rPr>
        <i/>
        <sz val="10"/>
        <color theme="1" tint="0.499984740745262"/>
        <rFont val="Calibri"/>
        <family val="2"/>
        <scheme val="minor"/>
      </rPr>
      <t>Program Measures</t>
    </r>
    <r>
      <rPr>
        <sz val="10"/>
        <color theme="1" tint="0.499984740745262"/>
        <rFont val="Calibri"/>
        <family val="2"/>
        <scheme val="minor"/>
      </rPr>
      <t xml:space="preserve"> are reported as </t>
    </r>
    <r>
      <rPr>
        <i/>
        <sz val="10"/>
        <color theme="1" tint="0.499984740745262"/>
        <rFont val="Calibri"/>
        <family val="2"/>
        <scheme val="minor"/>
      </rPr>
      <t>Codes &amp; Standards Measures</t>
    </r>
    <r>
      <rPr>
        <sz val="10"/>
        <color theme="1" tint="0.499984740745262"/>
        <rFont val="Calibri"/>
        <family val="2"/>
        <scheme val="minor"/>
      </rPr>
      <t xml:space="preserve">.
The forecast does not include savings from programs in development such as Manufactured Homes, Windows Attachments and Extended Motors Programs. It also excludes some products in NEEA’s Retail Products Portfolio where NEEA is working on energy consumption measurement. </t>
    </r>
  </si>
  <si>
    <t>Building Operator Certification COM Existing</t>
  </si>
  <si>
    <t>Refrigeration Operator Certification</t>
  </si>
  <si>
    <t>Certified Refrigeration Energy Specialist</t>
  </si>
  <si>
    <t>Idaho Code IECC 2018-2021 COM New</t>
  </si>
  <si>
    <t>2018-2021 IECC Non-residential new construction built in Idaho</t>
  </si>
  <si>
    <t>MT Commercial Code IECC 2018 (CCE)</t>
  </si>
  <si>
    <t>Oregon Code OEESC 2017-2020 COM New</t>
  </si>
  <si>
    <t>2017-2020 OEESC Non-residential new construction built in Oregon</t>
  </si>
  <si>
    <t>Washington Code WSEC 2015 COM New</t>
  </si>
  <si>
    <t>2015 WSEC Non-residential new construction built in Washington</t>
  </si>
  <si>
    <t>WA Commercial Code WSEC 2018 (CCE)</t>
  </si>
  <si>
    <t>Commissioning of commercial new construction</t>
  </si>
  <si>
    <t>Retro Commissioning</t>
  </si>
  <si>
    <t>Retro Commissioning of commercial existing buildings</t>
  </si>
  <si>
    <t>Commercial Desktop ENERGY STAR 6.0</t>
  </si>
  <si>
    <t>Rewinds - Industrial and Ag</t>
  </si>
  <si>
    <t>Efficient Motor Rewinds for Industrial &amp; Ag Motors</t>
  </si>
  <si>
    <t>DHP SF Existing Displace eFAF</t>
  </si>
  <si>
    <t>Install Ductless Heat Pump in Single Family Home with Existing  Electric Forced Air Furnace Heat- Any Climate Zone- Weighted for Supplemental Fuel Use</t>
  </si>
  <si>
    <t>DHP MH Existing Displace eFAF</t>
  </si>
  <si>
    <t>Install Ductless Heat Pump in Manufactured House with Existing  Electric Forced Air Furnace Heat- Any Climate Zone- Weighted for Supplemental Fuel Use</t>
  </si>
  <si>
    <t>DHP SF Existing Displace zonal</t>
  </si>
  <si>
    <t>Install Ductless Heat Pump in Single Family House with Existing Zonal Heat- Any Climate Zone- Weighted for Supplemental Fuel Use</t>
  </si>
  <si>
    <t>Oregon Residential Specialty Code 2017 SF New</t>
  </si>
  <si>
    <t>Oregon Residential Specialty Code 2017 MF New</t>
  </si>
  <si>
    <t>Oregon Specialty 2017 Code home built in Oregon, regional heating system, any climate zone, multifamily, new construction</t>
  </si>
  <si>
    <t>Washington Code 2015 WSEC SF New</t>
  </si>
  <si>
    <t>WSEC  2015 home built in Idaho, all heating systems, regional climate zone, single-family, new construction</t>
  </si>
  <si>
    <t>Washington Code 2015 WSEC MF New</t>
  </si>
  <si>
    <t>WSEC  2015 home built in Washington, all heating systems, regional climate zone, multifamily, new construction</t>
  </si>
  <si>
    <t>Commercial Laptop ENERGY STAR 6.0</t>
  </si>
  <si>
    <t>Residential Desktop ENERGY STAR 6.0</t>
  </si>
  <si>
    <t>Residential Laptop ENERGY STAR 6.0</t>
  </si>
  <si>
    <t>T8 Linear Fluorescent 25W- Commercial</t>
  </si>
  <si>
    <t>25W 4-foot T8 linear fluorescent lamp replacing 32W 4-foot linear fluorescent lamps for commercial application</t>
  </si>
  <si>
    <t>T8 Linear Fluorescent 28W- Commercial</t>
  </si>
  <si>
    <t>28W 4-foot T8 linear fluorescent lamp replacing 32W 4-foot T8 linear fluorescent lamps for commercial application</t>
  </si>
  <si>
    <t>Retail ENERGY STAR V5 "Other" Configuration Standard-size Refrigerators</t>
  </si>
  <si>
    <t>Consumer Appliances, Standard Size Other Configuration include Top-mount Freezers Refrigerator - ENERGY STAR V5</t>
  </si>
  <si>
    <t>Retail ENERGY STAR Most Efficient Standard-size "Other" Refrigerators</t>
  </si>
  <si>
    <t>Consumer Appliances, Standard Size Other Configuration Refrigerator - ENERGY STAR (CEE Tier 2; 2016 and 2017 ENERGY STAR Most Efficient)</t>
  </si>
  <si>
    <t>Retail ENERGY STAR V5 Standard-size Side Freezer Refrigerators</t>
  </si>
  <si>
    <t>Consumer Appliances, Standard Size Side-mount Freezer Configuration Refrigerator - ENERGY STAR V5</t>
  </si>
  <si>
    <t>Retail ENERGY STAR Most Efficient Standard-size Side-mount Freezer Refrigerators</t>
  </si>
  <si>
    <t>Consumer Appliances, Standard Size Side-mount Freezer Configuration Refrigerator - ENERGY STAR (CEE Tier 2; 2016 and 2017 ENERGY STAR Most Efficient)</t>
  </si>
  <si>
    <t>Retail ENERGY STAR V5 Standard-size Bottom Freezer Refrigerators</t>
  </si>
  <si>
    <t>Consumer Appliances, Standard Size Bottom Freezer Configuration Refrigerator - ENERGY STAR V5</t>
  </si>
  <si>
    <t>Retail LED General Purpose</t>
  </si>
  <si>
    <t>Retail sales of general purpose LED bulb in existing residential buildings</t>
  </si>
  <si>
    <t>Retail LED Specialty</t>
  </si>
  <si>
    <t>Retail sales of specialty LED bulb in existing residential buildings</t>
  </si>
  <si>
    <t>Retail CFL General Purpose</t>
  </si>
  <si>
    <t>Retail sales of general purpose CFL bulb in existing residential buildings</t>
  </si>
  <si>
    <t>Retail CFL Specialty</t>
  </si>
  <si>
    <t>Retail sales of specialty CFL bulb in existing residential buildings</t>
  </si>
  <si>
    <t>Clothes Washers Top Loading-ENERGY STAR 7 (IMEF 2.17)</t>
  </si>
  <si>
    <t>Clothes Washers Top Loading-ENERGY STAR 7</t>
  </si>
  <si>
    <t>Clothes Washers Top Loading-ENERGY STAR Most Efficient 2017 (IMEF 2.76)</t>
  </si>
  <si>
    <t>Clothes Washers Top Loading-ENERGY STAR Most Efficient 2017</t>
  </si>
  <si>
    <t>Clothes Washers Front Loading-ENERGY STAR Most Efficient 2017 (IMEF 2.81)</t>
  </si>
  <si>
    <t>Clothes Washers Front Loading-ENERGY STAR Most Efficient 2017</t>
  </si>
  <si>
    <t>Clothes Washers Front Loading-ENERGY STAR Most Efficient (IMEF 2.92)</t>
  </si>
  <si>
    <t>Clothes Washers Front Loading-ENERGY STAR Most Efficient 2017 +5%/2018</t>
  </si>
  <si>
    <t>Retail ENERGY STAR Compact Freezers</t>
  </si>
  <si>
    <t>Consumer Appliances, Compact Freezer - ENERGY STAR</t>
  </si>
  <si>
    <t>Retail ENERGY STAR Compact Freezers +5%</t>
  </si>
  <si>
    <t>Consumer Appliances, Compact Freezer - ENERGY STAR +5%</t>
  </si>
  <si>
    <t>Retail ENERGY STAR Upright Freezers</t>
  </si>
  <si>
    <t>Consumer Appliances, Upright Freezer - ENERGY STAR</t>
  </si>
  <si>
    <t>Retail ENERGY STAR Upright Freezers +5%</t>
  </si>
  <si>
    <t>Consumer Appliances, Upright Freezer - ENERGY STAR +5%</t>
  </si>
  <si>
    <t>Retail ENERGY STAR Chest Freezers</t>
  </si>
  <si>
    <t>Consumer Appliances, Chest Freezer - ENERGY STAR</t>
  </si>
  <si>
    <t>Retail ENERGY STAR Chest Freezers +5%</t>
  </si>
  <si>
    <t>Consumer Appliances, Chest Freezer - ENERGY STAR +5%</t>
  </si>
  <si>
    <t>Retail ENERGY STAR Most Efficient Standard-size Bottom Freezer Refrigerators</t>
  </si>
  <si>
    <t>Consumer Appliances, Standard Size Bottom Freezer Configuration Refrigerator - ENERGY STAR (CEE Tier 2; 2016 and 2017 ENERGY STAR Most Efficient)</t>
  </si>
  <si>
    <t>Retail ENERGY STAR V4 Room Air Conditioners</t>
  </si>
  <si>
    <t>Window  Air Conditioner, Any Size, Any Climate Zone- ENERGY STAR V4</t>
  </si>
  <si>
    <t>Retail Dryers Super Efficient ENERGY STAR</t>
  </si>
  <si>
    <t>Retail sales of residential clothes dryer- ENERGY STAR</t>
  </si>
  <si>
    <t>Retail Dryers Super Efficient heat pump</t>
  </si>
  <si>
    <t>Retail sales of residential clothes dryer- heat pump hybrid</t>
  </si>
  <si>
    <t>Retail Dryers Super Efficient tier 3</t>
  </si>
  <si>
    <t>Retail sales of residential clothes dryer- Tier 3</t>
  </si>
  <si>
    <t>Retail Dryers Super Efficient tier 4</t>
  </si>
  <si>
    <t>Retail sales of residential clothes dryer- Tier 4</t>
  </si>
  <si>
    <t>Retail Dryers Super Efficient tier 5</t>
  </si>
  <si>
    <t>Retail sales of residential clothes dryer- Tier 5</t>
  </si>
  <si>
    <t>Retail Dryers Super Efficient tier 6</t>
  </si>
  <si>
    <t>Retail sales of residential clothes dryer- Tier 6</t>
  </si>
  <si>
    <t>Standard- Rooftop Units</t>
  </si>
  <si>
    <t>Federal Standard, Effective 2018 and 2023</t>
  </si>
  <si>
    <t>Standard- Vending Machines</t>
  </si>
  <si>
    <t>Standard- Walk-in Coolers and Freezers (2020)</t>
  </si>
  <si>
    <t>Federal Standard, Effective 2020, DOE Final Rule 2017</t>
  </si>
  <si>
    <t>Standard- Commercial Pumps</t>
  </si>
  <si>
    <t>Federal Standard Effective 2020, Pumps in Commercial Applications</t>
  </si>
  <si>
    <t>Standard- Industrial Pumps</t>
  </si>
  <si>
    <t>Federal Standard Effective 2020, Pumps in Industrial Applications</t>
  </si>
  <si>
    <t>Standard- Agricultural Pumps</t>
  </si>
  <si>
    <t>Federal Standard Effective 2020, Pumps in Agricultural Applications</t>
  </si>
  <si>
    <t>Standard- Pre-rinse Spray Valves</t>
  </si>
  <si>
    <t>Oregon Residential Specialty Code 2020-2022 SF New</t>
  </si>
  <si>
    <t>Oregon Specialty Code (2020-2022) home built in Oregon, regional heating system, any climate zone, single-family, new construction</t>
  </si>
  <si>
    <t>Washington Code 2018 WSEC SF New</t>
  </si>
  <si>
    <t>WSEC  2018 home built in Idaho, all heating systems, regional climate zone, single-family, new construction</t>
  </si>
  <si>
    <t>Commercial Desktop ENERGY STAR 7.0</t>
  </si>
  <si>
    <t>Oregon Residential Specialty Code 2020-2022 MF New</t>
  </si>
  <si>
    <t>Future Oregon Specialty Code home built in Oregon, regional heating system, any climate zone, single-family, new construction</t>
  </si>
  <si>
    <t>Washington Code 2018 WSEC MF New</t>
  </si>
  <si>
    <t>WSEC  2018 home built in Washington, all heating systems, regional climate zone, multifamily, new construction</t>
  </si>
  <si>
    <t>Idaho Code 2015 IECC MF New</t>
  </si>
  <si>
    <t>IECC 2015 Code home built in Idaho, all heating systems, Idaho climate zones, multifamily, new construction</t>
  </si>
  <si>
    <t>Idaho Code 2018 IECC MF New</t>
  </si>
  <si>
    <t>IECC 2018 Code home built in Idaho, all heating systems, Idaho climate zones, multifamily, new construction</t>
  </si>
  <si>
    <t>Montana Code 2015 IECC MF New</t>
  </si>
  <si>
    <t>IECC 2015 Code home built in Montana, all heating systems, Idaho climate zones, multifamily, new construction</t>
  </si>
  <si>
    <t>Montana Code 2018 IECC MF New</t>
  </si>
  <si>
    <t>IECC 2018 Code home built in Montana, all heating systems, Idaho climate zones, multifamily, new construction</t>
  </si>
  <si>
    <t>Montana Code 2018 IECC SF New</t>
  </si>
  <si>
    <t>IECC 2018 Code home built in Montana, all heating systems, regional climate zone, single-family, new construction</t>
  </si>
  <si>
    <t>Idaho Code 2018 IECC SF New</t>
  </si>
  <si>
    <t>IECC 2018 Code home built in Idaho, all heating systems, Idaho climate zones, single-family, new construction</t>
  </si>
  <si>
    <t>Agriculture</t>
  </si>
  <si>
    <t xml:space="preserve">-U.S. Department of Housing and Urban Development. February 2018. Building Permits. 1-3 Unit, 4-5 Unit, and 5+ Unit building permits. (dataset).
Compliance:
-PNNL. 2019. Idaho Residential Energy Code Field Study. Calculated  based on dataset from study.PNNL conducted simulations using a Monte Carlo selection process. The process generated an EUI estimate for 1,500 pseudo homes per climate zone.
-PNNL. 2019. Idaho Residential Energy Code Field Study. Calculated  based on dataset from study.PNNL conducted simulations using a Monte Carlo selection process. The process generated an EUI estimate for 1,500 pseudo homes.
-Cadmus. 2013 Idaho Energy Code Compliance (Final), Table 1, p. 4 
-Cadmus. 2012. Montana Energy Code Compliance, January 2012 (Final) - Table 18, p. 25.
-Cadmus. 2014. Oregon Residential Energy Code Compliance. 
-Cadmus. 2013. Washington Energy Code Compliance- Table 1, p. 4.6. 
</t>
  </si>
  <si>
    <t xml:space="preserve">-Single-family: U.S. Department of Housing and Urban Development. Nov. 20, 2018. Building Permits. Single Family and 2-Unit Multifamily. (dataset).
Compliance Estimate:
-PNNL. 2019. Idaho Residential Energy Code Field Study. Calculated  based on dataset from study.PNNL conducted simulations using a Monte Carlo selection process. The process generated an EUI estimate for 1,500 pseudo homes per climate zone.
-PNNL. 2019. Idaho Residential Energy Code Field Study. Calculated  based on dataset from study.PNNL conducted simulations using a Monte Carlo selection process. The process generated an EUI estimate for 1,500 pseudo homes.
-Cadmus. 2014. Oregon Residential Energy Code Compliance. 
-Cadmus. 2013. Washington Energy Code Compliance- Table 1, p. 4.6. 
</t>
  </si>
  <si>
    <t>-Construction Start: Dodge Data &amp; Analytics. 2019. Dodge2019Q1. (dataset). 
-Code Compliance Rate: An internal assumption until completion of code compliance study.
-Code Permit Rate: Energy Trust of Oregon's New Buildings Program.  2012.  PECI permit occupancy dates - 2-15-2012. (dataset).</t>
  </si>
  <si>
    <t>NEEA tracks above-code certifications through its Next Step Homes Program. 
-TRC. Feb. 15, 2019. NewHomesCPC_TRC_2018ProgramSavingsReporting_2019-02-15_FINAL.xlsx.</t>
  </si>
  <si>
    <r>
      <t xml:space="preserve">
</t>
    </r>
    <r>
      <rPr>
        <i/>
        <sz val="34"/>
        <color theme="3"/>
        <rFont val="Trade Gothic LT Std Bold"/>
        <family val="3"/>
      </rPr>
      <t xml:space="preserve">
Puget Sound Energy's 2020-2021 Targets</t>
    </r>
    <r>
      <rPr>
        <i/>
        <sz val="12"/>
        <color theme="3"/>
        <rFont val="Trade Gothic LT Std Bold"/>
        <family val="3"/>
      </rPr>
      <t xml:space="preserve">
</t>
    </r>
    <r>
      <rPr>
        <sz val="12"/>
        <color theme="3"/>
        <rFont val="Trade Gothic LT Std Bold"/>
        <family val="3"/>
      </rPr>
      <t xml:space="preserve">
</t>
    </r>
  </si>
  <si>
    <t>These are site-base, first year savings allocated by funding share.
*Program Measures can result in a code or standard. As a result, some of the first-year savings from Program Measures are reported as Codes &amp; Standards Measures.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</si>
</sst>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_(* #,##0_);_(* \(#,##0\);_(* &quot;-&quot;??_);_(@_)"/>
    <numFmt numFmtId="165" formatCode="_(* #,##0.000_);_(* \(#,##0.000\);_(* &quot;-&quot;??_);_(@_)"/>
    <numFmt numFmtId="166" formatCode="0_);\(0\)"/>
    <numFmt numFmtId="167" formatCode="0.0%"/>
    <numFmt numFmtId="168" formatCode="_(* #,##0.0_);_(* \(#,##0.0\);_(* &quot;-&quot;??_);_(@_)"/>
    <numFmt numFmtId="169" formatCode="0.000"/>
    <numFmt numFmtId="170" formatCode="0.0"/>
    <numFmt numFmtId="171" formatCode="&quot;$&quot;#,##0.00"/>
    <numFmt numFmtId="172" formatCode="0.0000"/>
    <numFmt numFmtId="173" formatCode="m/d/\ h:mm"/>
    <numFmt numFmtId="174" formatCode="&quot;$&quot;#,##0"/>
    <numFmt numFmtId="175" formatCode="mmm\-yyyy"/>
    <numFmt numFmtId="176" formatCode="#,##0.00\ %;\-#,##0.00\ %;#,##0.00\ %"/>
    <numFmt numFmtId="177" formatCode="0.00000"/>
    <numFmt numFmtId="178" formatCode="00000"/>
    <numFmt numFmtId="179" formatCode="_(* #,##0.0000_);_(* \(#,##0.0000\);_(* &quot;-&quot;??_);_(@_)"/>
    <numFmt numFmtId="180" formatCode="_(* #,##0.00000_);_(* \(#,##0.00000\);_(* &quot;-&quot;??_);_(@_)"/>
    <numFmt numFmtId="181" formatCode="_(* #,##0.00_);_(* \(#,##0.00\);_(* &quot;-&quot;_);_(@_)"/>
  </numFmts>
  <fonts count="221">
    <font>
      <sz val="11"/>
      <color theme="1"/>
      <name val="Calibri"/>
      <family val="2"/>
      <scheme val="minor"/>
    </font>
    <font>
      <sz val="11"/>
      <color theme="1"/>
      <name val="Calibri"/>
      <family val="2"/>
      <scheme val="minor"/>
    </font>
    <font>
      <b/>
      <sz val="13"/>
      <color theme="3"/>
      <name val="Calibri"/>
      <family val="2"/>
      <scheme val="minor"/>
    </font>
    <font>
      <sz val="11"/>
      <color rgb="FF00610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1"/>
      <color theme="3"/>
      <name val="Calibri"/>
      <family val="2"/>
      <scheme val="minor"/>
    </font>
    <font>
      <sz val="10"/>
      <color theme="1" tint="0.499984740745262"/>
      <name val="Calibri"/>
      <family val="2"/>
      <scheme val="minor"/>
    </font>
    <font>
      <b/>
      <sz val="9"/>
      <color indexed="81"/>
      <name val="Tahoma"/>
      <family val="2"/>
    </font>
    <font>
      <sz val="9"/>
      <color indexed="81"/>
      <name val="Tahoma"/>
      <family val="2"/>
    </font>
    <font>
      <sz val="11"/>
      <color theme="0" tint="-0.499984740745262"/>
      <name val="Calibri"/>
      <family val="2"/>
      <scheme val="minor"/>
    </font>
    <font>
      <sz val="8"/>
      <color theme="0" tint="-0.499984740745262"/>
      <name val="Calibri"/>
      <family val="2"/>
      <scheme val="minor"/>
    </font>
    <font>
      <sz val="11"/>
      <color theme="3"/>
      <name val="Calibri Light"/>
      <family val="1"/>
      <scheme val="major"/>
    </font>
    <font>
      <sz val="14"/>
      <color theme="3"/>
      <name val="Calibri Light"/>
      <family val="2"/>
      <scheme val="major"/>
    </font>
    <font>
      <sz val="11"/>
      <color theme="0"/>
      <name val="Calibri Light"/>
      <family val="2"/>
      <scheme val="major"/>
    </font>
    <font>
      <sz val="9"/>
      <color theme="1"/>
      <name val="Calibri"/>
      <family val="2"/>
      <scheme val="minor"/>
    </font>
    <font>
      <sz val="10"/>
      <color theme="1"/>
      <name val="Arial"/>
      <family val="2"/>
    </font>
    <font>
      <b/>
      <sz val="11"/>
      <color theme="4"/>
      <name val="Calibri"/>
      <family val="2"/>
      <scheme val="minor"/>
    </font>
    <font>
      <sz val="10"/>
      <name val="Arial"/>
      <family val="2"/>
    </font>
    <font>
      <b/>
      <sz val="8"/>
      <color indexed="81"/>
      <name val="Tahoma"/>
      <family val="2"/>
    </font>
    <font>
      <sz val="8"/>
      <color indexed="81"/>
      <name val="Tahoma"/>
      <family val="2"/>
    </font>
    <font>
      <u/>
      <sz val="11"/>
      <color theme="10"/>
      <name val="Calibri"/>
      <family val="2"/>
      <scheme val="minor"/>
    </font>
    <font>
      <sz val="12"/>
      <name val="Arial"/>
      <family val="2"/>
    </font>
    <font>
      <sz val="10"/>
      <color indexed="8"/>
      <name val="Arial"/>
      <family val="2"/>
    </font>
    <font>
      <sz val="11"/>
      <color theme="1" tint="0.499984740745262"/>
      <name val="Calibri"/>
      <family val="2"/>
      <scheme val="minor"/>
    </font>
    <font>
      <b/>
      <sz val="14"/>
      <color theme="3"/>
      <name val="Calibri"/>
      <family val="2"/>
      <scheme val="minor"/>
    </font>
    <font>
      <b/>
      <sz val="14"/>
      <color theme="1"/>
      <name val="Calibri"/>
      <family val="2"/>
      <scheme val="minor"/>
    </font>
    <font>
      <sz val="10"/>
      <color theme="3"/>
      <name val="Calibri Light"/>
      <family val="1"/>
      <scheme val="major"/>
    </font>
    <font>
      <b/>
      <sz val="12"/>
      <color theme="1"/>
      <name val="Calibri"/>
      <family val="2"/>
      <scheme val="minor"/>
    </font>
    <font>
      <sz val="12"/>
      <color theme="1"/>
      <name val="Calibri"/>
      <family val="2"/>
      <scheme val="minor"/>
    </font>
    <font>
      <b/>
      <sz val="10"/>
      <name val="Arial"/>
      <family val="2"/>
    </font>
    <font>
      <b/>
      <sz val="10"/>
      <color indexed="9"/>
      <name val="Arial"/>
      <family val="2"/>
    </font>
    <font>
      <sz val="10"/>
      <color indexed="9"/>
      <name val="Arial"/>
      <family val="2"/>
    </font>
    <font>
      <sz val="12"/>
      <name val="Times New Roman"/>
      <family val="1"/>
    </font>
    <font>
      <b/>
      <sz val="12"/>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b/>
      <sz val="10"/>
      <color indexed="8"/>
      <name val="Arial"/>
      <family val="2"/>
    </font>
    <font>
      <i/>
      <sz val="11"/>
      <color indexed="23"/>
      <name val="Calibri"/>
      <family val="2"/>
    </font>
    <font>
      <sz val="11"/>
      <color indexed="17"/>
      <name val="Calibri"/>
      <family val="2"/>
    </font>
    <font>
      <b/>
      <sz val="15"/>
      <color indexed="56"/>
      <name val="Calibri"/>
      <family val="2"/>
    </font>
    <font>
      <b/>
      <sz val="13"/>
      <color indexed="62"/>
      <name val="Calibri"/>
      <family val="2"/>
    </font>
    <font>
      <b/>
      <sz val="11"/>
      <color indexed="56"/>
      <name val="Calibri"/>
      <family val="2"/>
    </font>
    <font>
      <u/>
      <sz val="10"/>
      <color indexed="12"/>
      <name val="Arial"/>
      <family val="2"/>
    </font>
    <font>
      <u/>
      <sz val="7"/>
      <color indexed="12"/>
      <name val="Arial"/>
      <family val="2"/>
    </font>
    <font>
      <u/>
      <sz val="10"/>
      <color indexed="12"/>
      <name val="Times New Roman"/>
      <family val="1"/>
    </font>
    <font>
      <u/>
      <sz val="10"/>
      <color theme="10"/>
      <name val="Arial"/>
      <family val="2"/>
    </font>
    <font>
      <u/>
      <sz val="11"/>
      <color theme="10"/>
      <name val="Calibri"/>
      <family val="2"/>
    </font>
    <font>
      <sz val="11"/>
      <color indexed="62"/>
      <name val="Calibri"/>
      <family val="2"/>
    </font>
    <font>
      <sz val="11"/>
      <color indexed="52"/>
      <name val="Calibri"/>
      <family val="2"/>
    </font>
    <font>
      <sz val="11"/>
      <color indexed="60"/>
      <name val="Calibri"/>
      <family val="2"/>
    </font>
    <font>
      <sz val="10"/>
      <name val="MS Sans Serif"/>
      <family val="2"/>
    </font>
    <font>
      <b/>
      <sz val="11"/>
      <color indexed="63"/>
      <name val="Calibri"/>
      <family val="2"/>
    </font>
    <font>
      <b/>
      <sz val="18"/>
      <color indexed="56"/>
      <name val="Cambria"/>
      <family val="2"/>
    </font>
    <font>
      <sz val="10"/>
      <name val="Helv"/>
    </font>
    <font>
      <sz val="10"/>
      <name val="Helv"/>
      <charset val="204"/>
    </font>
    <font>
      <b/>
      <sz val="11"/>
      <color indexed="8"/>
      <name val="Calibri"/>
      <family val="2"/>
    </font>
    <font>
      <sz val="11"/>
      <color indexed="10"/>
      <name val="Calibri"/>
      <family val="2"/>
    </font>
    <font>
      <sz val="11"/>
      <color indexed="63"/>
      <name val="Calibri"/>
      <family val="2"/>
    </font>
    <font>
      <b/>
      <sz val="15"/>
      <color indexed="62"/>
      <name val="Calibri"/>
      <family val="2"/>
    </font>
    <font>
      <b/>
      <sz val="11"/>
      <color indexed="62"/>
      <name val="Calibri"/>
      <family val="2"/>
    </font>
    <font>
      <sz val="9"/>
      <name val="Arial"/>
      <family val="2"/>
    </font>
    <font>
      <sz val="12"/>
      <name val="Helv"/>
    </font>
    <font>
      <b/>
      <sz val="18"/>
      <color indexed="62"/>
      <name val="Cambria"/>
      <family val="2"/>
    </font>
    <font>
      <sz val="10"/>
      <name val="굴림"/>
      <family val="3"/>
      <charset val="129"/>
    </font>
    <font>
      <b/>
      <sz val="13"/>
      <color theme="3"/>
      <name val="Arial"/>
      <family val="2"/>
    </font>
    <font>
      <sz val="11"/>
      <name val="Calibri"/>
      <family val="2"/>
    </font>
    <font>
      <sz val="9"/>
      <color theme="1"/>
      <name val="Arial"/>
      <family val="2"/>
    </font>
    <font>
      <sz val="10"/>
      <name val="Verdana"/>
      <family val="2"/>
    </font>
    <font>
      <sz val="11"/>
      <name val="Calibri"/>
      <family val="2"/>
      <scheme val="minor"/>
    </font>
    <font>
      <sz val="8"/>
      <color theme="1" tint="0.499984740745262"/>
      <name val="Calibri"/>
      <family val="2"/>
      <scheme val="minor"/>
    </font>
    <font>
      <i/>
      <sz val="11"/>
      <color theme="1" tint="0.499984740745262"/>
      <name val="Calibri"/>
      <family val="2"/>
      <scheme val="minor"/>
    </font>
    <font>
      <sz val="9"/>
      <color theme="1" tint="0.499984740745262"/>
      <name val="Calibri"/>
      <family val="2"/>
      <scheme val="minor"/>
    </font>
    <font>
      <sz val="11"/>
      <color theme="3"/>
      <name val="Calibri Light"/>
      <family val="2"/>
      <scheme val="major"/>
    </font>
    <font>
      <b/>
      <sz val="10"/>
      <color theme="1"/>
      <name val="Calibri"/>
      <family val="2"/>
      <scheme val="minor"/>
    </font>
    <font>
      <b/>
      <sz val="11"/>
      <color theme="3"/>
      <name val="Calibri"/>
      <family val="2"/>
      <scheme val="minor"/>
    </font>
    <font>
      <b/>
      <sz val="9"/>
      <color theme="1"/>
      <name val="Calibri"/>
      <family val="2"/>
      <scheme val="minor"/>
    </font>
    <font>
      <b/>
      <sz val="11"/>
      <color theme="3"/>
      <name val="Calibri Light"/>
      <family val="2"/>
      <scheme val="major"/>
    </font>
    <font>
      <sz val="12"/>
      <color theme="0" tint="-0.499984740745262"/>
      <name val="Calibri"/>
      <family val="2"/>
      <scheme val="minor"/>
    </font>
    <font>
      <sz val="12"/>
      <color theme="3"/>
      <name val="Calibri Light"/>
      <family val="2"/>
      <scheme val="major"/>
    </font>
    <font>
      <b/>
      <sz val="11"/>
      <color theme="1" tint="0.499984740745262"/>
      <name val="Calibri"/>
      <family val="2"/>
      <scheme val="minor"/>
    </font>
    <font>
      <i/>
      <sz val="10"/>
      <color theme="0" tint="-0.249977111117893"/>
      <name val="Calibri"/>
      <family val="2"/>
      <scheme val="minor"/>
    </font>
    <font>
      <b/>
      <sz val="11"/>
      <color theme="3"/>
      <name val="Calibri Light"/>
      <family val="1"/>
      <scheme val="major"/>
    </font>
    <font>
      <sz val="11"/>
      <color theme="0" tint="-4.9989318521683403E-2"/>
      <name val="Calibri"/>
      <family val="2"/>
      <scheme val="minor"/>
    </font>
    <font>
      <i/>
      <sz val="11"/>
      <color theme="0" tint="-0.499984740745262"/>
      <name val="Calibri"/>
      <family val="2"/>
      <scheme val="minor"/>
    </font>
    <font>
      <sz val="11"/>
      <color theme="1"/>
      <name val="Calibri Light"/>
      <family val="1"/>
      <scheme val="major"/>
    </font>
    <font>
      <sz val="11"/>
      <color theme="1"/>
      <name val="Calibri Light"/>
      <family val="2"/>
      <scheme val="major"/>
    </font>
    <font>
      <i/>
      <sz val="10"/>
      <color rgb="FF7F7F7F"/>
      <name val="Calibri"/>
      <family val="2"/>
      <scheme val="minor"/>
    </font>
    <font>
      <i/>
      <sz val="7"/>
      <color rgb="FF7F7F7F"/>
      <name val="Times New Roman"/>
      <family val="1"/>
    </font>
    <font>
      <sz val="8"/>
      <color theme="1"/>
      <name val="Calibri"/>
      <family val="2"/>
      <scheme val="minor"/>
    </font>
    <font>
      <u/>
      <sz val="10"/>
      <color rgb="FF0000FF"/>
      <name val="Calibri"/>
      <family val="2"/>
      <scheme val="minor"/>
    </font>
    <font>
      <u/>
      <sz val="8"/>
      <color theme="10"/>
      <name val="Arial"/>
      <family val="2"/>
    </font>
    <font>
      <sz val="11"/>
      <color theme="1" tint="0.34998626667073579"/>
      <name val="Calibri"/>
      <family val="2"/>
      <scheme val="minor"/>
    </font>
    <font>
      <sz val="10"/>
      <color indexed="18"/>
      <name val="Arial"/>
      <family val="2"/>
    </font>
    <font>
      <sz val="11"/>
      <color theme="0" tint="-0.249977111117893"/>
      <name val="Calibri"/>
      <family val="2"/>
      <scheme val="minor"/>
    </font>
    <font>
      <sz val="11"/>
      <color rgb="FFFA7D00"/>
      <name val="Calibri"/>
      <family val="2"/>
      <scheme val="minor"/>
    </font>
    <font>
      <sz val="10"/>
      <name val="Calibri Light"/>
      <family val="1"/>
      <scheme val="major"/>
    </font>
    <font>
      <b/>
      <sz val="11"/>
      <color theme="5"/>
      <name val="Calibri"/>
      <family val="2"/>
      <scheme val="minor"/>
    </font>
    <font>
      <b/>
      <sz val="12"/>
      <color theme="1" tint="0.499984740745262"/>
      <name val="Calibri Light"/>
      <family val="1"/>
      <scheme val="major"/>
    </font>
    <font>
      <sz val="12"/>
      <color theme="1" tint="0.499984740745262"/>
      <name val="Calibri Light"/>
      <family val="1"/>
      <scheme val="major"/>
    </font>
    <font>
      <sz val="9"/>
      <color theme="7" tint="-0.499984740745262"/>
      <name val="Calibri"/>
      <family val="2"/>
      <scheme val="minor"/>
    </font>
    <font>
      <sz val="12"/>
      <color theme="1" tint="0.499984740745262"/>
      <name val="Calibri"/>
      <family val="2"/>
      <scheme val="minor"/>
    </font>
    <font>
      <sz val="9"/>
      <color theme="6" tint="-0.499984740745262"/>
      <name val="Calibri"/>
      <family val="2"/>
      <scheme val="minor"/>
    </font>
    <font>
      <sz val="8"/>
      <color theme="4"/>
      <name val="Calibri"/>
      <family val="2"/>
      <scheme val="minor"/>
    </font>
    <font>
      <sz val="8"/>
      <color theme="0" tint="-0.34998626667073579"/>
      <name val="Calibri"/>
      <family val="2"/>
      <scheme val="minor"/>
    </font>
    <font>
      <sz val="11"/>
      <color theme="4"/>
      <name val="Calibri"/>
      <family val="2"/>
      <scheme val="minor"/>
    </font>
    <font>
      <sz val="10"/>
      <color theme="0"/>
      <name val="Calibri"/>
      <family val="2"/>
      <scheme val="minor"/>
    </font>
    <font>
      <b/>
      <sz val="12"/>
      <color theme="0"/>
      <name val="Calibri Light"/>
      <family val="1"/>
      <scheme val="major"/>
    </font>
    <font>
      <i/>
      <sz val="10"/>
      <color theme="1" tint="0.499984740745262"/>
      <name val="Calibri"/>
      <family val="2"/>
      <scheme val="minor"/>
    </font>
    <font>
      <i/>
      <sz val="11"/>
      <color theme="1" tint="0.499984740745262"/>
      <name val="Calibri Light"/>
      <family val="2"/>
      <scheme val="major"/>
    </font>
    <font>
      <sz val="10"/>
      <color theme="9" tint="-0.499984740745262"/>
      <name val="Calibri"/>
      <family val="2"/>
      <scheme val="minor"/>
    </font>
    <font>
      <b/>
      <sz val="10"/>
      <color theme="0"/>
      <name val="Calibri"/>
      <family val="2"/>
      <scheme val="minor"/>
    </font>
    <font>
      <sz val="12"/>
      <name val="Calibri"/>
      <family val="2"/>
      <scheme val="minor"/>
    </font>
    <font>
      <i/>
      <sz val="11"/>
      <color theme="0" tint="-0.249977111117893"/>
      <name val="Calibri"/>
      <family val="2"/>
      <scheme val="minor"/>
    </font>
    <font>
      <sz val="10"/>
      <color rgb="FF006100"/>
      <name val="Calibri"/>
      <family val="2"/>
      <scheme val="minor"/>
    </font>
    <font>
      <sz val="10"/>
      <color theme="0"/>
      <name val="Calibri Light"/>
      <family val="2"/>
      <scheme val="major"/>
    </font>
    <font>
      <sz val="10"/>
      <name val="Trade Gothic LT Std"/>
    </font>
    <font>
      <sz val="10"/>
      <color theme="1"/>
      <name val="Trade Gothic LT Std"/>
    </font>
    <font>
      <b/>
      <sz val="10"/>
      <color theme="0"/>
      <name val="Trade Gothic LT Std"/>
    </font>
    <font>
      <b/>
      <sz val="10"/>
      <color theme="1"/>
      <name val="Trade Gothic LT Std"/>
    </font>
    <font>
      <sz val="10"/>
      <color rgb="FFFF0000"/>
      <name val="Trade Gothic LT Std"/>
    </font>
    <font>
      <sz val="10"/>
      <color theme="0" tint="-0.499984740745262"/>
      <name val="Trade Gothic LT Std"/>
    </font>
    <font>
      <b/>
      <i/>
      <sz val="11"/>
      <color theme="0"/>
      <name val="Trade Gothic LT Std"/>
    </font>
    <font>
      <sz val="11"/>
      <color rgb="FF0083CA"/>
      <name val="Calibri"/>
      <family val="2"/>
      <scheme val="minor"/>
    </font>
    <font>
      <b/>
      <sz val="11"/>
      <color rgb="FF0083CA"/>
      <name val="Calibri"/>
      <family val="2"/>
      <scheme val="minor"/>
    </font>
    <font>
      <b/>
      <sz val="10"/>
      <color indexed="9"/>
      <name val="Calibri"/>
      <family val="2"/>
      <scheme val="minor"/>
    </font>
    <font>
      <sz val="10"/>
      <color indexed="22"/>
      <name val="Calibri"/>
      <family val="2"/>
      <scheme val="minor"/>
    </font>
    <font>
      <sz val="10"/>
      <color indexed="8"/>
      <name val="Calibri"/>
      <family val="2"/>
      <scheme val="minor"/>
    </font>
    <font>
      <sz val="10"/>
      <name val="Calibri"/>
      <family val="2"/>
      <scheme val="minor"/>
    </font>
    <font>
      <b/>
      <sz val="10"/>
      <name val="Calibri"/>
      <family val="2"/>
      <scheme val="minor"/>
    </font>
    <font>
      <sz val="10"/>
      <color theme="5"/>
      <name val="Calibri"/>
      <family val="2"/>
      <scheme val="minor"/>
    </font>
    <font>
      <sz val="10"/>
      <color theme="4"/>
      <name val="Calibri"/>
      <family val="2"/>
      <scheme val="minor"/>
    </font>
    <font>
      <i/>
      <sz val="12"/>
      <color theme="3"/>
      <name val="Trade Gothic LT Std Bold"/>
      <family val="3"/>
    </font>
    <font>
      <i/>
      <sz val="34"/>
      <color theme="3"/>
      <name val="Trade Gothic LT Std Bold"/>
      <family val="3"/>
    </font>
    <font>
      <sz val="12"/>
      <color theme="3"/>
      <name val="Trade Gothic LT Std Bold"/>
      <family val="3"/>
    </font>
    <font>
      <i/>
      <sz val="12"/>
      <color rgb="FF123559"/>
      <name val="Trade Gothic LT Std Bold"/>
      <family val="3"/>
    </font>
    <font>
      <sz val="11"/>
      <color rgb="FF00B0F0"/>
      <name val="Calibri"/>
      <family val="2"/>
      <scheme val="minor"/>
    </font>
    <font>
      <sz val="11"/>
      <color theme="3"/>
      <name val="Trade Gothic LT Std Bold"/>
      <family val="3"/>
    </font>
    <font>
      <b/>
      <sz val="10"/>
      <color theme="8"/>
      <name val="Trade Gothic LT Std"/>
    </font>
    <font>
      <sz val="10"/>
      <color theme="0"/>
      <name val="Trade Gothic LT Std"/>
    </font>
    <font>
      <i/>
      <sz val="10"/>
      <color theme="1" tint="0.499984740745262"/>
      <name val="Trade Gothic LT Std"/>
    </font>
    <font>
      <b/>
      <sz val="11"/>
      <color theme="0"/>
      <name val="Trade Gothic LT Std"/>
    </font>
    <font>
      <sz val="10"/>
      <color theme="1" tint="0.499984740745262"/>
      <name val="Trade Gothic LT Std"/>
    </font>
    <font>
      <sz val="10"/>
      <color theme="0" tint="-0.499984740745262"/>
      <name val="Calibri"/>
      <family val="2"/>
      <scheme val="minor"/>
    </font>
    <font>
      <b/>
      <sz val="12"/>
      <color theme="0"/>
      <name val="Calibri"/>
      <family val="2"/>
      <scheme val="minor"/>
    </font>
    <font>
      <b/>
      <i/>
      <sz val="10"/>
      <color theme="1"/>
      <name val="Calibri"/>
      <family val="2"/>
      <scheme val="minor"/>
    </font>
    <font>
      <i/>
      <sz val="10"/>
      <color theme="0"/>
      <name val="Calibri"/>
      <family val="2"/>
      <scheme val="minor"/>
    </font>
    <font>
      <i/>
      <sz val="10"/>
      <color theme="0" tint="-4.9989318521683403E-2"/>
      <name val="Calibri"/>
      <family val="2"/>
      <scheme val="minor"/>
    </font>
    <font>
      <sz val="10"/>
      <color theme="3"/>
      <name val="Calibri"/>
      <family val="2"/>
      <scheme val="minor"/>
    </font>
    <font>
      <b/>
      <sz val="10"/>
      <color rgb="FFFF0000"/>
      <name val="Calibri"/>
      <family val="2"/>
      <scheme val="minor"/>
    </font>
    <font>
      <sz val="10"/>
      <color theme="0" tint="-4.9989318521683403E-2"/>
      <name val="Calibri"/>
      <family val="2"/>
      <scheme val="minor"/>
    </font>
    <font>
      <i/>
      <sz val="10"/>
      <color theme="1"/>
      <name val="Calibri"/>
      <family val="2"/>
      <scheme val="minor"/>
    </font>
    <font>
      <u/>
      <sz val="10"/>
      <color theme="1"/>
      <name val="Calibri"/>
      <family val="2"/>
      <scheme val="minor"/>
    </font>
    <font>
      <sz val="10"/>
      <color theme="9"/>
      <name val="Calibri"/>
      <family val="2"/>
      <scheme val="minor"/>
    </font>
    <font>
      <sz val="10"/>
      <color rgb="FF0083CA"/>
      <name val="Trade Gothic LT Std"/>
    </font>
    <font>
      <sz val="8"/>
      <color theme="1"/>
      <name val="Trade Gothic LT Std"/>
    </font>
    <font>
      <i/>
      <sz val="10"/>
      <color rgb="FF0083CA"/>
      <name val="Calibri"/>
      <family val="2"/>
      <scheme val="minor"/>
    </font>
    <font>
      <sz val="10"/>
      <color rgb="FFFF0000"/>
      <name val="Calibri"/>
      <family val="2"/>
      <scheme val="minor"/>
    </font>
    <font>
      <sz val="16"/>
      <color theme="5"/>
      <name val="Calibri Light"/>
      <family val="2"/>
      <scheme val="major"/>
    </font>
    <font>
      <b/>
      <sz val="10"/>
      <color theme="3"/>
      <name val="Calibri"/>
      <family val="2"/>
      <scheme val="minor"/>
    </font>
    <font>
      <u/>
      <sz val="9"/>
      <color theme="10"/>
      <name val="Consolas"/>
      <family val="3"/>
    </font>
    <font>
      <sz val="9"/>
      <name val="Consolas"/>
      <family val="3"/>
    </font>
    <font>
      <u/>
      <sz val="9"/>
      <color theme="10"/>
      <name val="Arial"/>
      <family val="2"/>
    </font>
    <font>
      <sz val="9"/>
      <color theme="1"/>
      <name val="Consolas"/>
      <family val="3"/>
    </font>
    <font>
      <sz val="10"/>
      <color indexed="22"/>
      <name val="Arial"/>
      <family val="2"/>
    </font>
    <font>
      <sz val="10"/>
      <color rgb="FF000000"/>
      <name val="Arial"/>
      <family val="2"/>
    </font>
    <font>
      <sz val="11"/>
      <color rgb="FF000000"/>
      <name val="Calibri"/>
      <family val="2"/>
      <scheme val="minor"/>
    </font>
    <font>
      <sz val="10"/>
      <color theme="0" tint="-0.14999847407452621"/>
      <name val="Calibri"/>
      <family val="2"/>
      <scheme val="minor"/>
    </font>
    <font>
      <sz val="11"/>
      <color theme="1"/>
      <name val="Cambria"/>
      <family val="1"/>
    </font>
    <font>
      <u/>
      <sz val="10"/>
      <color theme="10"/>
      <name val="Calibri"/>
      <family val="2"/>
      <scheme val="minor"/>
    </font>
    <font>
      <b/>
      <sz val="10"/>
      <color rgb="FF0083CA"/>
      <name val="Calibri"/>
      <family val="2"/>
      <scheme val="minor"/>
    </font>
    <font>
      <b/>
      <sz val="15"/>
      <color theme="3"/>
      <name val="Calibri"/>
      <family val="2"/>
      <scheme val="minor"/>
    </font>
    <font>
      <sz val="10"/>
      <color indexed="72"/>
      <name val="Calibri"/>
      <family val="2"/>
      <scheme val="minor"/>
    </font>
    <font>
      <b/>
      <sz val="10"/>
      <color indexed="72"/>
      <name val="Calibri"/>
      <family val="2"/>
      <scheme val="minor"/>
    </font>
    <font>
      <b/>
      <u/>
      <sz val="10"/>
      <color theme="1"/>
      <name val="Calibri"/>
      <family val="2"/>
      <scheme val="minor"/>
    </font>
    <font>
      <sz val="10"/>
      <color rgb="FF0070C0"/>
      <name val="Calibri"/>
      <family val="2"/>
      <scheme val="minor"/>
    </font>
    <font>
      <sz val="10"/>
      <color rgb="FFFA7D00"/>
      <name val="Calibri"/>
      <family val="2"/>
      <scheme val="minor"/>
    </font>
    <font>
      <b/>
      <sz val="10"/>
      <color theme="5"/>
      <name val="Calibri"/>
      <family val="2"/>
      <scheme val="minor"/>
    </font>
    <font>
      <i/>
      <sz val="10"/>
      <color theme="0" tint="-0.34998626667073579"/>
      <name val="Calibri"/>
      <family val="2"/>
      <scheme val="minor"/>
    </font>
    <font>
      <b/>
      <sz val="10"/>
      <color rgb="FFFA7D00"/>
      <name val="Calibri"/>
      <family val="2"/>
      <scheme val="minor"/>
    </font>
    <font>
      <i/>
      <sz val="10"/>
      <color theme="0" tint="-0.14999847407452621"/>
      <name val="Calibri"/>
      <family val="2"/>
      <scheme val="minor"/>
    </font>
    <font>
      <b/>
      <sz val="10"/>
      <color theme="1" tint="0.499984740745262"/>
      <name val="Calibri"/>
      <family val="2"/>
      <scheme val="minor"/>
    </font>
    <font>
      <sz val="10"/>
      <color rgb="FF0083CA"/>
      <name val="Calibri"/>
      <family val="2"/>
      <scheme val="minor"/>
    </font>
    <font>
      <sz val="10"/>
      <color theme="1" tint="0.34998626667073579"/>
      <name val="Calibri"/>
      <family val="2"/>
      <scheme val="minor"/>
    </font>
    <font>
      <sz val="10"/>
      <color theme="0" tint="-0.249977111117893"/>
      <name val="Calibri"/>
      <family val="2"/>
      <scheme val="minor"/>
    </font>
    <font>
      <sz val="10"/>
      <color indexed="18"/>
      <name val="Calibri"/>
      <family val="2"/>
      <scheme val="minor"/>
    </font>
    <font>
      <b/>
      <sz val="10"/>
      <color indexed="56"/>
      <name val="Calibri"/>
      <family val="2"/>
      <scheme val="minor"/>
    </font>
    <font>
      <sz val="10"/>
      <color rgb="FF000000"/>
      <name val="Calibri"/>
      <family val="2"/>
      <scheme val="minor"/>
    </font>
    <font>
      <sz val="10"/>
      <color theme="3"/>
      <name val="Calibri Light"/>
      <family val="2"/>
      <scheme val="major"/>
    </font>
    <font>
      <sz val="10"/>
      <color indexed="12"/>
      <name val="Calibri"/>
      <family val="2"/>
      <scheme val="minor"/>
    </font>
    <font>
      <b/>
      <i/>
      <sz val="10"/>
      <color theme="4" tint="-0.249977111117893"/>
      <name val="Calibri"/>
      <family val="2"/>
      <scheme val="minor"/>
    </font>
    <font>
      <b/>
      <sz val="10"/>
      <color theme="4"/>
      <name val="Calibri"/>
      <family val="2"/>
      <scheme val="minor"/>
    </font>
    <font>
      <sz val="10"/>
      <color theme="1"/>
      <name val="Calibri Light"/>
      <family val="2"/>
      <scheme val="major"/>
    </font>
    <font>
      <sz val="10"/>
      <color rgb="FFC00000"/>
      <name val="Calibri"/>
      <family val="2"/>
      <scheme val="minor"/>
    </font>
    <font>
      <b/>
      <sz val="10"/>
      <color rgb="FF00B050"/>
      <name val="Calibri Light"/>
      <family val="2"/>
      <scheme val="major"/>
    </font>
    <font>
      <sz val="10"/>
      <color theme="2"/>
      <name val="Calibri"/>
      <family val="2"/>
      <scheme val="minor"/>
    </font>
    <font>
      <i/>
      <sz val="10"/>
      <color theme="0" tint="-0.499984740745262"/>
      <name val="Calibri"/>
      <family val="2"/>
      <scheme val="minor"/>
    </font>
    <font>
      <sz val="11"/>
      <color theme="5"/>
      <name val="Calibri"/>
      <family val="2"/>
      <scheme val="minor"/>
    </font>
    <font>
      <i/>
      <sz val="10"/>
      <color theme="3"/>
      <name val="Calibri"/>
      <family val="2"/>
      <scheme val="minor"/>
    </font>
    <font>
      <b/>
      <sz val="10"/>
      <color theme="3"/>
      <name val="Calibri Light"/>
      <family val="2"/>
      <scheme val="major"/>
    </font>
    <font>
      <i/>
      <sz val="10"/>
      <color theme="3"/>
      <name val="Calibri Light"/>
      <family val="2"/>
      <scheme val="major"/>
    </font>
    <font>
      <u/>
      <sz val="10"/>
      <color theme="3"/>
      <name val="Calibri"/>
      <family val="2"/>
      <scheme val="minor"/>
    </font>
    <font>
      <sz val="11"/>
      <color rgb="FF0083CA"/>
      <name val="Calibri Light"/>
      <family val="2"/>
      <scheme val="major"/>
    </font>
    <font>
      <sz val="11"/>
      <color rgb="FF9C0006"/>
      <name val="Calibri"/>
      <family val="2"/>
      <scheme val="minor"/>
    </font>
    <font>
      <b/>
      <sz val="10"/>
      <color rgb="FF0083CA"/>
      <name val="Trade Gothic LT Std"/>
    </font>
    <font>
      <u/>
      <sz val="10"/>
      <color theme="1" tint="0.499984740745262"/>
      <name val="Calibri"/>
      <family val="2"/>
      <scheme val="minor"/>
    </font>
    <font>
      <b/>
      <sz val="10"/>
      <color rgb="FF006100"/>
      <name val="Calibri"/>
      <family val="2"/>
      <scheme val="minor"/>
    </font>
    <font>
      <sz val="11"/>
      <color theme="0"/>
      <name val="Trade"/>
    </font>
    <font>
      <sz val="10"/>
      <color theme="0"/>
      <name val="Arial"/>
      <family val="2"/>
    </font>
    <font>
      <b/>
      <sz val="11"/>
      <color rgb="FF8CC646"/>
      <name val="Calibri"/>
      <family val="2"/>
      <scheme val="minor"/>
    </font>
    <font>
      <b/>
      <sz val="11"/>
      <color theme="0"/>
      <name val="Calibri"/>
      <family val="2"/>
      <scheme val="minor"/>
    </font>
    <font>
      <b/>
      <i/>
      <sz val="11"/>
      <color theme="0"/>
      <name val="Calibri"/>
      <family val="2"/>
      <scheme val="minor"/>
    </font>
    <font>
      <b/>
      <sz val="11"/>
      <color theme="0"/>
      <name val="Calibri Light"/>
      <family val="2"/>
      <scheme val="major"/>
    </font>
    <font>
      <i/>
      <sz val="10"/>
      <color theme="5"/>
      <name val="Calibri"/>
      <family val="2"/>
      <scheme val="minor"/>
    </font>
    <font>
      <b/>
      <sz val="10"/>
      <color theme="0" tint="-4.9989318521683403E-2"/>
      <name val="Calibri"/>
      <family val="2"/>
      <scheme val="minor"/>
    </font>
  </fonts>
  <fills count="119">
    <fill>
      <patternFill patternType="none"/>
    </fill>
    <fill>
      <patternFill patternType="gray125"/>
    </fill>
    <fill>
      <patternFill patternType="solid">
        <fgColor rgb="FFC6EF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bgColor indexed="64"/>
      </patternFill>
    </fill>
    <fill>
      <patternFill patternType="solid">
        <fgColor theme="5" tint="0.79998168889431442"/>
        <bgColor indexed="64"/>
      </patternFill>
    </fill>
    <fill>
      <patternFill patternType="solid">
        <fgColor rgb="FFFDEADF"/>
        <bgColor indexed="64"/>
      </patternFill>
    </fill>
    <fill>
      <patternFill patternType="solid">
        <fgColor rgb="FFFDEADF"/>
        <bgColor theme="4" tint="0.79998168889431442"/>
      </patternFill>
    </fill>
    <fill>
      <patternFill patternType="solid">
        <fgColor theme="2"/>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4"/>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bgColor indexed="64"/>
      </patternFill>
    </fill>
    <fill>
      <patternFill patternType="solid">
        <fgColor rgb="FFFFFF99"/>
        <bgColor indexed="64"/>
      </patternFill>
    </fill>
    <fill>
      <patternFill patternType="solid">
        <fgColor theme="3" tint="0.59999389629810485"/>
        <bgColor indexed="64"/>
      </patternFill>
    </fill>
    <fill>
      <patternFill patternType="solid">
        <fgColor indexed="22"/>
        <bgColor indexed="64"/>
      </patternFill>
    </fill>
    <fill>
      <patternFill patternType="solid">
        <fgColor indexed="47"/>
        <bgColor indexed="64"/>
      </patternFill>
    </fill>
    <fill>
      <patternFill patternType="solid">
        <fgColor indexed="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62"/>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8"/>
        <bgColor indexed="64"/>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9"/>
      </patternFill>
    </fill>
    <fill>
      <patternFill patternType="solid">
        <fgColor indexed="8"/>
      </patternFill>
    </fill>
    <fill>
      <patternFill patternType="solid">
        <fgColor indexed="54"/>
      </patternFill>
    </fill>
    <fill>
      <patternFill patternType="solid">
        <fgColor theme="0" tint="-0.14996795556505021"/>
        <bgColor indexed="64"/>
      </patternFill>
    </fill>
    <fill>
      <patternFill patternType="solid">
        <fgColor indexed="18"/>
        <bgColor indexed="64"/>
      </patternFill>
    </fill>
    <fill>
      <patternFill patternType="solid">
        <fgColor theme="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indexed="43"/>
        <bgColor indexed="64"/>
      </patternFill>
    </fill>
    <fill>
      <patternFill patternType="solid">
        <fgColor indexed="9"/>
        <bgColor indexed="64"/>
      </patternFill>
    </fill>
    <fill>
      <patternFill patternType="solid">
        <fgColor theme="8" tint="0.79998168889431442"/>
        <bgColor indexed="64"/>
      </patternFill>
    </fill>
    <fill>
      <patternFill patternType="solid">
        <fgColor indexed="50"/>
        <bgColor indexed="64"/>
      </patternFill>
    </fill>
    <fill>
      <patternFill patternType="solid">
        <fgColor rgb="FFF2F2F2"/>
      </patternFill>
    </fill>
    <fill>
      <patternFill patternType="solid">
        <fgColor theme="6" tint="0.59999389629810485"/>
        <bgColor indexed="64"/>
      </patternFill>
    </fill>
    <fill>
      <patternFill patternType="solid">
        <fgColor rgb="FFFFFF00"/>
        <bgColor theme="4" tint="0.79998168889431442"/>
      </patternFill>
    </fill>
    <fill>
      <patternFill patternType="solid">
        <fgColor theme="5"/>
        <bgColor indexed="64"/>
      </patternFill>
    </fill>
    <fill>
      <patternFill patternType="solid">
        <fgColor theme="0" tint="-0.249977111117893"/>
        <bgColor indexed="64"/>
      </patternFill>
    </fill>
    <fill>
      <patternFill patternType="solid">
        <fgColor rgb="FFA5A5A5"/>
      </patternFill>
    </fill>
    <fill>
      <patternFill patternType="solid">
        <fgColor rgb="FF0083CA"/>
        <bgColor indexed="64"/>
      </patternFill>
    </fill>
    <fill>
      <patternFill patternType="solid">
        <fgColor rgb="FF8CC646"/>
        <bgColor indexed="64"/>
      </patternFill>
    </fill>
    <fill>
      <patternFill patternType="solid">
        <fgColor rgb="FF92D050"/>
        <bgColor indexed="64"/>
      </patternFill>
    </fill>
    <fill>
      <patternFill patternType="solid">
        <fgColor rgb="FFFFE699"/>
        <bgColor indexed="64"/>
      </patternFill>
    </fill>
    <fill>
      <patternFill patternType="solid">
        <fgColor rgb="FFFFF2CC"/>
        <bgColor indexed="64"/>
      </patternFill>
    </fill>
    <fill>
      <patternFill patternType="solid">
        <fgColor rgb="FFC6E0B4"/>
        <bgColor indexed="64"/>
      </patternFill>
    </fill>
    <fill>
      <patternFill patternType="solid">
        <fgColor rgb="FFE2EFDA"/>
        <bgColor indexed="64"/>
      </patternFill>
    </fill>
    <fill>
      <patternFill patternType="solid">
        <fgColor rgb="FF8CC607"/>
        <bgColor indexed="64"/>
      </patternFill>
    </fill>
    <fill>
      <patternFill patternType="solid">
        <fgColor rgb="FF123559"/>
        <bgColor indexed="64"/>
      </patternFill>
    </fill>
    <fill>
      <patternFill patternType="solid">
        <fgColor theme="6"/>
        <bgColor indexed="64"/>
      </patternFill>
    </fill>
    <fill>
      <patternFill patternType="solid">
        <fgColor rgb="FFFFC000"/>
        <bgColor indexed="64"/>
      </patternFill>
    </fill>
    <fill>
      <patternFill patternType="solid">
        <fgColor rgb="FF7FCDE8"/>
        <bgColor indexed="64"/>
      </patternFill>
    </fill>
    <fill>
      <patternFill patternType="solid">
        <fgColor theme="4" tint="0.59999389629810485"/>
        <bgColor indexed="64"/>
      </patternFill>
    </fill>
    <fill>
      <patternFill patternType="solid">
        <fgColor rgb="FFFFC7CE"/>
      </patternFill>
    </fill>
    <fill>
      <patternFill patternType="solid">
        <fgColor theme="1"/>
        <bgColor indexed="64"/>
      </patternFill>
    </fill>
    <fill>
      <patternFill patternType="solid">
        <fgColor theme="0" tint="-0.499984740745262"/>
        <bgColor indexed="64"/>
      </patternFill>
    </fill>
  </fills>
  <borders count="523">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double">
        <color indexed="64"/>
      </bottom>
      <diagonal/>
    </border>
    <border>
      <left style="thin">
        <color theme="0" tint="-0.14996795556505021"/>
      </left>
      <right style="thin">
        <color theme="0" tint="-0.14996795556505021"/>
      </right>
      <top style="double">
        <color indexed="64"/>
      </top>
      <bottom style="hair">
        <color theme="0" tint="-0.499984740745262"/>
      </bottom>
      <diagonal/>
    </border>
    <border>
      <left style="thin">
        <color theme="0" tint="-0.14996795556505021"/>
      </left>
      <right style="thin">
        <color theme="0" tint="-0.14996795556505021"/>
      </right>
      <top style="hair">
        <color theme="0" tint="-0.499984740745262"/>
      </top>
      <bottom style="hair">
        <color theme="0" tint="-0.499984740745262"/>
      </bottom>
      <diagonal/>
    </border>
    <border>
      <left/>
      <right style="thin">
        <color theme="0" tint="-0.14996795556505021"/>
      </right>
      <top style="double">
        <color indexed="64"/>
      </top>
      <bottom style="hair">
        <color theme="0" tint="-0.499984740745262"/>
      </bottom>
      <diagonal/>
    </border>
    <border>
      <left/>
      <right style="thin">
        <color theme="0" tint="-0.14996795556505021"/>
      </right>
      <top style="hair">
        <color theme="0" tint="-0.499984740745262"/>
      </top>
      <bottom style="hair">
        <color theme="0" tint="-0.499984740745262"/>
      </bottom>
      <diagonal/>
    </border>
    <border>
      <left/>
      <right/>
      <top style="thin">
        <color theme="1"/>
      </top>
      <bottom/>
      <diagonal/>
    </border>
    <border>
      <left style="thin">
        <color theme="0" tint="-0.14996795556505021"/>
      </left>
      <right style="thin">
        <color theme="0" tint="-0.14996795556505021"/>
      </right>
      <top style="hair">
        <color theme="0" tint="-0.499984740745262"/>
      </top>
      <bottom style="thin">
        <color theme="1"/>
      </bottom>
      <diagonal/>
    </border>
    <border>
      <left style="thin">
        <color indexed="64"/>
      </left>
      <right style="thin">
        <color indexed="64"/>
      </right>
      <top style="thin">
        <color indexed="64"/>
      </top>
      <bottom style="thin">
        <color indexed="64"/>
      </bottom>
      <diagonal/>
    </border>
    <border>
      <left style="thin">
        <color theme="0" tint="-0.14996795556505021"/>
      </left>
      <right/>
      <top style="double">
        <color indexed="64"/>
      </top>
      <bottom style="hair">
        <color theme="0" tint="-0.499984740745262"/>
      </bottom>
      <diagonal/>
    </border>
    <border>
      <left style="thin">
        <color theme="0" tint="-0.14996795556505021"/>
      </left>
      <right/>
      <top style="hair">
        <color theme="0" tint="-0.499984740745262"/>
      </top>
      <bottom style="hair">
        <color theme="0" tint="-0.499984740745262"/>
      </bottom>
      <diagonal/>
    </border>
    <border>
      <left style="thin">
        <color theme="0" tint="-0.14996795556505021"/>
      </left>
      <right/>
      <top style="hair">
        <color theme="0" tint="-0.499984740745262"/>
      </top>
      <bottom style="thin">
        <color theme="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theme="0" tint="-0.14996795556505021"/>
      </right>
      <top style="double">
        <color indexed="64"/>
      </top>
      <bottom style="hair">
        <color theme="0" tint="-0.499984740745262"/>
      </bottom>
      <diagonal/>
    </border>
    <border>
      <left style="thin">
        <color theme="0" tint="-0.14996795556505021"/>
      </left>
      <right style="thin">
        <color indexed="64"/>
      </right>
      <top style="double">
        <color indexed="64"/>
      </top>
      <bottom style="hair">
        <color theme="0" tint="-0.499984740745262"/>
      </bottom>
      <diagonal/>
    </border>
    <border>
      <left style="thin">
        <color indexed="64"/>
      </left>
      <right style="thin">
        <color theme="0" tint="-0.14996795556505021"/>
      </right>
      <top style="hair">
        <color theme="0" tint="-0.499984740745262"/>
      </top>
      <bottom style="hair">
        <color theme="0" tint="-0.499984740745262"/>
      </bottom>
      <diagonal/>
    </border>
    <border>
      <left style="thin">
        <color theme="0" tint="-0.14996795556505021"/>
      </left>
      <right style="thin">
        <color indexed="64"/>
      </right>
      <top style="hair">
        <color theme="0" tint="-0.499984740745262"/>
      </top>
      <bottom style="hair">
        <color theme="0" tint="-0.499984740745262"/>
      </bottom>
      <diagonal/>
    </border>
    <border>
      <left style="thin">
        <color indexed="64"/>
      </left>
      <right style="thin">
        <color theme="0" tint="-0.14996795556505021"/>
      </right>
      <top style="hair">
        <color theme="0" tint="-0.499984740745262"/>
      </top>
      <bottom style="thin">
        <color indexed="64"/>
      </bottom>
      <diagonal/>
    </border>
    <border>
      <left style="thin">
        <color theme="0" tint="-0.14996795556505021"/>
      </left>
      <right style="thin">
        <color theme="0" tint="-0.14996795556505021"/>
      </right>
      <top style="hair">
        <color theme="0" tint="-0.499984740745262"/>
      </top>
      <bottom style="thin">
        <color indexed="64"/>
      </bottom>
      <diagonal/>
    </border>
    <border>
      <left style="thin">
        <color theme="0" tint="-0.14996795556505021"/>
      </left>
      <right style="thin">
        <color indexed="64"/>
      </right>
      <top style="hair">
        <color theme="0" tint="-0.499984740745262"/>
      </top>
      <bottom style="thin">
        <color indexed="64"/>
      </bottom>
      <diagonal/>
    </border>
    <border>
      <left/>
      <right style="thin">
        <color theme="0" tint="-0.14996795556505021"/>
      </right>
      <top style="hair">
        <color theme="0" tint="-0.499984740745262"/>
      </top>
      <bottom style="thin">
        <color theme="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thin">
        <color theme="0" tint="-0.14996795556505021"/>
      </left>
      <right style="thin">
        <color indexed="64"/>
      </right>
      <top style="hair">
        <color theme="0" tint="-0.34998626667073579"/>
      </top>
      <bottom style="hair">
        <color theme="0" tint="-0.499984740745262"/>
      </bottom>
      <diagonal/>
    </border>
    <border>
      <left style="thin">
        <color theme="0" tint="-0.14996795556505021"/>
      </left>
      <right style="thin">
        <color indexed="64"/>
      </right>
      <top style="double">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auto="1"/>
      </top>
      <bottom style="hair">
        <color auto="1"/>
      </bottom>
      <diagonal/>
    </border>
    <border>
      <left/>
      <right style="thin">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top/>
      <bottom style="thick">
        <color theme="3"/>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style="thin">
        <color indexed="64"/>
      </top>
      <bottom style="thin">
        <color indexed="64"/>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style="thin">
        <color indexed="64"/>
      </top>
      <bottom/>
      <diagonal/>
    </border>
    <border>
      <left/>
      <right style="thin">
        <color indexed="64"/>
      </right>
      <top style="thin">
        <color indexed="64"/>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auto="1"/>
      </left>
      <right style="thin">
        <color indexed="64"/>
      </right>
      <top/>
      <bottom/>
      <diagonal/>
    </border>
    <border>
      <left style="thin">
        <color indexed="64"/>
      </left>
      <right style="thin">
        <color theme="0" tint="-0.14996795556505021"/>
      </right>
      <top style="double">
        <color indexed="64"/>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top style="hair">
        <color theme="0" tint="-4.9989318521683403E-2"/>
      </top>
      <bottom style="hair">
        <color theme="0" tint="-4.9989318521683403E-2"/>
      </bottom>
      <diagonal/>
    </border>
    <border>
      <left/>
      <right/>
      <top style="hair">
        <color theme="0" tint="-4.9989318521683403E-2"/>
      </top>
      <bottom style="hair">
        <color theme="0" tint="-4.9989318521683403E-2"/>
      </bottom>
      <diagonal/>
    </border>
    <border>
      <left/>
      <right style="thin">
        <color theme="0" tint="-0.14990691854609822"/>
      </right>
      <top style="hair">
        <color theme="0" tint="-4.9989318521683403E-2"/>
      </top>
      <bottom style="hair">
        <color theme="0" tint="-4.9989318521683403E-2"/>
      </bottom>
      <diagonal/>
    </border>
    <border>
      <left/>
      <right/>
      <top style="thin">
        <color theme="0" tint="-0.14993743705557422"/>
      </top>
      <bottom style="hair">
        <color theme="0" tint="-0.14996795556505021"/>
      </bottom>
      <diagonal/>
    </border>
    <border>
      <left style="thin">
        <color theme="1"/>
      </left>
      <right/>
      <top style="hair">
        <color theme="0" tint="-4.9989318521683403E-2"/>
      </top>
      <bottom style="hair">
        <color theme="0" tint="-4.9989318521683403E-2"/>
      </bottom>
      <diagonal/>
    </border>
    <border>
      <left/>
      <right/>
      <top style="hair">
        <color theme="0" tint="-0.14996795556505021"/>
      </top>
      <bottom style="hair">
        <color theme="0" tint="-0.14996795556505021"/>
      </bottom>
      <diagonal/>
    </border>
    <border>
      <left/>
      <right/>
      <top style="hair">
        <color theme="0" tint="-0.14996795556505021"/>
      </top>
      <bottom style="thin">
        <color theme="0" tint="-0.14993743705557422"/>
      </bottom>
      <diagonal/>
    </border>
    <border>
      <left/>
      <right style="thin">
        <color theme="0" tint="-0.14990691854609822"/>
      </right>
      <top/>
      <bottom style="hair">
        <color theme="0" tint="-4.9989318521683403E-2"/>
      </bottom>
      <diagonal/>
    </border>
    <border>
      <left/>
      <right/>
      <top/>
      <bottom style="hair">
        <color theme="0" tint="-4.9989318521683403E-2"/>
      </bottom>
      <diagonal/>
    </border>
    <border>
      <left style="thin">
        <color theme="0" tint="-0.14996795556505021"/>
      </left>
      <right/>
      <top/>
      <bottom style="hair">
        <color theme="0" tint="-4.9989318521683403E-2"/>
      </bottom>
      <diagonal/>
    </border>
    <border>
      <left/>
      <right/>
      <top/>
      <bottom style="hair">
        <color theme="0" tint="-0.14996795556505021"/>
      </bottom>
      <diagonal/>
    </border>
    <border>
      <left/>
      <right style="thin">
        <color theme="0" tint="-0.14990691854609822"/>
      </right>
      <top style="hair">
        <color theme="0" tint="-4.9989318521683403E-2"/>
      </top>
      <bottom/>
      <diagonal/>
    </border>
    <border>
      <left/>
      <right/>
      <top style="hair">
        <color theme="0" tint="-4.9989318521683403E-2"/>
      </top>
      <bottom/>
      <diagonal/>
    </border>
    <border>
      <left style="thin">
        <color theme="0" tint="-0.14996795556505021"/>
      </left>
      <right/>
      <top style="hair">
        <color theme="0" tint="-4.9989318521683403E-2"/>
      </top>
      <bottom/>
      <diagonal/>
    </border>
    <border>
      <left/>
      <right style="thin">
        <color theme="0" tint="-0.14990691854609822"/>
      </right>
      <top style="thin">
        <color theme="0" tint="-0.34998626667073579"/>
      </top>
      <bottom style="hair">
        <color theme="0" tint="-4.9989318521683403E-2"/>
      </bottom>
      <diagonal/>
    </border>
    <border>
      <left/>
      <right/>
      <top style="thin">
        <color theme="0" tint="-0.34998626667073579"/>
      </top>
      <bottom style="hair">
        <color theme="0" tint="-4.9989318521683403E-2"/>
      </bottom>
      <diagonal/>
    </border>
    <border>
      <left style="thin">
        <color theme="0" tint="-0.14996795556505021"/>
      </left>
      <right/>
      <top style="thin">
        <color theme="0" tint="-0.34998626667073579"/>
      </top>
      <bottom style="hair">
        <color theme="0" tint="-4.9989318521683403E-2"/>
      </bottom>
      <diagonal/>
    </border>
    <border>
      <left/>
      <right style="thin">
        <color theme="0" tint="-0.14990691854609822"/>
      </right>
      <top style="hair">
        <color theme="0" tint="-4.9989318521683403E-2"/>
      </top>
      <bottom style="thin">
        <color theme="0" tint="-0.34998626667073579"/>
      </bottom>
      <diagonal/>
    </border>
    <border>
      <left/>
      <right/>
      <top style="hair">
        <color theme="0" tint="-4.9989318521683403E-2"/>
      </top>
      <bottom style="thin">
        <color theme="0" tint="-0.34998626667073579"/>
      </bottom>
      <diagonal/>
    </border>
    <border>
      <left style="thin">
        <color theme="0" tint="-0.14996795556505021"/>
      </left>
      <right/>
      <top style="hair">
        <color theme="0" tint="-4.9989318521683403E-2"/>
      </top>
      <bottom style="thin">
        <color theme="0" tint="-0.34998626667073579"/>
      </bottom>
      <diagonal/>
    </border>
    <border>
      <left/>
      <right/>
      <top style="hair">
        <color theme="0" tint="-0.14996795556505021"/>
      </top>
      <bottom/>
      <diagonal/>
    </border>
    <border>
      <left style="thin">
        <color indexed="64"/>
      </left>
      <right/>
      <top style="hair">
        <color theme="0" tint="-4.9989318521683403E-2"/>
      </top>
      <bottom style="hair">
        <color theme="0" tint="-4.9989318521683403E-2"/>
      </bottom>
      <diagonal/>
    </border>
    <border>
      <left/>
      <right style="thin">
        <color indexed="64"/>
      </right>
      <top style="hair">
        <color theme="0" tint="-4.9989318521683403E-2"/>
      </top>
      <bottom style="hair">
        <color theme="0" tint="-4.9989318521683403E-2"/>
      </bottom>
      <diagonal/>
    </border>
    <border>
      <left style="thin">
        <color indexed="64"/>
      </left>
      <right/>
      <top style="hair">
        <color theme="0" tint="-4.9989318521683403E-2"/>
      </top>
      <bottom/>
      <diagonal/>
    </border>
    <border>
      <left/>
      <right style="thin">
        <color indexed="64"/>
      </right>
      <top style="hair">
        <color theme="0" tint="-4.9989318521683403E-2"/>
      </top>
      <bottom/>
      <diagonal/>
    </border>
    <border>
      <left style="thin">
        <color indexed="64"/>
      </left>
      <right/>
      <top style="thin">
        <color theme="0" tint="-0.34998626667073579"/>
      </top>
      <bottom style="hair">
        <color theme="0" tint="-4.9989318521683403E-2"/>
      </bottom>
      <diagonal/>
    </border>
    <border>
      <left/>
      <right style="thin">
        <color indexed="64"/>
      </right>
      <top style="thin">
        <color theme="0" tint="-0.34998626667073579"/>
      </top>
      <bottom style="hair">
        <color theme="0" tint="-4.9989318521683403E-2"/>
      </bottom>
      <diagonal/>
    </border>
    <border>
      <left style="thin">
        <color indexed="64"/>
      </left>
      <right/>
      <top style="hair">
        <color theme="0" tint="-4.9989318521683403E-2"/>
      </top>
      <bottom style="thin">
        <color theme="0" tint="-0.34998626667073579"/>
      </bottom>
      <diagonal/>
    </border>
    <border>
      <left/>
      <right style="thin">
        <color indexed="64"/>
      </right>
      <top style="hair">
        <color theme="0" tint="-4.9989318521683403E-2"/>
      </top>
      <bottom style="thin">
        <color theme="0" tint="-0.34998626667073579"/>
      </bottom>
      <diagonal/>
    </border>
    <border>
      <left style="thin">
        <color indexed="64"/>
      </left>
      <right style="thin">
        <color theme="0" tint="-0.14996795556505021"/>
      </right>
      <top style="thin">
        <color theme="0" tint="-0.14993743705557422"/>
      </top>
      <bottom style="thin">
        <color theme="0" tint="-0.14996795556505021"/>
      </bottom>
      <diagonal/>
    </border>
    <border>
      <left style="thin">
        <color indexed="64"/>
      </left>
      <right style="thin">
        <color theme="0" tint="-0.14996795556505021"/>
      </right>
      <top style="thin">
        <color theme="0" tint="-0.14996795556505021"/>
      </top>
      <bottom style="thin">
        <color theme="0" tint="-0.14993743705557422"/>
      </bottom>
      <diagonal/>
    </border>
    <border>
      <left style="thin">
        <color indexed="64"/>
      </left>
      <right style="thin">
        <color theme="0" tint="-0.14996795556505021"/>
      </right>
      <top style="thin">
        <color theme="0" tint="-0.14996795556505021"/>
      </top>
      <bottom/>
      <diagonal/>
    </border>
    <border>
      <left style="thin">
        <color indexed="64"/>
      </left>
      <right style="thin">
        <color theme="0" tint="-0.14996795556505021"/>
      </right>
      <top/>
      <bottom style="thin">
        <color theme="0" tint="-0.14996795556505021"/>
      </bottom>
      <diagonal/>
    </border>
    <border>
      <left style="thin">
        <color indexed="64"/>
      </left>
      <right/>
      <top/>
      <bottom style="hair">
        <color theme="0" tint="-4.9989318521683403E-2"/>
      </bottom>
      <diagonal/>
    </border>
    <border>
      <left/>
      <right style="thin">
        <color indexed="64"/>
      </right>
      <top/>
      <bottom style="hair">
        <color theme="0" tint="-4.9989318521683403E-2"/>
      </bottom>
      <diagonal/>
    </border>
    <border>
      <left style="thin">
        <color indexed="64"/>
      </left>
      <right style="thin">
        <color theme="0" tint="-0.14996795556505021"/>
      </right>
      <top style="double">
        <color indexed="64"/>
      </top>
      <bottom style="hair">
        <color theme="0" tint="-0.24994659260841701"/>
      </bottom>
      <diagonal/>
    </border>
    <border>
      <left style="thin">
        <color theme="0" tint="-0.14996795556505021"/>
      </left>
      <right style="thin">
        <color theme="0" tint="-0.14996795556505021"/>
      </right>
      <top style="double">
        <color indexed="64"/>
      </top>
      <bottom style="hair">
        <color theme="0" tint="-0.24994659260841701"/>
      </bottom>
      <diagonal/>
    </border>
    <border>
      <left style="thin">
        <color theme="0" tint="-0.14996795556505021"/>
      </left>
      <right style="thin">
        <color indexed="64"/>
      </right>
      <top style="double">
        <color indexed="64"/>
      </top>
      <bottom style="hair">
        <color theme="0" tint="-0.24994659260841701"/>
      </bottom>
      <diagonal/>
    </border>
    <border>
      <left style="thin">
        <color indexed="64"/>
      </left>
      <right style="thin">
        <color theme="0" tint="-0.14996795556505021"/>
      </right>
      <top style="hair">
        <color theme="0" tint="-0.24994659260841701"/>
      </top>
      <bottom style="hair">
        <color theme="0" tint="-0.24994659260841701"/>
      </bottom>
      <diagonal/>
    </border>
    <border>
      <left style="thin">
        <color theme="0" tint="-0.14996795556505021"/>
      </left>
      <right style="thin">
        <color theme="0" tint="-0.14996795556505021"/>
      </right>
      <top style="hair">
        <color theme="0" tint="-0.24994659260841701"/>
      </top>
      <bottom style="hair">
        <color theme="0" tint="-0.24994659260841701"/>
      </bottom>
      <diagonal/>
    </border>
    <border>
      <left style="thin">
        <color theme="0" tint="-0.14996795556505021"/>
      </left>
      <right style="thin">
        <color indexed="64"/>
      </right>
      <top style="hair">
        <color theme="0" tint="-0.24994659260841701"/>
      </top>
      <bottom style="hair">
        <color theme="0" tint="-0.24994659260841701"/>
      </bottom>
      <diagonal/>
    </border>
    <border>
      <left style="thin">
        <color theme="0" tint="-0.14996795556505021"/>
      </left>
      <right/>
      <top style="double">
        <color indexed="64"/>
      </top>
      <bottom style="hair">
        <color theme="0" tint="-0.24994659260841701"/>
      </bottom>
      <diagonal/>
    </border>
    <border>
      <left style="thin">
        <color theme="0" tint="-0.14996795556505021"/>
      </left>
      <right/>
      <top style="hair">
        <color theme="0" tint="-0.24994659260841701"/>
      </top>
      <bottom style="hair">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indexed="64"/>
      </left>
      <right/>
      <top style="hair">
        <color theme="0" tint="-0.14996795556505021"/>
      </top>
      <bottom style="thin">
        <color indexed="64"/>
      </bottom>
      <diagonal/>
    </border>
    <border>
      <left style="thin">
        <color theme="0" tint="-0.14996795556505021"/>
      </left>
      <right style="thin">
        <color indexed="64"/>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right style="medium">
        <color indexed="64"/>
      </right>
      <top style="thin">
        <color theme="1" tint="0.499984740745262"/>
      </top>
      <bottom style="hair">
        <color theme="1" tint="0.499984740745262"/>
      </bottom>
      <diagonal/>
    </border>
    <border>
      <left style="medium">
        <color indexed="64"/>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medium">
        <color indexed="64"/>
      </right>
      <top style="hair">
        <color theme="1" tint="0.499984740745262"/>
      </top>
      <bottom style="hair">
        <color theme="1" tint="0.499984740745262"/>
      </bottom>
      <diagonal/>
    </border>
    <border>
      <left style="medium">
        <color indexed="64"/>
      </left>
      <right/>
      <top style="hair">
        <color theme="1" tint="0.499984740745262"/>
      </top>
      <bottom style="thin">
        <color theme="1" tint="0.499984740745262"/>
      </bottom>
      <diagonal/>
    </border>
    <border>
      <left/>
      <right/>
      <top style="hair">
        <color theme="1" tint="0.499984740745262"/>
      </top>
      <bottom style="thin">
        <color theme="1" tint="0.499984740745262"/>
      </bottom>
      <diagonal/>
    </border>
    <border>
      <left/>
      <right style="medium">
        <color indexed="64"/>
      </right>
      <top style="hair">
        <color theme="1" tint="0.499984740745262"/>
      </top>
      <bottom style="thin">
        <color theme="1" tint="0.49998474074526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top/>
      <bottom style="double">
        <color rgb="FFFF8001"/>
      </bottom>
      <diagonal/>
    </border>
    <border>
      <left style="medium">
        <color indexed="64"/>
      </left>
      <right/>
      <top style="medium">
        <color indexed="64"/>
      </top>
      <bottom style="thin">
        <color theme="1" tint="0.499984740745262"/>
      </bottom>
      <diagonal/>
    </border>
    <border>
      <left style="medium">
        <color theme="1" tint="0.499984740745262"/>
      </left>
      <right style="medium">
        <color indexed="64"/>
      </right>
      <top style="medium">
        <color indexed="64"/>
      </top>
      <bottom style="medium">
        <color theme="1" tint="0.499984740745262"/>
      </bottom>
      <diagonal/>
    </border>
    <border>
      <left style="medium">
        <color indexed="64"/>
      </left>
      <right/>
      <top style="thin">
        <color theme="1" tint="0.499984740745262"/>
      </top>
      <bottom style="thin">
        <color theme="1" tint="0.499984740745262"/>
      </bottom>
      <diagonal/>
    </border>
    <border>
      <left style="medium">
        <color theme="1" tint="0.499984740745262"/>
      </left>
      <right style="medium">
        <color indexed="64"/>
      </right>
      <top style="medium">
        <color theme="1" tint="0.499984740745262"/>
      </top>
      <bottom style="medium">
        <color theme="1" tint="0.499984740745262"/>
      </bottom>
      <diagonal/>
    </border>
    <border>
      <left style="medium">
        <color indexed="64"/>
      </left>
      <right/>
      <top style="thin">
        <color theme="1" tint="0.499984740745262"/>
      </top>
      <bottom/>
      <diagonal/>
    </border>
    <border>
      <left style="medium">
        <color theme="1" tint="0.499984740745262"/>
      </left>
      <right style="medium">
        <color indexed="64"/>
      </right>
      <top style="medium">
        <color theme="1" tint="0.499984740745262"/>
      </top>
      <bottom/>
      <diagonal/>
    </border>
    <border>
      <left style="thin">
        <color theme="1" tint="0.499984740745262"/>
      </left>
      <right/>
      <top style="double">
        <color rgb="FFFF8001"/>
      </top>
      <bottom style="thin">
        <color theme="1" tint="0.499984740745262"/>
      </bottom>
      <diagonal/>
    </border>
    <border>
      <left/>
      <right/>
      <top style="double">
        <color rgb="FFFF8001"/>
      </top>
      <bottom style="thin">
        <color theme="1" tint="0.499984740745262"/>
      </bottom>
      <diagonal/>
    </border>
    <border>
      <left/>
      <right style="thin">
        <color theme="1" tint="0.499984740745262"/>
      </right>
      <top style="double">
        <color rgb="FFFF8001"/>
      </top>
      <bottom style="thin">
        <color theme="1" tint="0.499984740745262"/>
      </bottom>
      <diagonal/>
    </border>
    <border>
      <left/>
      <right/>
      <top style="medium">
        <color indexed="64"/>
      </top>
      <bottom style="thin">
        <color theme="1" tint="0.499984740745262"/>
      </bottom>
      <diagonal/>
    </border>
    <border>
      <left/>
      <right/>
      <top style="thin">
        <color theme="1" tint="0.499984740745262"/>
      </top>
      <bottom style="thin">
        <color theme="1" tint="0.499984740745262"/>
      </bottom>
      <diagonal/>
    </border>
    <border>
      <left style="medium">
        <color indexed="64"/>
      </left>
      <right/>
      <top style="thin">
        <color theme="1" tint="0.499984740745262"/>
      </top>
      <bottom style="medium">
        <color indexed="64"/>
      </bottom>
      <diagonal/>
    </border>
    <border>
      <left/>
      <right/>
      <top style="thin">
        <color theme="1" tint="0.499984740745262"/>
      </top>
      <bottom style="medium">
        <color indexed="64"/>
      </bottom>
      <diagonal/>
    </border>
    <border>
      <left style="thin">
        <color theme="1" tint="0.499984740745262"/>
      </left>
      <right/>
      <top style="medium">
        <color theme="1" tint="0.499984740745262"/>
      </top>
      <bottom style="hair">
        <color theme="1" tint="0.499984740745262"/>
      </bottom>
      <diagonal/>
    </border>
    <border>
      <left style="medium">
        <color theme="1" tint="0.499984740745262"/>
      </left>
      <right style="thin">
        <color theme="1" tint="0.499984740745262"/>
      </right>
      <top style="medium">
        <color theme="1" tint="0.499984740745262"/>
      </top>
      <bottom style="hair">
        <color theme="1" tint="0.499984740745262"/>
      </bottom>
      <diagonal/>
    </border>
    <border>
      <left style="thin">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top style="medium">
        <color theme="1" tint="0.499984740745262"/>
      </top>
      <bottom style="hair">
        <color theme="1" tint="0.499984740745262"/>
      </bottom>
      <diagonal/>
    </border>
    <border>
      <left style="thin">
        <color theme="0" tint="-0.14996795556505021"/>
      </left>
      <right/>
      <top style="hair">
        <color theme="0" tint="-0.499984740745262"/>
      </top>
      <bottom style="thin">
        <color indexed="64"/>
      </bottom>
      <diagonal/>
    </border>
    <border>
      <left style="thin">
        <color theme="0" tint="-0.14996795556505021"/>
      </left>
      <right style="thin">
        <color indexed="64"/>
      </right>
      <top style="hair">
        <color theme="0" tint="-0.34998626667073579"/>
      </top>
      <bottom style="thin">
        <color indexed="64"/>
      </bottom>
      <diagonal/>
    </border>
    <border>
      <left style="thin">
        <color indexed="64"/>
      </left>
      <right style="thin">
        <color theme="0" tint="-0.14996795556505021"/>
      </right>
      <top style="thin">
        <color indexed="64"/>
      </top>
      <bottom style="hair">
        <color theme="0" tint="-0.499984740745262"/>
      </bottom>
      <diagonal/>
    </border>
    <border>
      <left style="thin">
        <color theme="0" tint="-0.14996795556505021"/>
      </left>
      <right style="thin">
        <color theme="0" tint="-0.14996795556505021"/>
      </right>
      <top style="thin">
        <color indexed="64"/>
      </top>
      <bottom style="hair">
        <color theme="0" tint="-0.499984740745262"/>
      </bottom>
      <diagonal/>
    </border>
    <border>
      <left style="thin">
        <color theme="0" tint="-0.14996795556505021"/>
      </left>
      <right/>
      <top style="thin">
        <color indexed="64"/>
      </top>
      <bottom style="hair">
        <color theme="0" tint="-0.499984740745262"/>
      </bottom>
      <diagonal/>
    </border>
    <border>
      <left style="thin">
        <color theme="0" tint="-0.14996795556505021"/>
      </left>
      <right style="thin">
        <color indexed="64"/>
      </right>
      <top style="thin">
        <color indexed="64"/>
      </top>
      <bottom style="hair">
        <color theme="0" tint="-0.499984740745262"/>
      </bottom>
      <diagonal/>
    </border>
    <border>
      <left style="thin">
        <color theme="0"/>
      </left>
      <right style="thin">
        <color theme="0"/>
      </right>
      <top style="thick">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ck">
        <color theme="0"/>
      </bottom>
      <diagonal/>
    </border>
    <border>
      <left style="thick">
        <color theme="0"/>
      </left>
      <right style="thin">
        <color theme="0"/>
      </right>
      <top style="thick">
        <color theme="0"/>
      </top>
      <bottom style="thick">
        <color theme="0"/>
      </bottom>
      <diagonal/>
    </border>
    <border>
      <left style="thin">
        <color indexed="64"/>
      </left>
      <right style="thin">
        <color theme="0" tint="-0.14996795556505021"/>
      </right>
      <top style="hair">
        <color theme="2" tint="-9.9948118533890809E-2"/>
      </top>
      <bottom style="hair">
        <color theme="2" tint="-9.9948118533890809E-2"/>
      </bottom>
      <diagonal/>
    </border>
    <border>
      <left style="thin">
        <color theme="0" tint="-0.14996795556505021"/>
      </left>
      <right style="thin">
        <color indexed="64"/>
      </right>
      <top style="double">
        <color indexed="64"/>
      </top>
      <bottom style="thin">
        <color theme="0" tint="-0.14993743705557422"/>
      </bottom>
      <diagonal/>
    </border>
    <border>
      <left style="thin">
        <color theme="0" tint="-0.14996795556505021"/>
      </left>
      <right style="thin">
        <color indexed="64"/>
      </right>
      <top/>
      <bottom style="hair">
        <color theme="0" tint="-0.24994659260841701"/>
      </bottom>
      <diagonal/>
    </border>
    <border>
      <left style="thin">
        <color indexed="64"/>
      </left>
      <right/>
      <top style="double">
        <color indexed="64"/>
      </top>
      <bottom style="hair">
        <color theme="0" tint="-0.499984740745262"/>
      </bottom>
      <diagonal/>
    </border>
    <border>
      <left style="thin">
        <color indexed="64"/>
      </left>
      <right/>
      <top style="hair">
        <color theme="0" tint="-0.499984740745262"/>
      </top>
      <bottom style="hair">
        <color theme="0"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right style="thin">
        <color theme="0" tint="-0.14990691854609822"/>
      </right>
      <top/>
      <bottom/>
      <diagonal/>
    </border>
    <border>
      <left/>
      <right style="thin">
        <color theme="0" tint="-0.24994659260841701"/>
      </right>
      <top/>
      <bottom/>
      <diagonal/>
    </border>
    <border>
      <left style="thin">
        <color theme="0" tint="-0.14996795556505021"/>
      </left>
      <right/>
      <top style="thin">
        <color indexed="64"/>
      </top>
      <bottom/>
      <diagonal/>
    </border>
    <border>
      <left style="thin">
        <color indexed="64"/>
      </left>
      <right style="thin">
        <color theme="0" tint="-0.14996795556505021"/>
      </right>
      <top style="thin">
        <color indexed="64"/>
      </top>
      <bottom/>
      <diagonal/>
    </border>
    <border>
      <left style="thin">
        <color indexed="64"/>
      </left>
      <right style="thin">
        <color indexed="64"/>
      </right>
      <top style="hair">
        <color theme="0" tint="-0.14996795556505021"/>
      </top>
      <bottom style="thin">
        <color indexed="64"/>
      </bottom>
      <diagonal/>
    </border>
    <border>
      <left style="thin">
        <color indexed="64"/>
      </left>
      <right style="thin">
        <color theme="0" tint="-0.14996795556505021"/>
      </right>
      <top style="hair">
        <color theme="0" tint="-0.499984740745262"/>
      </top>
      <bottom/>
      <diagonal/>
    </border>
    <border>
      <left style="thin">
        <color theme="0" tint="-0.14996795556505021"/>
      </left>
      <right style="thin">
        <color theme="0" tint="-0.14996795556505021"/>
      </right>
      <top style="hair">
        <color theme="0" tint="-0.499984740745262"/>
      </top>
      <bottom/>
      <diagonal/>
    </border>
    <border>
      <left style="thin">
        <color theme="0" tint="-0.14996795556505021"/>
      </left>
      <right/>
      <top style="hair">
        <color theme="0" tint="-0.499984740745262"/>
      </top>
      <bottom/>
      <diagonal/>
    </border>
    <border>
      <left style="thin">
        <color theme="0" tint="-0.14996795556505021"/>
      </left>
      <right style="thin">
        <color indexed="64"/>
      </right>
      <top style="hair">
        <color theme="0" tint="-0.499984740745262"/>
      </top>
      <bottom/>
      <diagonal/>
    </border>
    <border>
      <left style="thin">
        <color theme="0" tint="-0.14996795556505021"/>
      </left>
      <right style="thin">
        <color indexed="64"/>
      </right>
      <top style="hair">
        <color theme="0" tint="-0.34998626667073579"/>
      </top>
      <bottom/>
      <diagonal/>
    </border>
    <border>
      <left style="thin">
        <color indexed="64"/>
      </left>
      <right style="thin">
        <color theme="0" tint="-0.14996795556505021"/>
      </right>
      <top/>
      <bottom style="hair">
        <color theme="0" tint="-0.499984740745262"/>
      </bottom>
      <diagonal/>
    </border>
    <border>
      <left style="thin">
        <color theme="0" tint="-0.14996795556505021"/>
      </left>
      <right style="thin">
        <color theme="0" tint="-0.14996795556505021"/>
      </right>
      <top/>
      <bottom style="hair">
        <color theme="0" tint="-0.499984740745262"/>
      </bottom>
      <diagonal/>
    </border>
    <border>
      <left style="thin">
        <color theme="0" tint="-0.14996795556505021"/>
      </left>
      <right/>
      <top/>
      <bottom style="hair">
        <color theme="0" tint="-0.499984740745262"/>
      </bottom>
      <diagonal/>
    </border>
    <border>
      <left style="thin">
        <color theme="0" tint="-0.14996795556505021"/>
      </left>
      <right style="thin">
        <color indexed="64"/>
      </right>
      <top/>
      <bottom style="hair">
        <color theme="0" tint="-0.499984740745262"/>
      </bottom>
      <diagonal/>
    </border>
    <border>
      <left style="medium">
        <color indexed="64"/>
      </left>
      <right style="medium">
        <color indexed="64"/>
      </right>
      <top/>
      <bottom style="thin">
        <color indexed="64"/>
      </bottom>
      <diagonal/>
    </border>
    <border>
      <left style="double">
        <color rgb="FF3F3F3F"/>
      </left>
      <right style="medium">
        <color indexed="64"/>
      </right>
      <top style="double">
        <color rgb="FF3F3F3F"/>
      </top>
      <bottom style="double">
        <color rgb="FF3F3F3F"/>
      </bottom>
      <diagonal/>
    </border>
    <border>
      <left style="double">
        <color rgb="FF3F3F3F"/>
      </left>
      <right style="medium">
        <color indexed="64"/>
      </right>
      <top style="double">
        <color rgb="FF3F3F3F"/>
      </top>
      <bottom style="medium">
        <color indexed="64"/>
      </bottom>
      <diagonal/>
    </border>
    <border>
      <left style="thin">
        <color indexed="64"/>
      </left>
      <right/>
      <top/>
      <bottom style="hair">
        <color theme="0" tint="-0.14996795556505021"/>
      </bottom>
      <diagonal/>
    </border>
    <border>
      <left style="thin">
        <color indexed="64"/>
      </left>
      <right style="thin">
        <color indexed="64"/>
      </right>
      <top/>
      <bottom style="hair">
        <color theme="0" tint="-0.14996795556505021"/>
      </bottom>
      <diagonal/>
    </border>
    <border>
      <left style="thin">
        <color theme="0" tint="-0.14993743705557422"/>
      </left>
      <right/>
      <top style="thin">
        <color indexed="64"/>
      </top>
      <bottom style="thin">
        <color indexed="64"/>
      </bottom>
      <diagonal/>
    </border>
    <border>
      <left/>
      <right style="thin">
        <color theme="0" tint="-0.14990691854609822"/>
      </right>
      <top style="thin">
        <color indexed="64"/>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right/>
      <top style="thick">
        <color theme="0"/>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indexed="64"/>
      </left>
      <right style="thin">
        <color theme="1" tint="0.499984740745262"/>
      </right>
      <top style="thin">
        <color indexed="64"/>
      </top>
      <bottom style="double">
        <color theme="1" tint="0.499984740745262"/>
      </bottom>
      <diagonal/>
    </border>
    <border>
      <left style="thin">
        <color theme="1" tint="0.499984740745262"/>
      </left>
      <right/>
      <top style="thin">
        <color indexed="64"/>
      </top>
      <bottom style="double">
        <color theme="1" tint="0.499984740745262"/>
      </bottom>
      <diagonal/>
    </border>
    <border>
      <left style="medium">
        <color theme="1" tint="0.499984740745262"/>
      </left>
      <right style="thin">
        <color theme="1" tint="0.499984740745262"/>
      </right>
      <top style="thin">
        <color indexed="64"/>
      </top>
      <bottom style="double">
        <color theme="1" tint="0.499984740745262"/>
      </bottom>
      <diagonal/>
    </border>
    <border>
      <left style="thin">
        <color theme="1" tint="0.499984740745262"/>
      </left>
      <right style="thin">
        <color theme="1" tint="0.499984740745262"/>
      </right>
      <top style="thin">
        <color indexed="64"/>
      </top>
      <bottom style="double">
        <color theme="1" tint="0.499984740745262"/>
      </bottom>
      <diagonal/>
    </border>
    <border>
      <left style="thin">
        <color theme="1" tint="0.499984740745262"/>
      </left>
      <right style="medium">
        <color theme="1" tint="0.499984740745262"/>
      </right>
      <top style="thin">
        <color indexed="64"/>
      </top>
      <bottom style="double">
        <color theme="1" tint="0.499984740745262"/>
      </bottom>
      <diagonal/>
    </border>
    <border>
      <left style="medium">
        <color theme="1" tint="0.499984740745262"/>
      </left>
      <right/>
      <top style="thin">
        <color indexed="64"/>
      </top>
      <bottom style="double">
        <color theme="1" tint="0.499984740745262"/>
      </bottom>
      <diagonal/>
    </border>
    <border>
      <left style="thin">
        <color theme="1" tint="0.499984740745262"/>
      </left>
      <right style="thin">
        <color indexed="64"/>
      </right>
      <top style="thin">
        <color indexed="64"/>
      </top>
      <bottom style="double">
        <color theme="1" tint="0.499984740745262"/>
      </bottom>
      <diagonal/>
    </border>
    <border>
      <left style="thin">
        <color indexed="64"/>
      </left>
      <right style="thin">
        <color theme="1" tint="0.499984740745262"/>
      </right>
      <top style="medium">
        <color theme="1" tint="0.499984740745262"/>
      </top>
      <bottom style="hair">
        <color theme="1" tint="0.499984740745262"/>
      </bottom>
      <diagonal/>
    </border>
    <border>
      <left style="thin">
        <color theme="1" tint="0.499984740745262"/>
      </left>
      <right style="thin">
        <color indexed="64"/>
      </right>
      <top style="medium">
        <color theme="1" tint="0.499984740745262"/>
      </top>
      <bottom style="hair">
        <color theme="1" tint="0.499984740745262"/>
      </bottom>
      <diagonal/>
    </border>
    <border>
      <left style="thin">
        <color indexed="64"/>
      </left>
      <right style="thin">
        <color theme="1" tint="0.499984740745262"/>
      </right>
      <top style="hair">
        <color theme="1" tint="0.499984740745262"/>
      </top>
      <bottom style="thin">
        <color indexed="64"/>
      </bottom>
      <diagonal/>
    </border>
    <border>
      <left style="thin">
        <color theme="1" tint="0.499984740745262"/>
      </left>
      <right/>
      <top style="hair">
        <color theme="1" tint="0.499984740745262"/>
      </top>
      <bottom style="thin">
        <color indexed="64"/>
      </bottom>
      <diagonal/>
    </border>
    <border>
      <left style="medium">
        <color theme="1" tint="0.499984740745262"/>
      </left>
      <right style="thin">
        <color theme="1" tint="0.499984740745262"/>
      </right>
      <top/>
      <bottom style="thin">
        <color indexed="64"/>
      </bottom>
      <diagonal/>
    </border>
    <border>
      <left style="medium">
        <color theme="1" tint="0.499984740745262"/>
      </left>
      <right/>
      <top/>
      <bottom style="thin">
        <color indexed="64"/>
      </bottom>
      <diagonal/>
    </border>
    <border>
      <left style="thin">
        <color theme="1" tint="0.499984740745262"/>
      </left>
      <right style="thin">
        <color indexed="64"/>
      </right>
      <top/>
      <bottom style="thin">
        <color indexed="64"/>
      </bottom>
      <diagonal/>
    </border>
    <border>
      <left/>
      <right/>
      <top style="thin">
        <color theme="0"/>
      </top>
      <bottom style="thin">
        <color theme="0"/>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style="thin">
        <color theme="1" tint="0.499984740745262"/>
      </top>
      <bottom style="hair">
        <color theme="0" tint="-0.24994659260841701"/>
      </bottom>
      <diagonal/>
    </border>
    <border>
      <left/>
      <right/>
      <top style="thin">
        <color theme="1" tint="0.499984740745262"/>
      </top>
      <bottom style="hair">
        <color theme="0" tint="-0.24994659260841701"/>
      </bottom>
      <diagonal/>
    </border>
    <border>
      <left/>
      <right style="medium">
        <color indexed="64"/>
      </right>
      <top style="thin">
        <color theme="1" tint="0.499984740745262"/>
      </top>
      <bottom style="hair">
        <color theme="0" tint="-0.24994659260841701"/>
      </bottom>
      <diagonal/>
    </border>
    <border>
      <left style="medium">
        <color indexed="64"/>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right style="medium">
        <color indexed="64"/>
      </right>
      <top style="hair">
        <color theme="0" tint="-0.24994659260841701"/>
      </top>
      <bottom style="hair">
        <color theme="0" tint="-0.24994659260841701"/>
      </bottom>
      <diagonal/>
    </border>
    <border>
      <left style="medium">
        <color indexed="64"/>
      </left>
      <right/>
      <top style="hair">
        <color theme="0" tint="-0.24994659260841701"/>
      </top>
      <bottom style="medium">
        <color indexed="64"/>
      </bottom>
      <diagonal/>
    </border>
    <border>
      <left/>
      <right/>
      <top style="hair">
        <color theme="0" tint="-0.24994659260841701"/>
      </top>
      <bottom style="medium">
        <color indexed="64"/>
      </bottom>
      <diagonal/>
    </border>
    <border>
      <left/>
      <right style="medium">
        <color indexed="64"/>
      </right>
      <top style="hair">
        <color theme="0" tint="-0.24994659260841701"/>
      </top>
      <bottom style="medium">
        <color indexed="64"/>
      </bottom>
      <diagonal/>
    </border>
    <border>
      <left/>
      <right/>
      <top/>
      <bottom style="thin">
        <color theme="0" tint="-0.34998626667073579"/>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indexed="64"/>
      </right>
      <top style="thin">
        <color theme="0" tint="-0.24994659260841701"/>
      </top>
      <bottom/>
      <diagonal/>
    </border>
    <border>
      <left style="double">
        <color theme="0" tint="-0.499984740745262"/>
      </left>
      <right style="double">
        <color theme="0" tint="-0.499984740745262"/>
      </right>
      <top style="double">
        <color theme="0" tint="-0.499984740745262"/>
      </top>
      <bottom/>
      <diagonal/>
    </border>
    <border>
      <left style="double">
        <color theme="0" tint="-0.499984740745262"/>
      </left>
      <right style="double">
        <color theme="0" tint="-0.499984740745262"/>
      </right>
      <top/>
      <bottom style="double">
        <color theme="0" tint="-0.499984740745262"/>
      </bottom>
      <diagonal/>
    </border>
    <border>
      <left/>
      <right style="double">
        <color theme="0" tint="-0.499984740745262"/>
      </right>
      <top/>
      <bottom/>
      <diagonal/>
    </border>
    <border>
      <left/>
      <right style="thin">
        <color theme="0" tint="-0.24994659260841701"/>
      </right>
      <top/>
      <bottom style="thin">
        <color indexed="64"/>
      </bottom>
      <diagonal/>
    </border>
    <border>
      <left/>
      <right style="thin">
        <color theme="0" tint="-0.24994659260841701"/>
      </right>
      <top/>
      <bottom style="hair">
        <color theme="0" tint="-4.9989318521683403E-2"/>
      </bottom>
      <diagonal/>
    </border>
    <border>
      <left/>
      <right style="thin">
        <color theme="0" tint="-0.24994659260841701"/>
      </right>
      <top style="hair">
        <color theme="0" tint="-4.9989318521683403E-2"/>
      </top>
      <bottom style="hair">
        <color theme="0" tint="-4.9989318521683403E-2"/>
      </bottom>
      <diagonal/>
    </border>
    <border>
      <left/>
      <right style="thin">
        <color theme="0" tint="-0.24994659260841701"/>
      </right>
      <top style="hair">
        <color theme="0" tint="-4.9989318521683403E-2"/>
      </top>
      <bottom/>
      <diagonal/>
    </border>
    <border>
      <left/>
      <right style="thin">
        <color theme="0" tint="-0.24994659260841701"/>
      </right>
      <top style="thin">
        <color theme="0" tint="-0.34998626667073579"/>
      </top>
      <bottom style="hair">
        <color theme="0" tint="-4.9989318521683403E-2"/>
      </bottom>
      <diagonal/>
    </border>
    <border>
      <left/>
      <right style="thin">
        <color theme="0" tint="-0.24994659260841701"/>
      </right>
      <top style="hair">
        <color theme="0" tint="-4.9989318521683403E-2"/>
      </top>
      <bottom style="thin">
        <color theme="0" tint="-0.34998626667073579"/>
      </bottom>
      <diagonal/>
    </border>
    <border>
      <left/>
      <right style="thin">
        <color theme="0" tint="-0.24994659260841701"/>
      </right>
      <top style="thin">
        <color indexed="64"/>
      </top>
      <bottom style="thin">
        <color indexed="64"/>
      </bottom>
      <diagonal/>
    </border>
    <border>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style="thin">
        <color theme="0" tint="-0.24994659260841701"/>
      </left>
      <right/>
      <top style="thin">
        <color indexed="64"/>
      </top>
      <bottom/>
      <diagonal/>
    </border>
    <border>
      <left style="thin">
        <color indexed="64"/>
      </left>
      <right style="thin">
        <color theme="0" tint="-0.24994659260841701"/>
      </right>
      <top style="thin">
        <color indexed="64"/>
      </top>
      <bottom/>
      <diagonal/>
    </border>
    <border>
      <left style="thin">
        <color indexed="64"/>
      </left>
      <right style="thin">
        <color theme="0" tint="-0.14996795556505021"/>
      </right>
      <top/>
      <bottom style="thin">
        <color indexed="64"/>
      </bottom>
      <diagonal/>
    </border>
    <border>
      <left style="thin">
        <color theme="0" tint="-0.14996795556505021"/>
      </left>
      <right/>
      <top/>
      <bottom style="thin">
        <color indexed="64"/>
      </bottom>
      <diagonal/>
    </border>
    <border>
      <left style="thin">
        <color theme="0" tint="-0.24994659260841701"/>
      </left>
      <right/>
      <top/>
      <bottom style="thin">
        <color indexed="64"/>
      </bottom>
      <diagonal/>
    </border>
    <border>
      <left style="thin">
        <color theme="0" tint="-0.499984740745262"/>
      </left>
      <right/>
      <top/>
      <bottom style="hair">
        <color theme="0" tint="-4.9989318521683403E-2"/>
      </bottom>
      <diagonal/>
    </border>
    <border>
      <left style="thin">
        <color theme="0" tint="-0.499984740745262"/>
      </left>
      <right/>
      <top style="hair">
        <color theme="0" tint="-4.9989318521683403E-2"/>
      </top>
      <bottom style="hair">
        <color theme="0" tint="-4.9989318521683403E-2"/>
      </bottom>
      <diagonal/>
    </border>
    <border>
      <left style="thin">
        <color theme="0" tint="-0.34998626667073579"/>
      </left>
      <right/>
      <top style="hair">
        <color theme="0" tint="-0.14996795556505021"/>
      </top>
      <bottom style="hair">
        <color theme="0" tint="-0.14996795556505021"/>
      </bottom>
      <diagonal/>
    </border>
    <border>
      <left style="thin">
        <color theme="0" tint="-0.499984740745262"/>
      </left>
      <right/>
      <top style="hair">
        <color theme="0" tint="-4.9989318521683403E-2"/>
      </top>
      <bottom/>
      <diagonal/>
    </border>
    <border>
      <left style="thin">
        <color theme="0" tint="-0.34998626667073579"/>
      </left>
      <right/>
      <top style="thin">
        <color theme="0" tint="-0.34998626667073579"/>
      </top>
      <bottom style="hair">
        <color theme="0" tint="-0.14996795556505021"/>
      </bottom>
      <diagonal/>
    </border>
    <border>
      <left style="thin">
        <color theme="0" tint="-0.34998626667073579"/>
      </left>
      <right/>
      <top style="hair">
        <color theme="0" tint="-0.14996795556505021"/>
      </top>
      <bottom style="thin">
        <color theme="0" tint="-0.34998626667073579"/>
      </bottom>
      <diagonal/>
    </border>
    <border>
      <left style="thin">
        <color theme="0" tint="-0.34998626667073579"/>
      </left>
      <right/>
      <top style="hair">
        <color theme="0" tint="-0.1499679555650502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style="thin">
        <color theme="0" tint="-0.14996795556505021"/>
      </right>
      <top style="hair">
        <color theme="0" tint="-0.499984740745262"/>
      </top>
      <bottom/>
      <diagonal/>
    </border>
    <border>
      <left style="thin">
        <color indexed="64"/>
      </left>
      <right/>
      <top style="hair">
        <color theme="0" tint="-0.499984740745262"/>
      </top>
      <bottom/>
      <diagonal/>
    </border>
    <border>
      <left style="medium">
        <color indexed="64"/>
      </left>
      <right style="thin">
        <color theme="0" tint="-0.14996795556505021"/>
      </right>
      <top style="medium">
        <color indexed="64"/>
      </top>
      <bottom style="hair">
        <color theme="0" tint="-0.499984740745262"/>
      </bottom>
      <diagonal/>
    </border>
    <border>
      <left style="thin">
        <color theme="0" tint="-0.14996795556505021"/>
      </left>
      <right style="thin">
        <color theme="0" tint="-0.14996795556505021"/>
      </right>
      <top style="medium">
        <color indexed="64"/>
      </top>
      <bottom style="hair">
        <color theme="0" tint="-0.499984740745262"/>
      </bottom>
      <diagonal/>
    </border>
    <border>
      <left style="thin">
        <color theme="0" tint="-0.14996795556505021"/>
      </left>
      <right/>
      <top style="medium">
        <color indexed="64"/>
      </top>
      <bottom style="hair">
        <color theme="0" tint="-0.499984740745262"/>
      </bottom>
      <diagonal/>
    </border>
    <border>
      <left style="thin">
        <color indexed="64"/>
      </left>
      <right/>
      <top style="medium">
        <color indexed="64"/>
      </top>
      <bottom style="hair">
        <color theme="0" tint="-0.499984740745262"/>
      </bottom>
      <diagonal/>
    </border>
    <border>
      <left/>
      <right style="thin">
        <color theme="0" tint="-0.14996795556505021"/>
      </right>
      <top style="medium">
        <color indexed="64"/>
      </top>
      <bottom style="hair">
        <color theme="0" tint="-0.499984740745262"/>
      </bottom>
      <diagonal/>
    </border>
    <border>
      <left style="thin">
        <color theme="0" tint="-0.14996795556505021"/>
      </left>
      <right style="thin">
        <color indexed="64"/>
      </right>
      <top style="medium">
        <color indexed="64"/>
      </top>
      <bottom style="hair">
        <color theme="0" tint="-0.499984740745262"/>
      </bottom>
      <diagonal/>
    </border>
    <border>
      <left style="thin">
        <color indexed="64"/>
      </left>
      <right style="thin">
        <color theme="0" tint="-0.14996795556505021"/>
      </right>
      <top style="medium">
        <color indexed="64"/>
      </top>
      <bottom style="hair">
        <color theme="0" tint="-0.499984740745262"/>
      </bottom>
      <diagonal/>
    </border>
    <border>
      <left style="thin">
        <color theme="0" tint="-0.14996795556505021"/>
      </left>
      <right style="medium">
        <color indexed="64"/>
      </right>
      <top style="medium">
        <color indexed="64"/>
      </top>
      <bottom style="hair">
        <color theme="0" tint="-0.499984740745262"/>
      </bottom>
      <diagonal/>
    </border>
    <border>
      <left style="medium">
        <color indexed="64"/>
      </left>
      <right style="thin">
        <color theme="0" tint="-0.14996795556505021"/>
      </right>
      <top style="hair">
        <color theme="0" tint="-0.499984740745262"/>
      </top>
      <bottom style="hair">
        <color theme="0" tint="-0.499984740745262"/>
      </bottom>
      <diagonal/>
    </border>
    <border>
      <left style="thin">
        <color theme="0" tint="-0.14996795556505021"/>
      </left>
      <right style="medium">
        <color indexed="64"/>
      </right>
      <top style="hair">
        <color theme="0" tint="-0.499984740745262"/>
      </top>
      <bottom style="hair">
        <color theme="0" tint="-0.499984740745262"/>
      </bottom>
      <diagonal/>
    </border>
    <border>
      <left style="medium">
        <color indexed="64"/>
      </left>
      <right style="thin">
        <color theme="0" tint="-0.14996795556505021"/>
      </right>
      <top style="hair">
        <color theme="0" tint="-0.499984740745262"/>
      </top>
      <bottom style="medium">
        <color indexed="64"/>
      </bottom>
      <diagonal/>
    </border>
    <border>
      <left style="thin">
        <color theme="0" tint="-0.14996795556505021"/>
      </left>
      <right style="thin">
        <color theme="0" tint="-0.14996795556505021"/>
      </right>
      <top style="hair">
        <color theme="0" tint="-0.499984740745262"/>
      </top>
      <bottom style="medium">
        <color indexed="64"/>
      </bottom>
      <diagonal/>
    </border>
    <border>
      <left style="thin">
        <color theme="0" tint="-0.14996795556505021"/>
      </left>
      <right/>
      <top style="hair">
        <color theme="0" tint="-0.499984740745262"/>
      </top>
      <bottom style="medium">
        <color indexed="64"/>
      </bottom>
      <diagonal/>
    </border>
    <border>
      <left style="thin">
        <color indexed="64"/>
      </left>
      <right/>
      <top style="hair">
        <color theme="0" tint="-0.499984740745262"/>
      </top>
      <bottom style="medium">
        <color indexed="64"/>
      </bottom>
      <diagonal/>
    </border>
    <border>
      <left/>
      <right style="thin">
        <color theme="0" tint="-0.14996795556505021"/>
      </right>
      <top style="hair">
        <color theme="0" tint="-0.499984740745262"/>
      </top>
      <bottom style="medium">
        <color indexed="64"/>
      </bottom>
      <diagonal/>
    </border>
    <border>
      <left style="thin">
        <color theme="0" tint="-0.14996795556505021"/>
      </left>
      <right style="thin">
        <color indexed="64"/>
      </right>
      <top style="hair">
        <color theme="0" tint="-0.499984740745262"/>
      </top>
      <bottom style="medium">
        <color indexed="64"/>
      </bottom>
      <diagonal/>
    </border>
    <border>
      <left style="thin">
        <color indexed="64"/>
      </left>
      <right style="thin">
        <color theme="0" tint="-0.14996795556505021"/>
      </right>
      <top style="hair">
        <color theme="0" tint="-0.499984740745262"/>
      </top>
      <bottom style="medium">
        <color indexed="64"/>
      </bottom>
      <diagonal/>
    </border>
    <border>
      <left style="thin">
        <color theme="0" tint="-0.14996795556505021"/>
      </left>
      <right style="thin">
        <color indexed="64"/>
      </right>
      <top style="hair">
        <color theme="0" tint="-0.34998626667073579"/>
      </top>
      <bottom style="medium">
        <color indexed="64"/>
      </bottom>
      <diagonal/>
    </border>
    <border>
      <left style="thin">
        <color theme="0" tint="-0.14996795556505021"/>
      </left>
      <right style="medium">
        <color indexed="64"/>
      </right>
      <top style="hair">
        <color theme="0" tint="-0.499984740745262"/>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theme="0" tint="-0.14996795556505021"/>
      </right>
      <top style="hair">
        <color theme="0" tint="-0.499984740745262"/>
      </top>
      <bottom/>
      <diagonal/>
    </border>
    <border>
      <left style="thin">
        <color theme="0" tint="-0.14996795556505021"/>
      </left>
      <right style="medium">
        <color indexed="64"/>
      </right>
      <top style="hair">
        <color theme="0" tint="-0.499984740745262"/>
      </top>
      <bottom/>
      <diagonal/>
    </border>
    <border>
      <left style="medium">
        <color indexed="64"/>
      </left>
      <right style="thin">
        <color theme="0" tint="-0.14996795556505021"/>
      </right>
      <top style="thin">
        <color indexed="64"/>
      </top>
      <bottom style="hair">
        <color theme="0" tint="-0.499984740745262"/>
      </bottom>
      <diagonal/>
    </border>
    <border>
      <left style="thin">
        <color theme="0" tint="-0.14996795556505021"/>
      </left>
      <right style="medium">
        <color indexed="64"/>
      </right>
      <top style="thin">
        <color indexed="64"/>
      </top>
      <bottom style="hair">
        <color theme="0" tint="-0.499984740745262"/>
      </bottom>
      <diagonal/>
    </border>
    <border>
      <left style="medium">
        <color indexed="64"/>
      </left>
      <right style="thin">
        <color theme="0" tint="-0.14996795556505021"/>
      </right>
      <top style="hair">
        <color theme="0" tint="-0.499984740745262"/>
      </top>
      <bottom style="thin">
        <color indexed="64"/>
      </bottom>
      <diagonal/>
    </border>
    <border>
      <left style="medium">
        <color indexed="64"/>
      </left>
      <right style="thin">
        <color theme="0" tint="-0.14996795556505021"/>
      </right>
      <top/>
      <bottom style="hair">
        <color theme="0" tint="-0.499984740745262"/>
      </bottom>
      <diagonal/>
    </border>
    <border>
      <left style="thin">
        <color theme="0" tint="-0.14996795556505021"/>
      </left>
      <right style="thin">
        <color indexed="64"/>
      </right>
      <top style="medium">
        <color indexed="64"/>
      </top>
      <bottom/>
      <diagonal/>
    </border>
    <border>
      <left style="thin">
        <color indexed="64"/>
      </left>
      <right style="thin">
        <color theme="0" tint="-0.14996795556505021"/>
      </right>
      <top style="hair">
        <color theme="0" tint="-0.24994659260841701"/>
      </top>
      <bottom/>
      <diagonal/>
    </border>
    <border>
      <left style="thin">
        <color theme="0" tint="-0.14996795556505021"/>
      </left>
      <right style="thin">
        <color theme="0" tint="-0.14996795556505021"/>
      </right>
      <top style="hair">
        <color theme="0" tint="-0.24994659260841701"/>
      </top>
      <bottom/>
      <diagonal/>
    </border>
    <border>
      <left style="thin">
        <color theme="0" tint="-0.14996795556505021"/>
      </left>
      <right/>
      <top style="hair">
        <color theme="0" tint="-0.24994659260841701"/>
      </top>
      <bottom/>
      <diagonal/>
    </border>
    <border>
      <left style="thin">
        <color theme="0" tint="-0.14996795556505021"/>
      </left>
      <right style="thin">
        <color indexed="64"/>
      </right>
      <top style="hair">
        <color theme="0" tint="-0.24994659260841701"/>
      </top>
      <bottom/>
      <diagonal/>
    </border>
    <border>
      <left style="thin">
        <color indexed="64"/>
      </left>
      <right style="thin">
        <color theme="0" tint="-0.14996795556505021"/>
      </right>
      <top style="medium">
        <color indexed="64"/>
      </top>
      <bottom style="hair">
        <color theme="0" tint="-0.24994659260841701"/>
      </bottom>
      <diagonal/>
    </border>
    <border>
      <left style="thin">
        <color theme="0" tint="-0.14996795556505021"/>
      </left>
      <right style="thin">
        <color theme="0" tint="-0.14996795556505021"/>
      </right>
      <top style="medium">
        <color indexed="64"/>
      </top>
      <bottom style="hair">
        <color theme="0" tint="-0.24994659260841701"/>
      </bottom>
      <diagonal/>
    </border>
    <border>
      <left style="thin">
        <color theme="0" tint="-0.14996795556505021"/>
      </left>
      <right/>
      <top style="medium">
        <color indexed="64"/>
      </top>
      <bottom style="hair">
        <color theme="0" tint="-0.24994659260841701"/>
      </bottom>
      <diagonal/>
    </border>
    <border>
      <left style="thin">
        <color theme="0" tint="-0.14996795556505021"/>
      </left>
      <right style="thin">
        <color indexed="64"/>
      </right>
      <top style="medium">
        <color indexed="64"/>
      </top>
      <bottom style="thin">
        <color theme="0" tint="-0.14993743705557422"/>
      </bottom>
      <diagonal/>
    </border>
    <border>
      <left style="thin">
        <color theme="0" tint="-0.14996795556505021"/>
      </left>
      <right style="thin">
        <color indexed="64"/>
      </right>
      <top style="medium">
        <color indexed="64"/>
      </top>
      <bottom style="hair">
        <color theme="0" tint="-0.24994659260841701"/>
      </bottom>
      <diagonal/>
    </border>
    <border>
      <left style="thin">
        <color indexed="64"/>
      </left>
      <right style="thin">
        <color theme="0" tint="-0.14996795556505021"/>
      </right>
      <top style="hair">
        <color theme="0" tint="-0.24994659260841701"/>
      </top>
      <bottom style="medium">
        <color indexed="64"/>
      </bottom>
      <diagonal/>
    </border>
    <border>
      <left style="thin">
        <color theme="0" tint="-0.14996795556505021"/>
      </left>
      <right style="thin">
        <color theme="0" tint="-0.14996795556505021"/>
      </right>
      <top style="hair">
        <color theme="0" tint="-0.24994659260841701"/>
      </top>
      <bottom style="medium">
        <color indexed="64"/>
      </bottom>
      <diagonal/>
    </border>
    <border>
      <left style="thin">
        <color theme="0" tint="-0.14996795556505021"/>
      </left>
      <right/>
      <top style="hair">
        <color theme="0" tint="-0.24994659260841701"/>
      </top>
      <bottom style="medium">
        <color indexed="64"/>
      </bottom>
      <diagonal/>
    </border>
    <border>
      <left style="thin">
        <color theme="0" tint="-0.14996795556505021"/>
      </left>
      <right style="thin">
        <color indexed="64"/>
      </right>
      <top style="hair">
        <color theme="0" tint="-0.24994659260841701"/>
      </top>
      <bottom style="medium">
        <color indexed="64"/>
      </bottom>
      <diagonal/>
    </border>
    <border>
      <left style="thin">
        <color indexed="64"/>
      </left>
      <right style="thin">
        <color theme="0" tint="-0.14996795556505021"/>
      </right>
      <top style="medium">
        <color indexed="64"/>
      </top>
      <bottom style="thin">
        <color theme="0" tint="-0.14996795556505021"/>
      </bottom>
      <diagonal/>
    </border>
    <border>
      <left style="thin">
        <color indexed="64"/>
      </left>
      <right style="thin">
        <color theme="0" tint="-0.14996795556505021"/>
      </right>
      <top style="thin">
        <color theme="0" tint="-0.14996795556505021"/>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theme="0" tint="-0.14996795556505021"/>
      </left>
      <right style="thin">
        <color theme="0" tint="-0.14996795556505021"/>
      </right>
      <top style="hair">
        <color theme="0" tint="-0.14996795556505021"/>
      </top>
      <bottom style="hair">
        <color theme="0" tint="-0.14996795556505021"/>
      </bottom>
      <diagonal/>
    </border>
    <border>
      <left style="thin">
        <color theme="0" tint="-0.14996795556505021"/>
      </left>
      <right style="thin">
        <color theme="0" tint="-0.14996795556505021"/>
      </right>
      <top/>
      <bottom style="hair">
        <color theme="0" tint="-0.14996795556505021"/>
      </bottom>
      <diagonal/>
    </border>
    <border>
      <left style="thin">
        <color theme="0" tint="-0.14996795556505021"/>
      </left>
      <right/>
      <top style="thin">
        <color theme="0" tint="-0.14996795556505021"/>
      </top>
      <bottom style="double">
        <color theme="0" tint="-0.14996795556505021"/>
      </bottom>
      <diagonal/>
    </border>
    <border>
      <left style="thin">
        <color theme="0" tint="-0.14996795556505021"/>
      </left>
      <right style="thin">
        <color theme="0" tint="-0.14996795556505021"/>
      </right>
      <top style="thin">
        <color theme="0" tint="-0.14996795556505021"/>
      </top>
      <bottom style="double">
        <color theme="0" tint="-0.14996795556505021"/>
      </bottom>
      <diagonal/>
    </border>
    <border>
      <left style="thin">
        <color theme="0" tint="-0.14996795556505021"/>
      </left>
      <right style="thin">
        <color theme="0" tint="-0.14996795556505021"/>
      </right>
      <top style="hair">
        <color theme="0" tint="-0.14996795556505021"/>
      </top>
      <bottom style="thin">
        <color theme="0" tint="-0.14996795556505021"/>
      </bottom>
      <diagonal/>
    </border>
    <border>
      <left style="thin">
        <color theme="0" tint="-0.14996795556505021"/>
      </left>
      <right/>
      <top/>
      <bottom style="hair">
        <color theme="0" tint="-0.14996795556505021"/>
      </bottom>
      <diagonal/>
    </border>
    <border>
      <left style="thin">
        <color theme="0" tint="-0.14996795556505021"/>
      </left>
      <right/>
      <top style="hair">
        <color theme="0" tint="-0.14996795556505021"/>
      </top>
      <bottom style="hair">
        <color theme="0" tint="-0.14996795556505021"/>
      </bottom>
      <diagonal/>
    </border>
    <border>
      <left style="thin">
        <color theme="0" tint="-0.14996795556505021"/>
      </left>
      <right/>
      <top style="hair">
        <color theme="0" tint="-0.14996795556505021"/>
      </top>
      <bottom style="thin">
        <color theme="0" tint="-0.14996795556505021"/>
      </bottom>
      <diagonal/>
    </border>
    <border>
      <left style="thin">
        <color theme="0" tint="-0.14993743705557422"/>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6795556505021"/>
      </right>
      <top style="thin">
        <color theme="0" tint="-0.14996795556505021"/>
      </top>
      <bottom style="double">
        <color theme="0" tint="-0.14996795556505021"/>
      </bottom>
      <diagonal/>
    </border>
    <border>
      <left style="thin">
        <color theme="0" tint="-0.14996795556505021"/>
      </left>
      <right style="thin">
        <color theme="0" tint="-0.14993743705557422"/>
      </right>
      <top style="thin">
        <color theme="0" tint="-0.14996795556505021"/>
      </top>
      <bottom style="double">
        <color theme="0" tint="-0.14996795556505021"/>
      </bottom>
      <diagonal/>
    </border>
    <border>
      <left style="thin">
        <color theme="0" tint="-0.14993743705557422"/>
      </left>
      <right style="thin">
        <color theme="0" tint="-0.14996795556505021"/>
      </right>
      <top/>
      <bottom style="hair">
        <color theme="0" tint="-0.14996795556505021"/>
      </bottom>
      <diagonal/>
    </border>
    <border>
      <left style="thin">
        <color theme="0" tint="-0.14996795556505021"/>
      </left>
      <right style="thin">
        <color theme="0" tint="-0.14993743705557422"/>
      </right>
      <top/>
      <bottom style="hair">
        <color theme="0" tint="-0.14996795556505021"/>
      </bottom>
      <diagonal/>
    </border>
    <border>
      <left style="thin">
        <color theme="0" tint="-0.14993743705557422"/>
      </left>
      <right style="thin">
        <color theme="0" tint="-0.14996795556505021"/>
      </right>
      <top style="hair">
        <color theme="0" tint="-0.14996795556505021"/>
      </top>
      <bottom style="hair">
        <color theme="0" tint="-0.14996795556505021"/>
      </bottom>
      <diagonal/>
    </border>
    <border>
      <left style="thin">
        <color theme="0" tint="-0.14996795556505021"/>
      </left>
      <right style="thin">
        <color theme="0" tint="-0.14993743705557422"/>
      </right>
      <top style="hair">
        <color theme="0" tint="-0.14996795556505021"/>
      </top>
      <bottom style="hair">
        <color theme="0" tint="-0.14996795556505021"/>
      </bottom>
      <diagonal/>
    </border>
    <border>
      <left style="thin">
        <color theme="0" tint="-0.14993743705557422"/>
      </left>
      <right style="thin">
        <color theme="0" tint="-0.14996795556505021"/>
      </right>
      <top style="hair">
        <color theme="0" tint="-0.14996795556505021"/>
      </top>
      <bottom style="thin">
        <color theme="0" tint="-0.14993743705557422"/>
      </bottom>
      <diagonal/>
    </border>
    <border>
      <left style="thin">
        <color theme="0" tint="-0.14996795556505021"/>
      </left>
      <right style="thin">
        <color theme="0" tint="-0.14996795556505021"/>
      </right>
      <top style="hair">
        <color theme="0" tint="-0.14996795556505021"/>
      </top>
      <bottom style="thin">
        <color theme="0" tint="-0.14993743705557422"/>
      </bottom>
      <diagonal/>
    </border>
    <border>
      <left style="thin">
        <color theme="0" tint="-0.14996795556505021"/>
      </left>
      <right style="thin">
        <color theme="0" tint="-0.14993743705557422"/>
      </right>
      <top style="hair">
        <color theme="0" tint="-0.14996795556505021"/>
      </top>
      <bottom style="thin">
        <color theme="0" tint="-0.14993743705557422"/>
      </bottom>
      <diagonal/>
    </border>
    <border>
      <left/>
      <right/>
      <top style="thin">
        <color indexed="49"/>
      </top>
      <bottom style="double">
        <color indexed="49"/>
      </bottom>
      <diagonal/>
    </border>
    <border>
      <left/>
      <right/>
      <top/>
      <bottom style="thick">
        <color theme="4"/>
      </bottom>
      <diagonal/>
    </border>
    <border>
      <left style="medium">
        <color indexed="64"/>
      </left>
      <right style="medium">
        <color indexed="64"/>
      </right>
      <top/>
      <bottom style="medium">
        <color indexed="64"/>
      </bottom>
      <diagonal/>
    </border>
    <border>
      <left/>
      <right/>
      <top/>
      <bottom style="thin">
        <color theme="4"/>
      </bottom>
      <diagonal/>
    </border>
    <border>
      <left/>
      <right/>
      <top/>
      <bottom style="medium">
        <color theme="0" tint="-0.2499465926084170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indexed="64"/>
      </left>
      <right/>
      <top style="thin">
        <color indexed="64"/>
      </top>
      <bottom style="hair">
        <color theme="0" tint="-0.499984740745262"/>
      </bottom>
      <diagonal/>
    </border>
    <border>
      <left/>
      <right style="thin">
        <color theme="0" tint="-0.14996795556505021"/>
      </right>
      <top style="thin">
        <color indexed="64"/>
      </top>
      <bottom style="hair">
        <color theme="0" tint="-0.499984740745262"/>
      </bottom>
      <diagonal/>
    </border>
    <border>
      <left/>
      <right/>
      <top style="thick">
        <color theme="4" tint="0.499984740745262"/>
      </top>
      <bottom/>
      <diagonal/>
    </border>
    <border>
      <left/>
      <right/>
      <top style="thin">
        <color indexed="64"/>
      </top>
      <bottom style="double">
        <color theme="1" tint="0.499984740745262"/>
      </bottom>
      <diagonal/>
    </border>
    <border>
      <left/>
      <right style="thin">
        <color indexed="64"/>
      </right>
      <top style="hair">
        <color theme="0" tint="-0.34998626667073579"/>
      </top>
      <bottom style="hair">
        <color theme="0" tint="-0.499984740745262"/>
      </bottom>
      <diagonal/>
    </border>
    <border>
      <left/>
      <right style="thin">
        <color indexed="64"/>
      </right>
      <top style="hair">
        <color theme="0" tint="-0.34998626667073579"/>
      </top>
      <bottom style="thin">
        <color indexed="64"/>
      </bottom>
      <diagonal/>
    </border>
    <border>
      <left style="thin">
        <color indexed="64"/>
      </left>
      <right style="thin">
        <color indexed="64"/>
      </right>
      <top style="thin">
        <color indexed="64"/>
      </top>
      <bottom style="hair">
        <color theme="0" tint="-4.9989318521683403E-2"/>
      </bottom>
      <diagonal/>
    </border>
    <border>
      <left style="thin">
        <color indexed="64"/>
      </left>
      <right style="thin">
        <color indexed="64"/>
      </right>
      <top style="hair">
        <color theme="0" tint="-4.9989318521683403E-2"/>
      </top>
      <bottom style="hair">
        <color theme="0" tint="-4.9989318521683403E-2"/>
      </bottom>
      <diagonal/>
    </border>
    <border>
      <left style="thin">
        <color indexed="64"/>
      </left>
      <right style="thin">
        <color indexed="64"/>
      </right>
      <top style="hair">
        <color theme="0" tint="-4.9989318521683403E-2"/>
      </top>
      <bottom style="thin">
        <color indexed="64"/>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top style="thin">
        <color auto="1"/>
      </top>
      <bottom style="hair">
        <color theme="0" tint="-0.14996795556505021"/>
      </bottom>
      <diagonal/>
    </border>
    <border>
      <left style="thin">
        <color auto="1"/>
      </left>
      <right/>
      <top style="thin">
        <color auto="1"/>
      </top>
      <bottom style="hair">
        <color theme="0" tint="-0.14996795556505021"/>
      </bottom>
      <diagonal/>
    </border>
    <border>
      <left/>
      <right style="thin">
        <color auto="1"/>
      </right>
      <top style="thin">
        <color auto="1"/>
      </top>
      <bottom style="hair">
        <color theme="0" tint="-0.14996795556505021"/>
      </bottom>
      <diagonal/>
    </border>
    <border>
      <left style="thin">
        <color auto="1"/>
      </left>
      <right/>
      <top style="hair">
        <color theme="0" tint="-0.14996795556505021"/>
      </top>
      <bottom style="hair">
        <color theme="0" tint="-0.14996795556505021"/>
      </bottom>
      <diagonal/>
    </border>
    <border>
      <left/>
      <right style="thin">
        <color auto="1"/>
      </right>
      <top style="hair">
        <color theme="0" tint="-0.14996795556505021"/>
      </top>
      <bottom style="hair">
        <color theme="0" tint="-0.14996795556505021"/>
      </bottom>
      <diagonal/>
    </border>
    <border>
      <left/>
      <right/>
      <top style="hair">
        <color theme="0" tint="-0.14996795556505021"/>
      </top>
      <bottom style="thin">
        <color auto="1"/>
      </bottom>
      <diagonal/>
    </border>
    <border>
      <left/>
      <right style="thin">
        <color auto="1"/>
      </right>
      <top style="hair">
        <color theme="0" tint="-0.14996795556505021"/>
      </top>
      <bottom style="thin">
        <color auto="1"/>
      </bottom>
      <diagonal/>
    </border>
    <border>
      <left style="thin">
        <color theme="0" tint="-0.14996795556505021"/>
      </left>
      <right style="thin">
        <color theme="0" tint="-0.14996795556505021"/>
      </right>
      <top style="medium">
        <color theme="1"/>
      </top>
      <bottom style="hair">
        <color theme="0" tint="-0.499984740745262"/>
      </bottom>
      <diagonal/>
    </border>
    <border>
      <left style="thin">
        <color theme="0" tint="-0.14996795556505021"/>
      </left>
      <right style="thin">
        <color indexed="64"/>
      </right>
      <top style="medium">
        <color theme="1"/>
      </top>
      <bottom style="hair">
        <color theme="0" tint="-0.499984740745262"/>
      </bottom>
      <diagonal/>
    </border>
    <border>
      <left style="thin">
        <color indexed="64"/>
      </left>
      <right style="thin">
        <color theme="0" tint="-0.14996795556505021"/>
      </right>
      <top style="medium">
        <color theme="1"/>
      </top>
      <bottom style="hair">
        <color theme="0" tint="-0.499984740745262"/>
      </bottom>
      <diagonal/>
    </border>
    <border>
      <left style="thin">
        <color theme="0" tint="-0.14996795556505021"/>
      </left>
      <right style="thin">
        <color theme="0" tint="-0.14996795556505021"/>
      </right>
      <top style="hair">
        <color theme="0" tint="-0.499984740745262"/>
      </top>
      <bottom style="medium">
        <color theme="1"/>
      </bottom>
      <diagonal/>
    </border>
    <border>
      <left style="thin">
        <color theme="0" tint="-0.14996795556505021"/>
      </left>
      <right style="thin">
        <color indexed="64"/>
      </right>
      <top style="hair">
        <color theme="0" tint="-0.499984740745262"/>
      </top>
      <bottom style="medium">
        <color theme="1"/>
      </bottom>
      <diagonal/>
    </border>
    <border>
      <left style="thin">
        <color indexed="64"/>
      </left>
      <right style="thin">
        <color theme="0" tint="-0.14996795556505021"/>
      </right>
      <top style="hair">
        <color theme="0" tint="-0.499984740745262"/>
      </top>
      <bottom style="medium">
        <color theme="1"/>
      </bottom>
      <diagonal/>
    </border>
    <border>
      <left style="thin">
        <color theme="0" tint="-0.14996795556505021"/>
      </left>
      <right style="thin">
        <color theme="0" tint="-0.14996795556505021"/>
      </right>
      <top style="thin">
        <color theme="0" tint="-0.14993743705557422"/>
      </top>
      <bottom style="thin">
        <color indexed="64"/>
      </bottom>
      <diagonal/>
    </border>
    <border>
      <left/>
      <right style="thin">
        <color theme="0" tint="-0.14996795556505021"/>
      </right>
      <top/>
      <bottom style="hair">
        <color theme="0" tint="-0.499984740745262"/>
      </bottom>
      <diagonal/>
    </border>
    <border>
      <left/>
      <right style="thin">
        <color theme="0" tint="-0.14996795556505021"/>
      </right>
      <top/>
      <bottom/>
      <diagonal/>
    </border>
    <border>
      <left style="thin">
        <color theme="0" tint="-0.14996795556505021"/>
      </left>
      <right style="thin">
        <color theme="0" tint="-0.14996795556505021"/>
      </right>
      <top/>
      <bottom/>
      <diagonal/>
    </border>
    <border>
      <left style="thin">
        <color theme="0" tint="-0.14996795556505021"/>
      </left>
      <right/>
      <top/>
      <bottom/>
      <diagonal/>
    </border>
    <border>
      <left style="thin">
        <color indexed="64"/>
      </left>
      <right style="thin">
        <color theme="0" tint="-0.14996795556505021"/>
      </right>
      <top/>
      <bottom/>
      <diagonal/>
    </border>
    <border>
      <left style="thin">
        <color theme="0" tint="-0.14996795556505021"/>
      </left>
      <right style="thin">
        <color theme="0" tint="-0.14996795556505021"/>
      </right>
      <top style="thin">
        <color indexed="64"/>
      </top>
      <bottom style="hair">
        <color theme="0" tint="-0.14993743705557422"/>
      </bottom>
      <diagonal/>
    </border>
    <border>
      <left style="thin">
        <color theme="0" tint="-0.14996795556505021"/>
      </left>
      <right style="thin">
        <color theme="0" tint="-0.14996795556505021"/>
      </right>
      <top style="hair">
        <color theme="0" tint="-0.14993743705557422"/>
      </top>
      <bottom style="hair">
        <color theme="0" tint="-0.14993743705557422"/>
      </bottom>
      <diagonal/>
    </border>
    <border>
      <left style="thin">
        <color theme="0" tint="-0.14996795556505021"/>
      </left>
      <right style="thin">
        <color theme="0" tint="-0.14996795556505021"/>
      </right>
      <top style="hair">
        <color theme="0" tint="-0.14993743705557422"/>
      </top>
      <bottom style="thin">
        <color indexed="64"/>
      </bottom>
      <diagonal/>
    </border>
    <border>
      <left/>
      <right/>
      <top style="thin">
        <color theme="0"/>
      </top>
      <bottom/>
      <diagonal/>
    </border>
    <border>
      <left style="thin">
        <color indexed="64"/>
      </left>
      <right style="thin">
        <color theme="0" tint="-4.9989318521683403E-2"/>
      </right>
      <top/>
      <bottom/>
      <diagonal/>
    </border>
    <border>
      <left style="thin">
        <color theme="0" tint="-4.9989318521683403E-2"/>
      </left>
      <right style="thin">
        <color theme="0" tint="-4.9989318521683403E-2"/>
      </right>
      <top/>
      <bottom/>
      <diagonal/>
    </border>
    <border>
      <left style="thin">
        <color theme="0" tint="-4.9989318521683403E-2"/>
      </left>
      <right style="thin">
        <color indexed="64"/>
      </right>
      <top/>
      <bottom/>
      <diagonal/>
    </border>
    <border>
      <left style="thin">
        <color indexed="64"/>
      </left>
      <right style="thin">
        <color theme="0" tint="-4.9989318521683403E-2"/>
      </right>
      <top style="thin">
        <color indexed="64"/>
      </top>
      <bottom/>
      <diagonal/>
    </border>
    <border>
      <left style="thin">
        <color theme="0" tint="-4.9989318521683403E-2"/>
      </left>
      <right style="thin">
        <color theme="0" tint="-4.9989318521683403E-2"/>
      </right>
      <top style="thin">
        <color indexed="64"/>
      </top>
      <bottom/>
      <diagonal/>
    </border>
    <border>
      <left style="thin">
        <color theme="0" tint="-4.9989318521683403E-2"/>
      </left>
      <right style="thin">
        <color indexed="64"/>
      </right>
      <top style="thin">
        <color indexed="64"/>
      </top>
      <bottom/>
      <diagonal/>
    </border>
    <border>
      <left style="thin">
        <color indexed="64"/>
      </left>
      <right style="thin">
        <color theme="0" tint="-4.9989318521683403E-2"/>
      </right>
      <top/>
      <bottom style="thin">
        <color indexed="64"/>
      </bottom>
      <diagonal/>
    </border>
    <border>
      <left style="thin">
        <color theme="0" tint="-4.9989318521683403E-2"/>
      </left>
      <right style="thin">
        <color theme="0" tint="-4.9989318521683403E-2"/>
      </right>
      <top/>
      <bottom style="thin">
        <color indexed="64"/>
      </bottom>
      <diagonal/>
    </border>
    <border>
      <left style="thin">
        <color theme="0" tint="-4.9989318521683403E-2"/>
      </left>
      <right style="thin">
        <color indexed="64"/>
      </right>
      <top/>
      <bottom style="thin">
        <color indexed="64"/>
      </bottom>
      <diagonal/>
    </border>
    <border>
      <left style="thin">
        <color indexed="64"/>
      </left>
      <right style="thin">
        <color theme="0" tint="-4.9989318521683403E-2"/>
      </right>
      <top/>
      <bottom style="hair">
        <color theme="0" tint="-4.9989318521683403E-2"/>
      </bottom>
      <diagonal/>
    </border>
    <border>
      <left style="thin">
        <color theme="0" tint="-4.9989318521683403E-2"/>
      </left>
      <right style="thin">
        <color theme="0" tint="-4.9989318521683403E-2"/>
      </right>
      <top/>
      <bottom style="hair">
        <color theme="0" tint="-4.9989318521683403E-2"/>
      </bottom>
      <diagonal/>
    </border>
    <border>
      <left style="thin">
        <color theme="0" tint="-4.9989318521683403E-2"/>
      </left>
      <right style="thin">
        <color indexed="64"/>
      </right>
      <top/>
      <bottom style="hair">
        <color theme="0" tint="-4.9989318521683403E-2"/>
      </bottom>
      <diagonal/>
    </border>
    <border>
      <left style="thin">
        <color indexed="64"/>
      </left>
      <right style="thin">
        <color theme="0" tint="-4.9989318521683403E-2"/>
      </right>
      <top style="hair">
        <color theme="0" tint="-4.9989318521683403E-2"/>
      </top>
      <bottom style="hair">
        <color theme="0" tint="-4.9989318521683403E-2"/>
      </bottom>
      <diagonal/>
    </border>
    <border>
      <left style="thin">
        <color theme="0" tint="-4.9989318521683403E-2"/>
      </left>
      <right style="thin">
        <color theme="0" tint="-4.9989318521683403E-2"/>
      </right>
      <top style="hair">
        <color theme="0" tint="-4.9989318521683403E-2"/>
      </top>
      <bottom style="hair">
        <color theme="0" tint="-4.9989318521683403E-2"/>
      </bottom>
      <diagonal/>
    </border>
    <border>
      <left style="thin">
        <color theme="0" tint="-4.9989318521683403E-2"/>
      </left>
      <right style="thin">
        <color indexed="64"/>
      </right>
      <top style="hair">
        <color theme="0" tint="-4.9989318521683403E-2"/>
      </top>
      <bottom style="hair">
        <color theme="0" tint="-4.9989318521683403E-2"/>
      </bottom>
      <diagonal/>
    </border>
    <border>
      <left style="thin">
        <color theme="0" tint="-4.9989318521683403E-2"/>
      </left>
      <right style="thin">
        <color theme="0" tint="-4.9989318521683403E-2"/>
      </right>
      <top style="hair">
        <color theme="0" tint="-4.9989318521683403E-2"/>
      </top>
      <bottom/>
      <diagonal/>
    </border>
    <border>
      <left style="thin">
        <color indexed="64"/>
      </left>
      <right style="thin">
        <color theme="0" tint="-4.9989318521683403E-2"/>
      </right>
      <top style="hair">
        <color theme="0" tint="-4.9989318521683403E-2"/>
      </top>
      <bottom/>
      <diagonal/>
    </border>
    <border>
      <left style="thin">
        <color theme="0" tint="-4.9989318521683403E-2"/>
      </left>
      <right style="thin">
        <color indexed="64"/>
      </right>
      <top style="hair">
        <color theme="0" tint="-4.9989318521683403E-2"/>
      </top>
      <bottom/>
      <diagonal/>
    </border>
    <border>
      <left style="thin">
        <color indexed="64"/>
      </left>
      <right style="thin">
        <color theme="0" tint="-4.9989318521683403E-2"/>
      </right>
      <top style="thin">
        <color theme="0" tint="-0.34998626667073579"/>
      </top>
      <bottom style="hair">
        <color theme="0" tint="-4.9989318521683403E-2"/>
      </bottom>
      <diagonal/>
    </border>
    <border>
      <left style="thin">
        <color theme="0" tint="-4.9989318521683403E-2"/>
      </left>
      <right style="thin">
        <color theme="0" tint="-4.9989318521683403E-2"/>
      </right>
      <top style="thin">
        <color theme="0" tint="-0.34998626667073579"/>
      </top>
      <bottom style="hair">
        <color theme="0" tint="-4.9989318521683403E-2"/>
      </bottom>
      <diagonal/>
    </border>
    <border>
      <left style="thin">
        <color theme="0" tint="-4.9989318521683403E-2"/>
      </left>
      <right style="thin">
        <color indexed="64"/>
      </right>
      <top style="thin">
        <color theme="0" tint="-0.34998626667073579"/>
      </top>
      <bottom style="hair">
        <color theme="0" tint="-4.9989318521683403E-2"/>
      </bottom>
      <diagonal/>
    </border>
    <border>
      <left style="thin">
        <color indexed="64"/>
      </left>
      <right style="thin">
        <color theme="0" tint="-4.9989318521683403E-2"/>
      </right>
      <top style="hair">
        <color theme="0" tint="-4.9989318521683403E-2"/>
      </top>
      <bottom style="thin">
        <color theme="0" tint="-0.34998626667073579"/>
      </bottom>
      <diagonal/>
    </border>
    <border>
      <left style="thin">
        <color theme="0" tint="-4.9989318521683403E-2"/>
      </left>
      <right style="thin">
        <color theme="0" tint="-4.9989318521683403E-2"/>
      </right>
      <top/>
      <bottom style="thin">
        <color theme="0" tint="-0.34998626667073579"/>
      </bottom>
      <diagonal/>
    </border>
    <border>
      <left style="thin">
        <color theme="0" tint="-4.9989318521683403E-2"/>
      </left>
      <right style="thin">
        <color theme="0" tint="-4.9989318521683403E-2"/>
      </right>
      <top style="hair">
        <color theme="0" tint="-4.9989318521683403E-2"/>
      </top>
      <bottom style="thin">
        <color theme="0" tint="-0.34998626667073579"/>
      </bottom>
      <diagonal/>
    </border>
    <border>
      <left style="thin">
        <color theme="0" tint="-4.9989318521683403E-2"/>
      </left>
      <right style="thin">
        <color indexed="64"/>
      </right>
      <top style="hair">
        <color theme="0" tint="-4.9989318521683403E-2"/>
      </top>
      <bottom style="thin">
        <color theme="0" tint="-0.34998626667073579"/>
      </bottom>
      <diagonal/>
    </border>
    <border>
      <left style="thin">
        <color indexed="64"/>
      </left>
      <right style="thin">
        <color theme="0" tint="-4.9989318521683403E-2"/>
      </right>
      <top style="hair">
        <color theme="0" tint="-4.9989318521683403E-2"/>
      </top>
      <bottom style="thin">
        <color indexed="64"/>
      </bottom>
      <diagonal/>
    </border>
    <border>
      <left style="thin">
        <color theme="0" tint="-4.9989318521683403E-2"/>
      </left>
      <right style="thin">
        <color theme="0" tint="-4.9989318521683403E-2"/>
      </right>
      <top style="hair">
        <color theme="0" tint="-4.9989318521683403E-2"/>
      </top>
      <bottom style="thin">
        <color indexed="64"/>
      </bottom>
      <diagonal/>
    </border>
    <border>
      <left style="thin">
        <color theme="0" tint="-4.9989318521683403E-2"/>
      </left>
      <right style="thin">
        <color indexed="64"/>
      </right>
      <top style="hair">
        <color theme="0" tint="-4.9989318521683403E-2"/>
      </top>
      <bottom style="thin">
        <color indexed="64"/>
      </bottom>
      <diagonal/>
    </border>
    <border>
      <left style="thin">
        <color indexed="64"/>
      </left>
      <right style="thin">
        <color theme="0" tint="-4.9989318521683403E-2"/>
      </right>
      <top style="thin">
        <color indexed="64"/>
      </top>
      <bottom style="thin">
        <color indexed="64"/>
      </bottom>
      <diagonal/>
    </border>
    <border>
      <left style="thin">
        <color theme="0" tint="-4.9989318521683403E-2"/>
      </left>
      <right style="thin">
        <color theme="0" tint="-4.9989318521683403E-2"/>
      </right>
      <top style="thin">
        <color indexed="64"/>
      </top>
      <bottom style="thin">
        <color indexed="64"/>
      </bottom>
      <diagonal/>
    </border>
    <border>
      <left style="thin">
        <color theme="0" tint="-4.9989318521683403E-2"/>
      </left>
      <right style="thin">
        <color indexed="64"/>
      </right>
      <top style="thin">
        <color indexed="64"/>
      </top>
      <bottom style="thin">
        <color indexed="64"/>
      </bottom>
      <diagonal/>
    </border>
    <border>
      <left/>
      <right style="thin">
        <color theme="0" tint="-0.14993743705557422"/>
      </right>
      <top/>
      <bottom/>
      <diagonal/>
    </border>
    <border>
      <left style="thin">
        <color theme="0" tint="-0.14996795556505021"/>
      </left>
      <right/>
      <top style="hair">
        <color theme="0" tint="-0.14996795556505021"/>
      </top>
      <bottom style="thin">
        <color theme="0" tint="-0.14993743705557422"/>
      </bottom>
      <diagonal/>
    </border>
    <border>
      <left/>
      <right/>
      <top style="thin">
        <color theme="0" tint="-0.14996795556505021"/>
      </top>
      <bottom style="thin">
        <color theme="0" tint="-0.14993743705557422"/>
      </bottom>
      <diagonal/>
    </border>
    <border>
      <left/>
      <right/>
      <top/>
      <bottom style="thin">
        <color theme="0" tint="-0.14993743705557422"/>
      </bottom>
      <diagonal/>
    </border>
    <border>
      <left style="thin">
        <color indexed="64"/>
      </left>
      <right style="thin">
        <color theme="0" tint="-0.14996795556505021"/>
      </right>
      <top style="hair">
        <color theme="0" tint="-0.24994659260841701"/>
      </top>
      <bottom style="thin">
        <color indexed="64"/>
      </bottom>
      <diagonal/>
    </border>
    <border>
      <left style="thin">
        <color theme="0" tint="-0.14996795556505021"/>
      </left>
      <right/>
      <top style="hair">
        <color theme="0" tint="-0.24994659260841701"/>
      </top>
      <bottom style="thin">
        <color indexed="64"/>
      </bottom>
      <diagonal/>
    </border>
    <border>
      <left style="thin">
        <color theme="0" tint="-0.14996795556505021"/>
      </left>
      <right style="thin">
        <color theme="0" tint="-0.14996795556505021"/>
      </right>
      <top style="hair">
        <color theme="0" tint="-0.24994659260841701"/>
      </top>
      <bottom style="thin">
        <color indexed="64"/>
      </bottom>
      <diagonal/>
    </border>
    <border>
      <left style="thin">
        <color theme="0" tint="-0.14996795556505021"/>
      </left>
      <right style="thin">
        <color indexed="64"/>
      </right>
      <top style="hair">
        <color theme="0" tint="-0.24994659260841701"/>
      </top>
      <bottom style="thin">
        <color indexed="64"/>
      </bottom>
      <diagonal/>
    </border>
    <border>
      <left style="thin">
        <color indexed="64"/>
      </left>
      <right style="thin">
        <color theme="0" tint="-0.14996795556505021"/>
      </right>
      <top style="thin">
        <color indexed="64"/>
      </top>
      <bottom style="hair">
        <color theme="0" tint="-0.24994659260841701"/>
      </bottom>
      <diagonal/>
    </border>
    <border>
      <left style="thin">
        <color theme="0" tint="-0.14996795556505021"/>
      </left>
      <right style="thin">
        <color theme="0" tint="-0.14996795556505021"/>
      </right>
      <top style="thin">
        <color indexed="64"/>
      </top>
      <bottom style="hair">
        <color theme="0" tint="-0.24994659260841701"/>
      </bottom>
      <diagonal/>
    </border>
    <border>
      <left style="thin">
        <color theme="0" tint="-0.14996795556505021"/>
      </left>
      <right/>
      <top style="thin">
        <color indexed="64"/>
      </top>
      <bottom style="hair">
        <color theme="0" tint="-0.24994659260841701"/>
      </bottom>
      <diagonal/>
    </border>
    <border>
      <left style="thin">
        <color theme="0" tint="-0.14996795556505021"/>
      </left>
      <right style="thin">
        <color indexed="64"/>
      </right>
      <top style="thin">
        <color indexed="64"/>
      </top>
      <bottom style="hair">
        <color theme="0" tint="-0.24994659260841701"/>
      </bottom>
      <diagonal/>
    </border>
    <border>
      <left/>
      <right style="thin">
        <color theme="0" tint="-0.14996795556505021"/>
      </right>
      <top style="medium">
        <color indexed="64"/>
      </top>
      <bottom/>
      <diagonal/>
    </border>
    <border>
      <left style="thin">
        <color theme="0" tint="-0.14996795556505021"/>
      </left>
      <right style="thin">
        <color theme="0" tint="-0.14996795556505021"/>
      </right>
      <top style="medium">
        <color indexed="64"/>
      </top>
      <bottom/>
      <diagonal/>
    </border>
    <border>
      <left style="thin">
        <color theme="0" tint="-0.14996795556505021"/>
      </left>
      <right/>
      <top style="medium">
        <color indexed="64"/>
      </top>
      <bottom/>
      <diagonal/>
    </border>
    <border>
      <left style="thin">
        <color indexed="64"/>
      </left>
      <right style="thin">
        <color theme="0" tint="-0.14996795556505021"/>
      </right>
      <top style="medium">
        <color indexed="64"/>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hair">
        <color theme="0" tint="-0.14996795556505021"/>
      </top>
      <bottom style="hair">
        <color theme="0" tint="-0.14996795556505021"/>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style="hair">
        <color theme="0" tint="-0.24994659260841701"/>
      </bottom>
      <diagonal/>
    </border>
    <border>
      <left style="thin">
        <color theme="0" tint="-0.24994659260841701"/>
      </left>
      <right/>
      <top style="thin">
        <color theme="0" tint="-0.24994659260841701"/>
      </top>
      <bottom style="hair">
        <color theme="0" tint="-0.24994659260841701"/>
      </bottom>
      <diagonal/>
    </border>
    <border>
      <left/>
      <right/>
      <top style="thin">
        <color theme="0" tint="-0.24994659260841701"/>
      </top>
      <bottom style="hair">
        <color theme="0" tint="-0.24994659260841701"/>
      </bottom>
      <diagonal/>
    </border>
    <border>
      <left/>
      <right style="thin">
        <color theme="0" tint="-0.24994659260841701"/>
      </right>
      <top style="thin">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hair">
        <color theme="0" tint="-0.24994659260841701"/>
      </bottom>
      <diagonal/>
    </border>
    <border>
      <left style="thin">
        <color theme="0" tint="-0.24994659260841701"/>
      </left>
      <right/>
      <top style="hair">
        <color theme="0" tint="-0.24994659260841701"/>
      </top>
      <bottom style="hair">
        <color theme="0" tint="-0.24994659260841701"/>
      </bottom>
      <diagonal/>
    </border>
    <border>
      <left/>
      <right style="thin">
        <color theme="0" tint="-0.24994659260841701"/>
      </right>
      <top style="hair">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thin">
        <color theme="0" tint="-0.24994659260841701"/>
      </bottom>
      <diagonal/>
    </border>
    <border>
      <left style="thin">
        <color theme="0" tint="-0.24994659260841701"/>
      </left>
      <right/>
      <top style="hair">
        <color theme="0" tint="-0.24994659260841701"/>
      </top>
      <bottom style="thin">
        <color theme="0" tint="-0.24994659260841701"/>
      </bottom>
      <diagonal/>
    </border>
    <border>
      <left/>
      <right/>
      <top style="hair">
        <color theme="0" tint="-0.24994659260841701"/>
      </top>
      <bottom style="thin">
        <color theme="0" tint="-0.24994659260841701"/>
      </bottom>
      <diagonal/>
    </border>
    <border>
      <left/>
      <right style="thin">
        <color theme="0" tint="-0.24994659260841701"/>
      </right>
      <top style="hair">
        <color theme="0" tint="-0.24994659260841701"/>
      </top>
      <bottom style="thin">
        <color theme="0" tint="-0.24994659260841701"/>
      </bottom>
      <diagonal/>
    </border>
    <border>
      <left style="thin">
        <color theme="0" tint="-0.24994659260841701"/>
      </left>
      <right style="thin">
        <color theme="0" tint="-0.24994659260841701"/>
      </right>
      <top/>
      <bottom style="hair">
        <color theme="0" tint="-0.24994659260841701"/>
      </bottom>
      <diagonal/>
    </border>
    <border>
      <left style="thin">
        <color theme="0" tint="-0.24994659260841701"/>
      </left>
      <right/>
      <top/>
      <bottom style="hair">
        <color theme="0" tint="-0.24994659260841701"/>
      </bottom>
      <diagonal/>
    </border>
    <border>
      <left/>
      <right/>
      <top/>
      <bottom style="hair">
        <color theme="0" tint="-0.24994659260841701"/>
      </bottom>
      <diagonal/>
    </border>
    <border>
      <left/>
      <right style="thin">
        <color theme="0" tint="-0.24994659260841701"/>
      </right>
      <top/>
      <bottom style="hair">
        <color theme="0" tint="-0.24994659260841701"/>
      </bottom>
      <diagonal/>
    </border>
    <border>
      <left style="thin">
        <color indexed="64"/>
      </left>
      <right style="thin">
        <color theme="0" tint="-0.24994659260841701"/>
      </right>
      <top style="thin">
        <color indexed="64"/>
      </top>
      <bottom style="hair">
        <color theme="0" tint="-0.24994659260841701"/>
      </bottom>
      <diagonal/>
    </border>
    <border>
      <left style="thin">
        <color theme="0" tint="-0.24994659260841701"/>
      </left>
      <right style="thin">
        <color theme="0" tint="-0.24994659260841701"/>
      </right>
      <top style="thin">
        <color indexed="64"/>
      </top>
      <bottom style="hair">
        <color theme="0" tint="-0.24994659260841701"/>
      </bottom>
      <diagonal/>
    </border>
    <border>
      <left style="thin">
        <color theme="0" tint="-0.24994659260841701"/>
      </left>
      <right style="thin">
        <color indexed="64"/>
      </right>
      <top style="thin">
        <color indexed="64"/>
      </top>
      <bottom style="hair">
        <color theme="0" tint="-0.24994659260841701"/>
      </bottom>
      <diagonal/>
    </border>
    <border>
      <left style="thin">
        <color indexed="64"/>
      </left>
      <right style="thin">
        <color theme="0" tint="-0.24994659260841701"/>
      </right>
      <top style="hair">
        <color theme="0" tint="-0.24994659260841701"/>
      </top>
      <bottom style="hair">
        <color theme="0" tint="-0.24994659260841701"/>
      </bottom>
      <diagonal/>
    </border>
    <border>
      <left style="thin">
        <color theme="0" tint="-0.24994659260841701"/>
      </left>
      <right style="thin">
        <color indexed="64"/>
      </right>
      <top style="hair">
        <color theme="0" tint="-0.24994659260841701"/>
      </top>
      <bottom style="hair">
        <color theme="0" tint="-0.24994659260841701"/>
      </bottom>
      <diagonal/>
    </border>
    <border>
      <left style="thin">
        <color indexed="64"/>
      </left>
      <right style="thin">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hair">
        <color theme="0" tint="-0.24994659260841701"/>
      </top>
      <bottom style="thin">
        <color indexed="64"/>
      </bottom>
      <diagonal/>
    </border>
    <border>
      <left style="thin">
        <color theme="0" tint="-0.24994659260841701"/>
      </left>
      <right style="thin">
        <color indexed="64"/>
      </right>
      <top style="hair">
        <color theme="0" tint="-0.24994659260841701"/>
      </top>
      <bottom style="thin">
        <color indexed="64"/>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indexed="64"/>
      </top>
      <bottom style="hair">
        <color theme="0" tint="-0.24994659260841701"/>
      </bottom>
      <diagonal/>
    </border>
    <border>
      <left style="thin">
        <color theme="0" tint="-0.24994659260841701"/>
      </left>
      <right/>
      <top style="hair">
        <color theme="0" tint="-0.24994659260841701"/>
      </top>
      <bottom style="thin">
        <color indexed="64"/>
      </bottom>
      <diagonal/>
    </border>
    <border>
      <left/>
      <right/>
      <top style="thin">
        <color theme="0" tint="-0.14996795556505021"/>
      </top>
      <bottom/>
      <diagonal/>
    </border>
  </borders>
  <cellStyleXfs count="9186">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18" fillId="0" borderId="0"/>
    <xf numFmtId="0" fontId="20" fillId="0" borderId="0"/>
    <xf numFmtId="43" fontId="18" fillId="0" borderId="0" applyFont="0" applyFill="0" applyBorder="0" applyAlignment="0" applyProtection="0"/>
    <xf numFmtId="9" fontId="18" fillId="0" borderId="0" applyFont="0" applyFill="0" applyBorder="0" applyAlignment="0" applyProtection="0"/>
    <xf numFmtId="0" fontId="20" fillId="0" borderId="0"/>
    <xf numFmtId="0" fontId="24" fillId="0" borderId="0"/>
    <xf numFmtId="0" fontId="20" fillId="0" borderId="0"/>
    <xf numFmtId="0" fontId="20" fillId="0" borderId="0">
      <alignment readingOrder="1"/>
    </xf>
    <xf numFmtId="0" fontId="20" fillId="0" borderId="0">
      <alignment readingOrder="1"/>
    </xf>
    <xf numFmtId="9" fontId="20" fillId="0" borderId="0" applyFont="0" applyFill="0" applyBorder="0" applyAlignment="0" applyProtection="0"/>
    <xf numFmtId="0" fontId="1" fillId="0" borderId="0"/>
    <xf numFmtId="43" fontId="20" fillId="0" borderId="0" applyFont="0" applyFill="0" applyBorder="0" applyAlignment="0" applyProtection="0"/>
    <xf numFmtId="44" fontId="20" fillId="0" borderId="0" applyFont="0" applyFill="0" applyBorder="0" applyAlignment="0" applyProtection="0"/>
    <xf numFmtId="0" fontId="20" fillId="40" borderId="0" applyNumberFormat="0" applyAlignment="0">
      <alignment horizontal="right"/>
    </xf>
    <xf numFmtId="0" fontId="20" fillId="39" borderId="0" applyNumberFormat="0" applyAlignment="0"/>
    <xf numFmtId="173" fontId="35" fillId="0" borderId="0"/>
    <xf numFmtId="0" fontId="36" fillId="0" borderId="0">
      <alignment horizontal="center" wrapText="1"/>
    </xf>
    <xf numFmtId="0" fontId="1" fillId="0" borderId="0"/>
    <xf numFmtId="0" fontId="1" fillId="0" borderId="0"/>
    <xf numFmtId="0" fontId="18" fillId="0" borderId="0"/>
    <xf numFmtId="0" fontId="37" fillId="41" borderId="0" applyNumberFormat="0" applyBorder="0" applyAlignment="0" applyProtection="0"/>
    <xf numFmtId="0" fontId="37"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50" borderId="0" applyNumberFormat="0" applyBorder="0" applyAlignment="0" applyProtection="0"/>
    <xf numFmtId="0" fontId="38" fillId="51"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34" fillId="57" borderId="0" applyNumberFormat="0" applyBorder="0" applyAlignment="0" applyProtection="0"/>
    <xf numFmtId="0" fontId="38" fillId="58"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34" fillId="60" borderId="0" applyNumberFormat="0" applyBorder="0" applyAlignment="0" applyProtection="0"/>
    <xf numFmtId="0" fontId="38" fillId="61" borderId="0" applyNumberFormat="0" applyBorder="0" applyAlignment="0" applyProtection="0"/>
    <xf numFmtId="0" fontId="25" fillId="62" borderId="0" applyNumberFormat="0" applyBorder="0" applyAlignment="0" applyProtection="0"/>
    <xf numFmtId="0" fontId="25" fillId="63" borderId="0" applyNumberFormat="0" applyBorder="0" applyAlignment="0" applyProtection="0"/>
    <xf numFmtId="0" fontId="34" fillId="63" borderId="0" applyNumberFormat="0" applyBorder="0" applyAlignment="0" applyProtection="0"/>
    <xf numFmtId="0" fontId="38" fillId="64" borderId="0" applyNumberFormat="0" applyBorder="0" applyAlignment="0" applyProtection="0"/>
    <xf numFmtId="0" fontId="25" fillId="65" borderId="0" applyNumberFormat="0" applyBorder="0" applyAlignment="0" applyProtection="0"/>
    <xf numFmtId="0" fontId="25" fillId="65" borderId="0" applyNumberFormat="0" applyBorder="0" applyAlignment="0" applyProtection="0"/>
    <xf numFmtId="0" fontId="34" fillId="66" borderId="0" applyNumberFormat="0" applyBorder="0" applyAlignment="0" applyProtection="0"/>
    <xf numFmtId="0" fontId="38" fillId="52" borderId="0" applyNumberFormat="0" applyBorder="0" applyAlignment="0" applyProtection="0"/>
    <xf numFmtId="0" fontId="25" fillId="67" borderId="0" applyNumberFormat="0" applyBorder="0" applyAlignment="0" applyProtection="0"/>
    <xf numFmtId="0" fontId="25" fillId="56" borderId="0" applyNumberFormat="0" applyBorder="0" applyAlignment="0" applyProtection="0"/>
    <xf numFmtId="0" fontId="34" fillId="68" borderId="0" applyNumberFormat="0" applyBorder="0" applyAlignment="0" applyProtection="0"/>
    <xf numFmtId="0" fontId="38" fillId="53" borderId="0" applyNumberFormat="0" applyBorder="0" applyAlignment="0" applyProtection="0"/>
    <xf numFmtId="0" fontId="25" fillId="69" borderId="0" applyNumberFormat="0" applyBorder="0" applyAlignment="0" applyProtection="0"/>
    <xf numFmtId="0" fontId="25" fillId="70" borderId="0" applyNumberFormat="0" applyBorder="0" applyAlignment="0" applyProtection="0"/>
    <xf numFmtId="0" fontId="34" fillId="71" borderId="0" applyNumberFormat="0" applyBorder="0" applyAlignment="0" applyProtection="0"/>
    <xf numFmtId="0" fontId="38" fillId="72" borderId="0" applyNumberFormat="0" applyBorder="0" applyAlignment="0" applyProtection="0"/>
    <xf numFmtId="0" fontId="39" fillId="42" borderId="0" applyNumberFormat="0" applyBorder="0" applyAlignment="0" applyProtection="0"/>
    <xf numFmtId="0" fontId="40" fillId="73" borderId="59" applyNumberFormat="0" applyAlignment="0" applyProtection="0"/>
    <xf numFmtId="0" fontId="41" fillId="74" borderId="60" applyNumberFormat="0" applyAlignment="0" applyProtection="0"/>
    <xf numFmtId="41" fontId="4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40" borderId="0" applyNumberFormat="0" applyAlignment="0">
      <alignment horizontal="right"/>
    </xf>
    <xf numFmtId="0" fontId="20" fillId="40" borderId="0" applyNumberFormat="0" applyAlignment="0">
      <alignment horizontal="right"/>
    </xf>
    <xf numFmtId="0" fontId="20" fillId="40" borderId="0" applyNumberFormat="0" applyAlignment="0">
      <alignment horizontal="right"/>
    </xf>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4" fillId="0" borderId="0" applyNumberFormat="0" applyFill="0" applyBorder="0" applyAlignment="0" applyProtection="0"/>
    <xf numFmtId="0" fontId="45" fillId="43" borderId="0" applyNumberFormat="0" applyBorder="0" applyAlignment="0" applyProtection="0"/>
    <xf numFmtId="0" fontId="46" fillId="0" borderId="61" applyNumberFormat="0" applyFill="0" applyAlignment="0" applyProtection="0"/>
    <xf numFmtId="0" fontId="33" fillId="78" borderId="62">
      <alignment horizontal="left"/>
    </xf>
    <xf numFmtId="0" fontId="47" fillId="0" borderId="63" applyNumberFormat="0" applyFill="0" applyAlignment="0" applyProtection="0"/>
    <xf numFmtId="0" fontId="48" fillId="0" borderId="64" applyNumberFormat="0" applyFill="0" applyAlignment="0" applyProtection="0"/>
    <xf numFmtId="0" fontId="48" fillId="0" borderId="0" applyNumberForma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4" fillId="46" borderId="59" applyNumberFormat="0" applyAlignment="0" applyProtection="0"/>
    <xf numFmtId="0" fontId="55" fillId="0" borderId="65" applyNumberFormat="0" applyFill="0" applyAlignment="0" applyProtection="0"/>
    <xf numFmtId="0" fontId="56" fillId="79" borderId="0" applyNumberFormat="0" applyBorder="0" applyAlignment="0" applyProtection="0"/>
    <xf numFmtId="0" fontId="37" fillId="0" borderId="0"/>
    <xf numFmtId="0" fontId="20" fillId="0" borderId="0"/>
    <xf numFmtId="0" fontId="37" fillId="0" borderId="0"/>
    <xf numFmtId="0" fontId="37" fillId="0" borderId="0"/>
    <xf numFmtId="0" fontId="20"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alignment readingOrder="1"/>
    </xf>
    <xf numFmtId="0" fontId="20" fillId="0" borderId="0">
      <alignment readingOrder="1"/>
    </xf>
    <xf numFmtId="0" fontId="20" fillId="0" borderId="0"/>
    <xf numFmtId="0" fontId="20" fillId="0" borderId="0"/>
    <xf numFmtId="0" fontId="20" fillId="0" borderId="0"/>
    <xf numFmtId="0" fontId="20" fillId="0" borderId="0"/>
    <xf numFmtId="0" fontId="20" fillId="0" borderId="0"/>
    <xf numFmtId="0" fontId="20" fillId="0" borderId="0">
      <alignment readingOrder="1"/>
    </xf>
    <xf numFmtId="0" fontId="37" fillId="0" borderId="0"/>
    <xf numFmtId="0" fontId="37" fillId="0" borderId="0"/>
    <xf numFmtId="0" fontId="1" fillId="0" borderId="0"/>
    <xf numFmtId="0" fontId="1" fillId="0" borderId="0"/>
    <xf numFmtId="0" fontId="1" fillId="0" borderId="0"/>
    <xf numFmtId="0" fontId="1" fillId="0" borderId="0"/>
    <xf numFmtId="0" fontId="20" fillId="0" borderId="0">
      <alignment readingOrder="1"/>
    </xf>
    <xf numFmtId="0" fontId="20" fillId="0" borderId="0">
      <alignment readingOrder="1"/>
    </xf>
    <xf numFmtId="0" fontId="20" fillId="0" borderId="0">
      <alignment readingOrder="1"/>
    </xf>
    <xf numFmtId="0" fontId="1" fillId="0" borderId="0"/>
    <xf numFmtId="0" fontId="1" fillId="0" borderId="0"/>
    <xf numFmtId="0" fontId="37" fillId="0" borderId="0"/>
    <xf numFmtId="0" fontId="20" fillId="0" borderId="0">
      <alignment readingOrder="1"/>
    </xf>
    <xf numFmtId="0" fontId="1"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20" fillId="0" borderId="0"/>
    <xf numFmtId="0" fontId="20" fillId="0" borderId="0"/>
    <xf numFmtId="0" fontId="20" fillId="0" borderId="0"/>
    <xf numFmtId="0" fontId="20" fillId="0" borderId="0"/>
    <xf numFmtId="0" fontId="20" fillId="0" borderId="0"/>
    <xf numFmtId="0" fontId="20" fillId="0" borderId="0">
      <alignment readingOrder="1"/>
    </xf>
    <xf numFmtId="0" fontId="20" fillId="0" borderId="0"/>
    <xf numFmtId="0" fontId="20" fillId="0" borderId="0"/>
    <xf numFmtId="0" fontId="37" fillId="0" borderId="0"/>
    <xf numFmtId="0" fontId="1" fillId="0" borderId="0"/>
    <xf numFmtId="0" fontId="37" fillId="0" borderId="0"/>
    <xf numFmtId="0" fontId="1" fillId="0" borderId="0"/>
    <xf numFmtId="0" fontId="20" fillId="0" borderId="0" applyNumberFormat="0" applyFill="0" applyBorder="0" applyAlignment="0" applyProtection="0"/>
    <xf numFmtId="0" fontId="1" fillId="0" borderId="0"/>
    <xf numFmtId="0" fontId="1" fillId="0" borderId="0"/>
    <xf numFmtId="0" fontId="42" fillId="0" borderId="0"/>
    <xf numFmtId="0" fontId="1" fillId="0" borderId="0"/>
    <xf numFmtId="0" fontId="1" fillId="0" borderId="0"/>
    <xf numFmtId="0" fontId="20" fillId="0" borderId="0">
      <alignment readingOrder="1"/>
    </xf>
    <xf numFmtId="0" fontId="1" fillId="0" borderId="0"/>
    <xf numFmtId="0" fontId="1" fillId="0" borderId="0"/>
    <xf numFmtId="0" fontId="37" fillId="0" borderId="0"/>
    <xf numFmtId="0" fontId="37" fillId="0" borderId="0"/>
    <xf numFmtId="0" fontId="57" fillId="0" borderId="0"/>
    <xf numFmtId="0" fontId="37" fillId="0" borderId="0"/>
    <xf numFmtId="0" fontId="37" fillId="0" borderId="0"/>
    <xf numFmtId="0" fontId="37" fillId="0" borderId="0"/>
    <xf numFmtId="0" fontId="37" fillId="0" borderId="0"/>
    <xf numFmtId="0" fontId="20" fillId="0" borderId="0">
      <alignment readingOrder="1"/>
    </xf>
    <xf numFmtId="0" fontId="20" fillId="0" borderId="0">
      <alignment readingOrder="1"/>
    </xf>
    <xf numFmtId="0" fontId="37" fillId="80" borderId="66" applyNumberFormat="0" applyFont="0" applyAlignment="0" applyProtection="0"/>
    <xf numFmtId="0" fontId="37" fillId="80" borderId="66" applyNumberFormat="0" applyFont="0" applyAlignment="0" applyProtection="0"/>
    <xf numFmtId="0" fontId="58" fillId="73" borderId="67" applyNumberFormat="0" applyAlignment="0" applyProtection="0"/>
    <xf numFmtId="9" fontId="3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9" fillId="0" borderId="0" applyNumberFormat="0" applyFill="0" applyBorder="0" applyAlignment="0" applyProtection="0"/>
    <xf numFmtId="0" fontId="60" fillId="0" borderId="0"/>
    <xf numFmtId="0" fontId="61" fillId="0" borderId="0"/>
    <xf numFmtId="0" fontId="59" fillId="0" borderId="0" applyNumberFormat="0" applyFill="0" applyBorder="0" applyAlignment="0" applyProtection="0"/>
    <xf numFmtId="0" fontId="62" fillId="0" borderId="68" applyNumberFormat="0" applyFill="0" applyAlignment="0" applyProtection="0"/>
    <xf numFmtId="0" fontId="63" fillId="0" borderId="0" applyNumberFormat="0" applyFill="0" applyBorder="0" applyAlignment="0" applyProtection="0"/>
    <xf numFmtId="0" fontId="20" fillId="0" borderId="0"/>
    <xf numFmtId="0" fontId="20" fillId="0" borderId="0"/>
    <xf numFmtId="0" fontId="18" fillId="0" borderId="0"/>
    <xf numFmtId="0" fontId="18" fillId="0" borderId="0"/>
    <xf numFmtId="0" fontId="52" fillId="0" borderId="0" applyNumberFormat="0" applyFill="0" applyBorder="0" applyAlignment="0" applyProtection="0">
      <alignment readingOrder="1"/>
    </xf>
    <xf numFmtId="0" fontId="37" fillId="82" borderId="0" applyNumberFormat="0" applyBorder="0" applyAlignment="0" applyProtection="0"/>
    <xf numFmtId="0" fontId="64" fillId="83" borderId="0" applyNumberFormat="0" applyBorder="0" applyAlignment="0" applyProtection="0"/>
    <xf numFmtId="0" fontId="64" fillId="46" borderId="0" applyNumberFormat="0" applyBorder="0" applyAlignment="0" applyProtection="0"/>
    <xf numFmtId="0" fontId="37" fillId="42" borderId="0" applyNumberFormat="0" applyBorder="0" applyAlignment="0" applyProtection="0"/>
    <xf numFmtId="0" fontId="64" fillId="80" borderId="0" applyNumberFormat="0" applyBorder="0" applyAlignment="0" applyProtection="0"/>
    <xf numFmtId="0" fontId="37" fillId="82" borderId="0" applyNumberFormat="0" applyBorder="0" applyAlignment="0" applyProtection="0"/>
    <xf numFmtId="0" fontId="64" fillId="83" borderId="0" applyNumberFormat="0" applyBorder="0" applyAlignment="0" applyProtection="0"/>
    <xf numFmtId="0" fontId="64" fillId="45" borderId="0" applyNumberFormat="0" applyBorder="0" applyAlignment="0" applyProtection="0"/>
    <xf numFmtId="0" fontId="64" fillId="46" borderId="0" applyNumberFormat="0" applyBorder="0" applyAlignment="0" applyProtection="0"/>
    <xf numFmtId="0" fontId="37" fillId="73" borderId="0" applyNumberFormat="0" applyBorder="0" applyAlignment="0" applyProtection="0"/>
    <xf numFmtId="0" fontId="64" fillId="73" borderId="0" applyNumberFormat="0" applyBorder="0" applyAlignment="0" applyProtection="0"/>
    <xf numFmtId="0" fontId="37" fillId="42" borderId="0" applyNumberFormat="0" applyBorder="0" applyAlignment="0" applyProtection="0"/>
    <xf numFmtId="0" fontId="64" fillId="48" borderId="0" applyNumberFormat="0" applyBorder="0" applyAlignment="0" applyProtection="0"/>
    <xf numFmtId="0" fontId="37" fillId="42" borderId="0" applyNumberFormat="0" applyBorder="0" applyAlignment="0" applyProtection="0"/>
    <xf numFmtId="0" fontId="64" fillId="79" borderId="0" applyNumberFormat="0" applyBorder="0" applyAlignment="0" applyProtection="0"/>
    <xf numFmtId="0" fontId="37" fillId="73" borderId="0" applyNumberFormat="0" applyBorder="0" applyAlignment="0" applyProtection="0"/>
    <xf numFmtId="0" fontId="64" fillId="73" borderId="0" applyNumberFormat="0" applyBorder="0" applyAlignment="0" applyProtection="0"/>
    <xf numFmtId="0" fontId="64" fillId="47" borderId="0" applyNumberFormat="0" applyBorder="0" applyAlignment="0" applyProtection="0"/>
    <xf numFmtId="0" fontId="37" fillId="46" borderId="0" applyNumberFormat="0" applyBorder="0" applyAlignment="0" applyProtection="0"/>
    <xf numFmtId="0" fontId="64" fillId="46"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42" borderId="0" applyNumberFormat="0" applyBorder="0" applyAlignment="0" applyProtection="0"/>
    <xf numFmtId="0" fontId="38" fillId="48" borderId="0" applyNumberFormat="0" applyBorder="0" applyAlignment="0" applyProtection="0"/>
    <xf numFmtId="0" fontId="38" fillId="42" borderId="0" applyNumberFormat="0" applyBorder="0" applyAlignment="0" applyProtection="0"/>
    <xf numFmtId="0" fontId="38" fillId="79"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53"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61" borderId="0" applyNumberFormat="0" applyBorder="0" applyAlignment="0" applyProtection="0"/>
    <xf numFmtId="0" fontId="38" fillId="42" borderId="0" applyNumberFormat="0" applyBorder="0" applyAlignment="0" applyProtection="0"/>
    <xf numFmtId="0" fontId="38" fillId="6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53" borderId="0" applyNumberFormat="0" applyBorder="0" applyAlignment="0" applyProtection="0"/>
    <xf numFmtId="0" fontId="38" fillId="72" borderId="0" applyNumberFormat="0" applyBorder="0" applyAlignment="0" applyProtection="0"/>
    <xf numFmtId="0" fontId="39" fillId="44" borderId="0" applyNumberFormat="0" applyBorder="0" applyAlignment="0" applyProtection="0"/>
    <xf numFmtId="0" fontId="39" fillId="42" borderId="0" applyNumberFormat="0" applyBorder="0" applyAlignment="0" applyProtection="0"/>
    <xf numFmtId="0" fontId="40" fillId="82" borderId="59" applyNumberFormat="0" applyAlignment="0" applyProtection="0"/>
    <xf numFmtId="0" fontId="40" fillId="82" borderId="59" applyNumberFormat="0" applyAlignment="0" applyProtection="0"/>
    <xf numFmtId="0" fontId="41" fillId="74" borderId="6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40" borderId="0" applyNumberFormat="0" applyAlignment="0">
      <alignment horizontal="right"/>
    </xf>
    <xf numFmtId="0" fontId="20" fillId="40" borderId="0" applyNumberFormat="0" applyAlignment="0">
      <alignment horizontal="right"/>
    </xf>
    <xf numFmtId="0" fontId="44" fillId="0" borderId="0" applyNumberFormat="0" applyFill="0" applyBorder="0" applyAlignment="0" applyProtection="0"/>
    <xf numFmtId="0" fontId="45" fillId="43" borderId="0" applyNumberFormat="0" applyBorder="0" applyAlignment="0" applyProtection="0"/>
    <xf numFmtId="0" fontId="65" fillId="0" borderId="85" applyNumberFormat="0" applyFill="0" applyAlignment="0" applyProtection="0"/>
    <xf numFmtId="0" fontId="65" fillId="0" borderId="85" applyNumberFormat="0" applyFill="0" applyAlignment="0" applyProtection="0"/>
    <xf numFmtId="0" fontId="66" fillId="0" borderId="86" applyNumberFormat="0" applyFill="0" applyAlignment="0" applyProtection="0"/>
    <xf numFmtId="0" fontId="66" fillId="0" borderId="86"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54" fillId="46" borderId="59" applyNumberFormat="0" applyAlignment="0" applyProtection="0"/>
    <xf numFmtId="0" fontId="55" fillId="0" borderId="65" applyNumberFormat="0" applyFill="0" applyAlignment="0" applyProtection="0"/>
    <xf numFmtId="0" fontId="56" fillId="79" borderId="0" applyNumberFormat="0" applyBorder="0" applyAlignment="0" applyProtection="0"/>
    <xf numFmtId="0" fontId="1" fillId="0" borderId="0"/>
    <xf numFmtId="0" fontId="20" fillId="0" borderId="0"/>
    <xf numFmtId="0" fontId="20" fillId="0" borderId="0"/>
    <xf numFmtId="0" fontId="20" fillId="0" borderId="0">
      <alignment readingOrder="1"/>
    </xf>
    <xf numFmtId="0" fontId="67" fillId="0" borderId="0"/>
    <xf numFmtId="0" fontId="68" fillId="0" borderId="0"/>
    <xf numFmtId="0" fontId="68" fillId="0" borderId="0"/>
    <xf numFmtId="0" fontId="68" fillId="0" borderId="0"/>
    <xf numFmtId="0" fontId="20" fillId="0" borderId="0"/>
    <xf numFmtId="0" fontId="20" fillId="0" borderId="0"/>
    <xf numFmtId="0" fontId="20" fillId="0" borderId="0"/>
    <xf numFmtId="0" fontId="68" fillId="0" borderId="0"/>
    <xf numFmtId="0" fontId="68" fillId="0" borderId="0"/>
    <xf numFmtId="0" fontId="68" fillId="0" borderId="0"/>
    <xf numFmtId="0" fontId="2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0" fillId="0" borderId="0"/>
    <xf numFmtId="0" fontId="1" fillId="0" borderId="0"/>
    <xf numFmtId="0" fontId="1" fillId="0" borderId="0"/>
    <xf numFmtId="0" fontId="20" fillId="0" borderId="0"/>
    <xf numFmtId="0" fontId="1" fillId="0" borderId="0"/>
    <xf numFmtId="0" fontId="20" fillId="0" borderId="0">
      <alignment readingOrder="1"/>
    </xf>
    <xf numFmtId="0" fontId="20" fillId="80" borderId="66" applyNumberFormat="0" applyFont="0" applyAlignment="0" applyProtection="0"/>
    <xf numFmtId="0" fontId="58" fillId="82" borderId="67" applyNumberFormat="0" applyAlignment="0" applyProtection="0"/>
    <xf numFmtId="0" fontId="58" fillId="82" borderId="67"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5" fontId="20" fillId="0" borderId="0" applyFill="0" applyBorder="0" applyAlignment="0" applyProtection="0">
      <alignment wrapText="1"/>
    </xf>
    <xf numFmtId="0" fontId="69" fillId="0" borderId="0" applyNumberFormat="0" applyFill="0" applyBorder="0" applyAlignment="0" applyProtection="0"/>
    <xf numFmtId="0" fontId="69" fillId="0" borderId="0" applyNumberFormat="0" applyFill="0" applyBorder="0" applyAlignment="0" applyProtection="0"/>
    <xf numFmtId="0" fontId="62" fillId="0" borderId="87" applyNumberFormat="0" applyFill="0" applyAlignment="0" applyProtection="0"/>
    <xf numFmtId="0" fontId="58" fillId="0" borderId="87" applyNumberFormat="0" applyFill="0" applyAlignment="0" applyProtection="0"/>
    <xf numFmtId="0" fontId="63" fillId="0" borderId="0" applyNumberFormat="0" applyFill="0" applyBorder="0" applyAlignment="0" applyProtection="0"/>
    <xf numFmtId="0" fontId="70" fillId="0" borderId="0">
      <alignment vertical="center"/>
    </xf>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7" fillId="85" borderId="2" applyNumberFormat="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40" borderId="0" applyNumberFormat="0" applyAlignment="0">
      <alignment horizontal="right"/>
    </xf>
    <xf numFmtId="0" fontId="20" fillId="40" borderId="0" applyNumberFormat="0" applyAlignment="0">
      <alignment horizontal="right"/>
    </xf>
    <xf numFmtId="0" fontId="20" fillId="40" borderId="0" applyNumberFormat="0" applyAlignment="0">
      <alignment horizontal="right"/>
    </xf>
    <xf numFmtId="0" fontId="20" fillId="39" borderId="0" applyNumberFormat="0" applyAlignment="0"/>
    <xf numFmtId="0" fontId="20" fillId="39" borderId="0" applyNumberFormat="0" applyAlignment="0"/>
    <xf numFmtId="0" fontId="20" fillId="39" borderId="0" applyNumberFormat="0" applyAlignment="0"/>
    <xf numFmtId="0" fontId="20" fillId="39" borderId="0" applyNumberFormat="0" applyAlignment="0"/>
    <xf numFmtId="0" fontId="20" fillId="39" borderId="0" applyNumberFormat="0" applyAlignment="0"/>
    <xf numFmtId="0" fontId="33" fillId="78" borderId="62">
      <alignment horizontal="left"/>
    </xf>
    <xf numFmtId="0" fontId="71" fillId="0" borderId="1" applyNumberFormat="0" applyFill="0" applyAlignment="0" applyProtection="0"/>
    <xf numFmtId="0" fontId="49" fillId="0" borderId="0" applyNumberFormat="0" applyFill="0" applyBorder="0" applyAlignment="0" applyProtection="0">
      <alignment vertical="top"/>
      <protection locked="0"/>
    </xf>
    <xf numFmtId="0" fontId="20" fillId="0" borderId="0"/>
    <xf numFmtId="0" fontId="20" fillId="0" borderId="0"/>
    <xf numFmtId="0" fontId="37" fillId="0" borderId="0"/>
    <xf numFmtId="0" fontId="20" fillId="0" borderId="0"/>
    <xf numFmtId="0" fontId="37" fillId="0" borderId="0"/>
    <xf numFmtId="0" fontId="37" fillId="0" borderId="0"/>
    <xf numFmtId="0" fontId="20" fillId="0" borderId="0"/>
    <xf numFmtId="0" fontId="1" fillId="0" borderId="0"/>
    <xf numFmtId="0" fontId="1" fillId="0" borderId="0"/>
    <xf numFmtId="0" fontId="20" fillId="0" borderId="0"/>
    <xf numFmtId="0" fontId="20" fillId="0" borderId="0">
      <alignment readingOrder="1"/>
    </xf>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1" fillId="0" borderId="0"/>
    <xf numFmtId="0" fontId="1" fillId="0" borderId="0"/>
    <xf numFmtId="0" fontId="1" fillId="0" borderId="0"/>
    <xf numFmtId="0" fontId="20" fillId="0" borderId="0">
      <alignment readingOrder="1"/>
    </xf>
    <xf numFmtId="0" fontId="20" fillId="0" borderId="0">
      <alignment readingOrder="1"/>
    </xf>
    <xf numFmtId="0" fontId="1" fillId="0" borderId="0"/>
    <xf numFmtId="0" fontId="72" fillId="0" borderId="0"/>
    <xf numFmtId="0" fontId="20" fillId="0" borderId="0">
      <alignment readingOrder="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readingOrder="1"/>
    </xf>
    <xf numFmtId="0" fontId="20" fillId="0" borderId="0">
      <alignment readingOrder="1"/>
    </xf>
    <xf numFmtId="0" fontId="20" fillId="0" borderId="0">
      <alignment readingOrder="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7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37" fillId="0" borderId="0"/>
    <xf numFmtId="0" fontId="1" fillId="0" borderId="0"/>
    <xf numFmtId="0" fontId="20" fillId="0" borderId="0">
      <alignment readingOrder="1"/>
    </xf>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alignment readingOrder="1"/>
    </xf>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20" fillId="0" borderId="0"/>
    <xf numFmtId="0" fontId="20" fillId="0" borderId="0"/>
    <xf numFmtId="0" fontId="57" fillId="0" borderId="0"/>
    <xf numFmtId="0" fontId="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57" fillId="0" borderId="0"/>
    <xf numFmtId="0" fontId="20" fillId="0" borderId="0">
      <alignment readingOrder="1"/>
    </xf>
    <xf numFmtId="0" fontId="20"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74" fillId="79" borderId="66" applyNumberFormat="0" applyFont="0" applyAlignment="0" applyProtection="0"/>
    <xf numFmtId="0" fontId="74" fillId="79" borderId="66" applyNumberFormat="0" applyFont="0" applyAlignment="0" applyProtection="0"/>
    <xf numFmtId="0" fontId="74" fillId="79" borderId="66"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0" fillId="0" borderId="0" applyFont="0" applyFill="0" applyBorder="0" applyAlignment="0" applyProtection="0"/>
    <xf numFmtId="9" fontId="57" fillId="0" borderId="0" applyFont="0" applyFill="0" applyBorder="0" applyAlignment="0" applyProtection="0"/>
    <xf numFmtId="43" fontId="20" fillId="0" borderId="0" applyFont="0" applyFill="0" applyBorder="0" applyAlignment="0" applyProtection="0"/>
    <xf numFmtId="0" fontId="52" fillId="0" borderId="0" applyNumberFormat="0" applyFill="0" applyBorder="0" applyAlignment="0" applyProtection="0">
      <alignment readingOrder="1"/>
    </xf>
    <xf numFmtId="43" fontId="20" fillId="0" borderId="0" applyFont="0" applyFill="0" applyBorder="0" applyAlignment="0" applyProtection="0"/>
    <xf numFmtId="0" fontId="20" fillId="0" borderId="0"/>
    <xf numFmtId="43" fontId="20" fillId="0" borderId="0" applyFont="0" applyFill="0" applyBorder="0" applyAlignment="0" applyProtection="0"/>
    <xf numFmtId="164" fontId="6" fillId="89" borderId="95"/>
    <xf numFmtId="0" fontId="58" fillId="73" borderId="92" applyNumberFormat="0" applyAlignment="0" applyProtection="0"/>
    <xf numFmtId="0" fontId="62" fillId="0" borderId="93" applyNumberFormat="0" applyFill="0" applyAlignment="0" applyProtection="0"/>
    <xf numFmtId="43" fontId="20" fillId="0" borderId="0" applyFont="0" applyFill="0" applyBorder="0" applyAlignment="0" applyProtection="0"/>
    <xf numFmtId="0" fontId="58" fillId="82" borderId="92" applyNumberFormat="0" applyAlignment="0" applyProtection="0"/>
    <xf numFmtId="0" fontId="58" fillId="82" borderId="92" applyNumberFormat="0" applyAlignment="0" applyProtection="0"/>
    <xf numFmtId="0" fontId="62" fillId="0" borderId="94" applyNumberFormat="0" applyFill="0" applyAlignment="0" applyProtection="0"/>
    <xf numFmtId="0" fontId="58" fillId="0" borderId="94" applyNumberFormat="0" applyFill="0" applyAlignment="0" applyProtection="0"/>
    <xf numFmtId="43" fontId="1" fillId="3" borderId="3"/>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0" fontId="20" fillId="0" borderId="0"/>
    <xf numFmtId="0" fontId="20" fillId="0" borderId="0"/>
    <xf numFmtId="0" fontId="1" fillId="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 fillId="0" borderId="1" applyNumberFormat="0" applyFill="0" applyAlignment="0" applyProtection="0"/>
    <xf numFmtId="0" fontId="96" fillId="0" borderId="0" applyNumberFormat="0" applyFill="0" applyBorder="0" applyProtection="0">
      <alignment horizontal="left"/>
    </xf>
    <xf numFmtId="0" fontId="37" fillId="0" borderId="0"/>
    <xf numFmtId="0" fontId="20" fillId="0" borderId="0">
      <alignment readingOrder="1"/>
    </xf>
    <xf numFmtId="0" fontId="18" fillId="0" borderId="0"/>
    <xf numFmtId="0" fontId="20" fillId="0" borderId="0">
      <alignment readingOrder="1"/>
    </xf>
    <xf numFmtId="0" fontId="37" fillId="0" borderId="0"/>
    <xf numFmtId="0" fontId="37" fillId="0" borderId="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0" fillId="73" borderId="175" applyNumberFormat="0" applyAlignment="0" applyProtection="0"/>
    <xf numFmtId="0" fontId="54" fillId="46" borderId="175" applyNumberFormat="0" applyAlignment="0" applyProtection="0"/>
    <xf numFmtId="43" fontId="20" fillId="0" borderId="0" applyFont="0" applyFill="0" applyBorder="0" applyAlignment="0" applyProtection="0"/>
    <xf numFmtId="0" fontId="40" fillId="82" borderId="175" applyNumberFormat="0" applyAlignment="0" applyProtection="0"/>
    <xf numFmtId="0" fontId="40" fillId="82" borderId="175" applyNumberFormat="0" applyAlignment="0" applyProtection="0"/>
    <xf numFmtId="0" fontId="54" fillId="46" borderId="175" applyNumberFormat="0" applyAlignment="0" applyProtection="0"/>
    <xf numFmtId="43" fontId="20"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7" fillId="8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4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8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7" fillId="7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7" fillId="4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7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4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0" fontId="20" fillId="40" borderId="0" applyNumberFormat="0" applyAlignment="0">
      <alignment horizontal="right"/>
    </xf>
    <xf numFmtId="0" fontId="20" fillId="40" borderId="0" applyNumberFormat="0" applyAlignment="0">
      <alignment horizontal="right"/>
    </xf>
    <xf numFmtId="0" fontId="20" fillId="40" borderId="0" applyNumberFormat="0" applyAlignment="0">
      <alignment horizontal="right"/>
    </xf>
    <xf numFmtId="0" fontId="2" fillId="0" borderId="1" applyNumberFormat="0" applyFill="0" applyAlignment="0" applyProtection="0"/>
    <xf numFmtId="0" fontId="33" fillId="78" borderId="62">
      <alignment horizontal="left"/>
    </xf>
    <xf numFmtId="0" fontId="49" fillId="0" borderId="0" applyNumberFormat="0" applyFill="0" applyBorder="0" applyAlignment="0" applyProtection="0">
      <alignment readingOrder="1"/>
    </xf>
    <xf numFmtId="0" fontId="23" fillId="0" borderId="0" applyNumberFormat="0" applyFill="0" applyBorder="0" applyAlignment="0" applyProtection="0"/>
    <xf numFmtId="0" fontId="97"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20" fillId="0" borderId="0"/>
    <xf numFmtId="0" fontId="20" fillId="0" borderId="0">
      <alignment readingOrder="1"/>
    </xf>
    <xf numFmtId="0" fontId="20"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20" fillId="0" borderId="0">
      <alignment readingOrder="1"/>
    </xf>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20" fillId="80" borderId="66"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18" fillId="0" borderId="0"/>
    <xf numFmtId="0" fontId="52" fillId="0" borderId="0" applyNumberFormat="0" applyFill="0" applyBorder="0" applyAlignment="0" applyProtection="0">
      <alignment readingOrder="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101" fillId="0" borderId="181" applyNumberFormat="0" applyFill="0" applyAlignment="0" applyProtection="0"/>
    <xf numFmtId="0" fontId="106" fillId="29" borderId="0"/>
    <xf numFmtId="0" fontId="108" fillId="98" borderId="0"/>
    <xf numFmtId="0" fontId="23" fillId="0" borderId="0" applyNumberFormat="0" applyFill="0" applyBorder="0" applyAlignment="0" applyProtection="0"/>
    <xf numFmtId="44" fontId="20" fillId="0" borderId="0" applyFont="0" applyFill="0" applyBorder="0" applyAlignment="0" applyProtection="0"/>
    <xf numFmtId="0" fontId="33" fillId="78" borderId="317">
      <alignment horizontal="left"/>
    </xf>
    <xf numFmtId="0" fontId="62" fillId="0" borderId="320" applyNumberFormat="0" applyFill="0" applyAlignment="0" applyProtection="0"/>
    <xf numFmtId="0" fontId="37" fillId="80" borderId="319" applyNumberFormat="0" applyFont="0" applyAlignment="0" applyProtection="0"/>
    <xf numFmtId="0" fontId="40" fillId="73" borderId="311" applyNumberFormat="0" applyAlignment="0" applyProtection="0"/>
    <xf numFmtId="0" fontId="54" fillId="46" borderId="311" applyNumberFormat="0" applyAlignment="0" applyProtection="0"/>
    <xf numFmtId="0" fontId="37" fillId="80" borderId="312" applyNumberFormat="0" applyFont="0" applyAlignment="0" applyProtection="0"/>
    <xf numFmtId="0" fontId="58" fillId="73" borderId="313" applyNumberFormat="0" applyAlignment="0" applyProtection="0"/>
    <xf numFmtId="0" fontId="62" fillId="0" borderId="314" applyNumberFormat="0" applyFill="0" applyAlignment="0" applyProtection="0"/>
    <xf numFmtId="43" fontId="20" fillId="0" borderId="0" applyFont="0" applyFill="0" applyBorder="0" applyAlignment="0" applyProtection="0"/>
    <xf numFmtId="0" fontId="168" fillId="0" borderId="0" applyNumberFormat="0" applyFill="0" applyBorder="0" applyAlignment="0" applyProtection="0"/>
    <xf numFmtId="0" fontId="169" fillId="0" borderId="0" applyAlignment="0"/>
    <xf numFmtId="0" fontId="166" fillId="0" borderId="0" applyNumberFormat="0" applyFill="0" applyBorder="0" applyAlignment="0" applyProtection="0"/>
    <xf numFmtId="9" fontId="169" fillId="0" borderId="0" applyFont="0" applyFill="0" applyBorder="0" applyAlignment="0" applyProtection="0"/>
    <xf numFmtId="0" fontId="1" fillId="0" borderId="0"/>
    <xf numFmtId="44" fontId="169" fillId="0" borderId="0" applyFont="0" applyFill="0" applyBorder="0" applyAlignment="0" applyProtection="0"/>
    <xf numFmtId="0" fontId="49" fillId="0" borderId="0" applyNumberFormat="0" applyFill="0" applyBorder="0" applyAlignment="0" applyProtection="0">
      <alignment vertical="top"/>
      <protection locked="0"/>
    </xf>
    <xf numFmtId="9" fontId="37"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3" fillId="0" borderId="0" applyNumberFormat="0" applyFill="0" applyBorder="0" applyAlignment="0" applyProtection="0">
      <alignment vertical="top"/>
      <protection locked="0"/>
    </xf>
    <xf numFmtId="43" fontId="1" fillId="0" borderId="0" applyFont="0" applyFill="0" applyBorder="0" applyAlignment="0" applyProtection="0"/>
    <xf numFmtId="0" fontId="167" fillId="112" borderId="206" applyNumberFormat="0" applyProtection="0">
      <alignment horizontal="center"/>
    </xf>
    <xf numFmtId="0" fontId="73" fillId="0" borderId="0"/>
    <xf numFmtId="0" fontId="73" fillId="0" borderId="0"/>
    <xf numFmtId="0" fontId="73" fillId="0" borderId="0"/>
    <xf numFmtId="0" fontId="20" fillId="0" borderId="0"/>
    <xf numFmtId="9" fontId="1" fillId="0" borderId="0" applyFont="0" applyFill="0" applyBorder="0" applyAlignment="0" applyProtection="0"/>
    <xf numFmtId="9" fontId="3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72" fillId="0" borderId="0"/>
    <xf numFmtId="0" fontId="171" fillId="0" borderId="0"/>
    <xf numFmtId="0" fontId="171" fillId="0" borderId="0"/>
    <xf numFmtId="0" fontId="37" fillId="80" borderId="319" applyNumberFormat="0" applyFont="0" applyAlignment="0" applyProtection="0"/>
    <xf numFmtId="0" fontId="40" fillId="82" borderId="311" applyNumberFormat="0" applyAlignment="0" applyProtection="0"/>
    <xf numFmtId="0" fontId="40" fillId="82" borderId="311" applyNumberFormat="0" applyAlignment="0" applyProtection="0"/>
    <xf numFmtId="0" fontId="54" fillId="46" borderId="311" applyNumberFormat="0" applyAlignment="0" applyProtection="0"/>
    <xf numFmtId="0" fontId="20" fillId="80" borderId="319" applyNumberFormat="0" applyFont="0" applyAlignment="0" applyProtection="0"/>
    <xf numFmtId="0" fontId="58" fillId="82" borderId="313" applyNumberFormat="0" applyAlignment="0" applyProtection="0"/>
    <xf numFmtId="0" fontId="58" fillId="82" borderId="313" applyNumberFormat="0" applyAlignment="0" applyProtection="0"/>
    <xf numFmtId="0" fontId="62" fillId="0" borderId="390" applyNumberFormat="0" applyFill="0" applyAlignment="0" applyProtection="0"/>
    <xf numFmtId="0" fontId="58" fillId="0" borderId="390" applyNumberFormat="0" applyFill="0" applyAlignment="0" applyProtection="0"/>
    <xf numFmtId="43" fontId="20" fillId="0" borderId="0" applyFont="0" applyFill="0" applyBorder="0" applyAlignment="0" applyProtection="0"/>
    <xf numFmtId="0" fontId="33" fillId="78" borderId="317">
      <alignment horizontal="left"/>
    </xf>
    <xf numFmtId="0" fontId="74" fillId="79" borderId="319" applyNumberFormat="0" applyFont="0" applyAlignment="0" applyProtection="0"/>
    <xf numFmtId="0" fontId="74" fillId="79" borderId="319" applyNumberFormat="0" applyFont="0" applyAlignment="0" applyProtection="0"/>
    <xf numFmtId="0" fontId="74" fillId="79" borderId="319" applyNumberFormat="0" applyFont="0" applyAlignment="0" applyProtection="0"/>
    <xf numFmtId="0" fontId="177" fillId="0" borderId="391" applyNumberFormat="0" applyFill="0" applyAlignment="0" applyProtection="0"/>
    <xf numFmtId="0" fontId="209" fillId="116" borderId="0" applyNumberFormat="0" applyBorder="0" applyAlignment="0" applyProtection="0"/>
  </cellStyleXfs>
  <cellXfs count="3175">
    <xf numFmtId="0" fontId="0" fillId="0" borderId="0" xfId="0"/>
    <xf numFmtId="0" fontId="0" fillId="16" borderId="0" xfId="0" applyFill="1"/>
    <xf numFmtId="164" fontId="0" fillId="16" borderId="0" xfId="0" applyNumberFormat="1" applyFill="1"/>
    <xf numFmtId="165" fontId="0" fillId="16" borderId="0" xfId="1" applyNumberFormat="1" applyFont="1" applyFill="1"/>
    <xf numFmtId="0" fontId="0" fillId="16" borderId="0" xfId="0" applyFill="1" applyAlignment="1">
      <alignment wrapText="1"/>
    </xf>
    <xf numFmtId="0" fontId="0" fillId="16" borderId="0" xfId="0" applyFill="1" applyBorder="1" applyAlignment="1">
      <alignment wrapText="1"/>
    </xf>
    <xf numFmtId="0" fontId="13" fillId="26" borderId="0" xfId="0" applyFont="1" applyFill="1" applyBorder="1" applyAlignment="1">
      <alignment wrapText="1"/>
    </xf>
    <xf numFmtId="0" fontId="13" fillId="26" borderId="0" xfId="0" applyNumberFormat="1" applyFont="1" applyFill="1" applyBorder="1" applyAlignment="1">
      <alignment wrapText="1"/>
    </xf>
    <xf numFmtId="0" fontId="13" fillId="26" borderId="0" xfId="0" applyFont="1" applyFill="1" applyBorder="1"/>
    <xf numFmtId="0" fontId="13" fillId="27" borderId="0" xfId="0" applyNumberFormat="1" applyFont="1" applyFill="1" applyBorder="1"/>
    <xf numFmtId="0" fontId="13" fillId="26" borderId="0" xfId="0" applyNumberFormat="1" applyFont="1" applyFill="1" applyBorder="1"/>
    <xf numFmtId="0" fontId="15" fillId="21" borderId="7" xfId="0" applyFont="1" applyFill="1" applyBorder="1" applyAlignment="1">
      <alignment wrapText="1"/>
    </xf>
    <xf numFmtId="0" fontId="15" fillId="19" borderId="7" xfId="0" applyFont="1" applyFill="1" applyBorder="1" applyAlignment="1">
      <alignment wrapText="1"/>
    </xf>
    <xf numFmtId="0" fontId="15" fillId="33" borderId="7" xfId="0" applyFont="1" applyFill="1" applyBorder="1" applyAlignment="1">
      <alignment wrapText="1"/>
    </xf>
    <xf numFmtId="0" fontId="0" fillId="17" borderId="8" xfId="0" applyFill="1" applyBorder="1" applyAlignment="1">
      <alignment wrapText="1"/>
    </xf>
    <xf numFmtId="164" fontId="0" fillId="17" borderId="8" xfId="0" applyNumberFormat="1" applyFont="1" applyFill="1" applyBorder="1"/>
    <xf numFmtId="164" fontId="3" fillId="17" borderId="8" xfId="4" applyNumberFormat="1" applyFill="1" applyBorder="1"/>
    <xf numFmtId="43" fontId="0" fillId="17" borderId="8" xfId="0" applyNumberFormat="1" applyFont="1" applyFill="1" applyBorder="1"/>
    <xf numFmtId="0" fontId="0" fillId="17" borderId="9" xfId="0" applyFill="1" applyBorder="1" applyAlignment="1">
      <alignment wrapText="1"/>
    </xf>
    <xf numFmtId="164" fontId="0" fillId="17" borderId="9" xfId="0" applyNumberFormat="1" applyFont="1" applyFill="1" applyBorder="1"/>
    <xf numFmtId="164" fontId="3" fillId="17" borderId="9" xfId="4" applyNumberFormat="1" applyFill="1" applyBorder="1"/>
    <xf numFmtId="43" fontId="0" fillId="17" borderId="9" xfId="0" applyNumberFormat="1" applyFont="1" applyFill="1" applyBorder="1"/>
    <xf numFmtId="0" fontId="0" fillId="17" borderId="13" xfId="0" applyFill="1" applyBorder="1" applyAlignment="1">
      <alignment wrapText="1"/>
    </xf>
    <xf numFmtId="166" fontId="7" fillId="17" borderId="15" xfId="0" applyNumberFormat="1" applyFont="1" applyFill="1" applyBorder="1"/>
    <xf numFmtId="166" fontId="7" fillId="17" borderId="16" xfId="0" applyNumberFormat="1" applyFont="1" applyFill="1" applyBorder="1"/>
    <xf numFmtId="166" fontId="7" fillId="17" borderId="17" xfId="0" applyNumberFormat="1" applyFont="1" applyFill="1" applyBorder="1"/>
    <xf numFmtId="0" fontId="15" fillId="33" borderId="21" xfId="0" applyFont="1" applyFill="1" applyBorder="1" applyAlignment="1">
      <alignment wrapText="1"/>
    </xf>
    <xf numFmtId="0" fontId="15" fillId="33" borderId="22" xfId="0" applyFont="1" applyFill="1" applyBorder="1" applyAlignment="1">
      <alignment wrapText="1"/>
    </xf>
    <xf numFmtId="164" fontId="0" fillId="17" borderId="23" xfId="0" applyNumberFormat="1" applyFont="1" applyFill="1" applyBorder="1"/>
    <xf numFmtId="167" fontId="8" fillId="17" borderId="24" xfId="0" applyNumberFormat="1" applyFont="1" applyFill="1" applyBorder="1"/>
    <xf numFmtId="164" fontId="0" fillId="17" borderId="25" xfId="0" applyNumberFormat="1" applyFont="1" applyFill="1" applyBorder="1"/>
    <xf numFmtId="167" fontId="8" fillId="17" borderId="26" xfId="0" applyNumberFormat="1" applyFont="1" applyFill="1" applyBorder="1"/>
    <xf numFmtId="164" fontId="0" fillId="17" borderId="27" xfId="0" applyNumberFormat="1" applyFont="1" applyFill="1" applyBorder="1"/>
    <xf numFmtId="164" fontId="0" fillId="17" borderId="28" xfId="0" applyNumberFormat="1" applyFont="1" applyFill="1" applyBorder="1"/>
    <xf numFmtId="164" fontId="3" fillId="17" borderId="28" xfId="4" applyNumberFormat="1" applyFill="1" applyBorder="1"/>
    <xf numFmtId="167" fontId="8" fillId="17" borderId="29" xfId="0" applyNumberFormat="1" applyFont="1" applyFill="1" applyBorder="1"/>
    <xf numFmtId="0" fontId="15" fillId="23" borderId="21" xfId="0" applyFont="1" applyFill="1" applyBorder="1" applyAlignment="1">
      <alignment wrapText="1"/>
    </xf>
    <xf numFmtId="0" fontId="15" fillId="23" borderId="22" xfId="0" applyFont="1" applyFill="1" applyBorder="1" applyAlignment="1">
      <alignment wrapText="1"/>
    </xf>
    <xf numFmtId="43" fontId="3" fillId="17" borderId="23" xfId="4" applyNumberFormat="1" applyFill="1" applyBorder="1"/>
    <xf numFmtId="0" fontId="9" fillId="17" borderId="24" xfId="0" applyFont="1" applyFill="1" applyBorder="1" applyAlignment="1">
      <alignment wrapText="1"/>
    </xf>
    <xf numFmtId="43" fontId="3" fillId="17" borderId="25" xfId="4" applyNumberFormat="1" applyFill="1" applyBorder="1"/>
    <xf numFmtId="0" fontId="9" fillId="17" borderId="26" xfId="0" applyFont="1" applyFill="1" applyBorder="1" applyAlignment="1">
      <alignment wrapText="1"/>
    </xf>
    <xf numFmtId="43" fontId="3" fillId="17" borderId="27" xfId="4" applyNumberFormat="1" applyFill="1" applyBorder="1"/>
    <xf numFmtId="0" fontId="9" fillId="17" borderId="29" xfId="0" applyFont="1" applyFill="1" applyBorder="1" applyAlignment="1">
      <alignment wrapText="1"/>
    </xf>
    <xf numFmtId="0" fontId="15" fillId="19" borderId="21" xfId="0" applyFont="1" applyFill="1" applyBorder="1" applyAlignment="1">
      <alignment wrapText="1"/>
    </xf>
    <xf numFmtId="165" fontId="15" fillId="19" borderId="22" xfId="1" applyNumberFormat="1" applyFont="1" applyFill="1" applyBorder="1" applyAlignment="1">
      <alignment wrapText="1"/>
    </xf>
    <xf numFmtId="165" fontId="0" fillId="17" borderId="23" xfId="0" applyNumberFormat="1" applyFont="1" applyFill="1" applyBorder="1"/>
    <xf numFmtId="43" fontId="0" fillId="17" borderId="24" xfId="1" applyFont="1" applyFill="1" applyBorder="1"/>
    <xf numFmtId="165" fontId="0" fillId="17" borderId="25" xfId="0" applyNumberFormat="1" applyFont="1" applyFill="1" applyBorder="1"/>
    <xf numFmtId="43" fontId="0" fillId="17" borderId="26" xfId="1" applyFont="1" applyFill="1" applyBorder="1"/>
    <xf numFmtId="165" fontId="0" fillId="17" borderId="27" xfId="0" applyNumberFormat="1" applyFont="1" applyFill="1" applyBorder="1"/>
    <xf numFmtId="43" fontId="0" fillId="17" borderId="28" xfId="0" applyNumberFormat="1" applyFont="1" applyFill="1" applyBorder="1"/>
    <xf numFmtId="43" fontId="0" fillId="17" borderId="29" xfId="1" applyFont="1" applyFill="1" applyBorder="1"/>
    <xf numFmtId="0" fontId="0" fillId="17" borderId="10" xfId="0" applyFill="1" applyBorder="1" applyAlignment="1">
      <alignment wrapText="1"/>
    </xf>
    <xf numFmtId="0" fontId="0" fillId="17" borderId="11" xfId="0" applyFill="1" applyBorder="1" applyAlignment="1">
      <alignment wrapText="1"/>
    </xf>
    <xf numFmtId="0" fontId="0" fillId="17" borderId="30" xfId="0" applyFill="1" applyBorder="1" applyAlignment="1">
      <alignment wrapText="1"/>
    </xf>
    <xf numFmtId="0" fontId="13" fillId="26" borderId="31" xfId="0" applyFont="1" applyFill="1" applyBorder="1" applyAlignment="1">
      <alignment wrapText="1"/>
    </xf>
    <xf numFmtId="0" fontId="13" fillId="26" borderId="32" xfId="0" applyFont="1" applyFill="1" applyBorder="1" applyAlignment="1">
      <alignment wrapText="1"/>
    </xf>
    <xf numFmtId="0" fontId="13" fillId="26" borderId="31" xfId="0" applyFont="1" applyFill="1" applyBorder="1"/>
    <xf numFmtId="0" fontId="13" fillId="27" borderId="32" xfId="0" applyNumberFormat="1" applyFont="1" applyFill="1" applyBorder="1"/>
    <xf numFmtId="49" fontId="12" fillId="26" borderId="31" xfId="0" applyNumberFormat="1" applyFont="1" applyFill="1" applyBorder="1" applyProtection="1">
      <protection locked="0"/>
    </xf>
    <xf numFmtId="0" fontId="12" fillId="26" borderId="31" xfId="0" applyFont="1" applyFill="1" applyBorder="1"/>
    <xf numFmtId="0" fontId="13" fillId="26" borderId="33" xfId="0" applyFont="1" applyFill="1" applyBorder="1"/>
    <xf numFmtId="0" fontId="13" fillId="27" borderId="34" xfId="0" applyNumberFormat="1" applyFont="1" applyFill="1" applyBorder="1"/>
    <xf numFmtId="0" fontId="13" fillId="27" borderId="35" xfId="0" applyNumberFormat="1" applyFont="1" applyFill="1" applyBorder="1"/>
    <xf numFmtId="0" fontId="0" fillId="0" borderId="0" xfId="0" pivotButton="1"/>
    <xf numFmtId="4" fontId="0" fillId="0" borderId="0" xfId="0" applyNumberFormat="1"/>
    <xf numFmtId="0" fontId="0" fillId="24" borderId="0" xfId="0" applyFill="1"/>
    <xf numFmtId="0" fontId="2" fillId="16" borderId="1" xfId="3" applyFill="1"/>
    <xf numFmtId="2" fontId="0" fillId="36" borderId="36" xfId="2" applyNumberFormat="1" applyFont="1" applyFill="1" applyBorder="1"/>
    <xf numFmtId="0" fontId="9" fillId="17" borderId="38" xfId="0" applyFont="1" applyFill="1" applyBorder="1" applyAlignment="1">
      <alignment wrapText="1"/>
    </xf>
    <xf numFmtId="0" fontId="9" fillId="17" borderId="37" xfId="0" applyFont="1" applyFill="1" applyBorder="1" applyAlignment="1">
      <alignment wrapText="1"/>
    </xf>
    <xf numFmtId="0" fontId="5" fillId="16" borderId="0" xfId="0" applyFont="1" applyFill="1"/>
    <xf numFmtId="0" fontId="0" fillId="16" borderId="0" xfId="0" applyFill="1" applyBorder="1"/>
    <xf numFmtId="0" fontId="20" fillId="16" borderId="0" xfId="13" applyFill="1" applyAlignment="1"/>
    <xf numFmtId="0" fontId="27" fillId="16" borderId="0" xfId="0" applyFont="1" applyFill="1" applyBorder="1"/>
    <xf numFmtId="0" fontId="20" fillId="16" borderId="0" xfId="13" applyFill="1" applyAlignment="1">
      <alignment wrapText="1"/>
    </xf>
    <xf numFmtId="0" fontId="29" fillId="16" borderId="0" xfId="13" applyFont="1" applyFill="1" applyAlignment="1">
      <alignment wrapText="1"/>
    </xf>
    <xf numFmtId="0" fontId="30" fillId="16" borderId="40" xfId="0" applyFont="1" applyFill="1" applyBorder="1" applyAlignment="1">
      <alignment horizontal="center" wrapText="1"/>
    </xf>
    <xf numFmtId="164" fontId="30" fillId="16" borderId="42" xfId="1" applyNumberFormat="1" applyFont="1" applyFill="1" applyBorder="1" applyAlignment="1">
      <alignment horizontal="center" wrapText="1"/>
    </xf>
    <xf numFmtId="0" fontId="31" fillId="16" borderId="0" xfId="0" applyFont="1" applyFill="1" applyAlignment="1">
      <alignment wrapText="1"/>
    </xf>
    <xf numFmtId="0" fontId="29" fillId="16" borderId="0" xfId="13" applyFont="1" applyFill="1" applyAlignment="1"/>
    <xf numFmtId="0" fontId="14" fillId="16" borderId="0" xfId="0" applyFont="1" applyFill="1"/>
    <xf numFmtId="0" fontId="0" fillId="16" borderId="53" xfId="0" applyFill="1" applyBorder="1" applyAlignment="1">
      <alignment readingOrder="1"/>
    </xf>
    <xf numFmtId="9" fontId="0" fillId="16" borderId="53" xfId="14" applyFont="1" applyFill="1" applyBorder="1"/>
    <xf numFmtId="43" fontId="1" fillId="16" borderId="54" xfId="1" applyFont="1" applyFill="1" applyBorder="1"/>
    <xf numFmtId="0" fontId="0" fillId="21" borderId="53" xfId="0" applyFill="1" applyBorder="1" applyAlignment="1">
      <alignment readingOrder="1"/>
    </xf>
    <xf numFmtId="9" fontId="0" fillId="21" borderId="53" xfId="14" applyFont="1" applyFill="1" applyBorder="1"/>
    <xf numFmtId="43" fontId="1" fillId="21" borderId="54" xfId="1" applyFont="1" applyFill="1" applyBorder="1"/>
    <xf numFmtId="43" fontId="20" fillId="0" borderId="0" xfId="1" applyFont="1"/>
    <xf numFmtId="0" fontId="27" fillId="16" borderId="55" xfId="0" applyFont="1" applyFill="1" applyBorder="1"/>
    <xf numFmtId="0" fontId="20" fillId="0" borderId="0" xfId="13">
      <alignment readingOrder="1"/>
    </xf>
    <xf numFmtId="170" fontId="20" fillId="0" borderId="0" xfId="13" applyNumberFormat="1">
      <alignment readingOrder="1"/>
    </xf>
    <xf numFmtId="165" fontId="0" fillId="16" borderId="0" xfId="1" applyNumberFormat="1" applyFont="1" applyFill="1" applyAlignment="1">
      <alignment wrapText="1"/>
    </xf>
    <xf numFmtId="176" fontId="0" fillId="0" borderId="0" xfId="0" applyNumberFormat="1"/>
    <xf numFmtId="0" fontId="76" fillId="0" borderId="0" xfId="0" applyFont="1"/>
    <xf numFmtId="166" fontId="7" fillId="16" borderId="0" xfId="0" applyNumberFormat="1" applyFont="1" applyFill="1" applyBorder="1"/>
    <xf numFmtId="0" fontId="0" fillId="16" borderId="0" xfId="0" applyFill="1" applyAlignment="1"/>
    <xf numFmtId="0" fontId="20" fillId="0" borderId="0" xfId="13" applyAlignment="1"/>
    <xf numFmtId="0" fontId="77" fillId="16" borderId="0" xfId="0" applyFont="1" applyFill="1"/>
    <xf numFmtId="49" fontId="76" fillId="0" borderId="0" xfId="1" applyNumberFormat="1" applyFont="1"/>
    <xf numFmtId="0" fontId="78" fillId="0" borderId="0" xfId="0" applyFont="1"/>
    <xf numFmtId="0" fontId="20" fillId="33" borderId="98" xfId="0" applyFont="1" applyFill="1" applyBorder="1"/>
    <xf numFmtId="0" fontId="80" fillId="0" borderId="0" xfId="0" applyFont="1" applyAlignment="1">
      <alignment horizontal="right"/>
    </xf>
    <xf numFmtId="164" fontId="0" fillId="16" borderId="91" xfId="1" applyNumberFormat="1" applyFont="1" applyFill="1" applyBorder="1"/>
    <xf numFmtId="0" fontId="20" fillId="0" borderId="91" xfId="6" applyFont="1" applyFill="1" applyBorder="1"/>
    <xf numFmtId="0" fontId="26" fillId="0" borderId="0" xfId="0" applyFont="1"/>
    <xf numFmtId="0" fontId="84" fillId="26" borderId="31" xfId="0" applyFont="1" applyFill="1" applyBorder="1" applyAlignment="1">
      <alignment wrapText="1"/>
    </xf>
    <xf numFmtId="0" fontId="84" fillId="26" borderId="0" xfId="0" applyFont="1" applyFill="1" applyBorder="1" applyAlignment="1">
      <alignment wrapText="1"/>
    </xf>
    <xf numFmtId="0" fontId="84" fillId="26" borderId="0" xfId="0" applyNumberFormat="1" applyFont="1" applyFill="1" applyBorder="1" applyAlignment="1">
      <alignment wrapText="1"/>
    </xf>
    <xf numFmtId="0" fontId="84" fillId="26" borderId="32" xfId="0" applyFont="1" applyFill="1" applyBorder="1" applyAlignment="1">
      <alignment wrapText="1"/>
    </xf>
    <xf numFmtId="0" fontId="9" fillId="17" borderId="37" xfId="0" applyFont="1" applyFill="1" applyBorder="1" applyAlignment="1"/>
    <xf numFmtId="164" fontId="3" fillId="19" borderId="25" xfId="4" applyNumberFormat="1" applyFill="1" applyBorder="1"/>
    <xf numFmtId="164" fontId="0" fillId="16" borderId="0" xfId="1" applyNumberFormat="1" applyFont="1" applyFill="1"/>
    <xf numFmtId="9" fontId="78" fillId="0" borderId="0" xfId="2" applyFont="1"/>
    <xf numFmtId="43" fontId="8" fillId="0" borderId="111" xfId="1" applyFont="1" applyFill="1" applyBorder="1"/>
    <xf numFmtId="43" fontId="8" fillId="0" borderId="112" xfId="1" applyFont="1" applyFill="1" applyBorder="1"/>
    <xf numFmtId="43" fontId="87" fillId="0" borderId="113" xfId="1" applyFont="1" applyFill="1" applyBorder="1"/>
    <xf numFmtId="43" fontId="8" fillId="0" borderId="115" xfId="1" applyFont="1" applyFill="1" applyBorder="1"/>
    <xf numFmtId="0" fontId="83" fillId="0" borderId="114" xfId="0" applyFont="1" applyFill="1" applyBorder="1"/>
    <xf numFmtId="0" fontId="83" fillId="0" borderId="116" xfId="0" applyFont="1" applyFill="1" applyBorder="1"/>
    <xf numFmtId="0" fontId="83" fillId="0" borderId="117" xfId="0" applyFont="1" applyFill="1" applyBorder="1"/>
    <xf numFmtId="43" fontId="87" fillId="0" borderId="118" xfId="1" applyFont="1" applyFill="1" applyBorder="1"/>
    <xf numFmtId="43" fontId="8" fillId="0" borderId="119" xfId="1" applyFont="1" applyFill="1" applyBorder="1"/>
    <xf numFmtId="43" fontId="8" fillId="0" borderId="120" xfId="1" applyFont="1" applyFill="1" applyBorder="1"/>
    <xf numFmtId="43" fontId="87" fillId="0" borderId="122" xfId="1" applyFont="1" applyFill="1" applyBorder="1"/>
    <xf numFmtId="43" fontId="8" fillId="0" borderId="123" xfId="1" applyFont="1" applyFill="1" applyBorder="1"/>
    <xf numFmtId="43" fontId="8" fillId="0" borderId="124" xfId="1" applyFont="1" applyFill="1" applyBorder="1"/>
    <xf numFmtId="43" fontId="87" fillId="0" borderId="125" xfId="1" applyFont="1" applyFill="1" applyBorder="1"/>
    <xf numFmtId="43" fontId="8" fillId="0" borderId="126" xfId="1" applyFont="1" applyFill="1" applyBorder="1"/>
    <xf numFmtId="43" fontId="8" fillId="0" borderId="127" xfId="1" applyFont="1" applyFill="1" applyBorder="1"/>
    <xf numFmtId="43" fontId="87" fillId="0" borderId="128" xfId="1" applyFont="1" applyFill="1" applyBorder="1"/>
    <xf numFmtId="43" fontId="8" fillId="0" borderId="129" xfId="1" applyFont="1" applyFill="1" applyBorder="1"/>
    <xf numFmtId="43" fontId="8" fillId="0" borderId="130" xfId="1" applyFont="1" applyFill="1" applyBorder="1"/>
    <xf numFmtId="0" fontId="83" fillId="0" borderId="121" xfId="0" applyFont="1" applyFill="1" applyBorder="1" applyAlignment="1">
      <alignment wrapText="1"/>
    </xf>
    <xf numFmtId="0" fontId="83" fillId="0" borderId="131" xfId="0" applyFont="1" applyFill="1" applyBorder="1"/>
    <xf numFmtId="43" fontId="87" fillId="0" borderId="112" xfId="1" applyFont="1" applyFill="1" applyBorder="1"/>
    <xf numFmtId="43" fontId="87" fillId="0" borderId="123" xfId="1" applyFont="1" applyFill="1" applyBorder="1"/>
    <xf numFmtId="43" fontId="87" fillId="0" borderId="126" xfId="1" applyFont="1" applyFill="1" applyBorder="1"/>
    <xf numFmtId="43" fontId="87" fillId="0" borderId="129" xfId="1" applyFont="1" applyFill="1" applyBorder="1"/>
    <xf numFmtId="43" fontId="8" fillId="0" borderId="132" xfId="1" applyFont="1" applyFill="1" applyBorder="1"/>
    <xf numFmtId="43" fontId="87" fillId="0" borderId="133" xfId="1" applyFont="1" applyFill="1" applyBorder="1"/>
    <xf numFmtId="43" fontId="8" fillId="0" borderId="134" xfId="1" applyFont="1" applyFill="1" applyBorder="1"/>
    <xf numFmtId="43" fontId="87" fillId="0" borderId="135" xfId="1" applyFont="1" applyFill="1" applyBorder="1"/>
    <xf numFmtId="43" fontId="8" fillId="0" borderId="136" xfId="1" applyFont="1" applyFill="1" applyBorder="1"/>
    <xf numFmtId="43" fontId="87" fillId="0" borderId="137" xfId="1" applyFont="1" applyFill="1" applyBorder="1"/>
    <xf numFmtId="43" fontId="8" fillId="0" borderId="138" xfId="1" applyFont="1" applyFill="1" applyBorder="1"/>
    <xf numFmtId="43" fontId="87" fillId="0" borderId="139" xfId="1" applyFont="1" applyFill="1" applyBorder="1"/>
    <xf numFmtId="0" fontId="83" fillId="0" borderId="121" xfId="0" applyFont="1" applyFill="1" applyBorder="1"/>
    <xf numFmtId="43" fontId="8" fillId="0" borderId="144" xfId="1" applyFont="1" applyFill="1" applyBorder="1"/>
    <xf numFmtId="43" fontId="87" fillId="0" borderId="119" xfId="1" applyFont="1" applyFill="1" applyBorder="1"/>
    <xf numFmtId="43" fontId="87" fillId="0" borderId="145" xfId="1" applyFont="1" applyFill="1" applyBorder="1"/>
    <xf numFmtId="166" fontId="7" fillId="17" borderId="153" xfId="0" applyNumberFormat="1" applyFont="1" applyFill="1" applyBorder="1"/>
    <xf numFmtId="0" fontId="9" fillId="17" borderId="151" xfId="0" applyFont="1" applyFill="1" applyBorder="1" applyAlignment="1">
      <alignment wrapText="1"/>
    </xf>
    <xf numFmtId="0" fontId="88" fillId="16" borderId="0" xfId="0" applyFont="1" applyFill="1"/>
    <xf numFmtId="0" fontId="89" fillId="16" borderId="0" xfId="0" applyFont="1" applyFill="1"/>
    <xf numFmtId="0" fontId="12" fillId="16" borderId="0" xfId="0" applyFont="1" applyFill="1"/>
    <xf numFmtId="0" fontId="90" fillId="16" borderId="0" xfId="0" applyFont="1" applyFill="1"/>
    <xf numFmtId="0" fontId="14" fillId="16" borderId="0" xfId="0" applyFont="1" applyFill="1" applyAlignment="1">
      <alignment horizontal="center"/>
    </xf>
    <xf numFmtId="0" fontId="91" fillId="81" borderId="0" xfId="0" applyFont="1" applyFill="1" applyAlignment="1">
      <alignment horizontal="center"/>
    </xf>
    <xf numFmtId="0" fontId="91" fillId="81" borderId="0" xfId="0" applyFont="1" applyFill="1"/>
    <xf numFmtId="0" fontId="0" fillId="16" borderId="154" xfId="0" applyFill="1" applyBorder="1"/>
    <xf numFmtId="10" fontId="0" fillId="16" borderId="155" xfId="0" applyNumberFormat="1" applyFont="1" applyFill="1" applyBorder="1"/>
    <xf numFmtId="0" fontId="92" fillId="0" borderId="31" xfId="0" applyFont="1" applyBorder="1" applyAlignment="1">
      <alignment horizontal="center"/>
    </xf>
    <xf numFmtId="43" fontId="0" fillId="0" borderId="156" xfId="0" applyNumberFormat="1" applyBorder="1"/>
    <xf numFmtId="0" fontId="92" fillId="0" borderId="157" xfId="0" applyFont="1" applyBorder="1" applyAlignment="1">
      <alignment horizontal="center"/>
    </xf>
    <xf numFmtId="0" fontId="93" fillId="0" borderId="0" xfId="0" applyFont="1" applyAlignment="1">
      <alignment vertical="center"/>
    </xf>
    <xf numFmtId="0" fontId="93" fillId="0" borderId="0" xfId="0" applyFont="1" applyAlignment="1">
      <alignment horizontal="left" vertical="center" indent="5"/>
    </xf>
    <xf numFmtId="0" fontId="0" fillId="16" borderId="170" xfId="0" applyFill="1" applyBorder="1"/>
    <xf numFmtId="9" fontId="0" fillId="0" borderId="0" xfId="0" applyNumberFormat="1"/>
    <xf numFmtId="168" fontId="20" fillId="21" borderId="53" xfId="16" applyNumberFormat="1" applyFont="1" applyFill="1" applyBorder="1"/>
    <xf numFmtId="0" fontId="5" fillId="16" borderId="91" xfId="320" applyFont="1" applyFill="1" applyBorder="1" applyAlignment="1">
      <alignment wrapText="1"/>
    </xf>
    <xf numFmtId="0" fontId="67" fillId="16" borderId="159" xfId="320" applyFill="1" applyBorder="1" applyAlignment="1">
      <alignment wrapText="1"/>
    </xf>
    <xf numFmtId="0" fontId="67" fillId="16" borderId="0" xfId="320" applyFill="1" applyBorder="1"/>
    <xf numFmtId="0" fontId="67" fillId="16" borderId="170" xfId="320" applyFill="1" applyBorder="1"/>
    <xf numFmtId="10" fontId="20" fillId="95" borderId="180" xfId="320" applyNumberFormat="1" applyFont="1" applyFill="1" applyBorder="1"/>
    <xf numFmtId="9" fontId="20" fillId="95" borderId="171" xfId="320" applyNumberFormat="1" applyFont="1" applyFill="1" applyBorder="1"/>
    <xf numFmtId="167" fontId="20" fillId="95" borderId="160" xfId="320" applyNumberFormat="1" applyFont="1" applyFill="1" applyBorder="1"/>
    <xf numFmtId="0" fontId="20" fillId="95" borderId="159" xfId="320" applyFont="1" applyFill="1" applyBorder="1"/>
    <xf numFmtId="10" fontId="20" fillId="94" borderId="32" xfId="320" applyNumberFormat="1" applyFont="1" applyFill="1" applyBorder="1"/>
    <xf numFmtId="0" fontId="67" fillId="16" borderId="0" xfId="320" applyFill="1"/>
    <xf numFmtId="164" fontId="100" fillId="16" borderId="105" xfId="8216" applyNumberFormat="1" applyFont="1" applyFill="1" applyBorder="1" applyAlignment="1">
      <alignment wrapText="1"/>
    </xf>
    <xf numFmtId="0" fontId="5" fillId="16" borderId="0" xfId="320" applyFont="1" applyFill="1" applyBorder="1"/>
    <xf numFmtId="0" fontId="5" fillId="16" borderId="104" xfId="320" applyFont="1" applyFill="1" applyBorder="1"/>
    <xf numFmtId="164" fontId="100" fillId="16" borderId="91" xfId="8216" applyNumberFormat="1" applyFont="1" applyFill="1" applyBorder="1" applyAlignment="1">
      <alignment wrapText="1"/>
    </xf>
    <xf numFmtId="0" fontId="67" fillId="16" borderId="171" xfId="320" applyFill="1" applyBorder="1"/>
    <xf numFmtId="0" fontId="20" fillId="95" borderId="170" xfId="320" applyFont="1" applyFill="1" applyBorder="1"/>
    <xf numFmtId="0" fontId="99" fillId="96" borderId="77" xfId="320" applyFont="1" applyFill="1" applyBorder="1" applyAlignment="1">
      <alignment wrapText="1"/>
    </xf>
    <xf numFmtId="0" fontId="99" fillId="96" borderId="179" xfId="320" applyFont="1" applyFill="1" applyBorder="1" applyAlignment="1">
      <alignment wrapText="1"/>
    </xf>
    <xf numFmtId="0" fontId="67" fillId="16" borderId="0" xfId="320" applyFill="1" applyAlignment="1">
      <alignment wrapText="1"/>
    </xf>
    <xf numFmtId="10" fontId="20" fillId="95" borderId="32" xfId="320" applyNumberFormat="1" applyFont="1" applyFill="1" applyBorder="1"/>
    <xf numFmtId="9" fontId="20" fillId="95" borderId="0" xfId="320" applyNumberFormat="1" applyFont="1" applyFill="1" applyBorder="1"/>
    <xf numFmtId="167" fontId="20" fillId="94" borderId="160" xfId="320" applyNumberFormat="1" applyFont="1" applyFill="1" applyBorder="1"/>
    <xf numFmtId="0" fontId="7" fillId="16" borderId="0" xfId="320" applyFont="1" applyFill="1" applyBorder="1"/>
    <xf numFmtId="9" fontId="20" fillId="94" borderId="0" xfId="320" applyNumberFormat="1" applyFont="1" applyFill="1" applyBorder="1"/>
    <xf numFmtId="0" fontId="67" fillId="16" borderId="174" xfId="320" applyFill="1" applyBorder="1"/>
    <xf numFmtId="0" fontId="99" fillId="96" borderId="178" xfId="320" applyFont="1" applyFill="1" applyBorder="1" applyAlignment="1">
      <alignment wrapText="1"/>
    </xf>
    <xf numFmtId="0" fontId="98" fillId="16" borderId="0" xfId="320" applyFont="1" applyFill="1" applyAlignment="1"/>
    <xf numFmtId="0" fontId="67" fillId="16" borderId="159" xfId="320" applyFill="1" applyBorder="1"/>
    <xf numFmtId="0" fontId="67" fillId="16" borderId="172" xfId="320" applyFill="1" applyBorder="1"/>
    <xf numFmtId="0" fontId="67" fillId="16" borderId="173" xfId="320" applyFill="1" applyBorder="1"/>
    <xf numFmtId="0" fontId="67" fillId="16" borderId="158" xfId="320" applyFill="1" applyBorder="1"/>
    <xf numFmtId="0" fontId="20" fillId="94" borderId="159" xfId="320" applyFont="1" applyFill="1" applyBorder="1"/>
    <xf numFmtId="9" fontId="20" fillId="94" borderId="160" xfId="320" applyNumberFormat="1" applyFont="1" applyFill="1" applyBorder="1"/>
    <xf numFmtId="0" fontId="27" fillId="16" borderId="55" xfId="320" applyFont="1" applyFill="1" applyBorder="1"/>
    <xf numFmtId="0" fontId="67" fillId="16" borderId="4" xfId="320" applyFill="1" applyBorder="1"/>
    <xf numFmtId="0" fontId="99" fillId="96" borderId="80" xfId="320" applyFont="1" applyFill="1" applyBorder="1" applyAlignment="1">
      <alignment wrapText="1"/>
    </xf>
    <xf numFmtId="0" fontId="67" fillId="16" borderId="55" xfId="320" applyFill="1" applyBorder="1"/>
    <xf numFmtId="9" fontId="0" fillId="16" borderId="0" xfId="0" applyNumberFormat="1" applyFill="1"/>
    <xf numFmtId="0" fontId="0" fillId="16" borderId="0" xfId="0" applyFont="1" applyFill="1"/>
    <xf numFmtId="0" fontId="20" fillId="0" borderId="0" xfId="0" applyFont="1" applyFill="1" applyBorder="1" applyAlignment="1"/>
    <xf numFmtId="0" fontId="20" fillId="81" borderId="0" xfId="0" applyFont="1" applyFill="1" applyBorder="1" applyAlignment="1"/>
    <xf numFmtId="0" fontId="0" fillId="81" borderId="0" xfId="0" applyFill="1" applyAlignment="1"/>
    <xf numFmtId="0" fontId="0" fillId="23" borderId="0" xfId="0" applyFill="1" applyAlignment="1"/>
    <xf numFmtId="9" fontId="5" fillId="25" borderId="0" xfId="2" applyFont="1" applyFill="1" applyAlignment="1"/>
    <xf numFmtId="9" fontId="75" fillId="16" borderId="0" xfId="2" applyFont="1" applyFill="1" applyAlignment="1"/>
    <xf numFmtId="0" fontId="0" fillId="16" borderId="0" xfId="0" applyFill="1" applyBorder="1" applyAlignment="1">
      <alignment horizontal="center"/>
    </xf>
    <xf numFmtId="0" fontId="25" fillId="38" borderId="0" xfId="0" applyFont="1" applyFill="1" applyBorder="1" applyAlignment="1">
      <alignment horizontal="center" wrapText="1"/>
    </xf>
    <xf numFmtId="0" fontId="81" fillId="16" borderId="0" xfId="0" applyFont="1" applyFill="1"/>
    <xf numFmtId="0" fontId="102" fillId="16" borderId="0" xfId="0" applyFont="1" applyFill="1"/>
    <xf numFmtId="167" fontId="101" fillId="0" borderId="181" xfId="9109" applyNumberFormat="1"/>
    <xf numFmtId="0" fontId="0" fillId="16" borderId="5" xfId="0" applyFill="1" applyBorder="1"/>
    <xf numFmtId="0" fontId="0" fillId="16" borderId="6" xfId="0" applyFill="1" applyBorder="1"/>
    <xf numFmtId="0" fontId="5" fillId="16" borderId="159" xfId="0" applyFont="1" applyFill="1" applyBorder="1" applyAlignment="1">
      <alignment wrapText="1"/>
    </xf>
    <xf numFmtId="9" fontId="101" fillId="0" borderId="185" xfId="9109" applyNumberFormat="1" applyBorder="1"/>
    <xf numFmtId="9" fontId="0" fillId="16" borderId="160" xfId="0" applyNumberFormat="1" applyFill="1" applyBorder="1"/>
    <xf numFmtId="0" fontId="5" fillId="0" borderId="159" xfId="153" applyFont="1" applyBorder="1" applyAlignment="1">
      <alignment wrapText="1"/>
    </xf>
    <xf numFmtId="0" fontId="0" fillId="16" borderId="172" xfId="0" applyFill="1" applyBorder="1"/>
    <xf numFmtId="0" fontId="9" fillId="23" borderId="4" xfId="0" applyFont="1" applyFill="1" applyBorder="1" applyAlignment="1">
      <alignment horizontal="left" wrapText="1"/>
    </xf>
    <xf numFmtId="0" fontId="9" fillId="23" borderId="173" xfId="0" applyFont="1" applyFill="1" applyBorder="1" applyAlignment="1">
      <alignment horizontal="left" wrapText="1"/>
    </xf>
    <xf numFmtId="1" fontId="0" fillId="16" borderId="0" xfId="0" applyNumberFormat="1" applyFill="1" applyAlignment="1"/>
    <xf numFmtId="0" fontId="78" fillId="16" borderId="195" xfId="9110" applyFont="1" applyFill="1" applyBorder="1" applyAlignment="1">
      <alignment wrapText="1"/>
    </xf>
    <xf numFmtId="41" fontId="107" fillId="16" borderId="196" xfId="0" applyNumberFormat="1" applyFont="1" applyFill="1" applyBorder="1" applyAlignment="1">
      <alignment horizontal="left"/>
    </xf>
    <xf numFmtId="41" fontId="107" fillId="16" borderId="197" xfId="0" applyNumberFormat="1" applyFont="1" applyFill="1" applyBorder="1" applyAlignment="1">
      <alignment horizontal="left"/>
    </xf>
    <xf numFmtId="41" fontId="107" fillId="98" borderId="198" xfId="0" applyNumberFormat="1" applyFont="1" applyFill="1" applyBorder="1" applyAlignment="1">
      <alignment horizontal="left"/>
    </xf>
    <xf numFmtId="0" fontId="9" fillId="23" borderId="189" xfId="0" applyFont="1" applyFill="1" applyBorder="1" applyAlignment="1">
      <alignment horizontal="center"/>
    </xf>
    <xf numFmtId="0" fontId="9" fillId="23" borderId="190" xfId="0" applyFont="1" applyFill="1" applyBorder="1" applyAlignment="1">
      <alignment horizontal="center"/>
    </xf>
    <xf numFmtId="0" fontId="9" fillId="23" borderId="0" xfId="0" applyFont="1" applyFill="1" applyBorder="1" applyAlignment="1">
      <alignment horizontal="left" vertical="center" wrapText="1"/>
    </xf>
    <xf numFmtId="0" fontId="9" fillId="23" borderId="188" xfId="0" applyFont="1" applyFill="1" applyBorder="1" applyAlignment="1">
      <alignment horizontal="left"/>
    </xf>
    <xf numFmtId="0" fontId="23" fillId="16" borderId="0" xfId="9112" applyFill="1"/>
    <xf numFmtId="43" fontId="0" fillId="0" borderId="0" xfId="0" applyNumberFormat="1"/>
    <xf numFmtId="43" fontId="89" fillId="0" borderId="0" xfId="0" applyNumberFormat="1" applyFont="1"/>
    <xf numFmtId="0" fontId="89" fillId="0" borderId="0" xfId="0" applyFont="1"/>
    <xf numFmtId="166" fontId="7" fillId="17" borderId="199" xfId="0" applyNumberFormat="1" applyFont="1" applyFill="1" applyBorder="1"/>
    <xf numFmtId="0" fontId="9" fillId="17" borderId="200" xfId="0" applyFont="1" applyFill="1" applyBorder="1" applyAlignment="1">
      <alignment wrapText="1"/>
    </xf>
    <xf numFmtId="166" fontId="7" fillId="17" borderId="203" xfId="0" applyNumberFormat="1" applyFont="1" applyFill="1" applyBorder="1"/>
    <xf numFmtId="0" fontId="9" fillId="17" borderId="204" xfId="0" applyFont="1" applyFill="1" applyBorder="1" applyAlignment="1">
      <alignment wrapText="1"/>
    </xf>
    <xf numFmtId="0" fontId="109" fillId="0" borderId="0" xfId="0" applyFont="1"/>
    <xf numFmtId="0" fontId="95" fillId="21" borderId="0" xfId="0" applyFont="1" applyFill="1"/>
    <xf numFmtId="0" fontId="110" fillId="0" borderId="0" xfId="0" applyFont="1"/>
    <xf numFmtId="0" fontId="13" fillId="0" borderId="0" xfId="0" applyFont="1"/>
    <xf numFmtId="164" fontId="0" fillId="0" borderId="0" xfId="1" applyNumberFormat="1" applyFont="1"/>
    <xf numFmtId="164" fontId="112" fillId="100" borderId="205" xfId="1" applyNumberFormat="1" applyFont="1" applyFill="1" applyBorder="1"/>
    <xf numFmtId="164" fontId="112" fillId="100" borderId="206" xfId="1" applyNumberFormat="1" applyFont="1" applyFill="1" applyBorder="1"/>
    <xf numFmtId="164" fontId="112" fillId="100" borderId="207" xfId="1" applyNumberFormat="1" applyFont="1" applyFill="1" applyBorder="1"/>
    <xf numFmtId="9" fontId="112" fillId="100" borderId="205" xfId="2" applyFont="1" applyFill="1" applyBorder="1"/>
    <xf numFmtId="0" fontId="76" fillId="21" borderId="0" xfId="0" applyFont="1" applyFill="1"/>
    <xf numFmtId="164" fontId="7" fillId="16" borderId="0" xfId="0" applyNumberFormat="1" applyFont="1" applyFill="1" applyAlignment="1">
      <alignment horizontal="center" vertical="center" wrapText="1"/>
    </xf>
    <xf numFmtId="0" fontId="13" fillId="0" borderId="0" xfId="0" applyFont="1" applyFill="1" applyBorder="1"/>
    <xf numFmtId="0" fontId="13" fillId="0" borderId="0" xfId="0" applyNumberFormat="1" applyFont="1" applyFill="1" applyBorder="1"/>
    <xf numFmtId="0" fontId="0" fillId="0" borderId="0" xfId="0" applyFill="1"/>
    <xf numFmtId="2" fontId="0" fillId="0" borderId="0" xfId="2" applyNumberFormat="1" applyFont="1" applyFill="1" applyBorder="1"/>
    <xf numFmtId="164" fontId="0" fillId="0" borderId="0" xfId="0" applyNumberFormat="1" applyFill="1"/>
    <xf numFmtId="165" fontId="0" fillId="0" borderId="0" xfId="1" applyNumberFormat="1" applyFont="1" applyFill="1"/>
    <xf numFmtId="0" fontId="9" fillId="23" borderId="159" xfId="0" applyFont="1" applyFill="1" applyBorder="1" applyAlignment="1">
      <alignment horizontal="left" vertical="center"/>
    </xf>
    <xf numFmtId="0" fontId="16" fillId="87" borderId="0" xfId="0" applyFont="1" applyFill="1"/>
    <xf numFmtId="0" fontId="17" fillId="0" borderId="0" xfId="0" applyFont="1"/>
    <xf numFmtId="0" fontId="85" fillId="19" borderId="206" xfId="0" applyFont="1" applyFill="1" applyBorder="1"/>
    <xf numFmtId="0" fontId="79" fillId="0" borderId="0" xfId="0" applyFont="1"/>
    <xf numFmtId="10" fontId="8" fillId="17" borderId="26" xfId="0" applyNumberFormat="1" applyFont="1" applyFill="1" applyBorder="1"/>
    <xf numFmtId="179" fontId="0" fillId="16" borderId="0" xfId="0" applyNumberFormat="1" applyFill="1"/>
    <xf numFmtId="166" fontId="7" fillId="17" borderId="0" xfId="0" applyNumberFormat="1" applyFont="1" applyFill="1" applyBorder="1"/>
    <xf numFmtId="0" fontId="9" fillId="17" borderId="0" xfId="0" applyFont="1" applyFill="1" applyBorder="1" applyAlignment="1">
      <alignment wrapText="1"/>
    </xf>
    <xf numFmtId="180" fontId="0" fillId="17" borderId="9" xfId="0" applyNumberFormat="1" applyFont="1" applyFill="1" applyBorder="1"/>
    <xf numFmtId="43" fontId="4" fillId="17" borderId="26" xfId="1" applyFont="1" applyFill="1" applyBorder="1"/>
    <xf numFmtId="9" fontId="100" fillId="16" borderId="0" xfId="2" applyFont="1" applyFill="1"/>
    <xf numFmtId="0" fontId="100" fillId="16" borderId="0" xfId="0" applyFont="1" applyFill="1"/>
    <xf numFmtId="166" fontId="7" fillId="17" borderId="225" xfId="0" applyNumberFormat="1" applyFont="1" applyFill="1" applyBorder="1"/>
    <xf numFmtId="0" fontId="116" fillId="17" borderId="37" xfId="0" applyFont="1" applyFill="1" applyBorder="1" applyAlignment="1">
      <alignment wrapText="1"/>
    </xf>
    <xf numFmtId="166" fontId="7" fillId="17" borderId="230" xfId="0" applyNumberFormat="1" applyFont="1" applyFill="1" applyBorder="1"/>
    <xf numFmtId="0" fontId="117" fillId="87" borderId="0" xfId="137" applyFont="1" applyFill="1" applyAlignment="1">
      <alignment horizontal="center" vertical="center" wrapText="1"/>
    </xf>
    <xf numFmtId="0" fontId="7" fillId="0" borderId="0" xfId="137" applyFont="1" applyAlignment="1">
      <alignment horizontal="center" vertical="center"/>
    </xf>
    <xf numFmtId="164" fontId="7" fillId="0" borderId="0" xfId="137" applyNumberFormat="1" applyFont="1" applyAlignment="1">
      <alignment vertical="center"/>
    </xf>
    <xf numFmtId="0" fontId="7" fillId="0" borderId="0" xfId="137" applyNumberFormat="1" applyFont="1" applyAlignment="1">
      <alignment vertical="center"/>
    </xf>
    <xf numFmtId="9" fontId="80" fillId="0" borderId="0" xfId="8" applyFont="1" applyAlignment="1">
      <alignment vertical="center"/>
    </xf>
    <xf numFmtId="0" fontId="0" fillId="16" borderId="91" xfId="0" applyFill="1" applyBorder="1"/>
    <xf numFmtId="164" fontId="0" fillId="16" borderId="0" xfId="0" applyNumberFormat="1" applyFill="1" applyBorder="1" applyAlignment="1">
      <alignment horizontal="center"/>
    </xf>
    <xf numFmtId="9" fontId="118" fillId="0" borderId="196" xfId="0" applyNumberFormat="1" applyFont="1" applyFill="1" applyBorder="1" applyAlignment="1">
      <alignment horizontal="left"/>
    </xf>
    <xf numFmtId="0" fontId="117" fillId="87" borderId="159" xfId="137" applyFont="1" applyFill="1" applyBorder="1" applyAlignment="1">
      <alignment horizontal="center" vertical="center" wrapText="1"/>
    </xf>
    <xf numFmtId="0" fontId="117" fillId="87" borderId="160" xfId="137" applyFont="1" applyFill="1" applyBorder="1" applyAlignment="1">
      <alignment horizontal="center" vertical="center" wrapText="1"/>
    </xf>
    <xf numFmtId="164" fontId="7" fillId="0" borderId="159" xfId="137" applyNumberFormat="1" applyFont="1" applyBorder="1" applyAlignment="1">
      <alignment vertical="center"/>
    </xf>
    <xf numFmtId="164" fontId="7" fillId="0" borderId="160" xfId="137" applyNumberFormat="1" applyFont="1" applyBorder="1" applyAlignment="1">
      <alignment vertical="center"/>
    </xf>
    <xf numFmtId="0" fontId="7" fillId="0" borderId="159" xfId="137" applyFont="1" applyFill="1" applyBorder="1" applyAlignment="1">
      <alignment vertical="center"/>
    </xf>
    <xf numFmtId="164" fontId="117" fillId="102" borderId="233" xfId="8202" applyNumberFormat="1" applyFont="1" applyFill="1" applyBorder="1" applyAlignment="1">
      <alignment vertical="center"/>
    </xf>
    <xf numFmtId="0" fontId="7" fillId="0" borderId="170" xfId="137" applyFont="1" applyFill="1" applyBorder="1" applyAlignment="1">
      <alignment vertical="center"/>
    </xf>
    <xf numFmtId="164" fontId="117" fillId="102" borderId="234" xfId="8202" applyNumberFormat="1" applyFont="1" applyFill="1" applyBorder="1" applyAlignment="1">
      <alignment vertical="center"/>
    </xf>
    <xf numFmtId="0" fontId="28" fillId="0" borderId="0" xfId="0" applyFont="1"/>
    <xf numFmtId="0" fontId="0" fillId="0" borderId="0" xfId="0" applyAlignment="1"/>
    <xf numFmtId="43" fontId="119" fillId="0" borderId="119" xfId="1" applyFont="1" applyFill="1" applyBorder="1"/>
    <xf numFmtId="43" fontId="119" fillId="0" borderId="112" xfId="1" applyFont="1" applyFill="1" applyBorder="1"/>
    <xf numFmtId="43" fontId="119" fillId="0" borderId="126" xfId="1" applyFont="1" applyFill="1" applyBorder="1"/>
    <xf numFmtId="43" fontId="111" fillId="0" borderId="118" xfId="1" applyFont="1" applyFill="1" applyBorder="1"/>
    <xf numFmtId="43" fontId="111" fillId="0" borderId="113" xfId="1" applyFont="1" applyFill="1" applyBorder="1"/>
    <xf numFmtId="43" fontId="111" fillId="0" borderId="122" xfId="1" applyFont="1" applyFill="1" applyBorder="1"/>
    <xf numFmtId="43" fontId="111" fillId="0" borderId="125" xfId="1" applyFont="1" applyFill="1" applyBorder="1"/>
    <xf numFmtId="43" fontId="111" fillId="0" borderId="128" xfId="1" applyFont="1" applyFill="1" applyBorder="1"/>
    <xf numFmtId="43" fontId="119" fillId="0" borderId="0" xfId="1" applyFont="1" applyFill="1" applyBorder="1"/>
    <xf numFmtId="2" fontId="0" fillId="0" borderId="156" xfId="0" applyNumberFormat="1" applyFont="1" applyBorder="1" applyAlignment="1">
      <alignment horizontal="center"/>
    </xf>
    <xf numFmtId="2" fontId="0" fillId="0" borderId="222" xfId="0" applyNumberFormat="1" applyFont="1" applyBorder="1" applyAlignment="1">
      <alignment horizontal="center"/>
    </xf>
    <xf numFmtId="43" fontId="0" fillId="0" borderId="235" xfId="0" applyNumberFormat="1" applyBorder="1"/>
    <xf numFmtId="2" fontId="0" fillId="0" borderId="235" xfId="0" applyNumberFormat="1" applyFont="1" applyBorder="1" applyAlignment="1">
      <alignment horizontal="center"/>
    </xf>
    <xf numFmtId="2" fontId="0" fillId="0" borderId="236" xfId="0" applyNumberFormat="1" applyFont="1" applyBorder="1" applyAlignment="1">
      <alignment horizontal="center"/>
    </xf>
    <xf numFmtId="43" fontId="0" fillId="21" borderId="96" xfId="0" applyNumberFormat="1" applyFill="1" applyBorder="1"/>
    <xf numFmtId="2" fontId="0" fillId="21" borderId="91" xfId="0" applyNumberFormat="1" applyFont="1" applyFill="1" applyBorder="1" applyAlignment="1">
      <alignment horizontal="center"/>
    </xf>
    <xf numFmtId="0" fontId="26" fillId="0" borderId="177" xfId="0" applyFont="1" applyBorder="1" applyAlignment="1">
      <alignment vertical="center" wrapText="1"/>
    </xf>
    <xf numFmtId="0" fontId="0" fillId="0" borderId="71" xfId="0" applyBorder="1"/>
    <xf numFmtId="0" fontId="116" fillId="17" borderId="227" xfId="0" applyFont="1" applyFill="1" applyBorder="1" applyAlignment="1">
      <alignment wrapText="1"/>
    </xf>
    <xf numFmtId="164" fontId="120" fillId="17" borderId="8" xfId="4" applyNumberFormat="1" applyFont="1" applyFill="1" applyBorder="1"/>
    <xf numFmtId="164" fontId="120" fillId="17" borderId="9" xfId="4" applyNumberFormat="1" applyFont="1" applyFill="1" applyBorder="1"/>
    <xf numFmtId="164" fontId="120" fillId="17" borderId="224" xfId="4" applyNumberFormat="1" applyFont="1" applyFill="1" applyBorder="1"/>
    <xf numFmtId="164" fontId="120" fillId="17" borderId="202" xfId="4" applyNumberFormat="1" applyFont="1" applyFill="1" applyBorder="1"/>
    <xf numFmtId="164" fontId="120" fillId="17" borderId="28" xfId="4" applyNumberFormat="1" applyFont="1" applyFill="1" applyBorder="1"/>
    <xf numFmtId="164" fontId="120" fillId="17" borderId="229" xfId="4" applyNumberFormat="1" applyFont="1" applyFill="1" applyBorder="1"/>
    <xf numFmtId="0" fontId="0" fillId="0" borderId="96" xfId="0" applyBorder="1"/>
    <xf numFmtId="0" fontId="81" fillId="17" borderId="237" xfId="0" applyFont="1" applyFill="1" applyBorder="1"/>
    <xf numFmtId="43" fontId="119" fillId="17" borderId="62" xfId="0" applyNumberFormat="1" applyFont="1" applyFill="1" applyBorder="1"/>
    <xf numFmtId="43" fontId="111" fillId="17" borderId="238" xfId="0" applyNumberFormat="1" applyFont="1" applyFill="1" applyBorder="1"/>
    <xf numFmtId="43" fontId="81" fillId="17" borderId="62" xfId="0" applyNumberFormat="1" applyFont="1" applyFill="1" applyBorder="1"/>
    <xf numFmtId="43" fontId="87" fillId="17" borderId="238" xfId="0" applyNumberFormat="1" applyFont="1" applyFill="1" applyBorder="1"/>
    <xf numFmtId="43" fontId="87" fillId="17" borderId="62" xfId="0" applyNumberFormat="1" applyFont="1" applyFill="1" applyBorder="1"/>
    <xf numFmtId="43" fontId="81" fillId="17" borderId="96" xfId="0" applyNumberFormat="1" applyFont="1" applyFill="1" applyBorder="1"/>
    <xf numFmtId="43" fontId="87" fillId="17" borderId="97" xfId="0" applyNumberFormat="1" applyFont="1" applyFill="1" applyBorder="1"/>
    <xf numFmtId="0" fontId="123" fillId="25" borderId="0" xfId="0" applyFont="1" applyFill="1"/>
    <xf numFmtId="0" fontId="123" fillId="0" borderId="0" xfId="0" applyFont="1"/>
    <xf numFmtId="164" fontId="123" fillId="0" borderId="0" xfId="1" applyNumberFormat="1" applyFont="1"/>
    <xf numFmtId="0" fontId="125" fillId="25" borderId="0" xfId="0" applyFont="1" applyFill="1"/>
    <xf numFmtId="0" fontId="125" fillId="0" borderId="0" xfId="0" applyFont="1"/>
    <xf numFmtId="164" fontId="125" fillId="0" borderId="0" xfId="1" applyNumberFormat="1" applyFont="1"/>
    <xf numFmtId="164" fontId="126" fillId="89" borderId="0" xfId="1" applyNumberFormat="1" applyFont="1" applyFill="1"/>
    <xf numFmtId="43" fontId="123" fillId="0" borderId="0" xfId="1" applyNumberFormat="1" applyFont="1"/>
    <xf numFmtId="0" fontId="123" fillId="0" borderId="0" xfId="0" applyFont="1" applyFill="1"/>
    <xf numFmtId="164" fontId="123" fillId="17" borderId="0" xfId="1" applyNumberFormat="1" applyFont="1" applyFill="1"/>
    <xf numFmtId="164" fontId="123" fillId="101" borderId="0" xfId="1" applyNumberFormat="1" applyFont="1" applyFill="1"/>
    <xf numFmtId="168" fontId="123" fillId="0" borderId="0" xfId="1" applyNumberFormat="1" applyFont="1"/>
    <xf numFmtId="0" fontId="127" fillId="26" borderId="0" xfId="0" applyFont="1" applyFill="1" applyBorder="1"/>
    <xf numFmtId="164" fontId="126" fillId="0" borderId="0" xfId="1" applyNumberFormat="1" applyFont="1"/>
    <xf numFmtId="0" fontId="123" fillId="0" borderId="0" xfId="0" applyFont="1" applyAlignment="1">
      <alignment wrapText="1"/>
    </xf>
    <xf numFmtId="0" fontId="122" fillId="17" borderId="219" xfId="0" applyFont="1" applyFill="1" applyBorder="1" applyAlignment="1">
      <alignment wrapText="1"/>
    </xf>
    <xf numFmtId="0" fontId="125" fillId="17" borderId="214" xfId="0" applyFont="1" applyFill="1" applyBorder="1" applyAlignment="1">
      <alignment horizontal="center"/>
    </xf>
    <xf numFmtId="0" fontId="122" fillId="16" borderId="214" xfId="0" applyFont="1" applyFill="1" applyBorder="1" applyAlignment="1"/>
    <xf numFmtId="164" fontId="122" fillId="16" borderId="214" xfId="1" applyNumberFormat="1" applyFont="1" applyFill="1" applyBorder="1" applyAlignment="1"/>
    <xf numFmtId="43" fontId="122" fillId="16" borderId="214" xfId="1" applyNumberFormat="1" applyFont="1" applyFill="1" applyBorder="1" applyAlignment="1"/>
    <xf numFmtId="0" fontId="123" fillId="16" borderId="214" xfId="0" applyFont="1" applyFill="1" applyBorder="1" applyAlignment="1"/>
    <xf numFmtId="0" fontId="125" fillId="17" borderId="242" xfId="0" applyFont="1" applyFill="1" applyBorder="1" applyAlignment="1">
      <alignment horizontal="center" wrapText="1"/>
    </xf>
    <xf numFmtId="0" fontId="125" fillId="17" borderId="243" xfId="0" applyFont="1" applyFill="1" applyBorder="1" applyAlignment="1">
      <alignment horizontal="center"/>
    </xf>
    <xf numFmtId="0" fontId="122" fillId="16" borderId="242" xfId="0" applyFont="1" applyFill="1" applyBorder="1" applyAlignment="1"/>
    <xf numFmtId="0" fontId="122" fillId="16" borderId="243" xfId="0" applyFont="1" applyFill="1" applyBorder="1" applyAlignment="1"/>
    <xf numFmtId="0" fontId="122" fillId="16" borderId="244" xfId="0" applyFont="1" applyFill="1" applyBorder="1" applyAlignment="1"/>
    <xf numFmtId="0" fontId="122" fillId="16" borderId="245" xfId="0" applyFont="1" applyFill="1" applyBorder="1" applyAlignment="1"/>
    <xf numFmtId="0" fontId="122" fillId="16" borderId="246" xfId="0" applyFont="1" applyFill="1" applyBorder="1" applyAlignment="1"/>
    <xf numFmtId="9" fontId="122" fillId="16" borderId="242" xfId="2" applyFont="1" applyFill="1" applyBorder="1" applyAlignment="1"/>
    <xf numFmtId="9" fontId="122" fillId="16" borderId="242" xfId="0" applyNumberFormat="1" applyFont="1" applyFill="1" applyBorder="1" applyAlignment="1"/>
    <xf numFmtId="9" fontId="122" fillId="16" borderId="244" xfId="2" applyFont="1" applyFill="1" applyBorder="1" applyAlignment="1"/>
    <xf numFmtId="164" fontId="122" fillId="16" borderId="242" xfId="1" applyNumberFormat="1" applyFont="1" applyFill="1" applyBorder="1" applyAlignment="1"/>
    <xf numFmtId="0" fontId="0" fillId="16" borderId="243" xfId="0" applyFill="1" applyBorder="1" applyAlignment="1"/>
    <xf numFmtId="43" fontId="122" fillId="16" borderId="242" xfId="1" applyNumberFormat="1" applyFont="1" applyFill="1" applyBorder="1" applyAlignment="1"/>
    <xf numFmtId="164" fontId="122" fillId="16" borderId="244" xfId="1" applyNumberFormat="1" applyFont="1" applyFill="1" applyBorder="1" applyAlignment="1"/>
    <xf numFmtId="164" fontId="122" fillId="16" borderId="245" xfId="1" applyNumberFormat="1" applyFont="1" applyFill="1" applyBorder="1" applyAlignment="1"/>
    <xf numFmtId="0" fontId="125" fillId="17" borderId="242" xfId="0" applyFont="1" applyFill="1" applyBorder="1" applyAlignment="1">
      <alignment horizontal="center"/>
    </xf>
    <xf numFmtId="0" fontId="9" fillId="17" borderId="231" xfId="0" applyFont="1" applyFill="1" applyBorder="1" applyAlignment="1">
      <alignment wrapText="1"/>
    </xf>
    <xf numFmtId="0" fontId="116" fillId="17" borderId="200" xfId="0" applyFont="1" applyFill="1" applyBorder="1" applyAlignment="1">
      <alignment wrapText="1"/>
    </xf>
    <xf numFmtId="0" fontId="6" fillId="104" borderId="96" xfId="0" applyFont="1" applyFill="1" applyBorder="1" applyAlignment="1">
      <alignment wrapText="1"/>
    </xf>
    <xf numFmtId="0" fontId="6" fillId="104" borderId="62" xfId="0" applyFont="1" applyFill="1" applyBorder="1" applyAlignment="1">
      <alignment wrapText="1"/>
    </xf>
    <xf numFmtId="164" fontId="6" fillId="104" borderId="62" xfId="0" applyNumberFormat="1" applyFont="1" applyFill="1" applyBorder="1" applyAlignment="1">
      <alignment wrapText="1"/>
    </xf>
    <xf numFmtId="164" fontId="6" fillId="104" borderId="97" xfId="0" applyNumberFormat="1" applyFont="1" applyFill="1" applyBorder="1" applyAlignment="1">
      <alignment wrapText="1"/>
    </xf>
    <xf numFmtId="0" fontId="129" fillId="16" borderId="0" xfId="0" applyFont="1" applyFill="1"/>
    <xf numFmtId="164" fontId="7" fillId="18" borderId="208" xfId="1" applyNumberFormat="1" applyFont="1" applyFill="1" applyBorder="1"/>
    <xf numFmtId="0" fontId="130" fillId="16" borderId="0" xfId="0" applyFont="1" applyFill="1"/>
    <xf numFmtId="0" fontId="1" fillId="16" borderId="0" xfId="0" applyFont="1" applyFill="1"/>
    <xf numFmtId="164" fontId="1" fillId="16" borderId="0" xfId="0" applyNumberFormat="1" applyFont="1" applyFill="1"/>
    <xf numFmtId="0" fontId="133" fillId="38" borderId="91" xfId="10" applyFont="1" applyFill="1" applyBorder="1" applyAlignment="1">
      <alignment horizontal="center" wrapText="1"/>
    </xf>
    <xf numFmtId="0" fontId="134" fillId="23" borderId="0" xfId="8162" applyFont="1" applyFill="1" applyBorder="1" applyAlignment="1"/>
    <xf numFmtId="170" fontId="134" fillId="23" borderId="0" xfId="8162" applyNumberFormat="1" applyFont="1" applyFill="1" applyBorder="1" applyAlignment="1">
      <alignment wrapText="1"/>
    </xf>
    <xf numFmtId="0" fontId="134" fillId="23" borderId="0" xfId="8162" applyFont="1" applyFill="1" applyBorder="1" applyAlignment="1">
      <alignment wrapText="1"/>
    </xf>
    <xf numFmtId="0" fontId="134" fillId="88" borderId="0" xfId="8162" applyFont="1" applyFill="1" applyBorder="1" applyAlignment="1"/>
    <xf numFmtId="170" fontId="134" fillId="88" borderId="0" xfId="8162" applyNumberFormat="1" applyFont="1" applyFill="1" applyBorder="1" applyAlignment="1">
      <alignment wrapText="1"/>
    </xf>
    <xf numFmtId="0" fontId="134" fillId="88" borderId="0" xfId="8162" applyFont="1" applyFill="1" applyBorder="1" applyAlignment="1">
      <alignment wrapText="1"/>
    </xf>
    <xf numFmtId="0" fontId="134" fillId="17" borderId="0" xfId="8162" applyFont="1" applyFill="1" applyBorder="1" applyAlignment="1"/>
    <xf numFmtId="170" fontId="134" fillId="17" borderId="0" xfId="8162" applyNumberFormat="1" applyFont="1" applyFill="1" applyBorder="1" applyAlignment="1">
      <alignment wrapText="1"/>
    </xf>
    <xf numFmtId="0" fontId="134" fillId="17" borderId="0" xfId="8162" applyFont="1" applyFill="1" applyBorder="1" applyAlignment="1">
      <alignment wrapText="1"/>
    </xf>
    <xf numFmtId="0" fontId="134" fillId="25" borderId="0" xfId="8162" applyFont="1" applyFill="1" applyBorder="1" applyAlignment="1"/>
    <xf numFmtId="170" fontId="134" fillId="25" borderId="0" xfId="8162" applyNumberFormat="1" applyFont="1" applyFill="1" applyBorder="1" applyAlignment="1">
      <alignment wrapText="1"/>
    </xf>
    <xf numFmtId="0" fontId="134" fillId="25" borderId="0" xfId="8162" applyFont="1" applyFill="1" applyBorder="1" applyAlignment="1">
      <alignment wrapText="1"/>
    </xf>
    <xf numFmtId="0" fontId="134" fillId="35" borderId="0" xfId="8162" applyFont="1" applyFill="1" applyBorder="1" applyAlignment="1">
      <alignment wrapText="1"/>
    </xf>
    <xf numFmtId="170" fontId="134" fillId="35" borderId="0" xfId="8162" applyNumberFormat="1" applyFont="1" applyFill="1" applyBorder="1" applyAlignment="1">
      <alignment wrapText="1"/>
    </xf>
    <xf numFmtId="0" fontId="134" fillId="21" borderId="0" xfId="8162" applyFont="1" applyFill="1" applyBorder="1" applyAlignment="1">
      <alignment wrapText="1"/>
    </xf>
    <xf numFmtId="170" fontId="134" fillId="21" borderId="0" xfId="8162" applyNumberFormat="1" applyFont="1" applyFill="1" applyBorder="1" applyAlignment="1">
      <alignment wrapText="1"/>
    </xf>
    <xf numFmtId="0" fontId="1" fillId="0" borderId="0" xfId="0" applyFont="1"/>
    <xf numFmtId="0" fontId="134" fillId="0" borderId="0" xfId="13" applyFont="1" applyAlignment="1"/>
    <xf numFmtId="1" fontId="135" fillId="33" borderId="91" xfId="13" applyNumberFormat="1" applyFont="1" applyFill="1" applyBorder="1" applyAlignment="1">
      <alignment horizontal="center" wrapText="1" readingOrder="1"/>
    </xf>
    <xf numFmtId="0" fontId="134" fillId="0" borderId="0" xfId="13" applyFont="1">
      <alignment readingOrder="1"/>
    </xf>
    <xf numFmtId="9" fontId="134" fillId="0" borderId="91" xfId="13" applyNumberFormat="1" applyFont="1" applyBorder="1" applyAlignment="1">
      <alignment horizontal="center" readingOrder="1"/>
    </xf>
    <xf numFmtId="9" fontId="134" fillId="0" borderId="91" xfId="8" applyNumberFormat="1" applyFont="1" applyBorder="1" applyAlignment="1">
      <alignment vertical="center" readingOrder="1"/>
    </xf>
    <xf numFmtId="172" fontId="134" fillId="0" borderId="91" xfId="13" applyNumberFormat="1" applyFont="1" applyBorder="1">
      <alignment readingOrder="1"/>
    </xf>
    <xf numFmtId="9" fontId="134" fillId="18" borderId="91" xfId="13" applyNumberFormat="1" applyFont="1" applyFill="1" applyBorder="1" applyAlignment="1">
      <alignment horizontal="center" readingOrder="1"/>
    </xf>
    <xf numFmtId="9" fontId="134" fillId="18" borderId="91" xfId="8" applyNumberFormat="1" applyFont="1" applyFill="1" applyBorder="1" applyAlignment="1">
      <alignment vertical="center" readingOrder="1"/>
    </xf>
    <xf numFmtId="172" fontId="134" fillId="18" borderId="91" xfId="13" applyNumberFormat="1" applyFont="1" applyFill="1" applyBorder="1">
      <alignment readingOrder="1"/>
    </xf>
    <xf numFmtId="0" fontId="134" fillId="0" borderId="0" xfId="13" applyFont="1" applyFill="1" applyBorder="1">
      <alignment readingOrder="1"/>
    </xf>
    <xf numFmtId="0" fontId="135" fillId="0" borderId="0" xfId="13" applyFont="1">
      <alignment readingOrder="1"/>
    </xf>
    <xf numFmtId="0" fontId="135" fillId="0" borderId="91" xfId="13" applyFont="1" applyBorder="1" applyAlignment="1">
      <alignment wrapText="1" readingOrder="1"/>
    </xf>
    <xf numFmtId="0" fontId="134" fillId="0" borderId="91" xfId="13" applyFont="1" applyBorder="1" applyAlignment="1">
      <alignment wrapText="1" readingOrder="1"/>
    </xf>
    <xf numFmtId="9" fontId="134" fillId="0" borderId="91" xfId="8" applyFont="1" applyBorder="1" applyAlignment="1">
      <alignment readingOrder="1"/>
    </xf>
    <xf numFmtId="177" fontId="134" fillId="0" borderId="91" xfId="13" applyNumberFormat="1" applyFont="1" applyBorder="1">
      <alignment readingOrder="1"/>
    </xf>
    <xf numFmtId="0" fontId="114" fillId="16" borderId="0" xfId="0" applyFont="1" applyFill="1"/>
    <xf numFmtId="0" fontId="116" fillId="17" borderId="37" xfId="0" applyFont="1" applyFill="1" applyBorder="1" applyAlignment="1"/>
    <xf numFmtId="0" fontId="116" fillId="17" borderId="227" xfId="0" applyFont="1" applyFill="1" applyBorder="1" applyAlignment="1"/>
    <xf numFmtId="0" fontId="142" fillId="16" borderId="0" xfId="0" applyFont="1" applyFill="1" applyAlignment="1">
      <alignment vertical="top"/>
    </xf>
    <xf numFmtId="0" fontId="143" fillId="0" borderId="0" xfId="0" applyFont="1"/>
    <xf numFmtId="0" fontId="143" fillId="0" borderId="0" xfId="0" applyFont="1" applyAlignment="1">
      <alignment horizontal="left" indent="1"/>
    </xf>
    <xf numFmtId="0" fontId="144" fillId="0" borderId="0" xfId="0" applyFont="1"/>
    <xf numFmtId="0" fontId="148" fillId="23" borderId="206" xfId="0" applyFont="1" applyFill="1" applyBorder="1" applyAlignment="1">
      <alignment vertical="center"/>
    </xf>
    <xf numFmtId="0" fontId="149" fillId="17" borderId="0" xfId="0" applyFont="1" applyFill="1"/>
    <xf numFmtId="10" fontId="7" fillId="16" borderId="0" xfId="2" applyNumberFormat="1" applyFont="1" applyFill="1" applyAlignment="1">
      <alignment horizontal="center" vertical="center"/>
    </xf>
    <xf numFmtId="164" fontId="7" fillId="16" borderId="0" xfId="0" applyNumberFormat="1" applyFont="1" applyFill="1" applyAlignment="1">
      <alignment horizontal="center" vertical="center"/>
    </xf>
    <xf numFmtId="0" fontId="137" fillId="0" borderId="0" xfId="0" applyFont="1" applyFill="1" applyAlignment="1">
      <alignment vertical="top" wrapText="1"/>
    </xf>
    <xf numFmtId="168" fontId="122" fillId="16" borderId="242" xfId="1" applyNumberFormat="1" applyFont="1" applyFill="1" applyBorder="1" applyAlignment="1"/>
    <xf numFmtId="168" fontId="122" fillId="16" borderId="214" xfId="1" applyNumberFormat="1" applyFont="1" applyFill="1" applyBorder="1" applyAlignment="1"/>
    <xf numFmtId="9" fontId="122" fillId="0" borderId="242" xfId="2" applyFont="1" applyFill="1" applyBorder="1" applyAlignment="1"/>
    <xf numFmtId="0" fontId="13" fillId="26" borderId="31" xfId="0" applyNumberFormat="1" applyFont="1" applyFill="1" applyBorder="1"/>
    <xf numFmtId="0" fontId="89" fillId="0" borderId="0" xfId="0" applyFont="1" applyFill="1" applyBorder="1" applyAlignment="1">
      <alignment wrapText="1"/>
    </xf>
    <xf numFmtId="0" fontId="5" fillId="16" borderId="0" xfId="0" applyFont="1" applyFill="1" applyAlignment="1">
      <alignment horizontal="right"/>
    </xf>
    <xf numFmtId="0" fontId="5" fillId="104" borderId="91" xfId="0" applyFont="1" applyFill="1" applyBorder="1" applyAlignment="1">
      <alignment wrapText="1"/>
    </xf>
    <xf numFmtId="164" fontId="0" fillId="17" borderId="91" xfId="0" applyNumberFormat="1" applyFill="1" applyBorder="1" applyAlignment="1">
      <alignment horizontal="center"/>
    </xf>
    <xf numFmtId="164" fontId="0" fillId="25" borderId="91" xfId="0" applyNumberFormat="1" applyFill="1" applyBorder="1" applyAlignment="1">
      <alignment horizontal="center"/>
    </xf>
    <xf numFmtId="164" fontId="0" fillId="23" borderId="91" xfId="0" applyNumberFormat="1" applyFill="1" applyBorder="1" applyAlignment="1">
      <alignment horizontal="center"/>
    </xf>
    <xf numFmtId="0" fontId="5" fillId="16" borderId="91" xfId="0" applyFont="1" applyFill="1" applyBorder="1"/>
    <xf numFmtId="0" fontId="104" fillId="16" borderId="256" xfId="0" applyFont="1" applyFill="1" applyBorder="1" applyAlignment="1">
      <alignment horizontal="center" wrapText="1"/>
    </xf>
    <xf numFmtId="0" fontId="104" fillId="16" borderId="257" xfId="0" applyFont="1" applyFill="1" applyBorder="1" applyAlignment="1">
      <alignment horizontal="center" wrapText="1"/>
    </xf>
    <xf numFmtId="0" fontId="104" fillId="16" borderId="258" xfId="0" applyFont="1" applyFill="1" applyBorder="1" applyAlignment="1">
      <alignment horizontal="center" wrapText="1"/>
    </xf>
    <xf numFmtId="0" fontId="104" fillId="16" borderId="259" xfId="0" applyFont="1" applyFill="1" applyBorder="1" applyAlignment="1">
      <alignment horizontal="center" wrapText="1"/>
    </xf>
    <xf numFmtId="0" fontId="104" fillId="16" borderId="260" xfId="0" applyFont="1" applyFill="1" applyBorder="1" applyAlignment="1">
      <alignment horizontal="center" wrapText="1"/>
    </xf>
    <xf numFmtId="9" fontId="113" fillId="0" borderId="258" xfId="2" applyFont="1" applyFill="1" applyBorder="1" applyAlignment="1">
      <alignment horizontal="center" wrapText="1"/>
    </xf>
    <xf numFmtId="0" fontId="104" fillId="98" borderId="261" xfId="0" applyFont="1" applyFill="1" applyBorder="1" applyAlignment="1">
      <alignment horizontal="center" wrapText="1"/>
    </xf>
    <xf numFmtId="0" fontId="104" fillId="98" borderId="262" xfId="0" applyFont="1" applyFill="1" applyBorder="1" applyAlignment="1">
      <alignment horizontal="center" wrapText="1"/>
    </xf>
    <xf numFmtId="0" fontId="17" fillId="16" borderId="263" xfId="9110" applyFont="1" applyFill="1" applyBorder="1"/>
    <xf numFmtId="41" fontId="107" fillId="98" borderId="264" xfId="0" applyNumberFormat="1" applyFont="1" applyFill="1" applyBorder="1" applyAlignment="1">
      <alignment horizontal="left"/>
    </xf>
    <xf numFmtId="0" fontId="17" fillId="16" borderId="265" xfId="9111" applyFont="1" applyFill="1" applyBorder="1"/>
    <xf numFmtId="0" fontId="78" fillId="16" borderId="266" xfId="9111" applyFont="1" applyFill="1" applyBorder="1" applyAlignment="1">
      <alignment wrapText="1"/>
    </xf>
    <xf numFmtId="41" fontId="107" fillId="16" borderId="267" xfId="0" applyNumberFormat="1" applyFont="1" applyFill="1" applyBorder="1" applyAlignment="1">
      <alignment horizontal="left"/>
    </xf>
    <xf numFmtId="41" fontId="118" fillId="0" borderId="267" xfId="0" applyNumberFormat="1" applyFont="1" applyFill="1" applyBorder="1" applyAlignment="1">
      <alignment horizontal="left"/>
    </xf>
    <xf numFmtId="41" fontId="107" fillId="98" borderId="268" xfId="0" applyNumberFormat="1" applyFont="1" applyFill="1" applyBorder="1" applyAlignment="1">
      <alignment horizontal="left"/>
    </xf>
    <xf numFmtId="41" fontId="107" fillId="98" borderId="269" xfId="0" applyNumberFormat="1" applyFont="1" applyFill="1" applyBorder="1" applyAlignment="1">
      <alignment horizontal="left"/>
    </xf>
    <xf numFmtId="1" fontId="0" fillId="16" borderId="0" xfId="0" applyNumberFormat="1" applyFont="1" applyFill="1"/>
    <xf numFmtId="0" fontId="133" fillId="0" borderId="91" xfId="0" applyFont="1" applyFill="1" applyBorder="1" applyAlignment="1">
      <alignment horizontal="center" wrapText="1"/>
    </xf>
    <xf numFmtId="0" fontId="134" fillId="0" borderId="91" xfId="142" applyFont="1" applyFill="1" applyBorder="1">
      <alignment readingOrder="1"/>
    </xf>
    <xf numFmtId="3" fontId="134" fillId="0" borderId="91" xfId="142" applyNumberFormat="1" applyFont="1" applyFill="1" applyBorder="1" applyAlignment="1">
      <alignment wrapText="1"/>
    </xf>
    <xf numFmtId="0" fontId="134" fillId="16" borderId="0" xfId="0" applyFont="1" applyFill="1"/>
    <xf numFmtId="167" fontId="101" fillId="0" borderId="91" xfId="9109" applyNumberFormat="1" applyFont="1" applyBorder="1"/>
    <xf numFmtId="0" fontId="7" fillId="0" borderId="0" xfId="0" applyFont="1"/>
    <xf numFmtId="0" fontId="114" fillId="0" borderId="0" xfId="0" applyFont="1"/>
    <xf numFmtId="0" fontId="149" fillId="26" borderId="0" xfId="0" applyFont="1" applyFill="1" applyBorder="1"/>
    <xf numFmtId="0" fontId="149" fillId="26" borderId="0" xfId="0" applyNumberFormat="1" applyFont="1" applyFill="1" applyBorder="1"/>
    <xf numFmtId="0" fontId="7" fillId="16" borderId="0" xfId="0" applyFont="1" applyFill="1"/>
    <xf numFmtId="164" fontId="7" fillId="16" borderId="0" xfId="0" applyNumberFormat="1" applyFont="1" applyFill="1"/>
    <xf numFmtId="165" fontId="7" fillId="16" borderId="0" xfId="1" applyNumberFormat="1" applyFont="1" applyFill="1"/>
    <xf numFmtId="0" fontId="80" fillId="16" borderId="0" xfId="0" applyFont="1" applyFill="1" applyAlignment="1">
      <alignment wrapText="1"/>
    </xf>
    <xf numFmtId="0" fontId="80" fillId="16" borderId="0" xfId="0" applyFont="1" applyFill="1"/>
    <xf numFmtId="0" fontId="80" fillId="16" borderId="96" xfId="0" applyFont="1" applyFill="1" applyBorder="1" applyAlignment="1">
      <alignment wrapText="1"/>
    </xf>
    <xf numFmtId="164" fontId="80" fillId="16" borderId="97" xfId="0" applyNumberFormat="1" applyFont="1" applyFill="1" applyBorder="1" applyAlignment="1">
      <alignment wrapText="1"/>
    </xf>
    <xf numFmtId="164" fontId="80" fillId="16" borderId="96" xfId="0" applyNumberFormat="1" applyFont="1" applyFill="1" applyBorder="1" applyAlignment="1">
      <alignment wrapText="1"/>
    </xf>
    <xf numFmtId="0" fontId="80" fillId="16" borderId="97" xfId="0" applyFont="1" applyFill="1" applyBorder="1" applyAlignment="1">
      <alignment wrapText="1"/>
    </xf>
    <xf numFmtId="1" fontId="7" fillId="16" borderId="107" xfId="0" applyNumberFormat="1" applyFont="1" applyFill="1" applyBorder="1"/>
    <xf numFmtId="1" fontId="7" fillId="16" borderId="176" xfId="0" applyNumberFormat="1" applyFont="1" applyFill="1" applyBorder="1"/>
    <xf numFmtId="1" fontId="7" fillId="16" borderId="100" xfId="0" applyNumberFormat="1" applyFont="1" applyFill="1" applyBorder="1"/>
    <xf numFmtId="164" fontId="7" fillId="16" borderId="107" xfId="1" applyNumberFormat="1" applyFont="1" applyFill="1" applyBorder="1"/>
    <xf numFmtId="164" fontId="7" fillId="16" borderId="100" xfId="1" applyNumberFormat="1" applyFont="1" applyFill="1" applyBorder="1"/>
    <xf numFmtId="1" fontId="7" fillId="16" borderId="31" xfId="0" applyNumberFormat="1" applyFont="1" applyFill="1" applyBorder="1"/>
    <xf numFmtId="1" fontId="7" fillId="16" borderId="0" xfId="0" applyNumberFormat="1" applyFont="1" applyFill="1" applyBorder="1"/>
    <xf numFmtId="1" fontId="7" fillId="16" borderId="32" xfId="0" applyNumberFormat="1" applyFont="1" applyFill="1" applyBorder="1"/>
    <xf numFmtId="164" fontId="7" fillId="16" borderId="31" xfId="1" applyNumberFormat="1" applyFont="1" applyFill="1" applyBorder="1"/>
    <xf numFmtId="164" fontId="7" fillId="16" borderId="32" xfId="1" applyNumberFormat="1" applyFont="1" applyFill="1" applyBorder="1"/>
    <xf numFmtId="0" fontId="7" fillId="16" borderId="31" xfId="0" applyFont="1" applyFill="1" applyBorder="1"/>
    <xf numFmtId="0" fontId="7" fillId="16" borderId="0" xfId="0" applyFont="1" applyFill="1" applyBorder="1"/>
    <xf numFmtId="164" fontId="7" fillId="16" borderId="0" xfId="0" applyNumberFormat="1" applyFont="1" applyFill="1" applyBorder="1"/>
    <xf numFmtId="164" fontId="7" fillId="16" borderId="32" xfId="0" applyNumberFormat="1" applyFont="1" applyFill="1" applyBorder="1"/>
    <xf numFmtId="0" fontId="7" fillId="16" borderId="32" xfId="0" applyFont="1" applyFill="1" applyBorder="1"/>
    <xf numFmtId="0" fontId="152" fillId="16" borderId="31" xfId="0" applyFont="1" applyFill="1" applyBorder="1"/>
    <xf numFmtId="0" fontId="152" fillId="16" borderId="32" xfId="0" applyFont="1" applyFill="1" applyBorder="1" applyAlignment="1">
      <alignment wrapText="1"/>
    </xf>
    <xf numFmtId="165" fontId="7" fillId="16" borderId="31" xfId="1" applyNumberFormat="1" applyFont="1" applyFill="1" applyBorder="1"/>
    <xf numFmtId="0" fontId="80" fillId="16" borderId="0" xfId="0" applyFont="1" applyFill="1" applyAlignment="1">
      <alignment horizontal="right" vertical="center"/>
    </xf>
    <xf numFmtId="0" fontId="7" fillId="16" borderId="0" xfId="0" applyFont="1" applyFill="1" applyAlignment="1">
      <alignment vertical="center"/>
    </xf>
    <xf numFmtId="0" fontId="152" fillId="16" borderId="0" xfId="0" applyFont="1" applyFill="1"/>
    <xf numFmtId="0" fontId="153" fillId="16" borderId="0" xfId="0" applyFont="1" applyFill="1"/>
    <xf numFmtId="0" fontId="7" fillId="0" borderId="159" xfId="0" applyFont="1" applyBorder="1"/>
    <xf numFmtId="0" fontId="7" fillId="0" borderId="160" xfId="0" applyFont="1" applyBorder="1"/>
    <xf numFmtId="9" fontId="153" fillId="16" borderId="0" xfId="2" applyFont="1" applyFill="1"/>
    <xf numFmtId="0" fontId="7" fillId="16" borderId="171" xfId="0" applyFont="1" applyFill="1" applyBorder="1"/>
    <xf numFmtId="164" fontId="7" fillId="16" borderId="171" xfId="0" applyNumberFormat="1" applyFont="1" applyFill="1" applyBorder="1"/>
    <xf numFmtId="0" fontId="149" fillId="26" borderId="31" xfId="0" applyFont="1" applyFill="1" applyBorder="1"/>
    <xf numFmtId="0" fontId="149" fillId="27" borderId="0" xfId="0" applyNumberFormat="1" applyFont="1" applyFill="1" applyBorder="1"/>
    <xf numFmtId="0" fontId="149" fillId="27" borderId="32" xfId="0" applyNumberFormat="1" applyFont="1" applyFill="1" applyBorder="1"/>
    <xf numFmtId="0" fontId="7" fillId="17" borderId="11" xfId="0" applyFont="1" applyFill="1" applyBorder="1" applyAlignment="1">
      <alignment wrapText="1"/>
    </xf>
    <xf numFmtId="0" fontId="7" fillId="17" borderId="9" xfId="0" applyFont="1" applyFill="1" applyBorder="1" applyAlignment="1">
      <alignment wrapText="1"/>
    </xf>
    <xf numFmtId="164" fontId="7" fillId="17" borderId="212" xfId="0" applyNumberFormat="1" applyFont="1" applyFill="1" applyBorder="1"/>
    <xf numFmtId="164" fontId="7" fillId="17" borderId="10" xfId="0" applyNumberFormat="1" applyFont="1" applyFill="1" applyBorder="1"/>
    <xf numFmtId="10" fontId="154" fillId="17" borderId="26" xfId="0" applyNumberFormat="1" applyFont="1" applyFill="1" applyBorder="1"/>
    <xf numFmtId="164" fontId="120" fillId="19" borderId="25" xfId="4" applyNumberFormat="1" applyFont="1" applyFill="1" applyBorder="1"/>
    <xf numFmtId="165" fontId="7" fillId="17" borderId="25" xfId="0" applyNumberFormat="1" applyFont="1" applyFill="1" applyBorder="1"/>
    <xf numFmtId="43" fontId="7" fillId="17" borderId="9" xfId="0" applyNumberFormat="1" applyFont="1" applyFill="1" applyBorder="1"/>
    <xf numFmtId="43" fontId="7" fillId="17" borderId="26" xfId="1" applyFont="1" applyFill="1" applyBorder="1"/>
    <xf numFmtId="164" fontId="112" fillId="0" borderId="0" xfId="0" applyNumberFormat="1" applyFont="1" applyFill="1" applyBorder="1" applyAlignment="1">
      <alignment wrapText="1"/>
    </xf>
    <xf numFmtId="164" fontId="7" fillId="17" borderId="25" xfId="0" applyNumberFormat="1" applyFont="1" applyFill="1" applyBorder="1"/>
    <xf numFmtId="164" fontId="7" fillId="17" borderId="9" xfId="0" applyNumberFormat="1" applyFont="1" applyFill="1" applyBorder="1"/>
    <xf numFmtId="0" fontId="112" fillId="0" borderId="0" xfId="0" applyFont="1" applyFill="1" applyBorder="1" applyAlignment="1">
      <alignment wrapText="1"/>
    </xf>
    <xf numFmtId="0" fontId="112" fillId="0" borderId="0" xfId="0" applyFont="1" applyFill="1" applyBorder="1"/>
    <xf numFmtId="0" fontId="155" fillId="26" borderId="0" xfId="0" applyFont="1" applyFill="1" applyBorder="1"/>
    <xf numFmtId="0" fontId="155" fillId="27" borderId="0" xfId="0" applyNumberFormat="1" applyFont="1" applyFill="1" applyBorder="1"/>
    <xf numFmtId="0" fontId="155" fillId="27" borderId="32" xfId="0" applyNumberFormat="1" applyFont="1" applyFill="1" applyBorder="1"/>
    <xf numFmtId="0" fontId="155" fillId="16" borderId="0" xfId="0" applyFont="1" applyFill="1"/>
    <xf numFmtId="164" fontId="7" fillId="17" borderId="27" xfId="0" applyNumberFormat="1" applyFont="1" applyFill="1" applyBorder="1"/>
    <xf numFmtId="164" fontId="7" fillId="17" borderId="28" xfId="0" applyNumberFormat="1" applyFont="1" applyFill="1" applyBorder="1"/>
    <xf numFmtId="10" fontId="154" fillId="17" borderId="29" xfId="0" applyNumberFormat="1" applyFont="1" applyFill="1" applyBorder="1"/>
    <xf numFmtId="164" fontId="5" fillId="18" borderId="0" xfId="1" applyNumberFormat="1" applyFont="1" applyFill="1"/>
    <xf numFmtId="164" fontId="5" fillId="18" borderId="34" xfId="1" applyNumberFormat="1" applyFont="1" applyFill="1" applyBorder="1"/>
    <xf numFmtId="9" fontId="7" fillId="18" borderId="107" xfId="2" applyFont="1" applyFill="1" applyBorder="1"/>
    <xf numFmtId="9" fontId="7" fillId="18" borderId="100" xfId="2" applyFont="1" applyFill="1" applyBorder="1"/>
    <xf numFmtId="9" fontId="7" fillId="18" borderId="31" xfId="2" applyFont="1" applyFill="1" applyBorder="1"/>
    <xf numFmtId="9" fontId="7" fillId="18" borderId="32" xfId="2" applyFont="1" applyFill="1" applyBorder="1"/>
    <xf numFmtId="165" fontId="7" fillId="17" borderId="27" xfId="0" applyNumberFormat="1" applyFont="1" applyFill="1" applyBorder="1"/>
    <xf numFmtId="43" fontId="7" fillId="17" borderId="28" xfId="0" applyNumberFormat="1" applyFont="1" applyFill="1" applyBorder="1"/>
    <xf numFmtId="43" fontId="7" fillId="17" borderId="29" xfId="1" applyFont="1" applyFill="1" applyBorder="1"/>
    <xf numFmtId="43" fontId="120" fillId="19" borderId="25" xfId="4" applyNumberFormat="1" applyFont="1" applyFill="1" applyBorder="1"/>
    <xf numFmtId="43" fontId="156" fillId="16" borderId="0" xfId="0" applyNumberFormat="1" applyFont="1" applyFill="1"/>
    <xf numFmtId="165" fontId="87" fillId="0" borderId="113" xfId="1" applyNumberFormat="1" applyFont="1" applyFill="1" applyBorder="1"/>
    <xf numFmtId="43" fontId="8" fillId="0" borderId="112" xfId="1" applyNumberFormat="1" applyFont="1" applyFill="1" applyBorder="1"/>
    <xf numFmtId="43" fontId="87" fillId="0" borderId="113" xfId="1" applyNumberFormat="1" applyFont="1" applyFill="1" applyBorder="1"/>
    <xf numFmtId="43" fontId="114" fillId="0" borderId="113" xfId="1" applyNumberFormat="1" applyFont="1" applyFill="1" applyBorder="1"/>
    <xf numFmtId="0" fontId="130" fillId="16" borderId="0" xfId="0" applyFont="1" applyFill="1" applyBorder="1" applyAlignment="1"/>
    <xf numFmtId="43" fontId="111" fillId="0" borderId="125" xfId="1" applyNumberFormat="1" applyFont="1" applyFill="1" applyBorder="1"/>
    <xf numFmtId="0" fontId="130" fillId="0" borderId="0" xfId="0" applyFont="1"/>
    <xf numFmtId="0" fontId="7" fillId="16" borderId="104" xfId="0" applyFont="1" applyFill="1" applyBorder="1" applyAlignment="1">
      <alignment horizontal="center" vertical="center"/>
    </xf>
    <xf numFmtId="164" fontId="7" fillId="16" borderId="105" xfId="1" applyNumberFormat="1" applyFont="1" applyFill="1" applyBorder="1" applyAlignment="1">
      <alignment horizontal="center" vertical="center"/>
    </xf>
    <xf numFmtId="164" fontId="7" fillId="16" borderId="101" xfId="0" applyNumberFormat="1" applyFont="1" applyFill="1" applyBorder="1" applyAlignment="1">
      <alignment horizontal="center" vertical="center" wrapText="1"/>
    </xf>
    <xf numFmtId="10" fontId="7" fillId="16" borderId="103" xfId="2" applyNumberFormat="1" applyFont="1" applyFill="1" applyBorder="1" applyAlignment="1">
      <alignment horizontal="center" vertical="center"/>
    </xf>
    <xf numFmtId="170" fontId="133" fillId="39" borderId="40" xfId="12" applyNumberFormat="1" applyFont="1" applyFill="1" applyBorder="1" applyAlignment="1">
      <alignment horizontal="center" wrapText="1" readingOrder="1"/>
    </xf>
    <xf numFmtId="170" fontId="133" fillId="39" borderId="41" xfId="12" applyNumberFormat="1" applyFont="1" applyFill="1" applyBorder="1" applyAlignment="1">
      <alignment horizontal="center" wrapText="1" readingOrder="1"/>
    </xf>
    <xf numFmtId="170" fontId="133" fillId="39" borderId="42" xfId="12" applyNumberFormat="1" applyFont="1" applyFill="1" applyBorder="1" applyAlignment="1">
      <alignment horizontal="center" wrapText="1" readingOrder="1"/>
    </xf>
    <xf numFmtId="170" fontId="133" fillId="39" borderId="248" xfId="12" applyNumberFormat="1" applyFont="1" applyFill="1" applyBorder="1" applyAlignment="1">
      <alignment horizontal="center" wrapText="1" readingOrder="1"/>
    </xf>
    <xf numFmtId="170" fontId="133" fillId="39" borderId="49" xfId="12" applyNumberFormat="1" applyFont="1" applyFill="1" applyBorder="1" applyAlignment="1">
      <alignment horizontal="center" wrapText="1" readingOrder="1"/>
    </xf>
    <xf numFmtId="0" fontId="7" fillId="17" borderId="23" xfId="0" applyFont="1" applyFill="1" applyBorder="1" applyAlignment="1">
      <alignment wrapText="1"/>
    </xf>
    <xf numFmtId="0" fontId="7" fillId="17" borderId="8" xfId="0" applyFont="1" applyFill="1" applyBorder="1" applyAlignment="1">
      <alignment wrapText="1"/>
    </xf>
    <xf numFmtId="168" fontId="120" fillId="19" borderId="23" xfId="4" applyNumberFormat="1" applyFont="1" applyFill="1" applyBorder="1"/>
    <xf numFmtId="165" fontId="7" fillId="17" borderId="23" xfId="0" applyNumberFormat="1" applyFont="1" applyFill="1" applyBorder="1"/>
    <xf numFmtId="43" fontId="7" fillId="17" borderId="8" xfId="0" applyNumberFormat="1" applyFont="1" applyFill="1" applyBorder="1"/>
    <xf numFmtId="43" fontId="7" fillId="17" borderId="24" xfId="1" applyFont="1" applyFill="1" applyBorder="1"/>
    <xf numFmtId="0" fontId="7" fillId="17" borderId="25" xfId="0" applyFont="1" applyFill="1" applyBorder="1" applyAlignment="1">
      <alignment wrapText="1"/>
    </xf>
    <xf numFmtId="168" fontId="7" fillId="19" borderId="25" xfId="4" applyNumberFormat="1" applyFont="1" applyFill="1" applyBorder="1"/>
    <xf numFmtId="168" fontId="120" fillId="19" borderId="25" xfId="4" applyNumberFormat="1" applyFont="1" applyFill="1" applyBorder="1"/>
    <xf numFmtId="0" fontId="7" fillId="17" borderId="223" xfId="0" applyFont="1" applyFill="1" applyBorder="1" applyAlignment="1">
      <alignment wrapText="1"/>
    </xf>
    <xf numFmtId="0" fontId="7" fillId="17" borderId="224" xfId="0" applyFont="1" applyFill="1" applyBorder="1" applyAlignment="1">
      <alignment wrapText="1"/>
    </xf>
    <xf numFmtId="164" fontId="7" fillId="17" borderId="223" xfId="0" applyNumberFormat="1" applyFont="1" applyFill="1" applyBorder="1"/>
    <xf numFmtId="164" fontId="7" fillId="17" borderId="224" xfId="0" applyNumberFormat="1" applyFont="1" applyFill="1" applyBorder="1"/>
    <xf numFmtId="10" fontId="154" fillId="17" borderId="226" xfId="0" applyNumberFormat="1" applyFont="1" applyFill="1" applyBorder="1"/>
    <xf numFmtId="168" fontId="7" fillId="19" borderId="223" xfId="4" applyNumberFormat="1" applyFont="1" applyFill="1" applyBorder="1"/>
    <xf numFmtId="165" fontId="7" fillId="17" borderId="223" xfId="0" applyNumberFormat="1" applyFont="1" applyFill="1" applyBorder="1"/>
    <xf numFmtId="43" fontId="7" fillId="17" borderId="224" xfId="0" applyNumberFormat="1" applyFont="1" applyFill="1" applyBorder="1"/>
    <xf numFmtId="43" fontId="7" fillId="17" borderId="226" xfId="1" applyFont="1" applyFill="1" applyBorder="1"/>
    <xf numFmtId="0" fontId="7" fillId="17" borderId="201" xfId="0" applyFont="1" applyFill="1" applyBorder="1" applyAlignment="1">
      <alignment wrapText="1"/>
    </xf>
    <xf numFmtId="0" fontId="7" fillId="17" borderId="202" xfId="0" applyFont="1" applyFill="1" applyBorder="1" applyAlignment="1">
      <alignment wrapText="1"/>
    </xf>
    <xf numFmtId="164" fontId="7" fillId="17" borderId="201" xfId="0" applyNumberFormat="1" applyFont="1" applyFill="1" applyBorder="1"/>
    <xf numFmtId="164" fontId="7" fillId="17" borderId="202" xfId="0" applyNumberFormat="1" applyFont="1" applyFill="1" applyBorder="1"/>
    <xf numFmtId="10" fontId="154" fillId="17" borderId="204" xfId="0" applyNumberFormat="1" applyFont="1" applyFill="1" applyBorder="1"/>
    <xf numFmtId="168" fontId="120" fillId="19" borderId="201" xfId="4" applyNumberFormat="1" applyFont="1" applyFill="1" applyBorder="1"/>
    <xf numFmtId="165" fontId="7" fillId="17" borderId="201" xfId="0" applyNumberFormat="1" applyFont="1" applyFill="1" applyBorder="1"/>
    <xf numFmtId="43" fontId="7" fillId="17" borderId="202" xfId="0" applyNumberFormat="1" applyFont="1" applyFill="1" applyBorder="1"/>
    <xf numFmtId="43" fontId="7" fillId="17" borderId="204" xfId="1" applyFont="1" applyFill="1" applyBorder="1"/>
    <xf numFmtId="0" fontId="7" fillId="17" borderId="27" xfId="0" applyFont="1" applyFill="1" applyBorder="1" applyAlignment="1">
      <alignment wrapText="1"/>
    </xf>
    <xf numFmtId="0" fontId="7" fillId="17" borderId="28" xfId="0" applyFont="1" applyFill="1" applyBorder="1" applyAlignment="1">
      <alignment wrapText="1"/>
    </xf>
    <xf numFmtId="168" fontId="7" fillId="19" borderId="27" xfId="4" applyNumberFormat="1" applyFont="1" applyFill="1" applyBorder="1"/>
    <xf numFmtId="0" fontId="7" fillId="17" borderId="228" xfId="0" applyFont="1" applyFill="1" applyBorder="1" applyAlignment="1">
      <alignment wrapText="1"/>
    </xf>
    <xf numFmtId="0" fontId="7" fillId="17" borderId="229" xfId="0" applyFont="1" applyFill="1" applyBorder="1" applyAlignment="1">
      <alignment wrapText="1"/>
    </xf>
    <xf numFmtId="164" fontId="7" fillId="17" borderId="228" xfId="0" applyNumberFormat="1" applyFont="1" applyFill="1" applyBorder="1"/>
    <xf numFmtId="164" fontId="7" fillId="17" borderId="229" xfId="0" applyNumberFormat="1" applyFont="1" applyFill="1" applyBorder="1"/>
    <xf numFmtId="10" fontId="154" fillId="17" borderId="231" xfId="0" applyNumberFormat="1" applyFont="1" applyFill="1" applyBorder="1"/>
    <xf numFmtId="168" fontId="120" fillId="19" borderId="228" xfId="4" applyNumberFormat="1" applyFont="1" applyFill="1" applyBorder="1"/>
    <xf numFmtId="165" fontId="7" fillId="17" borderId="228" xfId="0" applyNumberFormat="1" applyFont="1" applyFill="1" applyBorder="1"/>
    <xf numFmtId="43" fontId="7" fillId="17" borderId="229" xfId="0" applyNumberFormat="1" applyFont="1" applyFill="1" applyBorder="1"/>
    <xf numFmtId="43" fontId="7" fillId="17" borderId="231" xfId="1" applyFont="1" applyFill="1" applyBorder="1"/>
    <xf numFmtId="168" fontId="120" fillId="19" borderId="27" xfId="4" applyNumberFormat="1" applyFont="1" applyFill="1" applyBorder="1"/>
    <xf numFmtId="164" fontId="159" fillId="19" borderId="25" xfId="4" applyNumberFormat="1" applyFont="1" applyFill="1" applyBorder="1"/>
    <xf numFmtId="43" fontId="7" fillId="17" borderId="25" xfId="0" applyNumberFormat="1" applyFont="1" applyFill="1" applyBorder="1"/>
    <xf numFmtId="167" fontId="154" fillId="17" borderId="26" xfId="0" applyNumberFormat="1" applyFont="1" applyFill="1" applyBorder="1"/>
    <xf numFmtId="43" fontId="120" fillId="19" borderId="209" xfId="4" applyNumberFormat="1" applyFont="1" applyFill="1" applyBorder="1"/>
    <xf numFmtId="9" fontId="7" fillId="16" borderId="32" xfId="2" applyFont="1" applyFill="1" applyBorder="1"/>
    <xf numFmtId="0" fontId="7" fillId="16" borderId="33" xfId="0" applyFont="1" applyFill="1" applyBorder="1"/>
    <xf numFmtId="0" fontId="7" fillId="16" borderId="34" xfId="0" applyFont="1" applyFill="1" applyBorder="1"/>
    <xf numFmtId="164" fontId="7" fillId="16" borderId="34" xfId="0" applyNumberFormat="1" applyFont="1" applyFill="1" applyBorder="1"/>
    <xf numFmtId="9" fontId="7" fillId="16" borderId="35" xfId="2" applyFont="1" applyFill="1" applyBorder="1"/>
    <xf numFmtId="43" fontId="7" fillId="17" borderId="26" xfId="1" applyNumberFormat="1" applyFont="1" applyFill="1" applyBorder="1"/>
    <xf numFmtId="0" fontId="7" fillId="17" borderId="10" xfId="0" applyFont="1" applyFill="1" applyBorder="1" applyAlignment="1">
      <alignment wrapText="1"/>
    </xf>
    <xf numFmtId="164" fontId="120" fillId="19" borderId="23" xfId="4" applyNumberFormat="1" applyFont="1" applyFill="1" applyBorder="1"/>
    <xf numFmtId="43" fontId="120" fillId="19" borderId="109" xfId="4" applyNumberFormat="1" applyFont="1" applyFill="1" applyBorder="1"/>
    <xf numFmtId="43" fontId="7" fillId="17" borderId="23" xfId="1" applyFont="1" applyFill="1" applyBorder="1"/>
    <xf numFmtId="43" fontId="120" fillId="19" borderId="110" xfId="4" applyNumberFormat="1" applyFont="1" applyFill="1" applyBorder="1"/>
    <xf numFmtId="43" fontId="7" fillId="17" borderId="25" xfId="1" applyFont="1" applyFill="1" applyBorder="1"/>
    <xf numFmtId="164" fontId="120" fillId="17" borderId="150" xfId="4" applyNumberFormat="1" applyFont="1" applyFill="1" applyBorder="1"/>
    <xf numFmtId="0" fontId="7" fillId="17" borderId="149" xfId="0" applyFont="1" applyFill="1" applyBorder="1" applyAlignment="1">
      <alignment wrapText="1"/>
    </xf>
    <xf numFmtId="0" fontId="7" fillId="17" borderId="150" xfId="0" applyFont="1" applyFill="1" applyBorder="1" applyAlignment="1">
      <alignment wrapText="1"/>
    </xf>
    <xf numFmtId="43" fontId="7" fillId="17" borderId="149" xfId="0" applyNumberFormat="1" applyFont="1" applyFill="1" applyBorder="1"/>
    <xf numFmtId="43" fontId="7" fillId="17" borderId="150" xfId="0" applyNumberFormat="1" applyFont="1" applyFill="1" applyBorder="1"/>
    <xf numFmtId="43" fontId="7" fillId="17" borderId="151" xfId="1" applyFont="1" applyFill="1" applyBorder="1"/>
    <xf numFmtId="43" fontId="120" fillId="19" borderId="149" xfId="4" applyNumberFormat="1" applyFont="1" applyFill="1" applyBorder="1"/>
    <xf numFmtId="0" fontId="7" fillId="0" borderId="98" xfId="0" applyFont="1" applyBorder="1" applyAlignment="1">
      <alignment wrapText="1" readingOrder="1"/>
    </xf>
    <xf numFmtId="170" fontId="7" fillId="0" borderId="99" xfId="0" applyNumberFormat="1" applyFont="1" applyBorder="1"/>
    <xf numFmtId="170" fontId="7" fillId="0" borderId="100" xfId="0" applyNumberFormat="1" applyFont="1" applyBorder="1"/>
    <xf numFmtId="0" fontId="7" fillId="0" borderId="71" xfId="0" applyFont="1" applyBorder="1" applyAlignment="1">
      <alignment wrapText="1"/>
    </xf>
    <xf numFmtId="0" fontId="7" fillId="0" borderId="34" xfId="0" applyFont="1" applyBorder="1"/>
    <xf numFmtId="0" fontId="7" fillId="0" borderId="35" xfId="0" applyFont="1" applyBorder="1"/>
    <xf numFmtId="9" fontId="78" fillId="18" borderId="0" xfId="2" applyFont="1" applyFill="1"/>
    <xf numFmtId="43" fontId="119" fillId="0" borderId="282" xfId="1" applyFont="1" applyFill="1" applyBorder="1"/>
    <xf numFmtId="0" fontId="122" fillId="16" borderId="283" xfId="0" applyFont="1" applyFill="1" applyBorder="1" applyAlignment="1"/>
    <xf numFmtId="0" fontId="122" fillId="16" borderId="284" xfId="0" applyFont="1" applyFill="1" applyBorder="1" applyAlignment="1"/>
    <xf numFmtId="0" fontId="122" fillId="16" borderId="285" xfId="0" applyFont="1" applyFill="1" applyBorder="1" applyAlignment="1"/>
    <xf numFmtId="9" fontId="122" fillId="16" borderId="283" xfId="2" applyFont="1" applyFill="1" applyBorder="1" applyAlignment="1"/>
    <xf numFmtId="164" fontId="122" fillId="16" borderId="283" xfId="1" applyNumberFormat="1" applyFont="1" applyFill="1" applyBorder="1" applyAlignment="1"/>
    <xf numFmtId="164" fontId="122" fillId="16" borderId="284" xfId="1" applyNumberFormat="1" applyFont="1" applyFill="1" applyBorder="1" applyAlignment="1"/>
    <xf numFmtId="0" fontId="145" fillId="103" borderId="0" xfId="0" applyFont="1" applyFill="1"/>
    <xf numFmtId="0" fontId="123" fillId="16" borderId="0" xfId="0" applyFont="1" applyFill="1"/>
    <xf numFmtId="14" fontId="143" fillId="0" borderId="0" xfId="0" applyNumberFormat="1" applyFont="1" applyFill="1"/>
    <xf numFmtId="0" fontId="146" fillId="0" borderId="0" xfId="0" applyFont="1" applyFill="1"/>
    <xf numFmtId="0" fontId="124" fillId="103" borderId="0" xfId="0" applyFont="1" applyFill="1"/>
    <xf numFmtId="0" fontId="0" fillId="0" borderId="0" xfId="0" applyAlignment="1">
      <alignment wrapText="1"/>
    </xf>
    <xf numFmtId="0" fontId="92" fillId="0" borderId="91" xfId="0" applyFont="1" applyBorder="1" applyAlignment="1">
      <alignment horizontal="center"/>
    </xf>
    <xf numFmtId="0" fontId="0" fillId="0" borderId="91" xfId="0" applyBorder="1"/>
    <xf numFmtId="43" fontId="0" fillId="21" borderId="91" xfId="0" applyNumberFormat="1" applyFill="1" applyBorder="1"/>
    <xf numFmtId="9" fontId="0" fillId="0" borderId="91" xfId="2" applyFont="1" applyBorder="1"/>
    <xf numFmtId="43" fontId="0" fillId="0" borderId="91" xfId="0" applyNumberFormat="1" applyBorder="1"/>
    <xf numFmtId="0" fontId="123" fillId="16" borderId="243" xfId="0" applyFont="1" applyFill="1" applyBorder="1" applyAlignment="1"/>
    <xf numFmtId="0" fontId="123" fillId="16" borderId="242" xfId="0" applyFont="1" applyFill="1" applyBorder="1" applyAlignment="1"/>
    <xf numFmtId="0" fontId="122" fillId="16" borderId="243" xfId="0" quotePrefix="1" applyFont="1" applyFill="1" applyBorder="1" applyAlignment="1"/>
    <xf numFmtId="9" fontId="123" fillId="16" borderId="242" xfId="2" applyFont="1" applyFill="1" applyBorder="1" applyAlignment="1"/>
    <xf numFmtId="43" fontId="123" fillId="16" borderId="242" xfId="1" applyNumberFormat="1" applyFont="1" applyFill="1" applyBorder="1" applyAlignment="1"/>
    <xf numFmtId="43" fontId="123" fillId="16" borderId="214" xfId="1" applyNumberFormat="1" applyFont="1" applyFill="1" applyBorder="1" applyAlignment="1"/>
    <xf numFmtId="164" fontId="161" fillId="0" borderId="0" xfId="1" applyNumberFormat="1" applyFont="1"/>
    <xf numFmtId="164" fontId="123" fillId="0" borderId="0" xfId="0" applyNumberFormat="1" applyFont="1"/>
    <xf numFmtId="0" fontId="122" fillId="16" borderId="214" xfId="0" applyFont="1" applyFill="1" applyBorder="1" applyAlignment="1">
      <alignment wrapText="1"/>
    </xf>
    <xf numFmtId="0" fontId="7" fillId="21" borderId="0" xfId="0" applyFont="1" applyFill="1" applyBorder="1" applyAlignment="1">
      <alignment vertical="center" wrapText="1"/>
    </xf>
    <xf numFmtId="0" fontId="26" fillId="0" borderId="0" xfId="0" applyFont="1" applyAlignment="1">
      <alignment horizontal="left" vertical="top" wrapText="1"/>
    </xf>
    <xf numFmtId="0" fontId="122" fillId="0" borderId="242" xfId="0" applyFont="1" applyFill="1" applyBorder="1" applyAlignment="1"/>
    <xf numFmtId="0" fontId="83" fillId="0" borderId="0" xfId="0" applyFont="1" applyBorder="1" applyAlignment="1">
      <alignment horizontal="center" wrapText="1"/>
    </xf>
    <xf numFmtId="0" fontId="115" fillId="0" borderId="0" xfId="0" applyFont="1" applyBorder="1" applyAlignment="1">
      <alignment horizontal="center" wrapText="1"/>
    </xf>
    <xf numFmtId="43" fontId="87" fillId="17" borderId="0" xfId="0" applyNumberFormat="1" applyFont="1" applyFill="1" applyBorder="1"/>
    <xf numFmtId="43" fontId="162" fillId="0" borderId="0" xfId="1" applyFont="1" applyFill="1" applyBorder="1"/>
    <xf numFmtId="43" fontId="123" fillId="0" borderId="0" xfId="0" applyNumberFormat="1" applyFont="1"/>
    <xf numFmtId="43" fontId="19" fillId="18" borderId="96" xfId="0" applyNumberFormat="1" applyFont="1" applyFill="1" applyBorder="1"/>
    <xf numFmtId="43" fontId="0" fillId="18" borderId="96" xfId="1" applyFont="1" applyFill="1" applyBorder="1" applyAlignment="1">
      <alignment horizontal="center"/>
    </xf>
    <xf numFmtId="43" fontId="87" fillId="0" borderId="290" xfId="1" applyFont="1" applyFill="1" applyBorder="1"/>
    <xf numFmtId="43" fontId="87" fillId="0" borderId="291" xfId="1" applyFont="1" applyFill="1" applyBorder="1"/>
    <xf numFmtId="0" fontId="0" fillId="0" borderId="219" xfId="0" applyBorder="1"/>
    <xf numFmtId="43" fontId="114" fillId="0" borderId="291" xfId="1" applyFont="1" applyFill="1" applyBorder="1"/>
    <xf numFmtId="43" fontId="87" fillId="0" borderId="292" xfId="1" applyFont="1" applyFill="1" applyBorder="1"/>
    <xf numFmtId="43" fontId="87" fillId="0" borderId="293" xfId="1" applyFont="1" applyFill="1" applyBorder="1"/>
    <xf numFmtId="43" fontId="87" fillId="0" borderId="294" xfId="1" applyFont="1" applyFill="1" applyBorder="1"/>
    <xf numFmtId="43" fontId="87" fillId="17" borderId="295" xfId="0" applyNumberFormat="1" applyFont="1" applyFill="1" applyBorder="1"/>
    <xf numFmtId="43" fontId="161" fillId="0" borderId="0" xfId="1" applyNumberFormat="1" applyFont="1"/>
    <xf numFmtId="179" fontId="87" fillId="19" borderId="291" xfId="1" applyNumberFormat="1" applyFont="1" applyFill="1" applyBorder="1"/>
    <xf numFmtId="0" fontId="115" fillId="0" borderId="289" xfId="0" applyFont="1" applyBorder="1" applyAlignment="1">
      <alignment horizontal="center" wrapText="1"/>
    </xf>
    <xf numFmtId="0" fontId="79" fillId="0" borderId="303" xfId="0" applyFont="1" applyBorder="1" applyAlignment="1">
      <alignment horizontal="center" wrapText="1"/>
    </xf>
    <xf numFmtId="0" fontId="79" fillId="0" borderId="34" xfId="0" applyFont="1" applyBorder="1" applyAlignment="1">
      <alignment horizontal="center" wrapText="1"/>
    </xf>
    <xf numFmtId="0" fontId="115" fillId="0" borderId="34" xfId="0" applyFont="1" applyBorder="1" applyAlignment="1">
      <alignment horizontal="center" wrapText="1"/>
    </xf>
    <xf numFmtId="0" fontId="79" fillId="0" borderId="33" xfId="0" applyFont="1" applyBorder="1" applyAlignment="1">
      <alignment horizontal="center" wrapText="1"/>
    </xf>
    <xf numFmtId="0" fontId="115" fillId="0" borderId="35" xfId="0" applyFont="1" applyBorder="1" applyAlignment="1">
      <alignment horizontal="center" wrapText="1"/>
    </xf>
    <xf numFmtId="0" fontId="23" fillId="0" borderId="304" xfId="9112" applyFill="1" applyBorder="1" applyAlignment="1">
      <alignment vertical="center"/>
    </xf>
    <xf numFmtId="0" fontId="23" fillId="0" borderId="305" xfId="9112" applyFill="1" applyBorder="1" applyAlignment="1">
      <alignment vertical="center"/>
    </xf>
    <xf numFmtId="0" fontId="23" fillId="0" borderId="306" xfId="9112" applyFill="1" applyBorder="1" applyAlignment="1">
      <alignment vertical="center"/>
    </xf>
    <xf numFmtId="0" fontId="79" fillId="0" borderId="305" xfId="0" applyFont="1" applyFill="1" applyBorder="1" applyAlignment="1">
      <alignment vertical="center"/>
    </xf>
    <xf numFmtId="0" fontId="23" fillId="0" borderId="307" xfId="9112" applyFill="1" applyBorder="1" applyAlignment="1">
      <alignment vertical="center"/>
    </xf>
    <xf numFmtId="0" fontId="23" fillId="0" borderId="308" xfId="9112" applyFill="1" applyBorder="1" applyAlignment="1">
      <alignment vertical="center"/>
    </xf>
    <xf numFmtId="0" fontId="23" fillId="0" borderId="309" xfId="9112" applyFill="1" applyBorder="1" applyAlignment="1">
      <alignment vertical="center"/>
    </xf>
    <xf numFmtId="0" fontId="23" fillId="0" borderId="310" xfId="9112" applyFill="1" applyBorder="1" applyAlignment="1">
      <alignment vertical="center"/>
    </xf>
    <xf numFmtId="0" fontId="81" fillId="17" borderId="62" xfId="0" applyFont="1" applyFill="1" applyBorder="1"/>
    <xf numFmtId="165" fontId="8" fillId="0" borderId="112" xfId="1" applyNumberFormat="1" applyFont="1" applyFill="1" applyBorder="1"/>
    <xf numFmtId="43" fontId="19" fillId="0" borderId="144" xfId="1" applyFont="1" applyFill="1" applyBorder="1"/>
    <xf numFmtId="43" fontId="19" fillId="0" borderId="132" xfId="1" applyFont="1" applyFill="1" applyBorder="1"/>
    <xf numFmtId="43" fontId="114" fillId="0" borderId="133" xfId="1" applyFont="1" applyFill="1" applyBorder="1"/>
    <xf numFmtId="43" fontId="19" fillId="0" borderId="134" xfId="1" applyFont="1" applyFill="1" applyBorder="1"/>
    <xf numFmtId="43" fontId="19" fillId="0" borderId="136" xfId="1" applyFont="1" applyFill="1" applyBorder="1"/>
    <xf numFmtId="43" fontId="19" fillId="0" borderId="138" xfId="1" applyFont="1" applyFill="1" applyBorder="1"/>
    <xf numFmtId="0" fontId="154" fillId="16" borderId="0" xfId="0" applyFont="1" applyFill="1" applyBorder="1"/>
    <xf numFmtId="0" fontId="33" fillId="86" borderId="107" xfId="10" applyFont="1" applyFill="1" applyBorder="1" applyAlignment="1">
      <alignment horizontal="centerContinuous"/>
    </xf>
    <xf numFmtId="0" fontId="170" fillId="86" borderId="107" xfId="10" applyFont="1" applyFill="1" applyBorder="1" applyAlignment="1">
      <alignment horizontal="centerContinuous"/>
    </xf>
    <xf numFmtId="0" fontId="0" fillId="17" borderId="321" xfId="0" applyFill="1" applyBorder="1" applyAlignment="1">
      <alignment wrapText="1"/>
    </xf>
    <xf numFmtId="0" fontId="0" fillId="17" borderId="224" xfId="0" applyFill="1" applyBorder="1" applyAlignment="1">
      <alignment wrapText="1"/>
    </xf>
    <xf numFmtId="164" fontId="3" fillId="17" borderId="224" xfId="4" applyNumberFormat="1" applyFill="1" applyBorder="1"/>
    <xf numFmtId="10" fontId="8" fillId="17" borderId="226" xfId="0" applyNumberFormat="1" applyFont="1" applyFill="1" applyBorder="1"/>
    <xf numFmtId="164" fontId="3" fillId="19" borderId="223" xfId="4" applyNumberFormat="1" applyFill="1" applyBorder="1"/>
    <xf numFmtId="0" fontId="9" fillId="17" borderId="227" xfId="0" applyFont="1" applyFill="1" applyBorder="1" applyAlignment="1">
      <alignment wrapText="1"/>
    </xf>
    <xf numFmtId="165" fontId="0" fillId="17" borderId="223" xfId="0" applyNumberFormat="1" applyFont="1" applyFill="1" applyBorder="1"/>
    <xf numFmtId="43" fontId="0" fillId="17" borderId="224" xfId="0" applyNumberFormat="1" applyFont="1" applyFill="1" applyBorder="1"/>
    <xf numFmtId="43" fontId="0" fillId="17" borderId="226" xfId="1" applyFont="1" applyFill="1" applyBorder="1"/>
    <xf numFmtId="0" fontId="0" fillId="17" borderId="324" xfId="0" applyFill="1" applyBorder="1" applyAlignment="1">
      <alignment wrapText="1"/>
    </xf>
    <xf numFmtId="166" fontId="7" fillId="17" borderId="325" xfId="0" applyNumberFormat="1" applyFont="1" applyFill="1" applyBorder="1"/>
    <xf numFmtId="164" fontId="3" fillId="17" borderId="324" xfId="4" applyNumberFormat="1" applyFill="1" applyBorder="1"/>
    <xf numFmtId="10" fontId="8" fillId="17" borderId="328" xfId="0" applyNumberFormat="1" applyFont="1" applyFill="1" applyBorder="1"/>
    <xf numFmtId="164" fontId="3" fillId="19" borderId="329" xfId="4" applyNumberFormat="1" applyFill="1" applyBorder="1"/>
    <xf numFmtId="0" fontId="9" fillId="17" borderId="328" xfId="0" applyFont="1" applyFill="1" applyBorder="1" applyAlignment="1">
      <alignment wrapText="1"/>
    </xf>
    <xf numFmtId="165" fontId="0" fillId="17" borderId="329" xfId="0" applyNumberFormat="1" applyFont="1" applyFill="1" applyBorder="1"/>
    <xf numFmtId="43" fontId="0" fillId="17" borderId="324" xfId="0" applyNumberFormat="1" applyFont="1" applyFill="1" applyBorder="1"/>
    <xf numFmtId="166" fontId="7" fillId="17" borderId="335" xfId="0" applyNumberFormat="1" applyFont="1" applyFill="1" applyBorder="1"/>
    <xf numFmtId="0" fontId="9" fillId="17" borderId="340" xfId="0" applyFont="1" applyFill="1" applyBorder="1" applyAlignment="1">
      <alignment wrapText="1"/>
    </xf>
    <xf numFmtId="0" fontId="7" fillId="17" borderId="321" xfId="0" applyFont="1" applyFill="1" applyBorder="1" applyAlignment="1">
      <alignment wrapText="1"/>
    </xf>
    <xf numFmtId="164" fontId="120" fillId="19" borderId="223" xfId="4" applyNumberFormat="1" applyFont="1" applyFill="1" applyBorder="1"/>
    <xf numFmtId="0" fontId="149" fillId="26" borderId="5" xfId="0" applyFont="1" applyFill="1" applyBorder="1"/>
    <xf numFmtId="0" fontId="149" fillId="27" borderId="158" xfId="0" applyNumberFormat="1" applyFont="1" applyFill="1" applyBorder="1"/>
    <xf numFmtId="0" fontId="149" fillId="27" borderId="342" xfId="0" applyNumberFormat="1" applyFont="1" applyFill="1" applyBorder="1"/>
    <xf numFmtId="0" fontId="7" fillId="17" borderId="327" xfId="0" applyFont="1" applyFill="1" applyBorder="1" applyAlignment="1">
      <alignment wrapText="1"/>
    </xf>
    <xf numFmtId="0" fontId="7" fillId="17" borderId="324" xfId="0" applyFont="1" applyFill="1" applyBorder="1" applyAlignment="1">
      <alignment wrapText="1"/>
    </xf>
    <xf numFmtId="164" fontId="7" fillId="17" borderId="326" xfId="0" applyNumberFormat="1" applyFont="1" applyFill="1" applyBorder="1"/>
    <xf numFmtId="164" fontId="7" fillId="17" borderId="327" xfId="0" applyNumberFormat="1" applyFont="1" applyFill="1" applyBorder="1"/>
    <xf numFmtId="10" fontId="154" fillId="17" borderId="328" xfId="0" applyNumberFormat="1" applyFont="1" applyFill="1" applyBorder="1"/>
    <xf numFmtId="164" fontId="120" fillId="19" borderId="329" xfId="4" applyNumberFormat="1" applyFont="1" applyFill="1" applyBorder="1"/>
    <xf numFmtId="165" fontId="7" fillId="17" borderId="329" xfId="0" applyNumberFormat="1" applyFont="1" applyFill="1" applyBorder="1"/>
    <xf numFmtId="43" fontId="7" fillId="17" borderId="324" xfId="0" applyNumberFormat="1" applyFont="1" applyFill="1" applyBorder="1"/>
    <xf numFmtId="43" fontId="7" fillId="17" borderId="328" xfId="1" applyFont="1" applyFill="1" applyBorder="1"/>
    <xf numFmtId="0" fontId="7" fillId="16" borderId="158" xfId="0" applyFont="1" applyFill="1" applyBorder="1"/>
    <xf numFmtId="164" fontId="112" fillId="0" borderId="158" xfId="0" applyNumberFormat="1" applyFont="1" applyFill="1" applyBorder="1" applyAlignment="1">
      <alignment wrapText="1"/>
    </xf>
    <xf numFmtId="0" fontId="149" fillId="26" borderId="159" xfId="0" applyFont="1" applyFill="1" applyBorder="1"/>
    <xf numFmtId="0" fontId="7" fillId="0" borderId="0" xfId="0" applyFont="1" applyBorder="1"/>
    <xf numFmtId="0" fontId="155" fillId="26" borderId="159" xfId="0" applyFont="1" applyFill="1" applyBorder="1"/>
    <xf numFmtId="0" fontId="155" fillId="16" borderId="0" xfId="0" applyFont="1" applyFill="1" applyBorder="1"/>
    <xf numFmtId="0" fontId="149" fillId="26" borderId="170" xfId="0" applyFont="1" applyFill="1" applyBorder="1"/>
    <xf numFmtId="0" fontId="149" fillId="27" borderId="171" xfId="0" applyNumberFormat="1" applyFont="1" applyFill="1" applyBorder="1"/>
    <xf numFmtId="0" fontId="149" fillId="27" borderId="180" xfId="0" applyNumberFormat="1" applyFont="1" applyFill="1" applyBorder="1"/>
    <xf numFmtId="0" fontId="7" fillId="17" borderId="337" xfId="0" applyFont="1" applyFill="1" applyBorder="1" applyAlignment="1">
      <alignment wrapText="1"/>
    </xf>
    <xf numFmtId="0" fontId="7" fillId="17" borderId="334" xfId="0" applyFont="1" applyFill="1" applyBorder="1" applyAlignment="1">
      <alignment wrapText="1"/>
    </xf>
    <xf numFmtId="164" fontId="7" fillId="17" borderId="339" xfId="0" applyNumberFormat="1" applyFont="1" applyFill="1" applyBorder="1"/>
    <xf numFmtId="164" fontId="7" fillId="17" borderId="334" xfId="0" applyNumberFormat="1" applyFont="1" applyFill="1" applyBorder="1"/>
    <xf numFmtId="10" fontId="154" fillId="17" borderId="338" xfId="0" applyNumberFormat="1" applyFont="1" applyFill="1" applyBorder="1"/>
    <xf numFmtId="164" fontId="120" fillId="19" borderId="339" xfId="4" applyNumberFormat="1" applyFont="1" applyFill="1" applyBorder="1"/>
    <xf numFmtId="165" fontId="7" fillId="17" borderId="339" xfId="0" applyNumberFormat="1" applyFont="1" applyFill="1" applyBorder="1"/>
    <xf numFmtId="43" fontId="7" fillId="17" borderId="334" xfId="0" applyNumberFormat="1" applyFont="1" applyFill="1" applyBorder="1"/>
    <xf numFmtId="43" fontId="7" fillId="17" borderId="338" xfId="1" applyFont="1" applyFill="1" applyBorder="1"/>
    <xf numFmtId="164" fontId="0" fillId="17" borderId="223" xfId="0" applyNumberFormat="1" applyFont="1" applyFill="1" applyBorder="1"/>
    <xf numFmtId="164" fontId="0" fillId="17" borderId="224" xfId="0" applyNumberFormat="1" applyFont="1" applyFill="1" applyBorder="1"/>
    <xf numFmtId="0" fontId="9" fillId="17" borderId="227" xfId="0" applyFont="1" applyFill="1" applyBorder="1" applyAlignment="1"/>
    <xf numFmtId="0" fontId="13" fillId="26" borderId="5" xfId="0" applyFont="1" applyFill="1" applyBorder="1"/>
    <xf numFmtId="0" fontId="13" fillId="27" borderId="158" xfId="0" applyNumberFormat="1" applyFont="1" applyFill="1" applyBorder="1"/>
    <xf numFmtId="0" fontId="13" fillId="27" borderId="342" xfId="0" applyNumberFormat="1" applyFont="1" applyFill="1" applyBorder="1"/>
    <xf numFmtId="0" fontId="0" fillId="17" borderId="327" xfId="0" applyFill="1" applyBorder="1" applyAlignment="1">
      <alignment wrapText="1"/>
    </xf>
    <xf numFmtId="164" fontId="0" fillId="17" borderId="329" xfId="0" applyNumberFormat="1" applyFont="1" applyFill="1" applyBorder="1"/>
    <xf numFmtId="164" fontId="0" fillId="17" borderId="324" xfId="0" applyNumberFormat="1" applyFont="1" applyFill="1" applyBorder="1"/>
    <xf numFmtId="0" fontId="9" fillId="17" borderId="328" xfId="0" applyFont="1" applyFill="1" applyBorder="1" applyAlignment="1"/>
    <xf numFmtId="43" fontId="0" fillId="17" borderId="328" xfId="1" applyFont="1" applyFill="1" applyBorder="1"/>
    <xf numFmtId="0" fontId="0" fillId="16" borderId="158" xfId="0" applyFill="1" applyBorder="1"/>
    <xf numFmtId="0" fontId="13" fillId="26" borderId="159" xfId="0" applyFont="1" applyFill="1" applyBorder="1"/>
    <xf numFmtId="0" fontId="13" fillId="26" borderId="170" xfId="0" applyFont="1" applyFill="1" applyBorder="1"/>
    <xf numFmtId="0" fontId="13" fillId="27" borderId="171" xfId="0" applyNumberFormat="1" applyFont="1" applyFill="1" applyBorder="1"/>
    <xf numFmtId="0" fontId="13" fillId="27" borderId="180" xfId="0" applyNumberFormat="1" applyFont="1" applyFill="1" applyBorder="1"/>
    <xf numFmtId="0" fontId="9" fillId="17" borderId="340" xfId="0" applyFont="1" applyFill="1" applyBorder="1" applyAlignment="1"/>
    <xf numFmtId="166" fontId="7" fillId="17" borderId="158" xfId="0" applyNumberFormat="1" applyFont="1" applyFill="1" applyBorder="1"/>
    <xf numFmtId="0" fontId="13" fillId="26" borderId="159" xfId="0" applyNumberFormat="1" applyFont="1" applyFill="1" applyBorder="1"/>
    <xf numFmtId="0" fontId="13" fillId="26" borderId="170" xfId="0" applyNumberFormat="1" applyFont="1" applyFill="1" applyBorder="1"/>
    <xf numFmtId="168" fontId="120" fillId="19" borderId="223" xfId="4" applyNumberFormat="1" applyFont="1" applyFill="1" applyBorder="1"/>
    <xf numFmtId="164" fontId="7" fillId="17" borderId="329" xfId="0" applyNumberFormat="1" applyFont="1" applyFill="1" applyBorder="1"/>
    <xf numFmtId="164" fontId="7" fillId="17" borderId="324" xfId="0" applyNumberFormat="1" applyFont="1" applyFill="1" applyBorder="1"/>
    <xf numFmtId="164" fontId="120" fillId="17" borderId="324" xfId="4" applyNumberFormat="1" applyFont="1" applyFill="1" applyBorder="1"/>
    <xf numFmtId="168" fontId="120" fillId="19" borderId="329" xfId="4" applyNumberFormat="1" applyFont="1" applyFill="1" applyBorder="1"/>
    <xf numFmtId="0" fontId="131" fillId="86" borderId="5" xfId="10" applyFont="1" applyFill="1" applyBorder="1" applyAlignment="1">
      <alignment horizontal="centerContinuous"/>
    </xf>
    <xf numFmtId="0" fontId="132" fillId="86" borderId="343" xfId="10" applyFont="1" applyFill="1" applyBorder="1" applyAlignment="1">
      <alignment horizontal="centerContinuous"/>
    </xf>
    <xf numFmtId="0" fontId="132" fillId="86" borderId="344" xfId="10" applyFont="1" applyFill="1" applyBorder="1" applyAlignment="1">
      <alignment horizontal="centerContinuous"/>
    </xf>
    <xf numFmtId="0" fontId="133" fillId="38" borderId="104" xfId="10" applyFont="1" applyFill="1" applyBorder="1" applyAlignment="1">
      <alignment horizontal="center" wrapText="1"/>
    </xf>
    <xf numFmtId="0" fontId="133" fillId="38" borderId="105" xfId="10" applyFont="1" applyFill="1" applyBorder="1" applyAlignment="1">
      <alignment horizontal="center" wrapText="1"/>
    </xf>
    <xf numFmtId="0" fontId="134" fillId="23" borderId="159" xfId="8162" applyFont="1" applyFill="1" applyBorder="1" applyAlignment="1"/>
    <xf numFmtId="0" fontId="134" fillId="23" borderId="160" xfId="8162" applyFont="1" applyFill="1" applyBorder="1" applyAlignment="1">
      <alignment wrapText="1"/>
    </xf>
    <xf numFmtId="0" fontId="134" fillId="88" borderId="159" xfId="8162" applyFont="1" applyFill="1" applyBorder="1" applyAlignment="1"/>
    <xf numFmtId="0" fontId="134" fillId="88" borderId="160" xfId="8162" applyFont="1" applyFill="1" applyBorder="1" applyAlignment="1">
      <alignment wrapText="1"/>
    </xf>
    <xf numFmtId="0" fontId="134" fillId="17" borderId="159" xfId="8162" applyFont="1" applyFill="1" applyBorder="1" applyAlignment="1"/>
    <xf numFmtId="0" fontId="134" fillId="17" borderId="160" xfId="8162" applyFont="1" applyFill="1" applyBorder="1" applyAlignment="1">
      <alignment wrapText="1"/>
    </xf>
    <xf numFmtId="0" fontId="134" fillId="25" borderId="159" xfId="8162" applyFont="1" applyFill="1" applyBorder="1" applyAlignment="1"/>
    <xf numFmtId="0" fontId="134" fillId="25" borderId="160" xfId="8162" applyFont="1" applyFill="1" applyBorder="1" applyAlignment="1">
      <alignment wrapText="1"/>
    </xf>
    <xf numFmtId="0" fontId="134" fillId="35" borderId="159" xfId="8162" applyFont="1" applyFill="1" applyBorder="1" applyAlignment="1"/>
    <xf numFmtId="170" fontId="134" fillId="35" borderId="160" xfId="8162" applyNumberFormat="1" applyFont="1" applyFill="1" applyBorder="1" applyAlignment="1">
      <alignment wrapText="1"/>
    </xf>
    <xf numFmtId="0" fontId="134" fillId="21" borderId="159" xfId="8162" applyFont="1" applyFill="1" applyBorder="1" applyAlignment="1"/>
    <xf numFmtId="170" fontId="134" fillId="21" borderId="160" xfId="8162" applyNumberFormat="1" applyFont="1" applyFill="1" applyBorder="1" applyAlignment="1">
      <alignment wrapText="1"/>
    </xf>
    <xf numFmtId="0" fontId="134" fillId="17" borderId="159" xfId="8162" applyFont="1" applyFill="1" applyBorder="1" applyAlignment="1">
      <alignment wrapText="1"/>
    </xf>
    <xf numFmtId="0" fontId="134" fillId="25" borderId="159" xfId="8162" applyFont="1" applyFill="1" applyBorder="1" applyAlignment="1">
      <alignment wrapText="1"/>
    </xf>
    <xf numFmtId="0" fontId="134" fillId="35" borderId="159" xfId="8162" applyFont="1" applyFill="1" applyBorder="1" applyAlignment="1">
      <alignment wrapText="1"/>
    </xf>
    <xf numFmtId="0" fontId="134" fillId="21" borderId="159" xfId="8162" applyFont="1" applyFill="1" applyBorder="1" applyAlignment="1">
      <alignment wrapText="1"/>
    </xf>
    <xf numFmtId="0" fontId="134" fillId="35" borderId="170" xfId="8162" applyFont="1" applyFill="1" applyBorder="1" applyAlignment="1">
      <alignment wrapText="1"/>
    </xf>
    <xf numFmtId="0" fontId="134" fillId="35" borderId="171" xfId="8162" applyFont="1" applyFill="1" applyBorder="1" applyAlignment="1">
      <alignment wrapText="1"/>
    </xf>
    <xf numFmtId="170" fontId="134" fillId="35" borderId="171" xfId="8162" applyNumberFormat="1" applyFont="1" applyFill="1" applyBorder="1" applyAlignment="1">
      <alignment wrapText="1"/>
    </xf>
    <xf numFmtId="170" fontId="134" fillId="35" borderId="172" xfId="8162" applyNumberFormat="1" applyFont="1" applyFill="1" applyBorder="1" applyAlignment="1">
      <alignment wrapText="1"/>
    </xf>
    <xf numFmtId="0" fontId="26" fillId="16" borderId="0" xfId="0" applyFont="1" applyFill="1"/>
    <xf numFmtId="0" fontId="7" fillId="17" borderId="323" xfId="0" applyFont="1" applyFill="1" applyBorder="1" applyAlignment="1">
      <alignment wrapText="1"/>
    </xf>
    <xf numFmtId="43" fontId="7" fillId="17" borderId="330" xfId="1" applyFont="1" applyFill="1" applyBorder="1"/>
    <xf numFmtId="0" fontId="7" fillId="17" borderId="331" xfId="0" applyFont="1" applyFill="1" applyBorder="1" applyAlignment="1">
      <alignment wrapText="1"/>
    </xf>
    <xf numFmtId="43" fontId="7" fillId="17" borderId="332" xfId="1" applyFont="1" applyFill="1" applyBorder="1"/>
    <xf numFmtId="0" fontId="7" fillId="17" borderId="345" xfId="0" applyFont="1" applyFill="1" applyBorder="1" applyAlignment="1">
      <alignment wrapText="1"/>
    </xf>
    <xf numFmtId="43" fontId="7" fillId="17" borderId="346" xfId="1" applyFont="1" applyFill="1" applyBorder="1"/>
    <xf numFmtId="0" fontId="7" fillId="17" borderId="347" xfId="0" applyFont="1" applyFill="1" applyBorder="1" applyAlignment="1">
      <alignment wrapText="1"/>
    </xf>
    <xf numFmtId="43" fontId="7" fillId="17" borderId="348" xfId="1" applyFont="1" applyFill="1" applyBorder="1"/>
    <xf numFmtId="0" fontId="7" fillId="17" borderId="349" xfId="0" applyFont="1" applyFill="1" applyBorder="1" applyAlignment="1">
      <alignment wrapText="1"/>
    </xf>
    <xf numFmtId="0" fontId="7" fillId="17" borderId="350" xfId="0" applyFont="1" applyFill="1" applyBorder="1" applyAlignment="1">
      <alignment wrapText="1"/>
    </xf>
    <xf numFmtId="168" fontId="163" fillId="19" borderId="25" xfId="4" applyNumberFormat="1" applyFont="1" applyFill="1" applyBorder="1"/>
    <xf numFmtId="0" fontId="0" fillId="0" borderId="0" xfId="0"/>
    <xf numFmtId="0" fontId="0" fillId="16" borderId="0" xfId="0" applyFill="1" applyBorder="1"/>
    <xf numFmtId="0" fontId="0" fillId="16" borderId="0" xfId="0" applyFill="1"/>
    <xf numFmtId="164" fontId="120" fillId="17" borderId="0" xfId="4" applyNumberFormat="1" applyFont="1" applyFill="1" applyBorder="1"/>
    <xf numFmtId="0" fontId="9" fillId="17" borderId="351" xfId="0" applyFont="1" applyFill="1" applyBorder="1" applyAlignment="1">
      <alignment wrapText="1"/>
    </xf>
    <xf numFmtId="0" fontId="7" fillId="17" borderId="333" xfId="0" applyFont="1" applyFill="1" applyBorder="1" applyAlignment="1">
      <alignment wrapText="1"/>
    </xf>
    <xf numFmtId="164" fontId="120" fillId="17" borderId="334" xfId="4" applyNumberFormat="1" applyFont="1" applyFill="1" applyBorder="1"/>
    <xf numFmtId="43" fontId="7" fillId="17" borderId="341" xfId="1" applyFont="1" applyFill="1" applyBorder="1"/>
    <xf numFmtId="0" fontId="7" fillId="17" borderId="352" xfId="0" applyFont="1" applyFill="1" applyBorder="1" applyAlignment="1">
      <alignment wrapText="1"/>
    </xf>
    <xf numFmtId="0" fontId="7" fillId="17" borderId="353" xfId="0" applyFont="1" applyFill="1" applyBorder="1" applyAlignment="1">
      <alignment wrapText="1"/>
    </xf>
    <xf numFmtId="166" fontId="7" fillId="17" borderId="354" xfId="0" applyNumberFormat="1" applyFont="1" applyFill="1" applyBorder="1"/>
    <xf numFmtId="164" fontId="120" fillId="17" borderId="353" xfId="4" applyNumberFormat="1" applyFont="1" applyFill="1" applyBorder="1"/>
    <xf numFmtId="43" fontId="120" fillId="19" borderId="352" xfId="4" applyNumberFormat="1" applyFont="1" applyFill="1" applyBorder="1"/>
    <xf numFmtId="0" fontId="9" fillId="17" borderId="355" xfId="0" applyFont="1" applyFill="1" applyBorder="1" applyAlignment="1">
      <alignment wrapText="1"/>
    </xf>
    <xf numFmtId="43" fontId="7" fillId="17" borderId="352" xfId="0" applyNumberFormat="1" applyFont="1" applyFill="1" applyBorder="1"/>
    <xf numFmtId="43" fontId="7" fillId="17" borderId="353" xfId="0" applyNumberFormat="1" applyFont="1" applyFill="1" applyBorder="1"/>
    <xf numFmtId="43" fontId="7" fillId="17" borderId="355" xfId="1" applyFont="1" applyFill="1" applyBorder="1"/>
    <xf numFmtId="0" fontId="7" fillId="17" borderId="361" xfId="0" applyFont="1" applyFill="1" applyBorder="1" applyAlignment="1">
      <alignment wrapText="1"/>
    </xf>
    <xf numFmtId="0" fontId="7" fillId="17" borderId="362" xfId="0" applyFont="1" applyFill="1" applyBorder="1" applyAlignment="1">
      <alignment wrapText="1"/>
    </xf>
    <xf numFmtId="166" fontId="7" fillId="17" borderId="363" xfId="0" applyNumberFormat="1" applyFont="1" applyFill="1" applyBorder="1"/>
    <xf numFmtId="164" fontId="120" fillId="17" borderId="362" xfId="4" applyNumberFormat="1" applyFont="1" applyFill="1" applyBorder="1"/>
    <xf numFmtId="43" fontId="120" fillId="19" borderId="361" xfId="4" applyNumberFormat="1" applyFont="1" applyFill="1" applyBorder="1"/>
    <xf numFmtId="0" fontId="9" fillId="17" borderId="364" xfId="0" applyFont="1" applyFill="1" applyBorder="1" applyAlignment="1">
      <alignment wrapText="1"/>
    </xf>
    <xf numFmtId="43" fontId="7" fillId="17" borderId="361" xfId="0" applyNumberFormat="1" applyFont="1" applyFill="1" applyBorder="1"/>
    <xf numFmtId="43" fontId="7" fillId="17" borderId="362" xfId="0" applyNumberFormat="1" applyFont="1" applyFill="1" applyBorder="1"/>
    <xf numFmtId="43" fontId="7" fillId="17" borderId="364" xfId="1" applyFont="1" applyFill="1" applyBorder="1"/>
    <xf numFmtId="0" fontId="9" fillId="17" borderId="359" xfId="0" applyFont="1" applyFill="1" applyBorder="1" applyAlignment="1"/>
    <xf numFmtId="0" fontId="9" fillId="17" borderId="211" xfId="0" applyFont="1" applyFill="1" applyBorder="1" applyAlignment="1"/>
    <xf numFmtId="43" fontId="7" fillId="17" borderId="226" xfId="1" applyNumberFormat="1" applyFont="1" applyFill="1" applyBorder="1"/>
    <xf numFmtId="43" fontId="7" fillId="19" borderId="9" xfId="0" applyNumberFormat="1" applyFont="1" applyFill="1" applyBorder="1"/>
    <xf numFmtId="43" fontId="7" fillId="19" borderId="224" xfId="0" applyNumberFormat="1" applyFont="1" applyFill="1" applyBorder="1"/>
    <xf numFmtId="43" fontId="120" fillId="19" borderId="142" xfId="4" applyNumberFormat="1" applyFont="1" applyFill="1" applyBorder="1"/>
    <xf numFmtId="43" fontId="7" fillId="17" borderId="223" xfId="1" applyFont="1" applyFill="1" applyBorder="1"/>
    <xf numFmtId="43" fontId="120" fillId="19" borderId="365" xfId="4" applyNumberFormat="1" applyFont="1" applyFill="1" applyBorder="1"/>
    <xf numFmtId="43" fontId="7" fillId="17" borderId="329" xfId="1" applyFont="1" applyFill="1" applyBorder="1"/>
    <xf numFmtId="43" fontId="120" fillId="19" borderId="366" xfId="4" applyNumberFormat="1" applyFont="1" applyFill="1" applyBorder="1"/>
    <xf numFmtId="43" fontId="7" fillId="17" borderId="339" xfId="1" applyFont="1" applyFill="1" applyBorder="1"/>
    <xf numFmtId="43" fontId="120" fillId="19" borderId="223" xfId="4" applyNumberFormat="1" applyFont="1" applyFill="1" applyBorder="1"/>
    <xf numFmtId="43" fontId="120" fillId="19" borderId="329" xfId="4" applyNumberFormat="1" applyFont="1" applyFill="1" applyBorder="1"/>
    <xf numFmtId="43" fontId="120" fillId="19" borderId="339" xfId="4" applyNumberFormat="1" applyFont="1" applyFill="1" applyBorder="1"/>
    <xf numFmtId="0" fontId="13" fillId="26" borderId="0" xfId="0" applyFont="1" applyFill="1" applyBorder="1" applyAlignment="1"/>
    <xf numFmtId="0" fontId="13" fillId="27" borderId="0" xfId="0" applyNumberFormat="1" applyFont="1" applyFill="1" applyBorder="1" applyAlignment="1"/>
    <xf numFmtId="0" fontId="13" fillId="27" borderId="32" xfId="0" applyNumberFormat="1" applyFont="1" applyFill="1" applyBorder="1" applyAlignment="1"/>
    <xf numFmtId="0" fontId="7" fillId="17" borderId="11" xfId="0" applyFont="1" applyFill="1" applyBorder="1" applyAlignment="1"/>
    <xf numFmtId="0" fontId="7" fillId="17" borderId="9" xfId="0" applyFont="1" applyFill="1" applyBorder="1" applyAlignment="1"/>
    <xf numFmtId="166" fontId="7" fillId="17" borderId="16" xfId="0" applyNumberFormat="1" applyFont="1" applyFill="1" applyBorder="1" applyAlignment="1"/>
    <xf numFmtId="165" fontId="7" fillId="17" borderId="25" xfId="0" applyNumberFormat="1" applyFont="1" applyFill="1" applyBorder="1" applyAlignment="1"/>
    <xf numFmtId="165" fontId="7" fillId="17" borderId="9" xfId="0" applyNumberFormat="1" applyFont="1" applyFill="1" applyBorder="1" applyAlignment="1"/>
    <xf numFmtId="164" fontId="7" fillId="17" borderId="9" xfId="0" applyNumberFormat="1" applyFont="1" applyFill="1" applyBorder="1" applyAlignment="1"/>
    <xf numFmtId="164" fontId="120" fillId="17" borderId="9" xfId="4" applyNumberFormat="1" applyFont="1" applyFill="1" applyBorder="1" applyAlignment="1"/>
    <xf numFmtId="10" fontId="154" fillId="17" borderId="26" xfId="0" applyNumberFormat="1" applyFont="1" applyFill="1" applyBorder="1" applyAlignment="1"/>
    <xf numFmtId="164" fontId="120" fillId="19" borderId="25" xfId="4" applyNumberFormat="1" applyFont="1" applyFill="1" applyBorder="1" applyAlignment="1"/>
    <xf numFmtId="179" fontId="7" fillId="17" borderId="25" xfId="1" applyNumberFormat="1" applyFont="1" applyFill="1" applyBorder="1" applyAlignment="1"/>
    <xf numFmtId="179" fontId="7" fillId="17" borderId="9" xfId="1" applyNumberFormat="1" applyFont="1" applyFill="1" applyBorder="1" applyAlignment="1"/>
    <xf numFmtId="179" fontId="7" fillId="17" borderId="26" xfId="1" applyNumberFormat="1" applyFont="1" applyFill="1" applyBorder="1" applyAlignment="1"/>
    <xf numFmtId="43" fontId="156" fillId="16" borderId="0" xfId="0" applyNumberFormat="1" applyFont="1" applyFill="1" applyBorder="1"/>
    <xf numFmtId="164" fontId="120" fillId="19" borderId="25" xfId="1" applyNumberFormat="1" applyFont="1" applyFill="1" applyBorder="1"/>
    <xf numFmtId="164" fontId="120" fillId="19" borderId="339" xfId="1" applyNumberFormat="1" applyFont="1" applyFill="1" applyBorder="1"/>
    <xf numFmtId="43" fontId="120" fillId="19" borderId="25" xfId="1" applyNumberFormat="1" applyFont="1" applyFill="1" applyBorder="1"/>
    <xf numFmtId="164" fontId="173" fillId="0" borderId="0" xfId="0" applyNumberFormat="1" applyFont="1" applyFill="1" applyBorder="1"/>
    <xf numFmtId="10" fontId="154" fillId="18" borderId="328" xfId="0" applyNumberFormat="1" applyFont="1" applyFill="1" applyBorder="1"/>
    <xf numFmtId="0" fontId="6" fillId="16" borderId="0" xfId="0" applyFont="1" applyFill="1"/>
    <xf numFmtId="164" fontId="7" fillId="0" borderId="0" xfId="1" applyNumberFormat="1" applyFont="1" applyAlignment="1">
      <alignment horizontal="right"/>
    </xf>
    <xf numFmtId="164" fontId="7" fillId="18" borderId="0" xfId="1" applyNumberFormat="1" applyFont="1" applyFill="1" applyAlignment="1">
      <alignment horizontal="right"/>
    </xf>
    <xf numFmtId="0" fontId="80" fillId="16" borderId="107" xfId="0" applyFont="1" applyFill="1" applyBorder="1" applyAlignment="1">
      <alignment wrapText="1"/>
    </xf>
    <xf numFmtId="0" fontId="80" fillId="16" borderId="176" xfId="0" applyFont="1" applyFill="1" applyBorder="1" applyAlignment="1">
      <alignment wrapText="1"/>
    </xf>
    <xf numFmtId="164" fontId="80" fillId="16" borderId="176" xfId="0" applyNumberFormat="1" applyFont="1" applyFill="1" applyBorder="1" applyAlignment="1">
      <alignment wrapText="1"/>
    </xf>
    <xf numFmtId="164" fontId="80" fillId="16" borderId="100" xfId="0" applyNumberFormat="1" applyFont="1" applyFill="1" applyBorder="1" applyAlignment="1">
      <alignment wrapText="1"/>
    </xf>
    <xf numFmtId="164" fontId="7" fillId="16" borderId="35" xfId="0" applyNumberFormat="1" applyFont="1" applyFill="1" applyBorder="1"/>
    <xf numFmtId="164" fontId="7" fillId="0" borderId="159" xfId="9160" applyNumberFormat="1" applyFont="1" applyBorder="1" applyAlignment="1">
      <alignment vertical="center"/>
    </xf>
    <xf numFmtId="164" fontId="7" fillId="0" borderId="160" xfId="9160" applyNumberFormat="1" applyFont="1" applyBorder="1" applyAlignment="1">
      <alignment vertical="center"/>
    </xf>
    <xf numFmtId="164" fontId="7" fillId="0" borderId="170" xfId="9160" applyNumberFormat="1" applyFont="1" applyBorder="1" applyAlignment="1">
      <alignment vertical="center"/>
    </xf>
    <xf numFmtId="164" fontId="7" fillId="0" borderId="172" xfId="9160" applyNumberFormat="1" applyFont="1" applyBorder="1" applyAlignment="1">
      <alignment vertical="center"/>
    </xf>
    <xf numFmtId="43" fontId="156" fillId="0" borderId="0" xfId="0" applyNumberFormat="1" applyFont="1"/>
    <xf numFmtId="43" fontId="7" fillId="0" borderId="370" xfId="1" applyFont="1" applyBorder="1" applyAlignment="1">
      <alignment horizontal="left"/>
    </xf>
    <xf numFmtId="0" fontId="129" fillId="0" borderId="0" xfId="0" applyFont="1"/>
    <xf numFmtId="43" fontId="7" fillId="17" borderId="371" xfId="1" applyFont="1" applyFill="1" applyBorder="1" applyAlignment="1">
      <alignment horizontal="left"/>
    </xf>
    <xf numFmtId="0" fontId="9" fillId="0" borderId="372" xfId="0" applyFont="1" applyBorder="1" applyAlignment="1">
      <alignment horizontal="left" vertical="center" wrapText="1"/>
    </xf>
    <xf numFmtId="0" fontId="121" fillId="104" borderId="373" xfId="0" applyFont="1" applyFill="1" applyBorder="1" applyAlignment="1">
      <alignment horizontal="center" vertical="center" wrapText="1"/>
    </xf>
    <xf numFmtId="43" fontId="7" fillId="17" borderId="371" xfId="0" applyNumberFormat="1" applyFont="1" applyFill="1" applyBorder="1" applyAlignment="1">
      <alignment horizontal="left"/>
    </xf>
    <xf numFmtId="43" fontId="7" fillId="0" borderId="370" xfId="0" applyNumberFormat="1" applyFont="1" applyBorder="1" applyAlignment="1">
      <alignment horizontal="left"/>
    </xf>
    <xf numFmtId="43" fontId="7" fillId="0" borderId="374" xfId="0" applyNumberFormat="1" applyFont="1" applyBorder="1" applyAlignment="1">
      <alignment horizontal="left"/>
    </xf>
    <xf numFmtId="43" fontId="7" fillId="0" borderId="374" xfId="1" applyFont="1" applyBorder="1" applyAlignment="1">
      <alignment horizontal="left"/>
    </xf>
    <xf numFmtId="0" fontId="6" fillId="104" borderId="0" xfId="0" applyFont="1" applyFill="1" applyAlignment="1">
      <alignment vertical="center"/>
    </xf>
    <xf numFmtId="0" fontId="175" fillId="0" borderId="0" xfId="9112" applyFont="1"/>
    <xf numFmtId="0" fontId="7" fillId="0" borderId="0" xfId="0" applyFont="1" applyAlignment="1">
      <alignment horizontal="left" indent="1"/>
    </xf>
    <xf numFmtId="0" fontId="175" fillId="0" borderId="0" xfId="9112" applyFont="1" applyAlignment="1">
      <alignment horizontal="left" indent="1"/>
    </xf>
    <xf numFmtId="0" fontId="176" fillId="0" borderId="0" xfId="0" applyFont="1"/>
    <xf numFmtId="0" fontId="121" fillId="104" borderId="381" xfId="0" applyFont="1" applyFill="1" applyBorder="1" applyAlignment="1">
      <alignment horizontal="center" vertical="center" wrapText="1"/>
    </xf>
    <xf numFmtId="0" fontId="121" fillId="104" borderId="382" xfId="0" applyFont="1" applyFill="1" applyBorder="1" applyAlignment="1">
      <alignment horizontal="center" vertical="center" wrapText="1"/>
    </xf>
    <xf numFmtId="43" fontId="7" fillId="17" borderId="383" xfId="1" applyFont="1" applyFill="1" applyBorder="1" applyAlignment="1">
      <alignment horizontal="left"/>
    </xf>
    <xf numFmtId="43" fontId="7" fillId="17" borderId="384" xfId="1" applyFont="1" applyFill="1" applyBorder="1" applyAlignment="1">
      <alignment horizontal="left"/>
    </xf>
    <xf numFmtId="43" fontId="7" fillId="0" borderId="385" xfId="1" applyFont="1" applyBorder="1" applyAlignment="1">
      <alignment horizontal="left"/>
    </xf>
    <xf numFmtId="43" fontId="7" fillId="0" borderId="386" xfId="1" applyFont="1" applyBorder="1" applyAlignment="1">
      <alignment horizontal="left"/>
    </xf>
    <xf numFmtId="43" fontId="7" fillId="0" borderId="387" xfId="1" applyFont="1" applyBorder="1" applyAlignment="1">
      <alignment horizontal="left"/>
    </xf>
    <xf numFmtId="43" fontId="7" fillId="0" borderId="388" xfId="1" applyFont="1" applyBorder="1" applyAlignment="1">
      <alignment horizontal="left"/>
    </xf>
    <xf numFmtId="43" fontId="7" fillId="0" borderId="389" xfId="1" applyFont="1" applyBorder="1" applyAlignment="1">
      <alignment horizontal="left"/>
    </xf>
    <xf numFmtId="43" fontId="7" fillId="17" borderId="375" xfId="0" applyNumberFormat="1" applyFont="1" applyFill="1" applyBorder="1" applyAlignment="1">
      <alignment horizontal="left"/>
    </xf>
    <xf numFmtId="43" fontId="7" fillId="0" borderId="376" xfId="0" applyNumberFormat="1" applyFont="1" applyBorder="1" applyAlignment="1">
      <alignment horizontal="left"/>
    </xf>
    <xf numFmtId="43" fontId="7" fillId="0" borderId="377" xfId="0" applyNumberFormat="1" applyFont="1" applyBorder="1" applyAlignment="1">
      <alignment horizontal="left"/>
    </xf>
    <xf numFmtId="0" fontId="178" fillId="0" borderId="104" xfId="8811" applyFont="1" applyBorder="1" applyAlignment="1"/>
    <xf numFmtId="0" fontId="178" fillId="0" borderId="91" xfId="8811" applyFont="1" applyBorder="1" applyAlignment="1"/>
    <xf numFmtId="1" fontId="178" fillId="0" borderId="96" xfId="8811" applyNumberFormat="1" applyFont="1" applyBorder="1" applyAlignment="1"/>
    <xf numFmtId="3" fontId="178" fillId="0" borderId="105" xfId="8811" applyNumberFormat="1" applyFont="1" applyBorder="1" applyAlignment="1"/>
    <xf numFmtId="0" fontId="178" fillId="0" borderId="107" xfId="8811" applyFont="1" applyBorder="1" applyAlignment="1"/>
    <xf numFmtId="1" fontId="178" fillId="0" borderId="107" xfId="8811" applyNumberFormat="1" applyFont="1" applyBorder="1" applyAlignment="1"/>
    <xf numFmtId="3" fontId="178" fillId="0" borderId="76" xfId="8811" applyNumberFormat="1" applyFont="1" applyBorder="1" applyAlignment="1"/>
    <xf numFmtId="0" fontId="178" fillId="0" borderId="75" xfId="8811" applyFont="1" applyBorder="1" applyAlignment="1"/>
    <xf numFmtId="0" fontId="178" fillId="0" borderId="316" xfId="8811" applyFont="1" applyBorder="1" applyAlignment="1"/>
    <xf numFmtId="0" fontId="135" fillId="0" borderId="318" xfId="8811" applyFont="1" applyBorder="1" applyAlignment="1"/>
    <xf numFmtId="0" fontId="135" fillId="0" borderId="102" xfId="8811" applyFont="1" applyBorder="1" applyAlignment="1"/>
    <xf numFmtId="0" fontId="135" fillId="0" borderId="249" xfId="8811" applyFont="1" applyBorder="1" applyAlignment="1"/>
    <xf numFmtId="1" fontId="135" fillId="0" borderId="102" xfId="8811" applyNumberFormat="1" applyFont="1" applyBorder="1" applyAlignment="1"/>
    <xf numFmtId="1" fontId="135" fillId="0" borderId="249" xfId="8811" applyNumberFormat="1" applyFont="1" applyBorder="1" applyAlignment="1"/>
    <xf numFmtId="3" fontId="135" fillId="0" borderId="103" xfId="8811" applyNumberFormat="1" applyFont="1" applyBorder="1" applyAlignment="1"/>
    <xf numFmtId="0" fontId="7" fillId="0" borderId="0" xfId="0" applyFont="1" applyAlignment="1">
      <alignment horizontal="left" indent="1"/>
    </xf>
    <xf numFmtId="0" fontId="163" fillId="0" borderId="0" xfId="0" applyFont="1"/>
    <xf numFmtId="0" fontId="25" fillId="38" borderId="91" xfId="10" applyFont="1" applyFill="1" applyBorder="1" applyAlignment="1">
      <alignment horizontal="center" wrapText="1"/>
    </xf>
    <xf numFmtId="0" fontId="0" fillId="16" borderId="0" xfId="0" applyFill="1" applyAlignment="1">
      <alignment horizontal="center"/>
    </xf>
    <xf numFmtId="0" fontId="7" fillId="0" borderId="0" xfId="0" applyFont="1" applyAlignment="1"/>
    <xf numFmtId="0" fontId="80" fillId="0" borderId="0" xfId="0" applyFont="1"/>
    <xf numFmtId="0" fontId="7" fillId="19" borderId="91" xfId="0" applyFont="1" applyFill="1" applyBorder="1"/>
    <xf numFmtId="0" fontId="163" fillId="16" borderId="0" xfId="0" applyFont="1" applyFill="1"/>
    <xf numFmtId="0" fontId="149" fillId="26" borderId="31" xfId="0" applyFont="1" applyFill="1" applyBorder="1" applyAlignment="1">
      <alignment wrapText="1"/>
    </xf>
    <xf numFmtId="0" fontId="149" fillId="26" borderId="0" xfId="0" applyFont="1" applyFill="1" applyBorder="1" applyAlignment="1">
      <alignment wrapText="1"/>
    </xf>
    <xf numFmtId="0" fontId="149" fillId="26" borderId="0" xfId="0" applyNumberFormat="1" applyFont="1" applyFill="1" applyBorder="1" applyAlignment="1">
      <alignment wrapText="1"/>
    </xf>
    <xf numFmtId="0" fontId="149" fillId="26" borderId="32" xfId="0" applyFont="1" applyFill="1" applyBorder="1" applyAlignment="1">
      <alignment wrapText="1"/>
    </xf>
    <xf numFmtId="0" fontId="7" fillId="16" borderId="0" xfId="0" applyFont="1" applyFill="1" applyAlignment="1">
      <alignment wrapText="1"/>
    </xf>
    <xf numFmtId="43" fontId="7" fillId="16" borderId="0" xfId="0" applyNumberFormat="1" applyFont="1" applyFill="1"/>
    <xf numFmtId="164" fontId="7" fillId="17" borderId="213" xfId="0" applyNumberFormat="1" applyFont="1" applyFill="1" applyBorder="1"/>
    <xf numFmtId="164" fontId="7" fillId="17" borderId="11" xfId="0" applyNumberFormat="1" applyFont="1" applyFill="1" applyBorder="1"/>
    <xf numFmtId="164" fontId="7" fillId="17" borderId="322" xfId="0" applyNumberFormat="1" applyFont="1" applyFill="1" applyBorder="1"/>
    <xf numFmtId="164" fontId="7" fillId="17" borderId="321" xfId="0" applyNumberFormat="1" applyFont="1" applyFill="1" applyBorder="1"/>
    <xf numFmtId="164" fontId="7" fillId="17" borderId="336" xfId="0" applyNumberFormat="1" applyFont="1" applyFill="1" applyBorder="1"/>
    <xf numFmtId="164" fontId="7" fillId="17" borderId="337" xfId="0" applyNumberFormat="1" applyFont="1" applyFill="1" applyBorder="1"/>
    <xf numFmtId="0" fontId="176" fillId="16" borderId="0" xfId="0" applyFont="1" applyFill="1" applyBorder="1" applyAlignment="1"/>
    <xf numFmtId="0" fontId="7" fillId="16" borderId="0" xfId="0" applyFont="1" applyFill="1" applyBorder="1" applyAlignment="1">
      <alignment wrapText="1"/>
    </xf>
    <xf numFmtId="0" fontId="165" fillId="16" borderId="1" xfId="3" applyFont="1" applyFill="1"/>
    <xf numFmtId="0" fontId="7" fillId="0" borderId="0" xfId="0" applyFont="1" applyAlignment="1">
      <alignment horizontal="center" wrapText="1"/>
    </xf>
    <xf numFmtId="0" fontId="180" fillId="16" borderId="0" xfId="0" applyFont="1" applyFill="1"/>
    <xf numFmtId="9" fontId="7" fillId="16" borderId="0" xfId="0" applyNumberFormat="1" applyFont="1" applyFill="1"/>
    <xf numFmtId="9" fontId="7" fillId="0" borderId="91" xfId="0" applyNumberFormat="1" applyFont="1" applyBorder="1"/>
    <xf numFmtId="9" fontId="7" fillId="16" borderId="0" xfId="14" applyFont="1" applyFill="1"/>
    <xf numFmtId="41" fontId="7" fillId="16" borderId="0" xfId="0" applyNumberFormat="1" applyFont="1" applyFill="1" applyBorder="1"/>
    <xf numFmtId="9" fontId="7" fillId="16" borderId="0" xfId="0" applyNumberFormat="1" applyFont="1" applyFill="1" applyBorder="1"/>
    <xf numFmtId="2" fontId="7" fillId="36" borderId="36" xfId="2" applyNumberFormat="1" applyFont="1" applyFill="1" applyBorder="1"/>
    <xf numFmtId="0" fontId="7" fillId="21" borderId="5" xfId="0" applyFont="1" applyFill="1" applyBorder="1"/>
    <xf numFmtId="0" fontId="7" fillId="21" borderId="158" xfId="0" applyFont="1" applyFill="1" applyBorder="1"/>
    <xf numFmtId="0" fontId="7" fillId="21" borderId="6" xfId="0" applyFont="1" applyFill="1" applyBorder="1"/>
    <xf numFmtId="0" fontId="7" fillId="16" borderId="161" xfId="0" applyFont="1" applyFill="1" applyBorder="1"/>
    <xf numFmtId="0" fontId="7" fillId="16" borderId="162" xfId="0" applyFont="1" applyFill="1" applyBorder="1"/>
    <xf numFmtId="41" fontId="7" fillId="16" borderId="163" xfId="0" applyNumberFormat="1" applyFont="1" applyFill="1" applyBorder="1"/>
    <xf numFmtId="9" fontId="7" fillId="16" borderId="163" xfId="0" applyNumberFormat="1" applyFont="1" applyFill="1" applyBorder="1"/>
    <xf numFmtId="0" fontId="7" fillId="16" borderId="164" xfId="0" applyFont="1" applyFill="1" applyBorder="1"/>
    <xf numFmtId="0" fontId="7" fillId="16" borderId="165" xfId="0" applyFont="1" applyFill="1" applyBorder="1"/>
    <xf numFmtId="41" fontId="7" fillId="16" borderId="166" xfId="0" applyNumberFormat="1" applyFont="1" applyFill="1" applyBorder="1"/>
    <xf numFmtId="9" fontId="7" fillId="16" borderId="166" xfId="0" applyNumberFormat="1" applyFont="1" applyFill="1" applyBorder="1"/>
    <xf numFmtId="0" fontId="7" fillId="16" borderId="167" xfId="0" applyFont="1" applyFill="1" applyBorder="1"/>
    <xf numFmtId="0" fontId="7" fillId="16" borderId="168" xfId="0" applyFont="1" applyFill="1" applyBorder="1"/>
    <xf numFmtId="41" fontId="7" fillId="16" borderId="169" xfId="0" applyNumberFormat="1" applyFont="1" applyFill="1" applyBorder="1"/>
    <xf numFmtId="9" fontId="7" fillId="16" borderId="169" xfId="0" applyNumberFormat="1" applyFont="1" applyFill="1" applyBorder="1"/>
    <xf numFmtId="0" fontId="7" fillId="16" borderId="170" xfId="0" applyFont="1" applyFill="1" applyBorder="1"/>
    <xf numFmtId="41" fontId="7" fillId="16" borderId="172" xfId="0" applyNumberFormat="1" applyFont="1" applyFill="1" applyBorder="1"/>
    <xf numFmtId="9" fontId="7" fillId="16" borderId="172" xfId="0" applyNumberFormat="1" applyFont="1" applyFill="1" applyBorder="1"/>
    <xf numFmtId="0" fontId="80" fillId="16" borderId="0" xfId="0" applyFont="1" applyFill="1" applyBorder="1"/>
    <xf numFmtId="1" fontId="7" fillId="16" borderId="91" xfId="0" applyNumberFormat="1" applyFont="1" applyFill="1" applyBorder="1"/>
    <xf numFmtId="1" fontId="7" fillId="16" borderId="0" xfId="0" applyNumberFormat="1" applyFont="1" applyFill="1"/>
    <xf numFmtId="1" fontId="80" fillId="18" borderId="0" xfId="0" applyNumberFormat="1" applyFont="1" applyFill="1"/>
    <xf numFmtId="0" fontId="157" fillId="16" borderId="0" xfId="0" applyFont="1" applyFill="1"/>
    <xf numFmtId="0" fontId="7" fillId="16" borderId="273" xfId="0" applyFont="1" applyFill="1" applyBorder="1"/>
    <xf numFmtId="0" fontId="7" fillId="16" borderId="274" xfId="0" applyFont="1" applyFill="1" applyBorder="1"/>
    <xf numFmtId="41" fontId="7" fillId="16" borderId="275" xfId="0" applyNumberFormat="1" applyFont="1" applyFill="1" applyBorder="1"/>
    <xf numFmtId="164" fontId="7" fillId="16" borderId="273" xfId="0" applyNumberFormat="1" applyFont="1" applyFill="1" applyBorder="1"/>
    <xf numFmtId="9" fontId="7" fillId="16" borderId="275" xfId="0" applyNumberFormat="1" applyFont="1" applyFill="1" applyBorder="1"/>
    <xf numFmtId="164" fontId="7" fillId="16" borderId="275" xfId="16" applyNumberFormat="1" applyFont="1" applyFill="1" applyBorder="1"/>
    <xf numFmtId="0" fontId="7" fillId="16" borderId="276" xfId="0" applyFont="1" applyFill="1" applyBorder="1"/>
    <xf numFmtId="0" fontId="7" fillId="16" borderId="277" xfId="0" applyFont="1" applyFill="1" applyBorder="1"/>
    <xf numFmtId="41" fontId="7" fillId="16" borderId="278" xfId="0" applyNumberFormat="1" applyFont="1" applyFill="1" applyBorder="1"/>
    <xf numFmtId="164" fontId="7" fillId="16" borderId="276" xfId="0" applyNumberFormat="1" applyFont="1" applyFill="1" applyBorder="1"/>
    <xf numFmtId="9" fontId="7" fillId="16" borderId="278" xfId="0" applyNumberFormat="1" applyFont="1" applyFill="1" applyBorder="1"/>
    <xf numFmtId="164" fontId="7" fillId="16" borderId="278" xfId="16" applyNumberFormat="1" applyFont="1" applyFill="1" applyBorder="1"/>
    <xf numFmtId="0" fontId="7" fillId="89" borderId="0" xfId="0" applyFont="1" applyFill="1" applyAlignment="1"/>
    <xf numFmtId="0" fontId="7" fillId="16" borderId="279" xfId="0" applyFont="1" applyFill="1" applyBorder="1"/>
    <xf numFmtId="0" fontId="7" fillId="16" borderId="280" xfId="0" applyFont="1" applyFill="1" applyBorder="1"/>
    <xf numFmtId="41" fontId="7" fillId="16" borderId="281" xfId="0" applyNumberFormat="1" applyFont="1" applyFill="1" applyBorder="1"/>
    <xf numFmtId="41" fontId="7" fillId="16" borderId="279" xfId="0" applyNumberFormat="1" applyFont="1" applyFill="1" applyBorder="1"/>
    <xf numFmtId="9" fontId="7" fillId="16" borderId="281" xfId="0" applyNumberFormat="1" applyFont="1" applyFill="1" applyBorder="1"/>
    <xf numFmtId="3" fontId="7" fillId="89" borderId="0" xfId="0" applyNumberFormat="1" applyFont="1" applyFill="1"/>
    <xf numFmtId="0" fontId="7" fillId="21" borderId="48" xfId="0" applyFont="1" applyFill="1" applyBorder="1"/>
    <xf numFmtId="0" fontId="7" fillId="19" borderId="91" xfId="0" applyFont="1" applyFill="1" applyBorder="1" applyAlignment="1">
      <alignment vertical="center"/>
    </xf>
    <xf numFmtId="0" fontId="176" fillId="16" borderId="1" xfId="3" applyFont="1" applyFill="1"/>
    <xf numFmtId="0" fontId="176" fillId="16" borderId="0" xfId="0" applyFont="1" applyFill="1"/>
    <xf numFmtId="0" fontId="154" fillId="22" borderId="7" xfId="0" applyFont="1" applyFill="1" applyBorder="1" applyAlignment="1">
      <alignment horizontal="center" wrapText="1"/>
    </xf>
    <xf numFmtId="0" fontId="154" fillId="22" borderId="21" xfId="0" applyFont="1" applyFill="1" applyBorder="1" applyAlignment="1">
      <alignment horizontal="center" wrapText="1"/>
    </xf>
    <xf numFmtId="0" fontId="154" fillId="22" borderId="22" xfId="0" applyFont="1" applyFill="1" applyBorder="1" applyAlignment="1">
      <alignment horizontal="center" wrapText="1"/>
    </xf>
    <xf numFmtId="165" fontId="154" fillId="22" borderId="22" xfId="1" applyNumberFormat="1" applyFont="1" applyFill="1" applyBorder="1" applyAlignment="1">
      <alignment horizontal="center" wrapText="1"/>
    </xf>
    <xf numFmtId="0" fontId="135" fillId="93" borderId="91" xfId="8162" applyFont="1" applyFill="1" applyBorder="1" applyAlignment="1">
      <alignment horizontal="center" wrapText="1"/>
    </xf>
    <xf numFmtId="0" fontId="134" fillId="94" borderId="70" xfId="11" applyFont="1" applyFill="1" applyBorder="1" applyAlignment="1">
      <alignment horizontal="center"/>
    </xf>
    <xf numFmtId="0" fontId="134" fillId="94" borderId="71" xfId="11" applyFont="1" applyFill="1" applyBorder="1" applyAlignment="1">
      <alignment horizontal="center"/>
    </xf>
    <xf numFmtId="0" fontId="134" fillId="94" borderId="71" xfId="11" applyFont="1" applyFill="1" applyBorder="1" applyAlignment="1">
      <alignment horizontal="left"/>
    </xf>
    <xf numFmtId="1" fontId="134" fillId="94" borderId="71" xfId="11" applyNumberFormat="1" applyFont="1" applyFill="1" applyBorder="1" applyAlignment="1">
      <alignment horizontal="center"/>
    </xf>
    <xf numFmtId="170" fontId="134" fillId="94" borderId="71" xfId="11" applyNumberFormat="1" applyFont="1" applyFill="1" applyBorder="1" applyAlignment="1">
      <alignment horizontal="center"/>
    </xf>
    <xf numFmtId="0" fontId="134" fillId="94" borderId="104" xfId="11" applyFont="1" applyFill="1" applyBorder="1" applyAlignment="1">
      <alignment horizontal="center"/>
    </xf>
    <xf numFmtId="0" fontId="134" fillId="94" borderId="91" xfId="11" applyFont="1" applyFill="1" applyBorder="1" applyAlignment="1">
      <alignment horizontal="center"/>
    </xf>
    <xf numFmtId="0" fontId="134" fillId="94" borderId="91" xfId="11" applyFont="1" applyFill="1" applyBorder="1" applyAlignment="1">
      <alignment horizontal="left"/>
    </xf>
    <xf numFmtId="1" fontId="134" fillId="94" borderId="91" xfId="11" applyNumberFormat="1" applyFont="1" applyFill="1" applyBorder="1" applyAlignment="1">
      <alignment horizontal="center"/>
    </xf>
    <xf numFmtId="170" fontId="134" fillId="94" borderId="91" xfId="11" applyNumberFormat="1" applyFont="1" applyFill="1" applyBorder="1" applyAlignment="1">
      <alignment horizontal="center"/>
    </xf>
    <xf numFmtId="0" fontId="181" fillId="94" borderId="104" xfId="11" applyFont="1" applyFill="1" applyBorder="1" applyAlignment="1">
      <alignment horizontal="center"/>
    </xf>
    <xf numFmtId="0" fontId="181" fillId="94" borderId="91" xfId="11" applyFont="1" applyFill="1" applyBorder="1" applyAlignment="1">
      <alignment horizontal="center"/>
    </xf>
    <xf numFmtId="0" fontId="181" fillId="94" borderId="91" xfId="11" applyFont="1" applyFill="1" applyBorder="1" applyAlignment="1">
      <alignment horizontal="left"/>
    </xf>
    <xf numFmtId="1" fontId="181" fillId="94" borderId="91" xfId="11" applyNumberFormat="1" applyFont="1" applyFill="1" applyBorder="1" applyAlignment="1">
      <alignment horizontal="center"/>
    </xf>
    <xf numFmtId="170" fontId="181" fillId="94" borderId="91" xfId="11" applyNumberFormat="1" applyFont="1" applyFill="1" applyBorder="1" applyAlignment="1">
      <alignment horizontal="center"/>
    </xf>
    <xf numFmtId="0" fontId="134" fillId="94" borderId="102" xfId="11" applyFont="1" applyFill="1" applyBorder="1" applyAlignment="1">
      <alignment horizontal="center"/>
    </xf>
    <xf numFmtId="0" fontId="134" fillId="94" borderId="102" xfId="11" applyFont="1" applyFill="1" applyBorder="1" applyAlignment="1">
      <alignment horizontal="left"/>
    </xf>
    <xf numFmtId="1" fontId="134" fillId="94" borderId="102" xfId="11" applyNumberFormat="1" applyFont="1" applyFill="1" applyBorder="1" applyAlignment="1">
      <alignment horizontal="center"/>
    </xf>
    <xf numFmtId="170" fontId="134" fillId="94" borderId="102" xfId="11" applyNumberFormat="1" applyFont="1" applyFill="1" applyBorder="1" applyAlignment="1">
      <alignment horizontal="center"/>
    </xf>
    <xf numFmtId="0" fontId="134" fillId="94" borderId="40" xfId="11" applyFont="1" applyFill="1" applyBorder="1" applyAlignment="1">
      <alignment horizontal="center"/>
    </xf>
    <xf numFmtId="0" fontId="134" fillId="94" borderId="41" xfId="11" applyFont="1" applyFill="1" applyBorder="1" applyAlignment="1">
      <alignment horizontal="center"/>
    </xf>
    <xf numFmtId="0" fontId="134" fillId="94" borderId="41" xfId="11" applyFont="1" applyFill="1" applyBorder="1" applyAlignment="1">
      <alignment horizontal="left"/>
    </xf>
    <xf numFmtId="1" fontId="134" fillId="94" borderId="41" xfId="11" applyNumberFormat="1" applyFont="1" applyFill="1" applyBorder="1" applyAlignment="1">
      <alignment horizontal="center"/>
    </xf>
    <xf numFmtId="170" fontId="134" fillId="94" borderId="41" xfId="11" applyNumberFormat="1" applyFont="1" applyFill="1" applyBorder="1" applyAlignment="1">
      <alignment horizontal="center"/>
    </xf>
    <xf numFmtId="9" fontId="135" fillId="16" borderId="0" xfId="0" applyNumberFormat="1" applyFont="1" applyFill="1"/>
    <xf numFmtId="0" fontId="80" fillId="16" borderId="159" xfId="0" applyFont="1" applyFill="1" applyBorder="1" applyAlignment="1">
      <alignment wrapText="1"/>
    </xf>
    <xf numFmtId="0" fontId="80" fillId="16" borderId="0" xfId="0" applyFont="1" applyFill="1" applyBorder="1" applyAlignment="1">
      <alignment wrapText="1"/>
    </xf>
    <xf numFmtId="0" fontId="80" fillId="16" borderId="160" xfId="0" applyFont="1" applyFill="1" applyBorder="1" applyAlignment="1">
      <alignment wrapText="1"/>
    </xf>
    <xf numFmtId="0" fontId="135" fillId="93" borderId="91" xfId="8162" applyFont="1" applyFill="1" applyBorder="1" applyAlignment="1">
      <alignment horizontal="center"/>
    </xf>
    <xf numFmtId="0" fontId="133" fillId="38" borderId="91" xfId="0" applyFont="1" applyFill="1" applyBorder="1" applyAlignment="1">
      <alignment horizontal="center" wrapText="1"/>
    </xf>
    <xf numFmtId="1" fontId="134" fillId="21" borderId="91" xfId="11" applyNumberFormat="1" applyFont="1" applyFill="1" applyBorder="1" applyAlignment="1">
      <alignment wrapText="1"/>
    </xf>
    <xf numFmtId="0" fontId="134" fillId="21" borderId="91" xfId="11" applyFont="1" applyFill="1" applyBorder="1" applyAlignment="1">
      <alignment wrapText="1"/>
    </xf>
    <xf numFmtId="6" fontId="134" fillId="21" borderId="91" xfId="11" applyNumberFormat="1" applyFont="1" applyFill="1" applyBorder="1" applyAlignment="1">
      <alignment wrapText="1"/>
    </xf>
    <xf numFmtId="164" fontId="135" fillId="18" borderId="281" xfId="0" applyNumberFormat="1" applyFont="1" applyFill="1" applyBorder="1"/>
    <xf numFmtId="0" fontId="80" fillId="16" borderId="272" xfId="0" applyFont="1" applyFill="1" applyBorder="1" applyAlignment="1">
      <alignment wrapText="1"/>
    </xf>
    <xf numFmtId="164" fontId="7" fillId="16" borderId="0" xfId="0" applyNumberFormat="1" applyFont="1" applyFill="1" applyBorder="1" applyAlignment="1">
      <alignment horizontal="center"/>
    </xf>
    <xf numFmtId="0" fontId="80" fillId="104" borderId="91" xfId="0" applyFont="1" applyFill="1" applyBorder="1" applyAlignment="1">
      <alignment wrapText="1"/>
    </xf>
    <xf numFmtId="0" fontId="7" fillId="16" borderId="91" xfId="0" applyFont="1" applyFill="1" applyBorder="1"/>
    <xf numFmtId="0" fontId="80" fillId="16" borderId="91" xfId="0" applyFont="1" applyFill="1" applyBorder="1"/>
    <xf numFmtId="164" fontId="7" fillId="17" borderId="91" xfId="0" applyNumberFormat="1" applyFont="1" applyFill="1" applyBorder="1" applyAlignment="1">
      <alignment horizontal="center"/>
    </xf>
    <xf numFmtId="164" fontId="7" fillId="25" borderId="91" xfId="0" applyNumberFormat="1" applyFont="1" applyFill="1" applyBorder="1" applyAlignment="1">
      <alignment horizontal="center"/>
    </xf>
    <xf numFmtId="164" fontId="7" fillId="23" borderId="91" xfId="0" applyNumberFormat="1" applyFont="1" applyFill="1" applyBorder="1" applyAlignment="1">
      <alignment horizontal="center"/>
    </xf>
    <xf numFmtId="0" fontId="156" fillId="0" borderId="0" xfId="0" applyFont="1" applyFill="1" applyBorder="1" applyAlignment="1">
      <alignment wrapText="1"/>
    </xf>
    <xf numFmtId="0" fontId="175" fillId="16" borderId="0" xfId="9112" applyFont="1" applyFill="1"/>
    <xf numFmtId="0" fontId="7" fillId="16" borderId="0" xfId="0" applyFont="1" applyFill="1" applyAlignment="1">
      <alignment horizontal="center"/>
    </xf>
    <xf numFmtId="0" fontId="7" fillId="16" borderId="0" xfId="0" applyFont="1" applyFill="1" applyBorder="1" applyAlignment="1">
      <alignment horizontal="center"/>
    </xf>
    <xf numFmtId="9" fontId="7" fillId="0" borderId="0" xfId="0" applyNumberFormat="1" applyFont="1"/>
    <xf numFmtId="1" fontId="7" fillId="16" borderId="0" xfId="0" applyNumberFormat="1" applyFont="1" applyFill="1" applyAlignment="1"/>
    <xf numFmtId="0" fontId="7" fillId="81" borderId="0" xfId="0" applyFont="1" applyFill="1" applyAlignment="1"/>
    <xf numFmtId="0" fontId="7" fillId="23" borderId="0" xfId="0" applyFont="1" applyFill="1" applyAlignment="1"/>
    <xf numFmtId="9" fontId="80" fillId="25" borderId="0" xfId="2" applyFont="1" applyFill="1" applyAlignment="1"/>
    <xf numFmtId="0" fontId="7" fillId="16" borderId="0" xfId="0" applyFont="1" applyFill="1" applyAlignment="1"/>
    <xf numFmtId="9" fontId="134" fillId="16" borderId="0" xfId="2" applyFont="1" applyFill="1" applyAlignment="1"/>
    <xf numFmtId="0" fontId="165" fillId="16" borderId="0" xfId="0" applyFont="1" applyFill="1"/>
    <xf numFmtId="167" fontId="182" fillId="0" borderId="181" xfId="9109" applyNumberFormat="1" applyFont="1"/>
    <xf numFmtId="0" fontId="7" fillId="0" borderId="182" xfId="0" applyFont="1" applyBorder="1" applyAlignment="1">
      <alignment wrapText="1"/>
    </xf>
    <xf numFmtId="167" fontId="182" fillId="0" borderId="183" xfId="9109" applyNumberFormat="1" applyFont="1" applyBorder="1"/>
    <xf numFmtId="0" fontId="7" fillId="0" borderId="184" xfId="0" applyFont="1" applyBorder="1" applyAlignment="1">
      <alignment wrapText="1"/>
    </xf>
    <xf numFmtId="167" fontId="182" fillId="0" borderId="185" xfId="9109" applyNumberFormat="1" applyFont="1" applyBorder="1"/>
    <xf numFmtId="0" fontId="7" fillId="0" borderId="186" xfId="0" applyFont="1" applyBorder="1" applyAlignment="1">
      <alignment wrapText="1"/>
    </xf>
    <xf numFmtId="167" fontId="182" fillId="0" borderId="187" xfId="9109" applyNumberFormat="1" applyFont="1" applyBorder="1"/>
    <xf numFmtId="0" fontId="7" fillId="16" borderId="5" xfId="0" applyFont="1" applyFill="1" applyBorder="1"/>
    <xf numFmtId="0" fontId="7" fillId="16" borderId="6" xfId="0" applyFont="1" applyFill="1" applyBorder="1"/>
    <xf numFmtId="9" fontId="182" fillId="0" borderId="185" xfId="9109" applyNumberFormat="1" applyFont="1" applyBorder="1"/>
    <xf numFmtId="9" fontId="7" fillId="16" borderId="160" xfId="0" applyNumberFormat="1" applyFont="1" applyFill="1" applyBorder="1"/>
    <xf numFmtId="0" fontId="80" fillId="0" borderId="159" xfId="153" applyFont="1" applyBorder="1" applyAlignment="1">
      <alignment wrapText="1"/>
    </xf>
    <xf numFmtId="0" fontId="7" fillId="16" borderId="172" xfId="0" applyFont="1" applyFill="1" applyBorder="1"/>
    <xf numFmtId="0" fontId="184" fillId="16" borderId="0" xfId="0" applyFont="1" applyFill="1"/>
    <xf numFmtId="0" fontId="7" fillId="0" borderId="191" xfId="0" applyFont="1" applyBorder="1" applyAlignment="1">
      <alignment wrapText="1"/>
    </xf>
    <xf numFmtId="10" fontId="185" fillId="97" borderId="40" xfId="0" applyNumberFormat="1" applyFont="1" applyFill="1" applyBorder="1"/>
    <xf numFmtId="9" fontId="185" fillId="97" borderId="40" xfId="2" applyFont="1" applyFill="1" applyBorder="1"/>
    <xf numFmtId="0" fontId="7" fillId="0" borderId="192" xfId="0" applyFont="1" applyBorder="1" applyAlignment="1">
      <alignment wrapText="1"/>
    </xf>
    <xf numFmtId="0" fontId="80" fillId="0" borderId="184" xfId="0" applyFont="1" applyBorder="1" applyAlignment="1">
      <alignment wrapText="1"/>
    </xf>
    <xf numFmtId="0" fontId="80" fillId="0" borderId="192" xfId="0" applyFont="1" applyBorder="1" applyAlignment="1">
      <alignment wrapText="1"/>
    </xf>
    <xf numFmtId="0" fontId="80" fillId="0" borderId="193" xfId="0" applyFont="1" applyBorder="1" applyAlignment="1">
      <alignment wrapText="1"/>
    </xf>
    <xf numFmtId="0" fontId="80" fillId="0" borderId="194" xfId="0" applyFont="1" applyBorder="1" applyAlignment="1">
      <alignment wrapText="1"/>
    </xf>
    <xf numFmtId="167" fontId="186" fillId="16" borderId="0" xfId="0" applyNumberFormat="1" applyFont="1" applyFill="1"/>
    <xf numFmtId="165" fontId="7" fillId="16" borderId="0" xfId="1" applyNumberFormat="1" applyFont="1" applyFill="1" applyAlignment="1">
      <alignment wrapText="1"/>
    </xf>
    <xf numFmtId="0" fontId="7" fillId="16" borderId="263" xfId="9110" applyFont="1" applyFill="1" applyBorder="1"/>
    <xf numFmtId="0" fontId="9" fillId="16" borderId="195" xfId="9110" applyFont="1" applyFill="1" applyBorder="1" applyAlignment="1">
      <alignment wrapText="1"/>
    </xf>
    <xf numFmtId="41" fontId="9" fillId="16" borderId="196" xfId="0" applyNumberFormat="1" applyFont="1" applyFill="1" applyBorder="1" applyAlignment="1">
      <alignment horizontal="left"/>
    </xf>
    <xf numFmtId="9" fontId="134" fillId="0" borderId="196" xfId="0" applyNumberFormat="1" applyFont="1" applyFill="1" applyBorder="1" applyAlignment="1">
      <alignment horizontal="left"/>
    </xf>
    <xf numFmtId="164" fontId="80" fillId="18" borderId="34" xfId="1" applyNumberFormat="1" applyFont="1" applyFill="1" applyBorder="1"/>
    <xf numFmtId="41" fontId="9" fillId="98" borderId="198" xfId="0" applyNumberFormat="1" applyFont="1" applyFill="1" applyBorder="1" applyAlignment="1">
      <alignment horizontal="left"/>
    </xf>
    <xf numFmtId="41" fontId="9" fillId="98" borderId="264" xfId="0" applyNumberFormat="1" applyFont="1" applyFill="1" applyBorder="1" applyAlignment="1">
      <alignment horizontal="left"/>
    </xf>
    <xf numFmtId="41" fontId="9" fillId="16" borderId="197" xfId="0" applyNumberFormat="1" applyFont="1" applyFill="1" applyBorder="1" applyAlignment="1">
      <alignment horizontal="left"/>
    </xf>
    <xf numFmtId="0" fontId="9" fillId="16" borderId="266" xfId="9111" applyFont="1" applyFill="1" applyBorder="1" applyAlignment="1">
      <alignment wrapText="1"/>
    </xf>
    <xf numFmtId="41" fontId="9" fillId="16" borderId="267" xfId="0" applyNumberFormat="1" applyFont="1" applyFill="1" applyBorder="1" applyAlignment="1">
      <alignment horizontal="left"/>
    </xf>
    <xf numFmtId="41" fontId="134" fillId="0" borderId="267" xfId="0" applyNumberFormat="1" applyFont="1" applyFill="1" applyBorder="1" applyAlignment="1">
      <alignment horizontal="left"/>
    </xf>
    <xf numFmtId="41" fontId="9" fillId="98" borderId="268" xfId="0" applyNumberFormat="1" applyFont="1" applyFill="1" applyBorder="1" applyAlignment="1">
      <alignment horizontal="left"/>
    </xf>
    <xf numFmtId="41" fontId="9" fillId="98" borderId="269" xfId="0" applyNumberFormat="1" applyFont="1" applyFill="1" applyBorder="1" applyAlignment="1">
      <alignment horizontal="left"/>
    </xf>
    <xf numFmtId="0" fontId="7" fillId="16" borderId="265" xfId="9111" applyFont="1" applyFill="1" applyBorder="1"/>
    <xf numFmtId="0" fontId="7" fillId="16" borderId="0" xfId="0" applyFont="1" applyFill="1" applyAlignment="1">
      <alignment horizontal="left" wrapText="1"/>
    </xf>
    <xf numFmtId="167" fontId="182" fillId="0" borderId="91" xfId="9109" applyNumberFormat="1" applyFont="1" applyBorder="1"/>
    <xf numFmtId="164" fontId="80" fillId="18" borderId="0" xfId="1" applyNumberFormat="1" applyFont="1" applyFill="1"/>
    <xf numFmtId="0" fontId="134" fillId="0" borderId="0" xfId="0" applyFont="1" applyFill="1" applyBorder="1" applyAlignment="1"/>
    <xf numFmtId="0" fontId="133" fillId="38" borderId="0" xfId="0" applyFont="1" applyFill="1" applyBorder="1" applyAlignment="1">
      <alignment horizontal="center" wrapText="1"/>
    </xf>
    <xf numFmtId="0" fontId="134" fillId="81" borderId="0" xfId="0" applyFont="1" applyFill="1" applyBorder="1" applyAlignment="1"/>
    <xf numFmtId="0" fontId="7" fillId="0" borderId="5" xfId="0" applyFont="1" applyBorder="1"/>
    <xf numFmtId="0" fontId="7" fillId="0" borderId="158" xfId="0" applyFont="1" applyBorder="1"/>
    <xf numFmtId="0" fontId="7" fillId="0" borderId="170" xfId="0" applyFont="1" applyBorder="1"/>
    <xf numFmtId="0" fontId="7" fillId="0" borderId="171" xfId="0" applyFont="1" applyBorder="1"/>
    <xf numFmtId="0" fontId="7" fillId="16" borderId="160" xfId="0" applyFont="1" applyFill="1" applyBorder="1"/>
    <xf numFmtId="0" fontId="187" fillId="16" borderId="256" xfId="0" applyFont="1" applyFill="1" applyBorder="1" applyAlignment="1">
      <alignment horizontal="center" wrapText="1"/>
    </xf>
    <xf numFmtId="0" fontId="187" fillId="16" borderId="257" xfId="0" applyFont="1" applyFill="1" applyBorder="1" applyAlignment="1">
      <alignment horizontal="center" wrapText="1"/>
    </xf>
    <xf numFmtId="0" fontId="187" fillId="16" borderId="258" xfId="0" applyFont="1" applyFill="1" applyBorder="1" applyAlignment="1">
      <alignment horizontal="center" wrapText="1"/>
    </xf>
    <xf numFmtId="0" fontId="187" fillId="16" borderId="259" xfId="0" applyFont="1" applyFill="1" applyBorder="1" applyAlignment="1">
      <alignment horizontal="center" wrapText="1"/>
    </xf>
    <xf numFmtId="0" fontId="187" fillId="16" borderId="260" xfId="0" applyFont="1" applyFill="1" applyBorder="1" applyAlignment="1">
      <alignment horizontal="center" wrapText="1"/>
    </xf>
    <xf numFmtId="9" fontId="117" fillId="0" borderId="258" xfId="2" applyFont="1" applyFill="1" applyBorder="1" applyAlignment="1">
      <alignment horizontal="center" wrapText="1"/>
    </xf>
    <xf numFmtId="0" fontId="187" fillId="98" borderId="261" xfId="0" applyFont="1" applyFill="1" applyBorder="1" applyAlignment="1">
      <alignment horizontal="center" wrapText="1"/>
    </xf>
    <xf numFmtId="0" fontId="187" fillId="98" borderId="262" xfId="0" applyFont="1" applyFill="1" applyBorder="1" applyAlignment="1">
      <alignment horizontal="center" wrapText="1"/>
    </xf>
    <xf numFmtId="0" fontId="154" fillId="17" borderId="7" xfId="0" applyFont="1" applyFill="1" applyBorder="1" applyAlignment="1">
      <alignment wrapText="1"/>
    </xf>
    <xf numFmtId="0" fontId="154" fillId="17" borderId="21" xfId="0" applyFont="1" applyFill="1" applyBorder="1" applyAlignment="1">
      <alignment wrapText="1"/>
    </xf>
    <xf numFmtId="0" fontId="154" fillId="17" borderId="22" xfId="0" applyFont="1" applyFill="1" applyBorder="1" applyAlignment="1">
      <alignment wrapText="1"/>
    </xf>
    <xf numFmtId="165" fontId="154" fillId="17" borderId="22" xfId="1" applyNumberFormat="1" applyFont="1" applyFill="1" applyBorder="1" applyAlignment="1">
      <alignment wrapText="1"/>
    </xf>
    <xf numFmtId="0" fontId="7" fillId="0" borderId="0" xfId="0" applyFont="1" applyFill="1"/>
    <xf numFmtId="165" fontId="7" fillId="0" borderId="0" xfId="1" applyNumberFormat="1" applyFont="1" applyFill="1"/>
    <xf numFmtId="164" fontId="7" fillId="17" borderId="396" xfId="0" applyNumberFormat="1" applyFont="1" applyFill="1" applyBorder="1"/>
    <xf numFmtId="164" fontId="7" fillId="17" borderId="397" xfId="0" applyNumberFormat="1" applyFont="1" applyFill="1" applyBorder="1"/>
    <xf numFmtId="0" fontId="2" fillId="16" borderId="398" xfId="3" applyFill="1" applyBorder="1"/>
    <xf numFmtId="0" fontId="0" fillId="16" borderId="0" xfId="0" applyFill="1" applyBorder="1" applyAlignment="1">
      <alignment horizontal="left" indent="1"/>
    </xf>
    <xf numFmtId="170" fontId="133" fillId="39" borderId="97" xfId="12" applyNumberFormat="1" applyFont="1" applyFill="1" applyBorder="1" applyAlignment="1">
      <alignment horizontal="center" wrapText="1" readingOrder="1"/>
    </xf>
    <xf numFmtId="0" fontId="0" fillId="0" borderId="0" xfId="0" applyAlignment="1">
      <alignment readingOrder="1"/>
    </xf>
    <xf numFmtId="170" fontId="0" fillId="16" borderId="0" xfId="0" applyNumberFormat="1" applyFill="1"/>
    <xf numFmtId="0" fontId="134" fillId="0" borderId="91" xfId="12" applyFont="1" applyBorder="1">
      <alignment readingOrder="1"/>
    </xf>
    <xf numFmtId="170" fontId="134" fillId="0" borderId="91" xfId="12" applyNumberFormat="1" applyFont="1" applyBorder="1">
      <alignment readingOrder="1"/>
    </xf>
    <xf numFmtId="9" fontId="1" fillId="16" borderId="91" xfId="2" applyFont="1" applyFill="1" applyBorder="1"/>
    <xf numFmtId="0" fontId="9" fillId="16" borderId="0" xfId="13" applyFont="1" applyFill="1" applyAlignment="1"/>
    <xf numFmtId="0" fontId="134" fillId="16" borderId="40" xfId="13" applyFont="1" applyFill="1" applyBorder="1" applyAlignment="1"/>
    <xf numFmtId="0" fontId="134" fillId="16" borderId="41" xfId="13" applyFont="1" applyFill="1" applyBorder="1" applyAlignment="1"/>
    <xf numFmtId="0" fontId="1" fillId="16" borderId="41" xfId="0" applyFont="1" applyFill="1" applyBorder="1"/>
    <xf numFmtId="0" fontId="1" fillId="16" borderId="42" xfId="0" applyFont="1" applyFill="1" applyBorder="1"/>
    <xf numFmtId="0" fontId="134" fillId="16" borderId="104" xfId="13" applyFont="1" applyFill="1" applyBorder="1" applyAlignment="1"/>
    <xf numFmtId="9" fontId="134" fillId="16" borderId="91" xfId="14" applyFont="1" applyFill="1" applyBorder="1"/>
    <xf numFmtId="164" fontId="1" fillId="16" borderId="91" xfId="1" applyNumberFormat="1" applyFont="1" applyFill="1" applyBorder="1"/>
    <xf numFmtId="164" fontId="1" fillId="16" borderId="105" xfId="1" applyNumberFormat="1" applyFont="1" applyFill="1" applyBorder="1"/>
    <xf numFmtId="0" fontId="134" fillId="16" borderId="318" xfId="13" applyFont="1" applyFill="1" applyBorder="1" applyAlignment="1"/>
    <xf numFmtId="9" fontId="134" fillId="16" borderId="102" xfId="13" applyNumberFormat="1" applyFont="1" applyFill="1" applyBorder="1" applyAlignment="1"/>
    <xf numFmtId="164" fontId="1" fillId="16" borderId="102" xfId="1" applyNumberFormat="1" applyFont="1" applyFill="1" applyBorder="1"/>
    <xf numFmtId="164" fontId="1" fillId="16" borderId="103" xfId="1" applyNumberFormat="1" applyFont="1" applyFill="1" applyBorder="1"/>
    <xf numFmtId="0" fontId="1" fillId="0" borderId="91" xfId="0" applyFont="1" applyBorder="1"/>
    <xf numFmtId="9" fontId="1" fillId="0" borderId="91" xfId="0" applyNumberFormat="1" applyFont="1" applyBorder="1"/>
    <xf numFmtId="9" fontId="1" fillId="0" borderId="0" xfId="0" applyNumberFormat="1" applyFont="1"/>
    <xf numFmtId="9" fontId="1" fillId="0" borderId="91" xfId="14" applyFont="1" applyBorder="1"/>
    <xf numFmtId="9" fontId="1" fillId="0" borderId="0" xfId="14" applyFont="1"/>
    <xf numFmtId="167" fontId="0" fillId="16" borderId="0" xfId="0" applyNumberFormat="1" applyFill="1"/>
    <xf numFmtId="0" fontId="104" fillId="16" borderId="399" xfId="0" applyFont="1" applyFill="1" applyBorder="1" applyAlignment="1">
      <alignment horizontal="center" wrapText="1"/>
    </xf>
    <xf numFmtId="181" fontId="107" fillId="16" borderId="196" xfId="0" applyNumberFormat="1" applyFont="1" applyFill="1" applyBorder="1" applyAlignment="1">
      <alignment horizontal="left"/>
    </xf>
    <xf numFmtId="0" fontId="80" fillId="16" borderId="317" xfId="0" applyFont="1" applyFill="1" applyBorder="1" applyAlignment="1">
      <alignment wrapText="1"/>
    </xf>
    <xf numFmtId="164" fontId="80" fillId="16" borderId="317" xfId="0" applyNumberFormat="1" applyFont="1" applyFill="1" applyBorder="1" applyAlignment="1">
      <alignment wrapText="1"/>
    </xf>
    <xf numFmtId="0" fontId="188" fillId="16" borderId="0" xfId="0" applyFont="1" applyFill="1"/>
    <xf numFmtId="0" fontId="188" fillId="16" borderId="0" xfId="0" applyFont="1" applyFill="1" applyAlignment="1">
      <alignment vertical="center"/>
    </xf>
    <xf numFmtId="0" fontId="91" fillId="0" borderId="91" xfId="0" applyFont="1" applyBorder="1"/>
    <xf numFmtId="0" fontId="91" fillId="16" borderId="91" xfId="0" applyFont="1" applyFill="1" applyBorder="1"/>
    <xf numFmtId="0" fontId="17" fillId="0" borderId="91" xfId="0" applyFont="1" applyBorder="1" applyAlignment="1">
      <alignment wrapText="1"/>
    </xf>
    <xf numFmtId="0" fontId="82" fillId="0" borderId="91" xfId="0" applyFont="1" applyBorder="1" applyAlignment="1">
      <alignment wrapText="1"/>
    </xf>
    <xf numFmtId="167" fontId="101" fillId="0" borderId="91" xfId="9109" applyNumberFormat="1" applyBorder="1"/>
    <xf numFmtId="0" fontId="9" fillId="23" borderId="91" xfId="0" applyFont="1" applyFill="1" applyBorder="1" applyAlignment="1">
      <alignment horizontal="left" wrapText="1"/>
    </xf>
    <xf numFmtId="9" fontId="185" fillId="97" borderId="91" xfId="0" applyNumberFormat="1" applyFont="1" applyFill="1" applyBorder="1"/>
    <xf numFmtId="164" fontId="120" fillId="25" borderId="402" xfId="4" applyNumberFormat="1" applyFont="1" applyFill="1" applyBorder="1"/>
    <xf numFmtId="164" fontId="120" fillId="25" borderId="403" xfId="4" applyNumberFormat="1" applyFont="1" applyFill="1" applyBorder="1"/>
    <xf numFmtId="164" fontId="120" fillId="25" borderId="404" xfId="4" applyNumberFormat="1" applyFont="1" applyFill="1" applyBorder="1"/>
    <xf numFmtId="10" fontId="120" fillId="17" borderId="405" xfId="2" applyNumberFormat="1" applyFont="1" applyFill="1" applyBorder="1"/>
    <xf numFmtId="0" fontId="112" fillId="104" borderId="0" xfId="0" applyFont="1" applyFill="1" applyAlignment="1">
      <alignment vertical="center" wrapText="1"/>
    </xf>
    <xf numFmtId="164" fontId="134" fillId="17" borderId="9" xfId="1" applyNumberFormat="1" applyFont="1" applyFill="1" applyBorder="1"/>
    <xf numFmtId="0" fontId="112" fillId="0" borderId="0" xfId="0" applyFont="1" applyFill="1"/>
    <xf numFmtId="0" fontId="149" fillId="99" borderId="0" xfId="0" applyNumberFormat="1" applyFont="1" applyFill="1" applyBorder="1"/>
    <xf numFmtId="164" fontId="134" fillId="17" borderId="224" xfId="1" applyNumberFormat="1" applyFont="1" applyFill="1" applyBorder="1"/>
    <xf numFmtId="43" fontId="7" fillId="17" borderId="223" xfId="0" applyNumberFormat="1" applyFont="1" applyFill="1" applyBorder="1"/>
    <xf numFmtId="164" fontId="134" fillId="17" borderId="324" xfId="1" applyNumberFormat="1" applyFont="1" applyFill="1" applyBorder="1"/>
    <xf numFmtId="43" fontId="7" fillId="17" borderId="329" xfId="0" applyNumberFormat="1" applyFont="1" applyFill="1" applyBorder="1"/>
    <xf numFmtId="0" fontId="149" fillId="99" borderId="171" xfId="0" applyNumberFormat="1" applyFont="1" applyFill="1" applyBorder="1"/>
    <xf numFmtId="164" fontId="134" fillId="17" borderId="334" xfId="1" applyNumberFormat="1" applyFont="1" applyFill="1" applyBorder="1"/>
    <xf numFmtId="43" fontId="7" fillId="17" borderId="339" xfId="0" applyNumberFormat="1" applyFont="1" applyFill="1" applyBorder="1"/>
    <xf numFmtId="0" fontId="112" fillId="0" borderId="171" xfId="0" applyFont="1" applyFill="1" applyBorder="1"/>
    <xf numFmtId="0" fontId="165" fillId="16" borderId="55" xfId="0" applyFont="1" applyFill="1" applyBorder="1"/>
    <xf numFmtId="2" fontId="7" fillId="0" borderId="0" xfId="2" applyNumberFormat="1" applyFont="1" applyFill="1" applyBorder="1"/>
    <xf numFmtId="0" fontId="149" fillId="0" borderId="0" xfId="0" applyFont="1" applyFill="1" applyBorder="1"/>
    <xf numFmtId="0" fontId="149" fillId="0" borderId="0" xfId="0" applyNumberFormat="1" applyFont="1" applyFill="1" applyBorder="1"/>
    <xf numFmtId="0" fontId="80" fillId="16" borderId="0" xfId="0" applyFont="1" applyFill="1" applyAlignment="1">
      <alignment horizontal="right"/>
    </xf>
    <xf numFmtId="164" fontId="7" fillId="0" borderId="0" xfId="1" applyNumberFormat="1" applyFont="1"/>
    <xf numFmtId="164" fontId="7" fillId="0" borderId="0" xfId="0" applyNumberFormat="1" applyFont="1" applyFill="1"/>
    <xf numFmtId="0" fontId="156" fillId="16" borderId="0" xfId="0" applyFont="1" applyFill="1"/>
    <xf numFmtId="0" fontId="165" fillId="16" borderId="0" xfId="0" applyFont="1" applyFill="1" applyBorder="1"/>
    <xf numFmtId="0" fontId="7" fillId="16" borderId="0" xfId="0" applyFont="1" applyFill="1" applyAlignment="1">
      <alignment vertical="top" wrapText="1"/>
    </xf>
    <xf numFmtId="0" fontId="80" fillId="16" borderId="40" xfId="0" applyFont="1" applyFill="1" applyBorder="1" applyAlignment="1">
      <alignment horizontal="center" wrapText="1"/>
    </xf>
    <xf numFmtId="164" fontId="80" fillId="16" borderId="42" xfId="1" applyNumberFormat="1" applyFont="1" applyFill="1" applyBorder="1" applyAlignment="1">
      <alignment horizontal="center" wrapText="1"/>
    </xf>
    <xf numFmtId="2" fontId="7" fillId="36" borderId="36" xfId="2" applyNumberFormat="1" applyFont="1" applyFill="1" applyBorder="1" applyAlignment="1">
      <alignment wrapText="1"/>
    </xf>
    <xf numFmtId="2" fontId="7" fillId="0" borderId="318" xfId="1" applyNumberFormat="1" applyFont="1" applyFill="1" applyBorder="1" applyAlignment="1">
      <alignment horizontal="center" wrapText="1"/>
    </xf>
    <xf numFmtId="2" fontId="7" fillId="0" borderId="315" xfId="1" applyNumberFormat="1" applyFont="1" applyFill="1" applyBorder="1" applyAlignment="1">
      <alignment horizontal="center" wrapText="1"/>
    </xf>
    <xf numFmtId="0" fontId="7" fillId="16" borderId="51" xfId="0" applyFont="1" applyFill="1" applyBorder="1" applyAlignment="1">
      <alignment readingOrder="1"/>
    </xf>
    <xf numFmtId="9" fontId="7" fillId="16" borderId="51" xfId="14" applyFont="1" applyFill="1" applyBorder="1"/>
    <xf numFmtId="9" fontId="7" fillId="16" borderId="51" xfId="15" applyNumberFormat="1" applyFont="1" applyFill="1" applyBorder="1"/>
    <xf numFmtId="43" fontId="7" fillId="16" borderId="52" xfId="1" applyFont="1" applyFill="1" applyBorder="1"/>
    <xf numFmtId="0" fontId="7" fillId="16" borderId="53" xfId="0" applyFont="1" applyFill="1" applyBorder="1" applyAlignment="1">
      <alignment readingOrder="1"/>
    </xf>
    <xf numFmtId="9" fontId="7" fillId="16" borderId="53" xfId="14" applyFont="1" applyFill="1" applyBorder="1"/>
    <xf numFmtId="43" fontId="7" fillId="16" borderId="54" xfId="1" applyFont="1" applyFill="1" applyBorder="1"/>
    <xf numFmtId="0" fontId="7" fillId="21" borderId="53" xfId="0" applyFont="1" applyFill="1" applyBorder="1" applyAlignment="1">
      <alignment readingOrder="1"/>
    </xf>
    <xf numFmtId="9" fontId="7" fillId="21" borderId="53" xfId="14" applyFont="1" applyFill="1" applyBorder="1"/>
    <xf numFmtId="43" fontId="7" fillId="21" borderId="54" xfId="1" applyFont="1" applyFill="1" applyBorder="1"/>
    <xf numFmtId="0" fontId="151" fillId="88" borderId="0" xfId="0" applyFont="1" applyFill="1" applyAlignment="1"/>
    <xf numFmtId="0" fontId="157" fillId="88" borderId="0" xfId="0" applyFont="1" applyFill="1" applyAlignment="1"/>
    <xf numFmtId="0" fontId="80" fillId="98" borderId="0" xfId="0" applyFont="1" applyFill="1"/>
    <xf numFmtId="0" fontId="7" fillId="98" borderId="0" xfId="0" applyFont="1" applyFill="1"/>
    <xf numFmtId="170" fontId="7" fillId="98" borderId="0" xfId="0" applyNumberFormat="1" applyFont="1" applyFill="1"/>
    <xf numFmtId="0" fontId="80" fillId="0" borderId="0" xfId="0" applyFont="1" applyAlignment="1">
      <alignment horizontal="center"/>
    </xf>
    <xf numFmtId="0" fontId="80" fillId="0" borderId="0" xfId="0" applyFont="1" applyAlignment="1">
      <alignment wrapText="1"/>
    </xf>
    <xf numFmtId="0" fontId="80" fillId="0" borderId="0" xfId="0" applyFont="1" applyAlignment="1">
      <alignment horizontal="center" wrapText="1"/>
    </xf>
    <xf numFmtId="0" fontId="80" fillId="16" borderId="0" xfId="0" applyFont="1" applyFill="1" applyAlignment="1">
      <alignment horizontal="center" wrapText="1"/>
    </xf>
    <xf numFmtId="170" fontId="80" fillId="0" borderId="0" xfId="0" applyNumberFormat="1" applyFont="1" applyAlignment="1">
      <alignment wrapText="1"/>
    </xf>
    <xf numFmtId="170" fontId="7" fillId="0" borderId="0" xfId="0" applyNumberFormat="1" applyFont="1"/>
    <xf numFmtId="9" fontId="7" fillId="0" borderId="0" xfId="2" applyFont="1"/>
    <xf numFmtId="2" fontId="7" fillId="0" borderId="0" xfId="0" applyNumberFormat="1" applyFont="1"/>
    <xf numFmtId="172" fontId="7" fillId="0" borderId="0" xfId="0" applyNumberFormat="1" applyFont="1"/>
    <xf numFmtId="1" fontId="7" fillId="0" borderId="0" xfId="0" applyNumberFormat="1" applyFont="1"/>
    <xf numFmtId="10" fontId="7" fillId="0" borderId="0" xfId="2" applyNumberFormat="1" applyFont="1" applyAlignment="1">
      <alignment horizontal="center"/>
    </xf>
    <xf numFmtId="9" fontId="7" fillId="0" borderId="0" xfId="2" applyFont="1" applyAlignment="1">
      <alignment horizontal="center"/>
    </xf>
    <xf numFmtId="170" fontId="7" fillId="0" borderId="0" xfId="2" applyNumberFormat="1" applyFont="1" applyAlignment="1">
      <alignment horizontal="center"/>
    </xf>
    <xf numFmtId="3" fontId="7" fillId="0" borderId="0" xfId="2" applyNumberFormat="1" applyFont="1" applyAlignment="1">
      <alignment horizontal="center"/>
    </xf>
    <xf numFmtId="171" fontId="7" fillId="0" borderId="0" xfId="2" applyNumberFormat="1" applyFont="1" applyAlignment="1">
      <alignment horizontal="center"/>
    </xf>
    <xf numFmtId="7" fontId="7" fillId="0" borderId="0" xfId="2" applyNumberFormat="1" applyFont="1" applyAlignment="1">
      <alignment horizontal="center"/>
    </xf>
    <xf numFmtId="0" fontId="165" fillId="16" borderId="55" xfId="320" applyFont="1" applyFill="1" applyBorder="1"/>
    <xf numFmtId="0" fontId="189" fillId="16" borderId="0" xfId="320" applyFont="1" applyFill="1" applyAlignment="1"/>
    <xf numFmtId="0" fontId="80" fillId="16" borderId="91" xfId="320" applyFont="1" applyFill="1" applyBorder="1" applyAlignment="1">
      <alignment wrapText="1"/>
    </xf>
    <xf numFmtId="0" fontId="80" fillId="16" borderId="104" xfId="320" applyFont="1" applyFill="1" applyBorder="1"/>
    <xf numFmtId="164" fontId="190" fillId="16" borderId="91" xfId="8216" applyNumberFormat="1" applyFont="1" applyFill="1" applyBorder="1" applyAlignment="1">
      <alignment wrapText="1"/>
    </xf>
    <xf numFmtId="164" fontId="190" fillId="16" borderId="105" xfId="8216" applyNumberFormat="1" applyFont="1" applyFill="1" applyBorder="1" applyAlignment="1">
      <alignment wrapText="1"/>
    </xf>
    <xf numFmtId="164" fontId="7" fillId="16" borderId="91" xfId="1" applyNumberFormat="1" applyFont="1" applyFill="1" applyBorder="1"/>
    <xf numFmtId="165" fontId="7" fillId="16" borderId="91" xfId="1" applyNumberFormat="1" applyFont="1" applyFill="1" applyBorder="1"/>
    <xf numFmtId="0" fontId="80" fillId="16" borderId="101" xfId="320" applyFont="1" applyFill="1" applyBorder="1"/>
    <xf numFmtId="0" fontId="80" fillId="16" borderId="0" xfId="320" applyFont="1" applyFill="1" applyBorder="1"/>
    <xf numFmtId="2" fontId="7" fillId="0" borderId="101" xfId="1" applyNumberFormat="1" applyFont="1" applyFill="1" applyBorder="1" applyAlignment="1">
      <alignment horizontal="center" wrapText="1"/>
    </xf>
    <xf numFmtId="0" fontId="154" fillId="16" borderId="0" xfId="13" applyFont="1" applyFill="1" applyAlignment="1">
      <alignment wrapText="1"/>
    </xf>
    <xf numFmtId="0" fontId="134" fillId="16" borderId="0" xfId="13" applyFont="1" applyFill="1" applyAlignment="1">
      <alignment wrapText="1"/>
    </xf>
    <xf numFmtId="0" fontId="134" fillId="16" borderId="0" xfId="13" applyFont="1" applyFill="1" applyAlignment="1"/>
    <xf numFmtId="0" fontId="154" fillId="16" borderId="0" xfId="13" applyFont="1" applyFill="1" applyAlignment="1"/>
    <xf numFmtId="0" fontId="154" fillId="16" borderId="0" xfId="0" applyFont="1" applyFill="1"/>
    <xf numFmtId="2" fontId="134" fillId="16" borderId="51" xfId="13" applyNumberFormat="1" applyFont="1" applyFill="1" applyBorder="1" applyAlignment="1"/>
    <xf numFmtId="0" fontId="134" fillId="16" borderId="0" xfId="320" applyFont="1" applyFill="1"/>
    <xf numFmtId="168" fontId="134" fillId="21" borderId="53" xfId="16" applyNumberFormat="1" applyFont="1" applyFill="1" applyBorder="1"/>
    <xf numFmtId="43" fontId="134" fillId="0" borderId="0" xfId="1" applyFont="1"/>
    <xf numFmtId="0" fontId="134" fillId="16" borderId="55" xfId="320" applyFont="1" applyFill="1" applyBorder="1"/>
    <xf numFmtId="0" fontId="134" fillId="16" borderId="4" xfId="320" applyFont="1" applyFill="1" applyBorder="1"/>
    <xf numFmtId="0" fontId="134" fillId="16" borderId="174" xfId="320" applyFont="1" applyFill="1" applyBorder="1"/>
    <xf numFmtId="0" fontId="134" fillId="16" borderId="173" xfId="320" applyFont="1" applyFill="1" applyBorder="1"/>
    <xf numFmtId="0" fontId="191" fillId="96" borderId="80" xfId="320" applyFont="1" applyFill="1" applyBorder="1" applyAlignment="1">
      <alignment wrapText="1"/>
    </xf>
    <xf numFmtId="0" fontId="191" fillId="96" borderId="178" xfId="320" applyFont="1" applyFill="1" applyBorder="1" applyAlignment="1">
      <alignment wrapText="1"/>
    </xf>
    <xf numFmtId="0" fontId="191" fillId="96" borderId="77" xfId="320" applyFont="1" applyFill="1" applyBorder="1" applyAlignment="1">
      <alignment wrapText="1"/>
    </xf>
    <xf numFmtId="0" fontId="134" fillId="16" borderId="158" xfId="320" applyFont="1" applyFill="1" applyBorder="1"/>
    <xf numFmtId="0" fontId="191" fillId="96" borderId="179" xfId="320" applyFont="1" applyFill="1" applyBorder="1" applyAlignment="1">
      <alignment wrapText="1"/>
    </xf>
    <xf numFmtId="0" fontId="134" fillId="94" borderId="159" xfId="320" applyFont="1" applyFill="1" applyBorder="1"/>
    <xf numFmtId="9" fontId="134" fillId="94" borderId="0" xfId="320" applyNumberFormat="1" applyFont="1" applyFill="1" applyBorder="1"/>
    <xf numFmtId="10" fontId="134" fillId="94" borderId="32" xfId="320" applyNumberFormat="1" applyFont="1" applyFill="1" applyBorder="1"/>
    <xf numFmtId="9" fontId="134" fillId="94" borderId="160" xfId="320" applyNumberFormat="1" applyFont="1" applyFill="1" applyBorder="1"/>
    <xf numFmtId="167" fontId="134" fillId="94" borderId="160" xfId="320" applyNumberFormat="1" applyFont="1" applyFill="1" applyBorder="1"/>
    <xf numFmtId="0" fontId="134" fillId="95" borderId="159" xfId="320" applyFont="1" applyFill="1" applyBorder="1"/>
    <xf numFmtId="9" fontId="134" fillId="95" borderId="0" xfId="320" applyNumberFormat="1" applyFont="1" applyFill="1" applyBorder="1"/>
    <xf numFmtId="167" fontId="134" fillId="95" borderId="160" xfId="320" applyNumberFormat="1" applyFont="1" applyFill="1" applyBorder="1"/>
    <xf numFmtId="10" fontId="134" fillId="95" borderId="32" xfId="320" applyNumberFormat="1" applyFont="1" applyFill="1" applyBorder="1"/>
    <xf numFmtId="0" fontId="134" fillId="95" borderId="170" xfId="320" applyFont="1" applyFill="1" applyBorder="1"/>
    <xf numFmtId="9" fontId="134" fillId="95" borderId="171" xfId="320" applyNumberFormat="1" applyFont="1" applyFill="1" applyBorder="1"/>
    <xf numFmtId="10" fontId="134" fillId="95" borderId="180" xfId="320" applyNumberFormat="1" applyFont="1" applyFill="1" applyBorder="1"/>
    <xf numFmtId="0" fontId="134" fillId="16" borderId="171" xfId="320" applyFont="1" applyFill="1" applyBorder="1"/>
    <xf numFmtId="0" fontId="134" fillId="16" borderId="170" xfId="320" applyFont="1" applyFill="1" applyBorder="1"/>
    <xf numFmtId="0" fontId="134" fillId="16" borderId="172" xfId="320" applyFont="1" applyFill="1" applyBorder="1"/>
    <xf numFmtId="0" fontId="134" fillId="16" borderId="159" xfId="320" applyFont="1" applyFill="1" applyBorder="1"/>
    <xf numFmtId="0" fontId="134" fillId="16" borderId="0" xfId="320" applyFont="1" applyFill="1" applyBorder="1"/>
    <xf numFmtId="0" fontId="134" fillId="16" borderId="0" xfId="320" applyFont="1" applyFill="1" applyAlignment="1">
      <alignment wrapText="1"/>
    </xf>
    <xf numFmtId="0" fontId="134" fillId="16" borderId="159" xfId="320" applyFont="1" applyFill="1" applyBorder="1" applyAlignment="1">
      <alignment wrapText="1"/>
    </xf>
    <xf numFmtId="0" fontId="30" fillId="16" borderId="5" xfId="0" applyFont="1" applyFill="1" applyBorder="1" applyAlignment="1">
      <alignment horizontal="center" wrapText="1"/>
    </xf>
    <xf numFmtId="0" fontId="30" fillId="16" borderId="48" xfId="0" applyFont="1" applyFill="1" applyBorder="1" applyAlignment="1">
      <alignment horizontal="center" wrapText="1"/>
    </xf>
    <xf numFmtId="0" fontId="31" fillId="16" borderId="0" xfId="0" applyFont="1" applyFill="1" applyBorder="1" applyAlignment="1">
      <alignment horizontal="center"/>
    </xf>
    <xf numFmtId="0" fontId="14" fillId="16" borderId="0" xfId="0" applyFont="1" applyFill="1" applyAlignment="1">
      <alignment wrapText="1"/>
    </xf>
    <xf numFmtId="0" fontId="30" fillId="16" borderId="49" xfId="0" applyFont="1" applyFill="1" applyBorder="1" applyAlignment="1">
      <alignment horizontal="center" wrapText="1"/>
    </xf>
    <xf numFmtId="2" fontId="0" fillId="18" borderId="318" xfId="1" applyNumberFormat="1" applyFont="1" applyFill="1" applyBorder="1" applyAlignment="1">
      <alignment horizontal="center" wrapText="1"/>
    </xf>
    <xf numFmtId="2" fontId="0" fillId="18" borderId="315" xfId="1" applyNumberFormat="1" applyFont="1" applyFill="1" applyBorder="1" applyAlignment="1">
      <alignment horizontal="center" wrapText="1"/>
    </xf>
    <xf numFmtId="2" fontId="0" fillId="16" borderId="0" xfId="0" applyNumberFormat="1" applyFill="1" applyAlignment="1">
      <alignment horizontal="center"/>
    </xf>
    <xf numFmtId="0" fontId="0" fillId="16" borderId="406" xfId="0" applyFill="1" applyBorder="1" applyAlignment="1">
      <alignment readingOrder="1"/>
    </xf>
    <xf numFmtId="0" fontId="0" fillId="16" borderId="407" xfId="0" applyFill="1" applyBorder="1" applyAlignment="1">
      <alignment readingOrder="1"/>
    </xf>
    <xf numFmtId="9" fontId="0" fillId="16" borderId="407" xfId="14" applyFont="1" applyFill="1" applyBorder="1"/>
    <xf numFmtId="2" fontId="20" fillId="16" borderId="407" xfId="13" applyNumberFormat="1" applyFill="1" applyBorder="1" applyAlignment="1"/>
    <xf numFmtId="9" fontId="1" fillId="16" borderId="407" xfId="15" applyNumberFormat="1" applyFill="1" applyBorder="1"/>
    <xf numFmtId="43" fontId="1" fillId="16" borderId="408" xfId="1" applyFont="1" applyFill="1" applyBorder="1"/>
    <xf numFmtId="0" fontId="0" fillId="16" borderId="409" xfId="0" applyFill="1" applyBorder="1" applyAlignment="1">
      <alignment readingOrder="1"/>
    </xf>
    <xf numFmtId="0" fontId="0" fillId="21" borderId="409" xfId="0" applyFill="1" applyBorder="1" applyAlignment="1">
      <alignment readingOrder="1"/>
    </xf>
    <xf numFmtId="0" fontId="0" fillId="16" borderId="410" xfId="0" applyFill="1" applyBorder="1" applyAlignment="1">
      <alignment readingOrder="1"/>
    </xf>
    <xf numFmtId="0" fontId="0" fillId="16" borderId="411" xfId="0" applyFill="1" applyBorder="1" applyAlignment="1">
      <alignment readingOrder="1"/>
    </xf>
    <xf numFmtId="9" fontId="0" fillId="16" borderId="411" xfId="14" applyFont="1" applyFill="1" applyBorder="1"/>
    <xf numFmtId="43" fontId="1" fillId="16" borderId="412" xfId="1" applyFont="1" applyFill="1" applyBorder="1"/>
    <xf numFmtId="0" fontId="0" fillId="16" borderId="0" xfId="0" applyFill="1" applyBorder="1" applyAlignment="1">
      <alignment readingOrder="1"/>
    </xf>
    <xf numFmtId="9" fontId="0" fillId="16" borderId="0" xfId="14" applyFont="1" applyFill="1" applyBorder="1"/>
    <xf numFmtId="2" fontId="20" fillId="16" borderId="0" xfId="13" applyNumberFormat="1" applyFill="1" applyBorder="1" applyAlignment="1"/>
    <xf numFmtId="9" fontId="1" fillId="16" borderId="0" xfId="15" applyNumberFormat="1" applyFill="1" applyBorder="1"/>
    <xf numFmtId="43" fontId="1" fillId="16" borderId="0" xfId="1" applyFont="1" applyFill="1" applyBorder="1"/>
    <xf numFmtId="0" fontId="32" fillId="23" borderId="0" xfId="13" applyFont="1" applyFill="1">
      <alignment readingOrder="1"/>
    </xf>
    <xf numFmtId="0" fontId="20" fillId="23" borderId="0" xfId="13" applyFill="1">
      <alignment readingOrder="1"/>
    </xf>
    <xf numFmtId="0" fontId="32" fillId="22" borderId="0" xfId="13" applyFont="1" applyFill="1">
      <alignment readingOrder="1"/>
    </xf>
    <xf numFmtId="0" fontId="32" fillId="21" borderId="0" xfId="13" applyFont="1" applyFill="1">
      <alignment readingOrder="1"/>
    </xf>
    <xf numFmtId="0" fontId="32" fillId="32" borderId="0" xfId="13" applyFont="1" applyFill="1">
      <alignment readingOrder="1"/>
    </xf>
    <xf numFmtId="0" fontId="32" fillId="29" borderId="0" xfId="13" applyFont="1" applyFill="1">
      <alignment readingOrder="1"/>
    </xf>
    <xf numFmtId="0" fontId="20" fillId="29" borderId="0" xfId="13" applyFill="1">
      <alignment readingOrder="1"/>
    </xf>
    <xf numFmtId="0" fontId="32" fillId="0" borderId="0" xfId="13" applyFont="1" applyAlignment="1">
      <alignment wrapText="1" readingOrder="1"/>
    </xf>
    <xf numFmtId="170" fontId="0" fillId="0" borderId="0" xfId="0" applyNumberFormat="1" applyAlignment="1">
      <alignment readingOrder="1"/>
    </xf>
    <xf numFmtId="171" fontId="0" fillId="0" borderId="0" xfId="17" applyNumberFormat="1" applyFont="1" applyAlignment="1">
      <alignment readingOrder="1"/>
    </xf>
    <xf numFmtId="1" fontId="20" fillId="0" borderId="0" xfId="13" applyNumberFormat="1">
      <alignment readingOrder="1"/>
    </xf>
    <xf numFmtId="171" fontId="20" fillId="0" borderId="0" xfId="13" applyNumberFormat="1" applyFill="1">
      <alignment readingOrder="1"/>
    </xf>
    <xf numFmtId="164" fontId="0" fillId="0" borderId="0" xfId="73" applyNumberFormat="1" applyFont="1" applyAlignment="1">
      <alignment readingOrder="1"/>
    </xf>
    <xf numFmtId="9" fontId="0" fillId="0" borderId="0" xfId="14" applyFont="1" applyAlignment="1">
      <alignment readingOrder="1"/>
    </xf>
    <xf numFmtId="9" fontId="20" fillId="16" borderId="0" xfId="13" applyNumberFormat="1" applyFill="1" applyAlignment="1"/>
    <xf numFmtId="0" fontId="32" fillId="23" borderId="0" xfId="0" applyFont="1" applyFill="1" applyAlignment="1">
      <alignment readingOrder="1"/>
    </xf>
    <xf numFmtId="0" fontId="0" fillId="23" borderId="0" xfId="0" applyFill="1" applyAlignment="1">
      <alignment readingOrder="1"/>
    </xf>
    <xf numFmtId="0" fontId="32" fillId="22" borderId="0" xfId="0" applyFont="1" applyFill="1" applyAlignment="1">
      <alignment readingOrder="1"/>
    </xf>
    <xf numFmtId="0" fontId="32" fillId="21" borderId="0" xfId="0" applyFont="1" applyFill="1" applyAlignment="1">
      <alignment readingOrder="1"/>
    </xf>
    <xf numFmtId="0" fontId="32" fillId="32" borderId="0" xfId="0" applyFont="1" applyFill="1" applyAlignment="1">
      <alignment readingOrder="1"/>
    </xf>
    <xf numFmtId="0" fontId="32" fillId="29" borderId="0" xfId="0" applyFont="1" applyFill="1" applyAlignment="1">
      <alignment readingOrder="1"/>
    </xf>
    <xf numFmtId="0" fontId="0" fillId="29" borderId="0" xfId="0" applyFill="1" applyAlignment="1">
      <alignment readingOrder="1"/>
    </xf>
    <xf numFmtId="0" fontId="32" fillId="0" borderId="0" xfId="0" applyFont="1" applyAlignment="1">
      <alignment wrapText="1" readingOrder="1"/>
    </xf>
    <xf numFmtId="0" fontId="0" fillId="0" borderId="176" xfId="0" applyBorder="1" applyAlignment="1">
      <alignment readingOrder="1"/>
    </xf>
    <xf numFmtId="170" fontId="0" fillId="0" borderId="176" xfId="0" applyNumberFormat="1" applyBorder="1" applyAlignment="1">
      <alignment readingOrder="1"/>
    </xf>
    <xf numFmtId="171" fontId="0" fillId="0" borderId="176" xfId="17" applyNumberFormat="1" applyFont="1" applyBorder="1" applyAlignment="1">
      <alignment readingOrder="1"/>
    </xf>
    <xf numFmtId="1" fontId="0" fillId="0" borderId="176" xfId="0" applyNumberFormat="1" applyBorder="1" applyAlignment="1">
      <alignment readingOrder="1"/>
    </xf>
    <xf numFmtId="171" fontId="0" fillId="0" borderId="176" xfId="0" applyNumberFormat="1" applyFill="1" applyBorder="1" applyAlignment="1">
      <alignment readingOrder="1"/>
    </xf>
    <xf numFmtId="164" fontId="0" fillId="0" borderId="176" xfId="16" applyNumberFormat="1" applyFont="1" applyBorder="1" applyAlignment="1">
      <alignment readingOrder="1"/>
    </xf>
    <xf numFmtId="9" fontId="0" fillId="0" borderId="176" xfId="14" applyFont="1" applyBorder="1" applyAlignment="1">
      <alignment readingOrder="1"/>
    </xf>
    <xf numFmtId="2" fontId="0" fillId="0" borderId="176" xfId="0" applyNumberFormat="1" applyBorder="1" applyAlignment="1">
      <alignment readingOrder="1"/>
    </xf>
    <xf numFmtId="170" fontId="0" fillId="0" borderId="0" xfId="0" applyNumberFormat="1" applyBorder="1" applyAlignment="1">
      <alignment readingOrder="1"/>
    </xf>
    <xf numFmtId="171" fontId="0" fillId="0" borderId="0" xfId="17" applyNumberFormat="1" applyFont="1" applyBorder="1" applyAlignment="1">
      <alignment readingOrder="1"/>
    </xf>
    <xf numFmtId="1" fontId="0" fillId="0" borderId="0" xfId="0" applyNumberFormat="1" applyAlignment="1">
      <alignment readingOrder="1"/>
    </xf>
    <xf numFmtId="171" fontId="0" fillId="0" borderId="0" xfId="0" applyNumberFormat="1" applyFill="1" applyAlignment="1">
      <alignment readingOrder="1"/>
    </xf>
    <xf numFmtId="164" fontId="0" fillId="0" borderId="0" xfId="16" applyNumberFormat="1" applyFont="1" applyAlignment="1">
      <alignment readingOrder="1"/>
    </xf>
    <xf numFmtId="2" fontId="0" fillId="0" borderId="0" xfId="0" applyNumberFormat="1" applyAlignment="1">
      <alignment readingOrder="1"/>
    </xf>
    <xf numFmtId="170" fontId="0" fillId="18" borderId="0" xfId="0" applyNumberFormat="1" applyFill="1" applyBorder="1" applyAlignment="1">
      <alignment readingOrder="1"/>
    </xf>
    <xf numFmtId="0" fontId="5" fillId="16" borderId="318" xfId="320" applyFont="1" applyFill="1" applyBorder="1"/>
    <xf numFmtId="0" fontId="0" fillId="16" borderId="0" xfId="0" applyFill="1" applyAlignment="1">
      <alignment horizontal="left" vertical="top" wrapText="1"/>
    </xf>
    <xf numFmtId="0" fontId="30" fillId="16" borderId="5" xfId="0" applyFont="1" applyFill="1" applyBorder="1" applyAlignment="1">
      <alignment wrapText="1"/>
    </xf>
    <xf numFmtId="0" fontId="30" fillId="16" borderId="48" xfId="0" applyFont="1" applyFill="1" applyBorder="1" applyAlignment="1">
      <alignment wrapText="1"/>
    </xf>
    <xf numFmtId="0" fontId="31" fillId="16" borderId="0" xfId="0" applyFont="1" applyFill="1" applyBorder="1"/>
    <xf numFmtId="171" fontId="20" fillId="0" borderId="0" xfId="17" applyNumberFormat="1" applyFont="1" applyAlignment="1">
      <alignment readingOrder="1"/>
    </xf>
    <xf numFmtId="164" fontId="20" fillId="0" borderId="0" xfId="8221" applyNumberFormat="1" applyFont="1" applyAlignment="1">
      <alignment readingOrder="1"/>
    </xf>
    <xf numFmtId="9" fontId="20" fillId="0" borderId="0" xfId="14" applyFont="1" applyAlignment="1">
      <alignment readingOrder="1"/>
    </xf>
    <xf numFmtId="0" fontId="20" fillId="113" borderId="0" xfId="13" applyFill="1">
      <alignment readingOrder="1"/>
    </xf>
    <xf numFmtId="170" fontId="20" fillId="113" borderId="0" xfId="13" applyNumberFormat="1" applyFill="1">
      <alignment readingOrder="1"/>
    </xf>
    <xf numFmtId="171" fontId="20" fillId="113" borderId="0" xfId="17" applyNumberFormat="1" applyFont="1" applyFill="1" applyAlignment="1">
      <alignment readingOrder="1"/>
    </xf>
    <xf numFmtId="1" fontId="0" fillId="113" borderId="0" xfId="0" applyNumberFormat="1" applyFill="1" applyAlignment="1">
      <alignment readingOrder="1"/>
    </xf>
    <xf numFmtId="171" fontId="20" fillId="113" borderId="0" xfId="13" applyNumberFormat="1" applyFill="1">
      <alignment readingOrder="1"/>
    </xf>
    <xf numFmtId="164" fontId="20" fillId="113" borderId="0" xfId="8221" applyNumberFormat="1" applyFont="1" applyFill="1" applyAlignment="1">
      <alignment readingOrder="1"/>
    </xf>
    <xf numFmtId="9" fontId="20" fillId="113" borderId="0" xfId="14" applyFont="1" applyFill="1" applyAlignment="1">
      <alignment readingOrder="1"/>
    </xf>
    <xf numFmtId="0" fontId="0" fillId="113" borderId="0" xfId="0" applyFill="1" applyAlignment="1">
      <alignment readingOrder="1"/>
    </xf>
    <xf numFmtId="9" fontId="1" fillId="16" borderId="413" xfId="15" applyNumberFormat="1" applyFill="1" applyBorder="1"/>
    <xf numFmtId="9" fontId="1" fillId="16" borderId="116" xfId="15" applyNumberFormat="1" applyFill="1" applyBorder="1"/>
    <xf numFmtId="0" fontId="0" fillId="16" borderId="414" xfId="0" applyFill="1" applyBorder="1" applyAlignment="1">
      <alignment readingOrder="1"/>
    </xf>
    <xf numFmtId="0" fontId="0" fillId="16" borderId="413" xfId="0" applyFill="1" applyBorder="1" applyAlignment="1">
      <alignment readingOrder="1"/>
    </xf>
    <xf numFmtId="9" fontId="0" fillId="16" borderId="413" xfId="14" applyFont="1" applyFill="1" applyBorder="1"/>
    <xf numFmtId="2" fontId="20" fillId="16" borderId="413" xfId="13" applyNumberFormat="1" applyFill="1" applyBorder="1" applyAlignment="1"/>
    <xf numFmtId="43" fontId="1" fillId="16" borderId="415" xfId="1" applyFont="1" applyFill="1" applyBorder="1"/>
    <xf numFmtId="0" fontId="0" fillId="16" borderId="416" xfId="0" applyFill="1" applyBorder="1" applyAlignment="1">
      <alignment readingOrder="1"/>
    </xf>
    <xf numFmtId="0" fontId="0" fillId="16" borderId="116" xfId="0" applyFill="1" applyBorder="1" applyAlignment="1">
      <alignment readingOrder="1"/>
    </xf>
    <xf numFmtId="9" fontId="0" fillId="16" borderId="116" xfId="14" applyFont="1" applyFill="1" applyBorder="1"/>
    <xf numFmtId="2" fontId="20" fillId="16" borderId="116" xfId="13" applyNumberFormat="1" applyFill="1" applyBorder="1" applyAlignment="1"/>
    <xf numFmtId="43" fontId="1" fillId="16" borderId="417" xfId="1" applyFont="1" applyFill="1" applyBorder="1"/>
    <xf numFmtId="0" fontId="0" fillId="21" borderId="416" xfId="0" applyFill="1" applyBorder="1" applyAlignment="1">
      <alignment readingOrder="1"/>
    </xf>
    <xf numFmtId="0" fontId="0" fillId="21" borderId="116" xfId="0" applyFill="1" applyBorder="1" applyAlignment="1">
      <alignment readingOrder="1"/>
    </xf>
    <xf numFmtId="9" fontId="0" fillId="21" borderId="116" xfId="14" applyFont="1" applyFill="1" applyBorder="1"/>
    <xf numFmtId="168" fontId="20" fillId="21" borderId="116" xfId="16" applyNumberFormat="1" applyFont="1" applyFill="1" applyBorder="1"/>
    <xf numFmtId="2" fontId="20" fillId="21" borderId="116" xfId="13" applyNumberFormat="1" applyFill="1" applyBorder="1" applyAlignment="1"/>
    <xf numFmtId="43" fontId="1" fillId="21" borderId="417" xfId="1" applyFont="1" applyFill="1" applyBorder="1"/>
    <xf numFmtId="0" fontId="0" fillId="16" borderId="156" xfId="0" applyFill="1" applyBorder="1" applyAlignment="1">
      <alignment readingOrder="1"/>
    </xf>
    <xf numFmtId="0" fontId="0" fillId="16" borderId="418" xfId="0" applyFill="1" applyBorder="1" applyAlignment="1">
      <alignment readingOrder="1"/>
    </xf>
    <xf numFmtId="9" fontId="0" fillId="16" borderId="418" xfId="14" applyFont="1" applyFill="1" applyBorder="1"/>
    <xf numFmtId="2" fontId="20" fillId="16" borderId="418" xfId="13" applyNumberFormat="1" applyFill="1" applyBorder="1" applyAlignment="1"/>
    <xf numFmtId="43" fontId="1" fillId="16" borderId="419" xfId="1" applyFont="1" applyFill="1" applyBorder="1"/>
    <xf numFmtId="9" fontId="1" fillId="16" borderId="418" xfId="15" applyNumberFormat="1" applyFill="1" applyBorder="1"/>
    <xf numFmtId="164" fontId="120" fillId="17" borderId="420" xfId="4" applyNumberFormat="1" applyFont="1" applyFill="1" applyBorder="1"/>
    <xf numFmtId="10" fontId="154" fillId="17" borderId="421" xfId="0" applyNumberFormat="1" applyFont="1" applyFill="1" applyBorder="1"/>
    <xf numFmtId="43" fontId="120" fillId="19" borderId="422" xfId="4" applyNumberFormat="1" applyFont="1" applyFill="1" applyBorder="1"/>
    <xf numFmtId="164" fontId="120" fillId="17" borderId="423" xfId="4" applyNumberFormat="1" applyFont="1" applyFill="1" applyBorder="1"/>
    <xf numFmtId="10" fontId="154" fillId="17" borderId="424" xfId="0" applyNumberFormat="1" applyFont="1" applyFill="1" applyBorder="1"/>
    <xf numFmtId="43" fontId="120" fillId="19" borderId="425" xfId="4" applyNumberFormat="1" applyFont="1" applyFill="1" applyBorder="1"/>
    <xf numFmtId="43" fontId="7" fillId="16" borderId="0" xfId="1" applyFont="1" applyFill="1"/>
    <xf numFmtId="164" fontId="163" fillId="16" borderId="0" xfId="0" applyNumberFormat="1" applyFont="1" applyFill="1"/>
    <xf numFmtId="43" fontId="7" fillId="17" borderId="9" xfId="1" applyFont="1" applyFill="1" applyBorder="1"/>
    <xf numFmtId="0" fontId="7" fillId="17" borderId="0" xfId="0" applyFont="1" applyFill="1" applyBorder="1" applyAlignment="1">
      <alignment wrapText="1"/>
    </xf>
    <xf numFmtId="164" fontId="7" fillId="17" borderId="0" xfId="0" applyNumberFormat="1" applyFont="1" applyFill="1" applyBorder="1"/>
    <xf numFmtId="10" fontId="154" fillId="17" borderId="0" xfId="0" applyNumberFormat="1" applyFont="1" applyFill="1" applyBorder="1"/>
    <xf numFmtId="164" fontId="120" fillId="19" borderId="0" xfId="4" applyNumberFormat="1" applyFont="1" applyFill="1" applyBorder="1"/>
    <xf numFmtId="43" fontId="7" fillId="17" borderId="0" xfId="1" applyFont="1" applyFill="1" applyBorder="1"/>
    <xf numFmtId="43" fontId="154" fillId="17" borderId="21" xfId="1" applyFont="1" applyFill="1" applyBorder="1" applyAlignment="1">
      <alignment wrapText="1"/>
    </xf>
    <xf numFmtId="43" fontId="154" fillId="17" borderId="7" xfId="1" applyFont="1" applyFill="1" applyBorder="1" applyAlignment="1">
      <alignment wrapText="1"/>
    </xf>
    <xf numFmtId="43" fontId="154" fillId="17" borderId="22" xfId="1" applyFont="1" applyFill="1" applyBorder="1" applyAlignment="1">
      <alignment wrapText="1"/>
    </xf>
    <xf numFmtId="0" fontId="7" fillId="17" borderId="334" xfId="0" applyFont="1" applyFill="1" applyBorder="1" applyAlignment="1"/>
    <xf numFmtId="0" fontId="173" fillId="16" borderId="0" xfId="0" applyFont="1" applyFill="1"/>
    <xf numFmtId="0" fontId="173" fillId="16" borderId="0" xfId="0" applyFont="1" applyFill="1" applyBorder="1"/>
    <xf numFmtId="0" fontId="7" fillId="16" borderId="0" xfId="0" applyFont="1" applyFill="1" applyBorder="1" applyAlignment="1"/>
    <xf numFmtId="0" fontId="112" fillId="104" borderId="91" xfId="0" applyFont="1" applyFill="1" applyBorder="1" applyAlignment="1">
      <alignment horizontal="center" wrapText="1"/>
    </xf>
    <xf numFmtId="164" fontId="7" fillId="16" borderId="0" xfId="0" applyNumberFormat="1" applyFont="1" applyFill="1" applyAlignment="1">
      <alignment wrapText="1"/>
    </xf>
    <xf numFmtId="164" fontId="7" fillId="16" borderId="91" xfId="0" applyNumberFormat="1" applyFont="1" applyFill="1" applyBorder="1"/>
    <xf numFmtId="43" fontId="7" fillId="19" borderId="91" xfId="0" applyNumberFormat="1" applyFont="1" applyFill="1" applyBorder="1"/>
    <xf numFmtId="0" fontId="7" fillId="0" borderId="4" xfId="0" applyFont="1" applyBorder="1"/>
    <xf numFmtId="0" fontId="7" fillId="0" borderId="174" xfId="0" applyFont="1" applyBorder="1"/>
    <xf numFmtId="0" fontId="183" fillId="16" borderId="0" xfId="0" applyFont="1" applyFill="1"/>
    <xf numFmtId="0" fontId="7" fillId="23" borderId="91" xfId="0" applyFont="1" applyFill="1" applyBorder="1"/>
    <xf numFmtId="0" fontId="136" fillId="16" borderId="0" xfId="0" applyFont="1" applyFill="1"/>
    <xf numFmtId="0" fontId="192" fillId="26" borderId="64" xfId="120" applyFont="1" applyFill="1"/>
    <xf numFmtId="0" fontId="192" fillId="26" borderId="64" xfId="120" applyNumberFormat="1" applyFont="1" applyFill="1"/>
    <xf numFmtId="0" fontId="192" fillId="16" borderId="64" xfId="120" applyFont="1" applyFill="1"/>
    <xf numFmtId="164" fontId="192" fillId="16" borderId="64" xfId="120" applyNumberFormat="1" applyFont="1" applyFill="1"/>
    <xf numFmtId="165" fontId="192" fillId="16" borderId="64" xfId="120" applyNumberFormat="1" applyFont="1" applyFill="1"/>
    <xf numFmtId="0" fontId="137" fillId="16" borderId="0" xfId="0" applyFont="1" applyFill="1"/>
    <xf numFmtId="0" fontId="176" fillId="0" borderId="0" xfId="13" applyFont="1">
      <alignment readingOrder="1"/>
    </xf>
    <xf numFmtId="0" fontId="80" fillId="0" borderId="174" xfId="0" applyFont="1" applyBorder="1" applyAlignment="1">
      <alignment horizontal="center" wrapText="1"/>
    </xf>
    <xf numFmtId="2" fontId="80" fillId="105" borderId="174" xfId="0" applyNumberFormat="1" applyFont="1" applyFill="1" applyBorder="1" applyAlignment="1">
      <alignment horizontal="center" wrapText="1"/>
    </xf>
    <xf numFmtId="0" fontId="80" fillId="0" borderId="173" xfId="0" applyFont="1" applyBorder="1" applyAlignment="1">
      <alignment horizontal="center" wrapText="1"/>
    </xf>
    <xf numFmtId="0" fontId="80" fillId="17" borderId="4" xfId="0" applyFont="1" applyFill="1" applyBorder="1" applyAlignment="1">
      <alignment horizontal="center" wrapText="1"/>
    </xf>
    <xf numFmtId="0" fontId="80" fillId="17" borderId="173" xfId="0" applyFont="1" applyFill="1" applyBorder="1" applyAlignment="1">
      <alignment horizontal="center" wrapText="1"/>
    </xf>
    <xf numFmtId="0" fontId="7" fillId="19" borderId="71" xfId="0" applyFont="1" applyFill="1" applyBorder="1" applyAlignment="1">
      <alignment horizontal="left" vertical="center" wrapText="1"/>
    </xf>
    <xf numFmtId="1" fontId="7" fillId="19" borderId="71" xfId="0" applyNumberFormat="1" applyFont="1" applyFill="1" applyBorder="1" applyAlignment="1">
      <alignment horizontal="center" vertical="center" wrapText="1"/>
    </xf>
    <xf numFmtId="170" fontId="7" fillId="19" borderId="71" xfId="0" applyNumberFormat="1" applyFont="1" applyFill="1" applyBorder="1" applyAlignment="1">
      <alignment horizontal="center" vertical="center" wrapText="1"/>
    </xf>
    <xf numFmtId="10" fontId="7" fillId="19" borderId="71" xfId="0" applyNumberFormat="1" applyFont="1" applyFill="1" applyBorder="1" applyAlignment="1">
      <alignment horizontal="center" vertical="center" wrapText="1"/>
    </xf>
    <xf numFmtId="1" fontId="7" fillId="19" borderId="33" xfId="0" applyNumberFormat="1" applyFont="1" applyFill="1" applyBorder="1" applyAlignment="1">
      <alignment horizontal="center" vertical="center" wrapText="1"/>
    </xf>
    <xf numFmtId="2" fontId="7" fillId="19" borderId="71" xfId="0" applyNumberFormat="1" applyFont="1" applyFill="1" applyBorder="1" applyAlignment="1">
      <alignment horizontal="center" vertical="center" wrapText="1"/>
    </xf>
    <xf numFmtId="167" fontId="7" fillId="19" borderId="33" xfId="0" applyNumberFormat="1" applyFont="1" applyFill="1" applyBorder="1" applyAlignment="1">
      <alignment horizontal="center" vertical="center" wrapText="1"/>
    </xf>
    <xf numFmtId="1" fontId="7" fillId="19" borderId="70" xfId="0" applyNumberFormat="1" applyFont="1" applyFill="1" applyBorder="1" applyAlignment="1">
      <alignment horizontal="center" vertical="center" wrapText="1"/>
    </xf>
    <xf numFmtId="0" fontId="7" fillId="19" borderId="91" xfId="0" applyFont="1" applyFill="1" applyBorder="1" applyAlignment="1">
      <alignment horizontal="left" vertical="center" wrapText="1"/>
    </xf>
    <xf numFmtId="1" fontId="7" fillId="19" borderId="91" xfId="0" applyNumberFormat="1" applyFont="1" applyFill="1" applyBorder="1" applyAlignment="1">
      <alignment horizontal="center" vertical="center" wrapText="1"/>
    </xf>
    <xf numFmtId="170" fontId="7" fillId="19" borderId="91" xfId="0" applyNumberFormat="1" applyFont="1" applyFill="1" applyBorder="1" applyAlignment="1">
      <alignment horizontal="center" vertical="center" wrapText="1"/>
    </xf>
    <xf numFmtId="10" fontId="7" fillId="19" borderId="91" xfId="0" applyNumberFormat="1" applyFont="1" applyFill="1" applyBorder="1" applyAlignment="1">
      <alignment horizontal="center" vertical="center" wrapText="1"/>
    </xf>
    <xf numFmtId="1" fontId="7" fillId="19" borderId="96" xfId="0" applyNumberFormat="1" applyFont="1" applyFill="1" applyBorder="1" applyAlignment="1">
      <alignment horizontal="center" vertical="center" wrapText="1"/>
    </xf>
    <xf numFmtId="2" fontId="7" fillId="19" borderId="91" xfId="0" applyNumberFormat="1" applyFont="1" applyFill="1" applyBorder="1" applyAlignment="1">
      <alignment horizontal="center" vertical="center" wrapText="1"/>
    </xf>
    <xf numFmtId="167" fontId="7" fillId="19" borderId="96" xfId="0" applyNumberFormat="1" applyFont="1" applyFill="1" applyBorder="1" applyAlignment="1">
      <alignment horizontal="center" vertical="center" wrapText="1"/>
    </xf>
    <xf numFmtId="1" fontId="7" fillId="19" borderId="104" xfId="0" applyNumberFormat="1" applyFont="1" applyFill="1" applyBorder="1" applyAlignment="1">
      <alignment horizontal="center" vertical="center" wrapText="1"/>
    </xf>
    <xf numFmtId="1" fontId="7" fillId="19" borderId="91" xfId="0" applyNumberFormat="1" applyFont="1" applyFill="1" applyBorder="1" applyAlignment="1">
      <alignment horizontal="center" vertical="center"/>
    </xf>
    <xf numFmtId="170" fontId="7" fillId="19" borderId="91" xfId="0" applyNumberFormat="1" applyFont="1" applyFill="1" applyBorder="1" applyAlignment="1">
      <alignment horizontal="center" vertical="center"/>
    </xf>
    <xf numFmtId="10" fontId="7" fillId="19" borderId="91" xfId="0" applyNumberFormat="1" applyFont="1" applyFill="1" applyBorder="1" applyAlignment="1">
      <alignment horizontal="center" vertical="center"/>
    </xf>
    <xf numFmtId="1" fontId="7" fillId="19" borderId="96" xfId="0" applyNumberFormat="1" applyFont="1" applyFill="1" applyBorder="1" applyAlignment="1">
      <alignment horizontal="center" vertical="center"/>
    </xf>
    <xf numFmtId="2" fontId="7" fillId="19" borderId="91" xfId="0" applyNumberFormat="1" applyFont="1" applyFill="1" applyBorder="1" applyAlignment="1">
      <alignment horizontal="center" vertical="center"/>
    </xf>
    <xf numFmtId="1" fontId="7" fillId="19" borderId="104" xfId="0" applyNumberFormat="1" applyFont="1" applyFill="1" applyBorder="1" applyAlignment="1">
      <alignment horizontal="center" vertical="center"/>
    </xf>
    <xf numFmtId="0" fontId="7" fillId="29" borderId="91" xfId="0" applyFont="1" applyFill="1" applyBorder="1" applyAlignment="1">
      <alignment horizontal="left" vertical="center"/>
    </xf>
    <xf numFmtId="1" fontId="7" fillId="29" borderId="91" xfId="0" applyNumberFormat="1" applyFont="1" applyFill="1" applyBorder="1" applyAlignment="1">
      <alignment horizontal="center" vertical="center"/>
    </xf>
    <xf numFmtId="170" fontId="7" fillId="29" borderId="91" xfId="0" applyNumberFormat="1" applyFont="1" applyFill="1" applyBorder="1" applyAlignment="1">
      <alignment horizontal="center" vertical="center"/>
    </xf>
    <xf numFmtId="10" fontId="7" fillId="29" borderId="91" xfId="0" applyNumberFormat="1" applyFont="1" applyFill="1" applyBorder="1" applyAlignment="1">
      <alignment horizontal="center" vertical="center"/>
    </xf>
    <xf numFmtId="1" fontId="7" fillId="29" borderId="96" xfId="0" applyNumberFormat="1" applyFont="1" applyFill="1" applyBorder="1" applyAlignment="1">
      <alignment horizontal="center" vertical="center"/>
    </xf>
    <xf numFmtId="2" fontId="7" fillId="29" borderId="91" xfId="0" applyNumberFormat="1" applyFont="1" applyFill="1" applyBorder="1" applyAlignment="1">
      <alignment horizontal="center" vertical="center"/>
    </xf>
    <xf numFmtId="167" fontId="7" fillId="29" borderId="96" xfId="0" applyNumberFormat="1" applyFont="1" applyFill="1" applyBorder="1" applyAlignment="1">
      <alignment horizontal="center" vertical="center" wrapText="1"/>
    </xf>
    <xf numFmtId="1" fontId="7" fillId="29" borderId="104" xfId="0" applyNumberFormat="1" applyFont="1" applyFill="1" applyBorder="1" applyAlignment="1">
      <alignment horizontal="center" vertical="center"/>
    </xf>
    <xf numFmtId="0" fontId="7" fillId="29" borderId="71" xfId="0" applyFont="1" applyFill="1" applyBorder="1" applyAlignment="1">
      <alignment horizontal="left" vertical="center"/>
    </xf>
    <xf numFmtId="1" fontId="7" fillId="29" borderId="71" xfId="0" applyNumberFormat="1" applyFont="1" applyFill="1" applyBorder="1" applyAlignment="1">
      <alignment horizontal="center" vertical="center"/>
    </xf>
    <xf numFmtId="170" fontId="7" fillId="29" borderId="71" xfId="0" applyNumberFormat="1" applyFont="1" applyFill="1" applyBorder="1" applyAlignment="1">
      <alignment horizontal="center" vertical="center"/>
    </xf>
    <xf numFmtId="10" fontId="7" fillId="29" borderId="71" xfId="0" applyNumberFormat="1" applyFont="1" applyFill="1" applyBorder="1" applyAlignment="1">
      <alignment horizontal="center" vertical="center"/>
    </xf>
    <xf numFmtId="1" fontId="7" fillId="29" borderId="33" xfId="0" applyNumberFormat="1" applyFont="1" applyFill="1" applyBorder="1" applyAlignment="1">
      <alignment horizontal="center" vertical="center"/>
    </xf>
    <xf numFmtId="2" fontId="7" fillId="29" borderId="71" xfId="0" applyNumberFormat="1" applyFont="1" applyFill="1" applyBorder="1" applyAlignment="1">
      <alignment horizontal="center" vertical="center"/>
    </xf>
    <xf numFmtId="167" fontId="7" fillId="29" borderId="33" xfId="0" applyNumberFormat="1" applyFont="1" applyFill="1" applyBorder="1" applyAlignment="1">
      <alignment horizontal="center" vertical="center" wrapText="1"/>
    </xf>
    <xf numFmtId="167" fontId="193" fillId="19" borderId="96" xfId="0" applyNumberFormat="1" applyFont="1" applyFill="1" applyBorder="1" applyAlignment="1">
      <alignment horizontal="center" vertical="center" wrapText="1"/>
    </xf>
    <xf numFmtId="0" fontId="7" fillId="19" borderId="102" xfId="0" applyFont="1" applyFill="1" applyBorder="1" applyAlignment="1">
      <alignment horizontal="left" vertical="center" wrapText="1"/>
    </xf>
    <xf numFmtId="1" fontId="7" fillId="19" borderId="102" xfId="0" applyNumberFormat="1" applyFont="1" applyFill="1" applyBorder="1" applyAlignment="1">
      <alignment horizontal="center" vertical="center" wrapText="1"/>
    </xf>
    <xf numFmtId="170" fontId="7" fillId="19" borderId="102" xfId="0" applyNumberFormat="1" applyFont="1" applyFill="1" applyBorder="1" applyAlignment="1">
      <alignment horizontal="center" vertical="center" wrapText="1"/>
    </xf>
    <xf numFmtId="10" fontId="7" fillId="19" borderId="102" xfId="0" applyNumberFormat="1" applyFont="1" applyFill="1" applyBorder="1" applyAlignment="1">
      <alignment horizontal="center" vertical="center" wrapText="1"/>
    </xf>
    <xf numFmtId="1" fontId="7" fillId="19" borderId="249" xfId="0" applyNumberFormat="1" applyFont="1" applyFill="1" applyBorder="1" applyAlignment="1">
      <alignment horizontal="center" vertical="center" wrapText="1"/>
    </xf>
    <xf numFmtId="2" fontId="7" fillId="19" borderId="102" xfId="0" applyNumberFormat="1" applyFont="1" applyFill="1" applyBorder="1" applyAlignment="1">
      <alignment horizontal="center" vertical="center" wrapText="1"/>
    </xf>
    <xf numFmtId="167" fontId="7" fillId="19" borderId="249" xfId="0" applyNumberFormat="1" applyFont="1" applyFill="1" applyBorder="1" applyAlignment="1">
      <alignment horizontal="center" vertical="center" wrapText="1"/>
    </xf>
    <xf numFmtId="1" fontId="7" fillId="19" borderId="75" xfId="0" applyNumberFormat="1" applyFont="1" applyFill="1" applyBorder="1" applyAlignment="1">
      <alignment horizontal="center" vertical="center" wrapText="1"/>
    </xf>
    <xf numFmtId="1" fontId="7" fillId="19" borderId="177" xfId="0" applyNumberFormat="1" applyFont="1" applyFill="1" applyBorder="1" applyAlignment="1">
      <alignment horizontal="center" vertical="center" wrapText="1"/>
    </xf>
    <xf numFmtId="0" fontId="7" fillId="23" borderId="91" xfId="0" applyFont="1" applyFill="1" applyBorder="1" applyAlignment="1">
      <alignment horizontal="left" vertical="center" wrapText="1"/>
    </xf>
    <xf numFmtId="1" fontId="7" fillId="23" borderId="91" xfId="0" applyNumberFormat="1" applyFont="1" applyFill="1" applyBorder="1" applyAlignment="1">
      <alignment horizontal="center" vertical="center" wrapText="1"/>
    </xf>
    <xf numFmtId="170" fontId="7" fillId="23" borderId="91" xfId="0" applyNumberFormat="1" applyFont="1" applyFill="1" applyBorder="1" applyAlignment="1">
      <alignment horizontal="center" vertical="center" wrapText="1"/>
    </xf>
    <xf numFmtId="10" fontId="7" fillId="23" borderId="91" xfId="0" applyNumberFormat="1" applyFont="1" applyFill="1" applyBorder="1" applyAlignment="1">
      <alignment horizontal="center" vertical="center" wrapText="1"/>
    </xf>
    <xf numFmtId="2" fontId="7" fillId="23" borderId="96" xfId="0" applyNumberFormat="1" applyFont="1" applyFill="1" applyBorder="1" applyAlignment="1">
      <alignment horizontal="center" vertical="center" wrapText="1"/>
    </xf>
    <xf numFmtId="164" fontId="7" fillId="23" borderId="91" xfId="1" applyNumberFormat="1" applyFont="1" applyFill="1" applyBorder="1" applyAlignment="1">
      <alignment horizontal="center" vertical="center" wrapText="1"/>
    </xf>
    <xf numFmtId="167" fontId="7" fillId="23" borderId="96" xfId="0" applyNumberFormat="1" applyFont="1" applyFill="1" applyBorder="1" applyAlignment="1">
      <alignment horizontal="center" vertical="center" wrapText="1"/>
    </xf>
    <xf numFmtId="1" fontId="7" fillId="23" borderId="104" xfId="0" applyNumberFormat="1" applyFont="1" applyFill="1" applyBorder="1" applyAlignment="1">
      <alignment horizontal="center" vertical="center" wrapText="1"/>
    </xf>
    <xf numFmtId="0" fontId="7" fillId="18" borderId="91" xfId="0" applyFont="1" applyFill="1" applyBorder="1" applyAlignment="1">
      <alignment horizontal="left" vertical="center" wrapText="1"/>
    </xf>
    <xf numFmtId="1" fontId="7" fillId="18" borderId="91" xfId="0" applyNumberFormat="1" applyFont="1" applyFill="1" applyBorder="1" applyAlignment="1">
      <alignment horizontal="center" vertical="center"/>
    </xf>
    <xf numFmtId="170" fontId="7" fillId="18" borderId="91" xfId="0" applyNumberFormat="1" applyFont="1" applyFill="1" applyBorder="1" applyAlignment="1">
      <alignment horizontal="center" vertical="center"/>
    </xf>
    <xf numFmtId="10" fontId="7" fillId="18" borderId="91" xfId="0" applyNumberFormat="1" applyFont="1" applyFill="1" applyBorder="1" applyAlignment="1">
      <alignment horizontal="center" vertical="center"/>
    </xf>
    <xf numFmtId="2" fontId="7" fillId="18" borderId="96" xfId="0" applyNumberFormat="1" applyFont="1" applyFill="1" applyBorder="1" applyAlignment="1">
      <alignment horizontal="center" vertical="center"/>
    </xf>
    <xf numFmtId="164" fontId="7" fillId="18" borderId="91" xfId="1" applyNumberFormat="1" applyFont="1" applyFill="1" applyBorder="1" applyAlignment="1">
      <alignment horizontal="center" vertical="center"/>
    </xf>
    <xf numFmtId="167" fontId="7" fillId="18" borderId="96" xfId="0" applyNumberFormat="1" applyFont="1" applyFill="1" applyBorder="1" applyAlignment="1">
      <alignment horizontal="center" vertical="center" wrapText="1"/>
    </xf>
    <xf numFmtId="1" fontId="7" fillId="18" borderId="104" xfId="0" applyNumberFormat="1" applyFont="1" applyFill="1" applyBorder="1" applyAlignment="1">
      <alignment horizontal="center" vertical="center"/>
    </xf>
    <xf numFmtId="0" fontId="7" fillId="32" borderId="91" xfId="0" applyFont="1" applyFill="1" applyBorder="1" applyAlignment="1">
      <alignment horizontal="left" vertical="center"/>
    </xf>
    <xf numFmtId="1" fontId="7" fillId="32" borderId="91" xfId="0" applyNumberFormat="1" applyFont="1" applyFill="1" applyBorder="1" applyAlignment="1">
      <alignment horizontal="center" vertical="center"/>
    </xf>
    <xf numFmtId="170" fontId="7" fillId="32" borderId="91" xfId="0" applyNumberFormat="1" applyFont="1" applyFill="1" applyBorder="1" applyAlignment="1">
      <alignment horizontal="center" vertical="center"/>
    </xf>
    <xf numFmtId="10" fontId="7" fillId="32" borderId="91" xfId="0" applyNumberFormat="1" applyFont="1" applyFill="1" applyBorder="1" applyAlignment="1">
      <alignment horizontal="center" vertical="center"/>
    </xf>
    <xf numFmtId="1" fontId="7" fillId="32" borderId="96" xfId="0" applyNumberFormat="1" applyFont="1" applyFill="1" applyBorder="1" applyAlignment="1">
      <alignment horizontal="center" vertical="center"/>
    </xf>
    <xf numFmtId="2" fontId="7" fillId="32" borderId="91" xfId="0" applyNumberFormat="1" applyFont="1" applyFill="1" applyBorder="1" applyAlignment="1">
      <alignment horizontal="center" vertical="center"/>
    </xf>
    <xf numFmtId="167" fontId="7" fillId="32" borderId="96" xfId="0" applyNumberFormat="1" applyFont="1" applyFill="1" applyBorder="1" applyAlignment="1">
      <alignment horizontal="center" vertical="center" wrapText="1"/>
    </xf>
    <xf numFmtId="1" fontId="7" fillId="32" borderId="104" xfId="0" applyNumberFormat="1" applyFont="1" applyFill="1" applyBorder="1" applyAlignment="1">
      <alignment horizontal="center" vertical="center"/>
    </xf>
    <xf numFmtId="0" fontId="7" fillId="18" borderId="91" xfId="0" applyFont="1" applyFill="1" applyBorder="1" applyAlignment="1">
      <alignment horizontal="left" vertical="center"/>
    </xf>
    <xf numFmtId="1" fontId="7" fillId="18" borderId="96" xfId="0" applyNumberFormat="1" applyFont="1" applyFill="1" applyBorder="1" applyAlignment="1">
      <alignment horizontal="center" vertical="center"/>
    </xf>
    <xf numFmtId="2" fontId="7" fillId="18" borderId="91" xfId="0" applyNumberFormat="1" applyFont="1" applyFill="1" applyBorder="1" applyAlignment="1">
      <alignment horizontal="center" vertical="center"/>
    </xf>
    <xf numFmtId="1" fontId="7" fillId="23" borderId="96" xfId="0" applyNumberFormat="1" applyFont="1" applyFill="1" applyBorder="1" applyAlignment="1">
      <alignment horizontal="center" vertical="center" wrapText="1"/>
    </xf>
    <xf numFmtId="2" fontId="7" fillId="23" borderId="91" xfId="0" applyNumberFormat="1" applyFont="1" applyFill="1" applyBorder="1" applyAlignment="1">
      <alignment horizontal="center" vertical="center" wrapText="1"/>
    </xf>
    <xf numFmtId="1" fontId="7" fillId="23" borderId="91" xfId="0" applyNumberFormat="1" applyFont="1" applyFill="1" applyBorder="1" applyAlignment="1">
      <alignment horizontal="center" vertical="center"/>
    </xf>
    <xf numFmtId="170" fontId="7" fillId="23" borderId="91" xfId="0" applyNumberFormat="1" applyFont="1" applyFill="1" applyBorder="1" applyAlignment="1">
      <alignment horizontal="center" vertical="center"/>
    </xf>
    <xf numFmtId="10" fontId="7" fillId="23" borderId="91" xfId="0" applyNumberFormat="1" applyFont="1" applyFill="1" applyBorder="1" applyAlignment="1">
      <alignment horizontal="center" vertical="center"/>
    </xf>
    <xf numFmtId="1" fontId="7" fillId="23" borderId="96" xfId="0" applyNumberFormat="1" applyFont="1" applyFill="1" applyBorder="1" applyAlignment="1">
      <alignment horizontal="center" vertical="center"/>
    </xf>
    <xf numFmtId="2" fontId="7" fillId="23" borderId="91" xfId="0" applyNumberFormat="1" applyFont="1" applyFill="1" applyBorder="1" applyAlignment="1">
      <alignment horizontal="center" vertical="center"/>
    </xf>
    <xf numFmtId="1" fontId="7" fillId="23" borderId="104" xfId="0" applyNumberFormat="1" applyFont="1" applyFill="1" applyBorder="1" applyAlignment="1">
      <alignment horizontal="center" vertical="center"/>
    </xf>
    <xf numFmtId="0" fontId="7" fillId="32" borderId="71" xfId="0" applyFont="1" applyFill="1" applyBorder="1" applyAlignment="1">
      <alignment horizontal="left" vertical="center"/>
    </xf>
    <xf numFmtId="1" fontId="7" fillId="32" borderId="71" xfId="0" applyNumberFormat="1" applyFont="1" applyFill="1" applyBorder="1" applyAlignment="1">
      <alignment horizontal="center" vertical="center"/>
    </xf>
    <xf numFmtId="170" fontId="7" fillId="32" borderId="71" xfId="0" applyNumberFormat="1" applyFont="1" applyFill="1" applyBorder="1" applyAlignment="1">
      <alignment horizontal="center" vertical="center"/>
    </xf>
    <xf numFmtId="10" fontId="7" fillId="32" borderId="71" xfId="0" applyNumberFormat="1" applyFont="1" applyFill="1" applyBorder="1" applyAlignment="1">
      <alignment horizontal="center" vertical="center"/>
    </xf>
    <xf numFmtId="1" fontId="7" fillId="32" borderId="33" xfId="0" applyNumberFormat="1" applyFont="1" applyFill="1" applyBorder="1" applyAlignment="1">
      <alignment horizontal="center" vertical="center"/>
    </xf>
    <xf numFmtId="2" fontId="7" fillId="32" borderId="71" xfId="0" applyNumberFormat="1" applyFont="1" applyFill="1" applyBorder="1" applyAlignment="1">
      <alignment horizontal="center" vertical="center"/>
    </xf>
    <xf numFmtId="167" fontId="7" fillId="32" borderId="33" xfId="0" applyNumberFormat="1" applyFont="1" applyFill="1" applyBorder="1" applyAlignment="1">
      <alignment horizontal="center" vertical="center" wrapText="1"/>
    </xf>
    <xf numFmtId="0" fontId="7" fillId="18" borderId="71" xfId="0" applyFont="1" applyFill="1" applyBorder="1" applyAlignment="1">
      <alignment horizontal="left" vertical="center"/>
    </xf>
    <xf numFmtId="1" fontId="7" fillId="18" borderId="71" xfId="0" applyNumberFormat="1" applyFont="1" applyFill="1" applyBorder="1" applyAlignment="1">
      <alignment horizontal="center" vertical="center"/>
    </xf>
    <xf numFmtId="170" fontId="7" fillId="18" borderId="71" xfId="0" applyNumberFormat="1" applyFont="1" applyFill="1" applyBorder="1" applyAlignment="1">
      <alignment horizontal="center" vertical="center"/>
    </xf>
    <xf numFmtId="10" fontId="7" fillId="18" borderId="71" xfId="0" applyNumberFormat="1" applyFont="1" applyFill="1" applyBorder="1" applyAlignment="1">
      <alignment horizontal="center" vertical="center"/>
    </xf>
    <xf numFmtId="1" fontId="7" fillId="18" borderId="33" xfId="0" applyNumberFormat="1" applyFont="1" applyFill="1" applyBorder="1" applyAlignment="1">
      <alignment horizontal="center" vertical="center"/>
    </xf>
    <xf numFmtId="2" fontId="7" fillId="18" borderId="71" xfId="0" applyNumberFormat="1" applyFont="1" applyFill="1" applyBorder="1" applyAlignment="1">
      <alignment horizontal="center" vertical="center"/>
    </xf>
    <xf numFmtId="167" fontId="7" fillId="18" borderId="33" xfId="0" applyNumberFormat="1" applyFont="1" applyFill="1" applyBorder="1" applyAlignment="1">
      <alignment horizontal="center" vertical="center" wrapText="1"/>
    </xf>
    <xf numFmtId="167" fontId="193" fillId="23" borderId="96" xfId="0" applyNumberFormat="1" applyFont="1" applyFill="1" applyBorder="1" applyAlignment="1">
      <alignment horizontal="center" vertical="center" wrapText="1"/>
    </xf>
    <xf numFmtId="0" fontId="7" fillId="18" borderId="102" xfId="0" applyFont="1" applyFill="1" applyBorder="1" applyAlignment="1">
      <alignment horizontal="left" vertical="center" wrapText="1"/>
    </xf>
    <xf numFmtId="1" fontId="7" fillId="18" borderId="102" xfId="0" applyNumberFormat="1" applyFont="1" applyFill="1" applyBorder="1" applyAlignment="1">
      <alignment horizontal="center" vertical="center" wrapText="1"/>
    </xf>
    <xf numFmtId="170" fontId="7" fillId="18" borderId="102" xfId="0" applyNumberFormat="1" applyFont="1" applyFill="1" applyBorder="1" applyAlignment="1">
      <alignment horizontal="center" vertical="center" wrapText="1"/>
    </xf>
    <xf numFmtId="10" fontId="7" fillId="18" borderId="102" xfId="0" applyNumberFormat="1" applyFont="1" applyFill="1" applyBorder="1" applyAlignment="1">
      <alignment horizontal="center" vertical="center" wrapText="1"/>
    </xf>
    <xf numFmtId="1" fontId="7" fillId="18" borderId="249" xfId="0" applyNumberFormat="1" applyFont="1" applyFill="1" applyBorder="1" applyAlignment="1">
      <alignment horizontal="center" vertical="center" wrapText="1"/>
    </xf>
    <xf numFmtId="2" fontId="7" fillId="18" borderId="102" xfId="0" applyNumberFormat="1" applyFont="1" applyFill="1" applyBorder="1" applyAlignment="1">
      <alignment horizontal="center" vertical="center" wrapText="1"/>
    </xf>
    <xf numFmtId="167" fontId="7" fillId="18" borderId="249" xfId="0" applyNumberFormat="1" applyFont="1" applyFill="1" applyBorder="1" applyAlignment="1">
      <alignment horizontal="center" vertical="center" wrapText="1"/>
    </xf>
    <xf numFmtId="1" fontId="7" fillId="18" borderId="101" xfId="0" applyNumberFormat="1" applyFont="1" applyFill="1" applyBorder="1" applyAlignment="1">
      <alignment horizontal="center" vertical="center" wrapText="1"/>
    </xf>
    <xf numFmtId="0" fontId="131" fillId="86" borderId="96" xfId="10" applyFont="1" applyFill="1" applyBorder="1" applyAlignment="1">
      <alignment horizontal="centerContinuous"/>
    </xf>
    <xf numFmtId="0" fontId="132" fillId="86" borderId="96" xfId="10" applyFont="1" applyFill="1" applyBorder="1" applyAlignment="1">
      <alignment horizontal="centerContinuous"/>
    </xf>
    <xf numFmtId="0" fontId="132" fillId="86" borderId="91" xfId="10" applyFont="1" applyFill="1" applyBorder="1" applyAlignment="1">
      <alignment horizontal="centerContinuous"/>
    </xf>
    <xf numFmtId="0" fontId="117" fillId="104" borderId="174" xfId="0" applyFont="1" applyFill="1" applyBorder="1" applyAlignment="1">
      <alignment horizontal="center" wrapText="1"/>
    </xf>
    <xf numFmtId="2" fontId="117" fillId="104" borderId="174" xfId="0" applyNumberFormat="1" applyFont="1" applyFill="1" applyBorder="1" applyAlignment="1">
      <alignment horizontal="center" wrapText="1"/>
    </xf>
    <xf numFmtId="0" fontId="117" fillId="104" borderId="173" xfId="0" applyFont="1" applyFill="1" applyBorder="1" applyAlignment="1">
      <alignment horizontal="center" wrapText="1"/>
    </xf>
    <xf numFmtId="0" fontId="117" fillId="104" borderId="5" xfId="0" applyFont="1" applyFill="1" applyBorder="1" applyAlignment="1">
      <alignment horizontal="center" wrapText="1"/>
    </xf>
    <xf numFmtId="0" fontId="117" fillId="104" borderId="158" xfId="0" applyFont="1" applyFill="1" applyBorder="1" applyAlignment="1">
      <alignment horizontal="center" wrapText="1"/>
    </xf>
    <xf numFmtId="9" fontId="117" fillId="104" borderId="6" xfId="0" applyNumberFormat="1" applyFont="1" applyFill="1" applyBorder="1" applyAlignment="1">
      <alignment horizontal="center" wrapText="1"/>
    </xf>
    <xf numFmtId="0" fontId="7" fillId="19" borderId="91" xfId="0" applyFont="1" applyFill="1" applyBorder="1" applyAlignment="1">
      <alignment horizontal="left" vertical="center"/>
    </xf>
    <xf numFmtId="1" fontId="7" fillId="19" borderId="91" xfId="1" applyNumberFormat="1" applyFont="1" applyFill="1" applyBorder="1" applyAlignment="1">
      <alignment horizontal="center" vertical="center"/>
    </xf>
    <xf numFmtId="1" fontId="7" fillId="19" borderId="96" xfId="1" applyNumberFormat="1" applyFont="1" applyFill="1" applyBorder="1" applyAlignment="1">
      <alignment horizontal="center" vertical="center"/>
    </xf>
    <xf numFmtId="9" fontId="7" fillId="19" borderId="96" xfId="2" applyFont="1" applyFill="1" applyBorder="1" applyAlignment="1">
      <alignment horizontal="center" vertical="center"/>
    </xf>
    <xf numFmtId="9" fontId="163" fillId="19" borderId="105" xfId="2" applyFont="1" applyFill="1" applyBorder="1" applyAlignment="1">
      <alignment horizontal="center" vertical="center"/>
    </xf>
    <xf numFmtId="1" fontId="7" fillId="29" borderId="91" xfId="1" applyNumberFormat="1" applyFont="1" applyFill="1" applyBorder="1" applyAlignment="1">
      <alignment horizontal="center" vertical="center"/>
    </xf>
    <xf numFmtId="1" fontId="7" fillId="29" borderId="96" xfId="1" applyNumberFormat="1" applyFont="1" applyFill="1" applyBorder="1" applyAlignment="1">
      <alignment horizontal="center" vertical="center"/>
    </xf>
    <xf numFmtId="9" fontId="7" fillId="29" borderId="96" xfId="2" applyFont="1" applyFill="1" applyBorder="1" applyAlignment="1">
      <alignment horizontal="center" vertical="center"/>
    </xf>
    <xf numFmtId="9" fontId="7" fillId="29" borderId="105" xfId="2" applyFont="1" applyFill="1" applyBorder="1" applyAlignment="1">
      <alignment horizontal="center" vertical="center"/>
    </xf>
    <xf numFmtId="0" fontId="7" fillId="23" borderId="91" xfId="0" applyFont="1" applyFill="1" applyBorder="1" applyAlignment="1">
      <alignment horizontal="left" vertical="center"/>
    </xf>
    <xf numFmtId="1" fontId="7" fillId="23" borderId="91" xfId="1" applyNumberFormat="1" applyFont="1" applyFill="1" applyBorder="1" applyAlignment="1">
      <alignment horizontal="center" vertical="center"/>
    </xf>
    <xf numFmtId="1" fontId="7" fillId="23" borderId="96" xfId="1" applyNumberFormat="1" applyFont="1" applyFill="1" applyBorder="1" applyAlignment="1">
      <alignment horizontal="center" vertical="center"/>
    </xf>
    <xf numFmtId="9" fontId="7" fillId="23" borderId="96" xfId="2" applyFont="1" applyFill="1" applyBorder="1" applyAlignment="1">
      <alignment horizontal="center" vertical="center"/>
    </xf>
    <xf numFmtId="9" fontId="163" fillId="23" borderId="105" xfId="2" applyFont="1" applyFill="1" applyBorder="1" applyAlignment="1">
      <alignment horizontal="center" vertical="center"/>
    </xf>
    <xf numFmtId="1" fontId="7" fillId="32" borderId="91" xfId="1" applyNumberFormat="1" applyFont="1" applyFill="1" applyBorder="1" applyAlignment="1">
      <alignment horizontal="center" vertical="center"/>
    </xf>
    <xf numFmtId="1" fontId="7" fillId="32" borderId="96" xfId="1" applyNumberFormat="1" applyFont="1" applyFill="1" applyBorder="1" applyAlignment="1">
      <alignment horizontal="center" vertical="center"/>
    </xf>
    <xf numFmtId="9" fontId="7" fillId="32" borderId="96" xfId="2" applyFont="1" applyFill="1" applyBorder="1" applyAlignment="1">
      <alignment horizontal="center" vertical="center"/>
    </xf>
    <xf numFmtId="9" fontId="7" fillId="32" borderId="105" xfId="2" applyFont="1" applyFill="1" applyBorder="1" applyAlignment="1">
      <alignment horizontal="center" vertical="center"/>
    </xf>
    <xf numFmtId="0" fontId="7" fillId="32" borderId="102" xfId="0" applyFont="1" applyFill="1" applyBorder="1" applyAlignment="1">
      <alignment horizontal="left" vertical="center"/>
    </xf>
    <xf numFmtId="1" fontId="7" fillId="32" borderId="102" xfId="1" applyNumberFormat="1" applyFont="1" applyFill="1" applyBorder="1" applyAlignment="1">
      <alignment horizontal="center" vertical="center"/>
    </xf>
    <xf numFmtId="1" fontId="7" fillId="32" borderId="249" xfId="1" applyNumberFormat="1" applyFont="1" applyFill="1" applyBorder="1" applyAlignment="1">
      <alignment horizontal="center" vertical="center"/>
    </xf>
    <xf numFmtId="9" fontId="7" fillId="32" borderId="249" xfId="2" applyFont="1" applyFill="1" applyBorder="1" applyAlignment="1">
      <alignment horizontal="center" vertical="center"/>
    </xf>
    <xf numFmtId="1" fontId="7" fillId="32" borderId="318" xfId="0" applyNumberFormat="1" applyFont="1" applyFill="1" applyBorder="1" applyAlignment="1">
      <alignment horizontal="center" vertical="center"/>
    </xf>
    <xf numFmtId="10" fontId="7" fillId="32" borderId="102" xfId="0" applyNumberFormat="1" applyFont="1" applyFill="1" applyBorder="1" applyAlignment="1">
      <alignment horizontal="center" vertical="center"/>
    </xf>
    <xf numFmtId="9" fontId="7" fillId="32" borderId="103" xfId="2" applyFont="1" applyFill="1" applyBorder="1" applyAlignment="1">
      <alignment horizontal="center" vertical="center"/>
    </xf>
    <xf numFmtId="49" fontId="7" fillId="0" borderId="0" xfId="0" applyNumberFormat="1" applyFont="1" applyAlignment="1">
      <alignment horizontal="right" vertical="center"/>
    </xf>
    <xf numFmtId="0" fontId="7" fillId="0" borderId="0" xfId="0" applyFont="1" applyAlignment="1">
      <alignment vertical="center"/>
    </xf>
    <xf numFmtId="168" fontId="120" fillId="19" borderId="339" xfId="4" applyNumberFormat="1" applyFont="1" applyFill="1" applyBorder="1"/>
    <xf numFmtId="0" fontId="134" fillId="19" borderId="91" xfId="8162" applyFont="1" applyFill="1" applyBorder="1" applyAlignment="1">
      <alignment wrapText="1"/>
    </xf>
    <xf numFmtId="0" fontId="134" fillId="19" borderId="91" xfId="8162" applyFont="1" applyFill="1" applyBorder="1" applyAlignment="1"/>
    <xf numFmtId="170" fontId="134" fillId="19" borderId="91" xfId="8162" applyNumberFormat="1" applyFont="1" applyFill="1" applyBorder="1" applyAlignment="1"/>
    <xf numFmtId="164" fontId="9" fillId="16" borderId="91" xfId="0" applyNumberFormat="1" applyFont="1" applyFill="1" applyBorder="1"/>
    <xf numFmtId="0" fontId="134" fillId="0" borderId="91" xfId="8162" applyFont="1" applyBorder="1" applyAlignment="1">
      <alignment wrapText="1"/>
    </xf>
    <xf numFmtId="0" fontId="134" fillId="0" borderId="91" xfId="8162" applyFont="1" applyBorder="1" applyAlignment="1"/>
    <xf numFmtId="170" fontId="134" fillId="0" borderId="91" xfId="8162" applyNumberFormat="1" applyFont="1" applyBorder="1" applyAlignment="1"/>
    <xf numFmtId="0" fontId="9" fillId="16" borderId="91" xfId="0" applyFont="1" applyFill="1" applyBorder="1"/>
    <xf numFmtId="0" fontId="134" fillId="23" borderId="91" xfId="8162" applyFont="1" applyFill="1" applyBorder="1" applyAlignment="1">
      <alignment wrapText="1"/>
    </xf>
    <xf numFmtId="0" fontId="134" fillId="23" borderId="91" xfId="8162" applyFont="1" applyFill="1" applyBorder="1" applyAlignment="1"/>
    <xf numFmtId="170" fontId="134" fillId="23" borderId="91" xfId="8162" applyNumberFormat="1" applyFont="1" applyFill="1" applyBorder="1" applyAlignment="1"/>
    <xf numFmtId="0" fontId="7" fillId="0" borderId="91" xfId="0" applyFont="1" applyBorder="1" applyAlignment="1">
      <alignment wrapText="1" readingOrder="1"/>
    </xf>
    <xf numFmtId="9" fontId="7" fillId="16" borderId="0" xfId="2" applyFont="1" applyFill="1"/>
    <xf numFmtId="0" fontId="80" fillId="16" borderId="100" xfId="0" applyFont="1" applyFill="1" applyBorder="1" applyAlignment="1">
      <alignment wrapText="1"/>
    </xf>
    <xf numFmtId="9" fontId="7" fillId="18" borderId="33" xfId="2" applyFont="1" applyFill="1" applyBorder="1"/>
    <xf numFmtId="9" fontId="7" fillId="18" borderId="35" xfId="2" applyFont="1" applyFill="1" applyBorder="1"/>
    <xf numFmtId="9" fontId="7" fillId="16" borderId="0" xfId="2" applyFont="1" applyFill="1" applyBorder="1"/>
    <xf numFmtId="0" fontId="133" fillId="38" borderId="91" xfId="10" applyFont="1" applyFill="1" applyBorder="1" applyAlignment="1">
      <alignment horizontal="center" wrapText="1"/>
    </xf>
    <xf numFmtId="0" fontId="7" fillId="16" borderId="0" xfId="0" applyFont="1" applyFill="1" applyAlignment="1">
      <alignment horizontal="left" wrapText="1"/>
    </xf>
    <xf numFmtId="0" fontId="149" fillId="0" borderId="0" xfId="0" applyFont="1" applyFill="1" applyAlignment="1">
      <alignment horizontal="left" vertical="center" wrapText="1"/>
    </xf>
    <xf numFmtId="0" fontId="136" fillId="17" borderId="0" xfId="0" applyFont="1" applyFill="1" applyAlignment="1">
      <alignment horizontal="left" vertical="top" wrapText="1"/>
    </xf>
    <xf numFmtId="0" fontId="133" fillId="38" borderId="91" xfId="10" applyFont="1" applyFill="1" applyBorder="1" applyAlignment="1">
      <alignment horizontal="center" wrapText="1"/>
    </xf>
    <xf numFmtId="0" fontId="121" fillId="104" borderId="0" xfId="0" applyFont="1" applyFill="1" applyAlignment="1">
      <alignment vertical="center" wrapText="1"/>
    </xf>
    <xf numFmtId="0" fontId="149" fillId="17" borderId="31" xfId="0" applyFont="1" applyFill="1" applyBorder="1" applyAlignment="1">
      <alignment wrapText="1"/>
    </xf>
    <xf numFmtId="0" fontId="149" fillId="17" borderId="0" xfId="0" applyFont="1" applyFill="1" applyBorder="1" applyAlignment="1">
      <alignment wrapText="1"/>
    </xf>
    <xf numFmtId="0" fontId="149" fillId="17" borderId="0" xfId="0" applyNumberFormat="1" applyFont="1" applyFill="1" applyBorder="1" applyAlignment="1">
      <alignment wrapText="1"/>
    </xf>
    <xf numFmtId="0" fontId="149" fillId="17" borderId="32" xfId="0" applyFont="1" applyFill="1" applyBorder="1" applyAlignment="1">
      <alignment wrapText="1"/>
    </xf>
    <xf numFmtId="0" fontId="194" fillId="17" borderId="7" xfId="0" applyFont="1" applyFill="1" applyBorder="1" applyAlignment="1">
      <alignment wrapText="1"/>
    </xf>
    <xf numFmtId="0" fontId="194" fillId="17" borderId="21" xfId="0" applyFont="1" applyFill="1" applyBorder="1" applyAlignment="1">
      <alignment wrapText="1"/>
    </xf>
    <xf numFmtId="0" fontId="194" fillId="17" borderId="22" xfId="0" applyFont="1" applyFill="1" applyBorder="1" applyAlignment="1">
      <alignment wrapText="1"/>
    </xf>
    <xf numFmtId="165" fontId="194" fillId="17" borderId="22" xfId="1" applyNumberFormat="1" applyFont="1" applyFill="1" applyBorder="1" applyAlignment="1">
      <alignment wrapText="1"/>
    </xf>
    <xf numFmtId="43" fontId="163" fillId="19" borderId="25" xfId="4" applyNumberFormat="1" applyFont="1" applyFill="1" applyBorder="1"/>
    <xf numFmtId="43" fontId="163" fillId="19" borderId="223" xfId="4" applyNumberFormat="1" applyFont="1" applyFill="1" applyBorder="1"/>
    <xf numFmtId="43" fontId="120" fillId="18" borderId="25" xfId="4" applyNumberFormat="1" applyFont="1" applyFill="1" applyBorder="1"/>
    <xf numFmtId="0" fontId="7" fillId="16" borderId="0" xfId="0" applyFont="1" applyFill="1" applyAlignment="1">
      <alignment vertical="center" wrapText="1"/>
    </xf>
    <xf numFmtId="0" fontId="7" fillId="16" borderId="31" xfId="211" applyFont="1" applyFill="1" applyBorder="1"/>
    <xf numFmtId="0" fontId="7" fillId="16" borderId="0" xfId="211" applyFont="1" applyFill="1" applyBorder="1"/>
    <xf numFmtId="1" fontId="134" fillId="95" borderId="316" xfId="211" applyNumberFormat="1" applyFont="1" applyFill="1" applyBorder="1"/>
    <xf numFmtId="1" fontId="134" fillId="95" borderId="108" xfId="211" applyNumberFormat="1" applyFont="1" applyFill="1" applyBorder="1"/>
    <xf numFmtId="0" fontId="7" fillId="16" borderId="33" xfId="211" applyFont="1" applyFill="1" applyBorder="1"/>
    <xf numFmtId="0" fontId="7" fillId="16" borderId="34" xfId="211" applyFont="1" applyFill="1" applyBorder="1"/>
    <xf numFmtId="1" fontId="134" fillId="95" borderId="71" xfId="211" applyNumberFormat="1" applyFont="1" applyFill="1" applyBorder="1"/>
    <xf numFmtId="0" fontId="7" fillId="16" borderId="176" xfId="211" applyFont="1" applyFill="1" applyBorder="1" applyAlignment="1">
      <alignment wrapText="1"/>
    </xf>
    <xf numFmtId="0" fontId="7" fillId="95" borderId="176" xfId="211" applyFont="1" applyFill="1" applyBorder="1" applyAlignment="1">
      <alignment wrapText="1"/>
    </xf>
    <xf numFmtId="0" fontId="7" fillId="95" borderId="100" xfId="211" applyFont="1" applyFill="1" applyBorder="1"/>
    <xf numFmtId="9" fontId="7" fillId="16" borderId="91" xfId="2" applyFont="1" applyFill="1" applyBorder="1"/>
    <xf numFmtId="0" fontId="7" fillId="16" borderId="0" xfId="211" applyFont="1" applyFill="1"/>
    <xf numFmtId="43" fontId="7" fillId="16" borderId="91" xfId="1" applyFont="1" applyFill="1" applyBorder="1"/>
    <xf numFmtId="43" fontId="7" fillId="95" borderId="91" xfId="1" applyFont="1" applyFill="1" applyBorder="1"/>
    <xf numFmtId="9" fontId="157" fillId="16" borderId="0" xfId="211" applyNumberFormat="1" applyFont="1" applyFill="1" applyAlignment="1">
      <alignment horizontal="right"/>
    </xf>
    <xf numFmtId="0" fontId="134" fillId="0" borderId="0" xfId="10" applyFont="1" applyAlignment="1">
      <alignment horizontal="center"/>
    </xf>
    <xf numFmtId="0" fontId="131" fillId="86" borderId="107" xfId="10" applyFont="1" applyFill="1" applyBorder="1" applyAlignment="1">
      <alignment horizontal="centerContinuous"/>
    </xf>
    <xf numFmtId="0" fontId="132" fillId="86" borderId="107" xfId="10" applyFont="1" applyFill="1" applyBorder="1" applyAlignment="1">
      <alignment horizontal="centerContinuous"/>
    </xf>
    <xf numFmtId="0" fontId="132" fillId="86" borderId="316" xfId="10" applyFont="1" applyFill="1" applyBorder="1" applyAlignment="1">
      <alignment horizontal="centerContinuous"/>
    </xf>
    <xf numFmtId="0" fontId="195" fillId="86" borderId="97" xfId="10" applyFont="1" applyFill="1" applyBorder="1" applyAlignment="1">
      <alignment horizontal="centerContinuous"/>
    </xf>
    <xf numFmtId="0" fontId="133" fillId="38" borderId="33" xfId="10" applyFont="1" applyFill="1" applyBorder="1" applyAlignment="1">
      <alignment horizontal="center" wrapText="1"/>
    </xf>
    <xf numFmtId="0" fontId="133" fillId="38" borderId="71" xfId="10" applyFont="1" applyFill="1" applyBorder="1" applyAlignment="1">
      <alignment horizontal="center" wrapText="1"/>
    </xf>
    <xf numFmtId="0" fontId="133" fillId="0" borderId="0" xfId="10" applyFont="1" applyFill="1" applyBorder="1" applyAlignment="1">
      <alignment horizontal="left"/>
    </xf>
    <xf numFmtId="0" fontId="133" fillId="0" borderId="0" xfId="10" applyFont="1" applyFill="1" applyBorder="1" applyAlignment="1">
      <alignment horizontal="center" wrapText="1"/>
    </xf>
    <xf numFmtId="1" fontId="133" fillId="0" borderId="0" xfId="10" applyNumberFormat="1" applyFont="1" applyFill="1" applyBorder="1" applyAlignment="1">
      <alignment horizontal="center" wrapText="1"/>
    </xf>
    <xf numFmtId="170" fontId="133" fillId="0" borderId="0" xfId="10" applyNumberFormat="1" applyFont="1" applyFill="1" applyBorder="1" applyAlignment="1">
      <alignment horizontal="center" wrapText="1"/>
    </xf>
    <xf numFmtId="171" fontId="133" fillId="0" borderId="0" xfId="10" applyNumberFormat="1" applyFont="1" applyFill="1" applyBorder="1" applyAlignment="1">
      <alignment horizontal="center" wrapText="1"/>
    </xf>
    <xf numFmtId="0" fontId="133" fillId="0" borderId="0" xfId="10" applyFont="1" applyFill="1" applyBorder="1" applyAlignment="1">
      <alignment horizontal="center"/>
    </xf>
    <xf numFmtId="178" fontId="134" fillId="0" borderId="71" xfId="9108" applyNumberFormat="1" applyFont="1" applyFill="1" applyBorder="1" applyAlignment="1"/>
    <xf numFmtId="0" fontId="133" fillId="16" borderId="0" xfId="211" applyFont="1" applyFill="1" applyBorder="1"/>
    <xf numFmtId="178" fontId="134" fillId="0" borderId="91" xfId="9108" applyNumberFormat="1" applyFont="1" applyFill="1" applyBorder="1" applyAlignment="1"/>
    <xf numFmtId="0" fontId="133" fillId="16" borderId="34" xfId="211" applyFont="1" applyFill="1" applyBorder="1"/>
    <xf numFmtId="0" fontId="133" fillId="16" borderId="107" xfId="211" applyFont="1" applyFill="1" applyBorder="1"/>
    <xf numFmtId="0" fontId="133" fillId="16" borderId="31" xfId="211" applyFont="1" applyFill="1" applyBorder="1"/>
    <xf numFmtId="0" fontId="133" fillId="95" borderId="0" xfId="211" applyFont="1" applyFill="1" applyBorder="1"/>
    <xf numFmtId="0" fontId="133" fillId="95" borderId="32" xfId="211" applyFont="1" applyFill="1" applyBorder="1"/>
    <xf numFmtId="0" fontId="133" fillId="16" borderId="0" xfId="211" applyFont="1" applyFill="1"/>
    <xf numFmtId="43" fontId="133" fillId="95" borderId="91" xfId="211" applyNumberFormat="1" applyFont="1" applyFill="1" applyBorder="1"/>
    <xf numFmtId="9" fontId="133" fillId="16" borderId="91" xfId="211" applyNumberFormat="1" applyFont="1" applyFill="1" applyBorder="1"/>
    <xf numFmtId="10" fontId="120" fillId="17" borderId="426" xfId="2" applyNumberFormat="1" applyFont="1" applyFill="1" applyBorder="1"/>
    <xf numFmtId="0" fontId="188" fillId="0" borderId="0" xfId="0" applyFont="1"/>
    <xf numFmtId="0" fontId="174" fillId="29" borderId="91" xfId="0" applyFont="1" applyFill="1" applyBorder="1" applyAlignment="1">
      <alignment horizontal="left" vertical="center" wrapText="1"/>
    </xf>
    <xf numFmtId="0" fontId="174" fillId="29" borderId="91" xfId="0" applyFont="1" applyFill="1" applyBorder="1" applyAlignment="1">
      <alignment horizontal="left" vertical="center"/>
    </xf>
    <xf numFmtId="1" fontId="174" fillId="29" borderId="91" xfId="0" applyNumberFormat="1" applyFont="1" applyFill="1" applyBorder="1" applyAlignment="1">
      <alignment horizontal="center" vertical="center"/>
    </xf>
    <xf numFmtId="170" fontId="174" fillId="29" borderId="91" xfId="0" applyNumberFormat="1" applyFont="1" applyFill="1" applyBorder="1" applyAlignment="1">
      <alignment horizontal="center" vertical="center"/>
    </xf>
    <xf numFmtId="3" fontId="174" fillId="29" borderId="91" xfId="0" applyNumberFormat="1" applyFont="1" applyFill="1" applyBorder="1" applyAlignment="1">
      <alignment horizontal="center" vertical="center"/>
    </xf>
    <xf numFmtId="1" fontId="174" fillId="29" borderId="96" xfId="0" applyNumberFormat="1" applyFont="1" applyFill="1" applyBorder="1" applyAlignment="1">
      <alignment horizontal="center" vertical="center"/>
    </xf>
    <xf numFmtId="10" fontId="174" fillId="29" borderId="96" xfId="0" applyNumberFormat="1" applyFont="1" applyFill="1" applyBorder="1" applyAlignment="1">
      <alignment horizontal="center" vertical="center"/>
    </xf>
    <xf numFmtId="1" fontId="174" fillId="29" borderId="104" xfId="0" applyNumberFormat="1" applyFont="1" applyFill="1" applyBorder="1" applyAlignment="1">
      <alignment horizontal="center" vertical="center"/>
    </xf>
    <xf numFmtId="1" fontId="174" fillId="29" borderId="105" xfId="0" applyNumberFormat="1" applyFont="1" applyFill="1" applyBorder="1" applyAlignment="1">
      <alignment horizontal="center" vertical="center"/>
    </xf>
    <xf numFmtId="0" fontId="174" fillId="19" borderId="91" xfId="0" applyFont="1" applyFill="1" applyBorder="1" applyAlignment="1">
      <alignment horizontal="left" vertical="center" wrapText="1"/>
    </xf>
    <xf numFmtId="0" fontId="174" fillId="19" borderId="91" xfId="0" applyFont="1" applyFill="1" applyBorder="1" applyAlignment="1">
      <alignment horizontal="left" vertical="center"/>
    </xf>
    <xf numFmtId="1" fontId="174" fillId="19" borderId="91" xfId="0" applyNumberFormat="1" applyFont="1" applyFill="1" applyBorder="1" applyAlignment="1">
      <alignment horizontal="center" vertical="center"/>
    </xf>
    <xf numFmtId="170" fontId="174" fillId="19" borderId="91" xfId="0" applyNumberFormat="1" applyFont="1" applyFill="1" applyBorder="1" applyAlignment="1">
      <alignment horizontal="center" vertical="center"/>
    </xf>
    <xf numFmtId="3" fontId="174" fillId="19" borderId="91" xfId="0" applyNumberFormat="1" applyFont="1" applyFill="1" applyBorder="1" applyAlignment="1">
      <alignment horizontal="center" vertical="center"/>
    </xf>
    <xf numFmtId="1" fontId="174" fillId="19" borderId="96" xfId="0" applyNumberFormat="1" applyFont="1" applyFill="1" applyBorder="1" applyAlignment="1">
      <alignment horizontal="center" vertical="center"/>
    </xf>
    <xf numFmtId="10" fontId="174" fillId="19" borderId="96" xfId="0" applyNumberFormat="1" applyFont="1" applyFill="1" applyBorder="1" applyAlignment="1">
      <alignment horizontal="center" vertical="center"/>
    </xf>
    <xf numFmtId="1" fontId="174" fillId="19" borderId="104" xfId="0" applyNumberFormat="1" applyFont="1" applyFill="1" applyBorder="1" applyAlignment="1">
      <alignment horizontal="center" vertical="center"/>
    </xf>
    <xf numFmtId="1" fontId="174" fillId="19" borderId="105" xfId="0" applyNumberFormat="1" applyFont="1" applyFill="1" applyBorder="1" applyAlignment="1">
      <alignment horizontal="center" vertical="center"/>
    </xf>
    <xf numFmtId="0" fontId="174" fillId="32" borderId="91" xfId="0" applyFont="1" applyFill="1" applyBorder="1" applyAlignment="1">
      <alignment horizontal="left" vertical="center" wrapText="1"/>
    </xf>
    <xf numFmtId="0" fontId="174" fillId="32" borderId="91" xfId="0" applyFont="1" applyFill="1" applyBorder="1" applyAlignment="1">
      <alignment horizontal="left" vertical="center"/>
    </xf>
    <xf numFmtId="1" fontId="174" fillId="32" borderId="91" xfId="0" applyNumberFormat="1" applyFont="1" applyFill="1" applyBorder="1" applyAlignment="1">
      <alignment horizontal="center" vertical="center"/>
    </xf>
    <xf numFmtId="170" fontId="174" fillId="32" borderId="91" xfId="0" applyNumberFormat="1" applyFont="1" applyFill="1" applyBorder="1" applyAlignment="1">
      <alignment horizontal="center" vertical="center"/>
    </xf>
    <xf numFmtId="3" fontId="174" fillId="32" borderId="91" xfId="0" applyNumberFormat="1" applyFont="1" applyFill="1" applyBorder="1" applyAlignment="1">
      <alignment horizontal="center" vertical="center"/>
    </xf>
    <xf numFmtId="1" fontId="174" fillId="32" borderId="96" xfId="0" applyNumberFormat="1" applyFont="1" applyFill="1" applyBorder="1" applyAlignment="1">
      <alignment horizontal="center" vertical="center"/>
    </xf>
    <xf numFmtId="10" fontId="174" fillId="32" borderId="96" xfId="0" applyNumberFormat="1" applyFont="1" applyFill="1" applyBorder="1" applyAlignment="1">
      <alignment horizontal="center" vertical="center"/>
    </xf>
    <xf numFmtId="1" fontId="174" fillId="32" borderId="104" xfId="0" applyNumberFormat="1" applyFont="1" applyFill="1" applyBorder="1" applyAlignment="1">
      <alignment horizontal="center" vertical="center"/>
    </xf>
    <xf numFmtId="1" fontId="174" fillId="32" borderId="105" xfId="0" applyNumberFormat="1" applyFont="1" applyFill="1" applyBorder="1" applyAlignment="1">
      <alignment horizontal="center" vertical="center"/>
    </xf>
    <xf numFmtId="9" fontId="174" fillId="32" borderId="105" xfId="0" applyNumberFormat="1" applyFont="1" applyFill="1" applyBorder="1" applyAlignment="1">
      <alignment horizontal="center" vertical="center"/>
    </xf>
    <xf numFmtId="0" fontId="174" fillId="23" borderId="91" xfId="0" applyFont="1" applyFill="1" applyBorder="1" applyAlignment="1">
      <alignment horizontal="left" vertical="center" wrapText="1"/>
    </xf>
    <xf numFmtId="0" fontId="174" fillId="23" borderId="91" xfId="0" applyFont="1" applyFill="1" applyBorder="1" applyAlignment="1">
      <alignment horizontal="left" vertical="center"/>
    </xf>
    <xf numFmtId="1" fontId="174" fillId="23" borderId="91" xfId="0" applyNumberFormat="1" applyFont="1" applyFill="1" applyBorder="1" applyAlignment="1">
      <alignment horizontal="center" vertical="center"/>
    </xf>
    <xf numFmtId="170" fontId="174" fillId="23" borderId="91" xfId="0" applyNumberFormat="1" applyFont="1" applyFill="1" applyBorder="1" applyAlignment="1">
      <alignment horizontal="center" vertical="center"/>
    </xf>
    <xf numFmtId="3" fontId="174" fillId="23" borderId="91" xfId="0" applyNumberFormat="1" applyFont="1" applyFill="1" applyBorder="1" applyAlignment="1">
      <alignment horizontal="center" vertical="center"/>
    </xf>
    <xf numFmtId="1" fontId="174" fillId="23" borderId="96" xfId="0" applyNumberFormat="1" applyFont="1" applyFill="1" applyBorder="1" applyAlignment="1">
      <alignment horizontal="center" vertical="center"/>
    </xf>
    <xf numFmtId="10" fontId="174" fillId="23" borderId="96" xfId="0" applyNumberFormat="1" applyFont="1" applyFill="1" applyBorder="1" applyAlignment="1">
      <alignment horizontal="center" vertical="center"/>
    </xf>
    <xf numFmtId="1" fontId="174" fillId="23" borderId="104" xfId="0" applyNumberFormat="1" applyFont="1" applyFill="1" applyBorder="1" applyAlignment="1">
      <alignment horizontal="center" vertical="center"/>
    </xf>
    <xf numFmtId="1" fontId="174" fillId="23" borderId="105" xfId="0" applyNumberFormat="1" applyFont="1" applyFill="1" applyBorder="1" applyAlignment="1">
      <alignment horizontal="center" vertical="center"/>
    </xf>
    <xf numFmtId="9" fontId="174" fillId="23" borderId="105" xfId="0" applyNumberFormat="1" applyFont="1" applyFill="1" applyBorder="1" applyAlignment="1">
      <alignment horizontal="center" vertical="center"/>
    </xf>
    <xf numFmtId="165" fontId="194" fillId="19" borderId="22" xfId="1" applyNumberFormat="1" applyFont="1" applyFill="1" applyBorder="1" applyAlignment="1">
      <alignment wrapText="1"/>
    </xf>
    <xf numFmtId="0" fontId="112" fillId="104" borderId="0" xfId="0" applyFont="1" applyFill="1"/>
    <xf numFmtId="164" fontId="7" fillId="18" borderId="0" xfId="1" applyNumberFormat="1" applyFont="1" applyFill="1"/>
    <xf numFmtId="0" fontId="80" fillId="18" borderId="174" xfId="0" applyFont="1" applyFill="1" applyBorder="1" applyAlignment="1">
      <alignment horizontal="center" wrapText="1"/>
    </xf>
    <xf numFmtId="10" fontId="80" fillId="0" borderId="174" xfId="0" applyNumberFormat="1" applyFont="1" applyBorder="1" applyAlignment="1">
      <alignment horizontal="center" wrapText="1"/>
    </xf>
    <xf numFmtId="0" fontId="80" fillId="28" borderId="4" xfId="0" applyFont="1" applyFill="1" applyBorder="1" applyAlignment="1">
      <alignment horizontal="center" wrapText="1"/>
    </xf>
    <xf numFmtId="0" fontId="80" fillId="28" borderId="174" xfId="0" applyFont="1" applyFill="1" applyBorder="1" applyAlignment="1">
      <alignment horizontal="center" wrapText="1"/>
    </xf>
    <xf numFmtId="0" fontId="80" fillId="18" borderId="173" xfId="0" applyFont="1" applyFill="1" applyBorder="1" applyAlignment="1">
      <alignment horizontal="center" wrapText="1"/>
    </xf>
    <xf numFmtId="0" fontId="80" fillId="17" borderId="174" xfId="0" applyFont="1" applyFill="1" applyBorder="1" applyAlignment="1">
      <alignment horizontal="center" wrapText="1"/>
    </xf>
    <xf numFmtId="0" fontId="7" fillId="16" borderId="0" xfId="0" applyFont="1" applyFill="1" applyAlignment="1">
      <alignment horizontal="center" vertical="center"/>
    </xf>
    <xf numFmtId="0" fontId="7" fillId="0" borderId="0" xfId="0" applyFont="1" applyAlignment="1">
      <alignment horizontal="center" vertical="center"/>
    </xf>
    <xf numFmtId="0" fontId="174" fillId="29" borderId="41" xfId="0" applyFont="1" applyFill="1" applyBorder="1" applyAlignment="1">
      <alignment horizontal="left" vertical="center" wrapText="1"/>
    </xf>
    <xf numFmtId="0" fontId="174" fillId="29" borderId="41" xfId="0" applyFont="1" applyFill="1" applyBorder="1" applyAlignment="1">
      <alignment horizontal="left" vertical="center"/>
    </xf>
    <xf numFmtId="1" fontId="174" fillId="29" borderId="41" xfId="0" applyNumberFormat="1" applyFont="1" applyFill="1" applyBorder="1" applyAlignment="1">
      <alignment horizontal="center" vertical="center"/>
    </xf>
    <xf numFmtId="170" fontId="174" fillId="29" borderId="41" xfId="0" applyNumberFormat="1" applyFont="1" applyFill="1" applyBorder="1" applyAlignment="1">
      <alignment horizontal="center" vertical="center"/>
    </xf>
    <xf numFmtId="3" fontId="174" fillId="29" borderId="41" xfId="0" applyNumberFormat="1" applyFont="1" applyFill="1" applyBorder="1" applyAlignment="1">
      <alignment horizontal="center" vertical="center"/>
    </xf>
    <xf numFmtId="1" fontId="174" fillId="29" borderId="248" xfId="0" applyNumberFormat="1" applyFont="1" applyFill="1" applyBorder="1" applyAlignment="1">
      <alignment horizontal="center" vertical="center"/>
    </xf>
    <xf numFmtId="10" fontId="174" fillId="29" borderId="248" xfId="0" applyNumberFormat="1" applyFont="1" applyFill="1" applyBorder="1" applyAlignment="1">
      <alignment horizontal="center" vertical="center"/>
    </xf>
    <xf numFmtId="1" fontId="174" fillId="29" borderId="40" xfId="0" applyNumberFormat="1" applyFont="1" applyFill="1" applyBorder="1" applyAlignment="1">
      <alignment horizontal="center" vertical="center"/>
    </xf>
    <xf numFmtId="1" fontId="174" fillId="29" borderId="42" xfId="0" applyNumberFormat="1" applyFont="1" applyFill="1" applyBorder="1" applyAlignment="1">
      <alignment horizontal="center" vertical="center"/>
    </xf>
    <xf numFmtId="0" fontId="174" fillId="19" borderId="102" xfId="0" applyFont="1" applyFill="1" applyBorder="1" applyAlignment="1">
      <alignment horizontal="left" vertical="center" wrapText="1"/>
    </xf>
    <xf numFmtId="0" fontId="174" fillId="19" borderId="102" xfId="0" applyFont="1" applyFill="1" applyBorder="1" applyAlignment="1">
      <alignment horizontal="left" vertical="center"/>
    </xf>
    <xf numFmtId="1" fontId="174" fillId="19" borderId="102" xfId="0" applyNumberFormat="1" applyFont="1" applyFill="1" applyBorder="1" applyAlignment="1">
      <alignment horizontal="center" vertical="center"/>
    </xf>
    <xf numFmtId="170" fontId="174" fillId="19" borderId="102" xfId="0" applyNumberFormat="1" applyFont="1" applyFill="1" applyBorder="1" applyAlignment="1">
      <alignment horizontal="center" vertical="center"/>
    </xf>
    <xf numFmtId="3" fontId="174" fillId="19" borderId="102" xfId="0" applyNumberFormat="1" applyFont="1" applyFill="1" applyBorder="1" applyAlignment="1">
      <alignment horizontal="center" vertical="center"/>
    </xf>
    <xf numFmtId="1" fontId="174" fillId="19" borderId="249" xfId="0" applyNumberFormat="1" applyFont="1" applyFill="1" applyBorder="1" applyAlignment="1">
      <alignment horizontal="center" vertical="center"/>
    </xf>
    <xf numFmtId="10" fontId="174" fillId="19" borderId="249" xfId="0" applyNumberFormat="1" applyFont="1" applyFill="1" applyBorder="1" applyAlignment="1">
      <alignment horizontal="center" vertical="center"/>
    </xf>
    <xf numFmtId="1" fontId="174" fillId="19" borderId="318" xfId="0" applyNumberFormat="1" applyFont="1" applyFill="1" applyBorder="1" applyAlignment="1">
      <alignment horizontal="center" vertical="center"/>
    </xf>
    <xf numFmtId="1" fontId="174" fillId="19" borderId="103" xfId="0" applyNumberFormat="1" applyFont="1" applyFill="1" applyBorder="1" applyAlignment="1">
      <alignment horizontal="center" vertical="center"/>
    </xf>
    <xf numFmtId="0" fontId="174" fillId="32" borderId="41" xfId="0" applyFont="1" applyFill="1" applyBorder="1" applyAlignment="1">
      <alignment horizontal="left" vertical="center" wrapText="1"/>
    </xf>
    <xf numFmtId="0" fontId="174" fillId="32" borderId="41" xfId="0" applyFont="1" applyFill="1" applyBorder="1" applyAlignment="1">
      <alignment horizontal="left" vertical="center"/>
    </xf>
    <xf numFmtId="1" fontId="174" fillId="32" borderId="41" xfId="0" applyNumberFormat="1" applyFont="1" applyFill="1" applyBorder="1" applyAlignment="1">
      <alignment horizontal="center" vertical="center"/>
    </xf>
    <xf numFmtId="170" fontId="174" fillId="32" borderId="41" xfId="0" applyNumberFormat="1" applyFont="1" applyFill="1" applyBorder="1" applyAlignment="1">
      <alignment horizontal="center" vertical="center"/>
    </xf>
    <xf numFmtId="3" fontId="174" fillId="32" borderId="41" xfId="0" applyNumberFormat="1" applyFont="1" applyFill="1" applyBorder="1" applyAlignment="1">
      <alignment horizontal="center" vertical="center"/>
    </xf>
    <xf numFmtId="1" fontId="174" fillId="32" borderId="248" xfId="0" applyNumberFormat="1" applyFont="1" applyFill="1" applyBorder="1" applyAlignment="1">
      <alignment horizontal="center" vertical="center"/>
    </xf>
    <xf numFmtId="10" fontId="174" fillId="32" borderId="248" xfId="0" applyNumberFormat="1" applyFont="1" applyFill="1" applyBorder="1" applyAlignment="1">
      <alignment horizontal="center" vertical="center"/>
    </xf>
    <xf numFmtId="1" fontId="174" fillId="32" borderId="40" xfId="0" applyNumberFormat="1" applyFont="1" applyFill="1" applyBorder="1" applyAlignment="1">
      <alignment horizontal="center" vertical="center"/>
    </xf>
    <xf numFmtId="1" fontId="174" fillId="32" borderId="42" xfId="0" applyNumberFormat="1" applyFont="1" applyFill="1" applyBorder="1" applyAlignment="1">
      <alignment horizontal="center" vertical="center"/>
    </xf>
    <xf numFmtId="0" fontId="174" fillId="32" borderId="71" xfId="0" applyFont="1" applyFill="1" applyBorder="1" applyAlignment="1">
      <alignment horizontal="left" vertical="center" wrapText="1"/>
    </xf>
    <xf numFmtId="0" fontId="174" fillId="23" borderId="102" xfId="0" applyFont="1" applyFill="1" applyBorder="1" applyAlignment="1">
      <alignment horizontal="left" vertical="center" wrapText="1"/>
    </xf>
    <xf numFmtId="0" fontId="174" fillId="23" borderId="102" xfId="0" applyFont="1" applyFill="1" applyBorder="1" applyAlignment="1">
      <alignment horizontal="left" vertical="center"/>
    </xf>
    <xf numFmtId="1" fontId="174" fillId="23" borderId="102" xfId="0" applyNumberFormat="1" applyFont="1" applyFill="1" applyBorder="1" applyAlignment="1">
      <alignment horizontal="center" vertical="center"/>
    </xf>
    <xf numFmtId="170" fontId="174" fillId="23" borderId="102" xfId="0" applyNumberFormat="1" applyFont="1" applyFill="1" applyBorder="1" applyAlignment="1">
      <alignment horizontal="center" vertical="center"/>
    </xf>
    <xf numFmtId="3" fontId="174" fillId="23" borderId="102" xfId="0" applyNumberFormat="1" applyFont="1" applyFill="1" applyBorder="1" applyAlignment="1">
      <alignment horizontal="center" vertical="center"/>
    </xf>
    <xf numFmtId="1" fontId="174" fillId="23" borderId="249" xfId="0" applyNumberFormat="1" applyFont="1" applyFill="1" applyBorder="1" applyAlignment="1">
      <alignment horizontal="center" vertical="center"/>
    </xf>
    <xf numFmtId="10" fontId="174" fillId="23" borderId="249" xfId="0" applyNumberFormat="1" applyFont="1" applyFill="1" applyBorder="1" applyAlignment="1">
      <alignment horizontal="center" vertical="center"/>
    </xf>
    <xf numFmtId="1" fontId="174" fillId="23" borderId="318" xfId="0" applyNumberFormat="1" applyFont="1" applyFill="1" applyBorder="1" applyAlignment="1">
      <alignment horizontal="center" vertical="center"/>
    </xf>
    <xf numFmtId="1" fontId="174" fillId="23" borderId="103" xfId="0" applyNumberFormat="1" applyFont="1" applyFill="1" applyBorder="1" applyAlignment="1">
      <alignment horizontal="center" vertical="center"/>
    </xf>
    <xf numFmtId="9" fontId="174" fillId="23" borderId="103" xfId="0" applyNumberFormat="1" applyFont="1" applyFill="1" applyBorder="1" applyAlignment="1">
      <alignment horizontal="center" vertical="center"/>
    </xf>
    <xf numFmtId="9" fontId="174" fillId="29" borderId="248" xfId="0" applyNumberFormat="1" applyFont="1" applyFill="1" applyBorder="1" applyAlignment="1">
      <alignment horizontal="center" vertical="center"/>
    </xf>
    <xf numFmtId="9" fontId="174" fillId="29" borderId="96" xfId="0" applyNumberFormat="1" applyFont="1" applyFill="1" applyBorder="1" applyAlignment="1">
      <alignment horizontal="center" vertical="center"/>
    </xf>
    <xf numFmtId="9" fontId="174" fillId="19" borderId="96" xfId="0" applyNumberFormat="1" applyFont="1" applyFill="1" applyBorder="1" applyAlignment="1">
      <alignment horizontal="center" vertical="center"/>
    </xf>
    <xf numFmtId="9" fontId="174" fillId="19" borderId="249" xfId="0" applyNumberFormat="1" applyFont="1" applyFill="1" applyBorder="1" applyAlignment="1">
      <alignment horizontal="center" vertical="center"/>
    </xf>
    <xf numFmtId="9" fontId="174" fillId="32" borderId="248" xfId="0" applyNumberFormat="1" applyFont="1" applyFill="1" applyBorder="1" applyAlignment="1">
      <alignment horizontal="center" vertical="center"/>
    </xf>
    <xf numFmtId="0" fontId="112" fillId="104" borderId="107" xfId="0" applyFont="1" applyFill="1" applyBorder="1"/>
    <xf numFmtId="0" fontId="117" fillId="104" borderId="176" xfId="0" applyFont="1" applyFill="1" applyBorder="1" applyAlignment="1">
      <alignment horizontal="center" wrapText="1"/>
    </xf>
    <xf numFmtId="0" fontId="117" fillId="104" borderId="100" xfId="0" applyFont="1" applyFill="1" applyBorder="1" applyAlignment="1">
      <alignment horizontal="center" wrapText="1"/>
    </xf>
    <xf numFmtId="0" fontId="7" fillId="16" borderId="31" xfId="0" applyFont="1" applyFill="1" applyBorder="1" applyAlignment="1">
      <alignment horizontal="center" vertical="center"/>
    </xf>
    <xf numFmtId="0" fontId="7" fillId="16" borderId="0" xfId="0" applyFont="1" applyFill="1" applyBorder="1" applyAlignment="1">
      <alignment horizontal="center" vertical="center"/>
    </xf>
    <xf numFmtId="0" fontId="7" fillId="0" borderId="33" xfId="0" applyFont="1" applyBorder="1"/>
    <xf numFmtId="0" fontId="7" fillId="0" borderId="34" xfId="0" applyFont="1" applyBorder="1" applyAlignment="1">
      <alignment horizontal="center" vertical="center"/>
    </xf>
    <xf numFmtId="0" fontId="7" fillId="16" borderId="35" xfId="0" applyFont="1" applyFill="1" applyBorder="1"/>
    <xf numFmtId="0" fontId="7" fillId="17" borderId="31" xfId="0" applyFont="1" applyFill="1" applyBorder="1" applyAlignment="1">
      <alignment horizontal="center" vertical="center"/>
    </xf>
    <xf numFmtId="0" fontId="7" fillId="17" borderId="0" xfId="0" applyFont="1" applyFill="1" applyBorder="1" applyAlignment="1">
      <alignment horizontal="center" vertical="center"/>
    </xf>
    <xf numFmtId="0" fontId="7" fillId="17" borderId="0" xfId="0" applyFont="1" applyFill="1" applyBorder="1"/>
    <xf numFmtId="0" fontId="7" fillId="17" borderId="32" xfId="0" applyFont="1" applyFill="1" applyBorder="1"/>
    <xf numFmtId="1" fontId="7" fillId="17" borderId="31" xfId="0" applyNumberFormat="1" applyFont="1" applyFill="1" applyBorder="1" applyAlignment="1">
      <alignment horizontal="center" vertical="center"/>
    </xf>
    <xf numFmtId="1" fontId="7" fillId="17" borderId="0" xfId="0" applyNumberFormat="1" applyFont="1" applyFill="1" applyBorder="1" applyAlignment="1">
      <alignment horizontal="center" vertical="center"/>
    </xf>
    <xf numFmtId="1" fontId="7" fillId="17" borderId="0" xfId="0" applyNumberFormat="1" applyFont="1" applyFill="1" applyBorder="1"/>
    <xf numFmtId="10" fontId="7" fillId="17" borderId="32" xfId="2" applyNumberFormat="1" applyFont="1" applyFill="1" applyBorder="1"/>
    <xf numFmtId="0" fontId="7" fillId="19" borderId="0" xfId="0" applyFont="1" applyFill="1"/>
    <xf numFmtId="164" fontId="7" fillId="17" borderId="25" xfId="1" applyNumberFormat="1" applyFont="1" applyFill="1" applyBorder="1"/>
    <xf numFmtId="43" fontId="7" fillId="17" borderId="25" xfId="1" applyNumberFormat="1" applyFont="1" applyFill="1" applyBorder="1"/>
    <xf numFmtId="43" fontId="7" fillId="17" borderId="9" xfId="1" applyNumberFormat="1" applyFont="1" applyFill="1" applyBorder="1"/>
    <xf numFmtId="164" fontId="7" fillId="17" borderId="223" xfId="1" applyNumberFormat="1" applyFont="1" applyFill="1" applyBorder="1"/>
    <xf numFmtId="43" fontId="7" fillId="17" borderId="223" xfId="1" applyNumberFormat="1" applyFont="1" applyFill="1" applyBorder="1"/>
    <xf numFmtId="43" fontId="7" fillId="17" borderId="224" xfId="1" applyNumberFormat="1" applyFont="1" applyFill="1" applyBorder="1"/>
    <xf numFmtId="0" fontId="7" fillId="17" borderId="324" xfId="0" applyFont="1" applyFill="1" applyBorder="1" applyAlignment="1"/>
    <xf numFmtId="43" fontId="7" fillId="17" borderId="330" xfId="1" applyNumberFormat="1" applyFont="1" applyFill="1" applyBorder="1"/>
    <xf numFmtId="0" fontId="154" fillId="16" borderId="0" xfId="0" applyFont="1" applyFill="1" applyAlignment="1">
      <alignment wrapText="1"/>
    </xf>
    <xf numFmtId="0" fontId="134" fillId="21" borderId="88" xfId="0" applyFont="1" applyFill="1" applyBorder="1"/>
    <xf numFmtId="0" fontId="7" fillId="19" borderId="88" xfId="0" applyFont="1" applyFill="1" applyBorder="1"/>
    <xf numFmtId="0" fontId="7" fillId="33" borderId="88" xfId="0" applyFont="1" applyFill="1" applyBorder="1"/>
    <xf numFmtId="0" fontId="7" fillId="16" borderId="89" xfId="0" applyFont="1" applyFill="1" applyBorder="1" applyAlignment="1">
      <alignment wrapText="1"/>
    </xf>
    <xf numFmtId="9" fontId="7" fillId="16" borderId="89" xfId="2" applyFont="1" applyFill="1" applyBorder="1"/>
    <xf numFmtId="1" fontId="7" fillId="16" borderId="89" xfId="0" applyNumberFormat="1" applyFont="1" applyFill="1" applyBorder="1" applyAlignment="1">
      <alignment wrapText="1"/>
    </xf>
    <xf numFmtId="0" fontId="7" fillId="81" borderId="89" xfId="0" applyFont="1" applyFill="1" applyBorder="1"/>
    <xf numFmtId="9" fontId="7" fillId="81" borderId="89" xfId="2" applyFont="1" applyFill="1" applyBorder="1"/>
    <xf numFmtId="0" fontId="80" fillId="21" borderId="5" xfId="22" applyFont="1" applyFill="1" applyBorder="1" applyAlignment="1">
      <alignment wrapText="1"/>
    </xf>
    <xf numFmtId="0" fontId="80" fillId="21" borderId="82" xfId="22" applyFont="1" applyFill="1" applyBorder="1" applyAlignment="1">
      <alignment wrapText="1"/>
    </xf>
    <xf numFmtId="0" fontId="80" fillId="21" borderId="84" xfId="22" applyFont="1" applyFill="1" applyBorder="1" applyAlignment="1">
      <alignment wrapText="1"/>
    </xf>
    <xf numFmtId="172" fontId="7" fillId="16" borderId="0" xfId="0" applyNumberFormat="1" applyFont="1" applyFill="1"/>
    <xf numFmtId="0" fontId="80" fillId="36" borderId="0" xfId="22" applyFont="1" applyFill="1" applyBorder="1" applyAlignment="1">
      <alignment wrapText="1"/>
    </xf>
    <xf numFmtId="0" fontId="80" fillId="21" borderId="80" xfId="22" applyFont="1" applyFill="1" applyBorder="1" applyAlignment="1">
      <alignment wrapText="1"/>
    </xf>
    <xf numFmtId="0" fontId="80" fillId="21" borderId="81" xfId="22" applyFont="1" applyFill="1" applyBorder="1" applyAlignment="1">
      <alignment wrapText="1"/>
    </xf>
    <xf numFmtId="0" fontId="149" fillId="33" borderId="0" xfId="0" applyFont="1" applyFill="1" applyBorder="1"/>
    <xf numFmtId="0" fontId="149" fillId="33" borderId="0" xfId="0" applyNumberFormat="1" applyFont="1" applyFill="1" applyBorder="1"/>
    <xf numFmtId="0" fontId="163" fillId="33" borderId="0" xfId="0" applyFont="1" applyFill="1"/>
    <xf numFmtId="0" fontId="7" fillId="33" borderId="0" xfId="0" applyFont="1" applyFill="1"/>
    <xf numFmtId="0" fontId="7" fillId="33" borderId="0" xfId="0" applyFont="1" applyFill="1" applyAlignment="1"/>
    <xf numFmtId="0" fontId="7" fillId="33" borderId="0" xfId="0" applyFont="1" applyFill="1" applyAlignment="1">
      <alignment horizontal="center"/>
    </xf>
    <xf numFmtId="165" fontId="7" fillId="33" borderId="0" xfId="1" applyNumberFormat="1" applyFont="1" applyFill="1"/>
    <xf numFmtId="0" fontId="134" fillId="33" borderId="0" xfId="0" applyFont="1" applyFill="1"/>
    <xf numFmtId="0" fontId="154" fillId="33" borderId="0" xfId="0" applyFont="1" applyFill="1" applyAlignment="1">
      <alignment horizontal="left" indent="1"/>
    </xf>
    <xf numFmtId="0" fontId="7" fillId="33" borderId="0" xfId="0" applyFont="1" applyFill="1" applyAlignment="1">
      <alignment horizontal="left"/>
    </xf>
    <xf numFmtId="9" fontId="7" fillId="33" borderId="0" xfId="0" applyNumberFormat="1" applyFont="1" applyFill="1"/>
    <xf numFmtId="164" fontId="7" fillId="33" borderId="0" xfId="0" applyNumberFormat="1" applyFont="1" applyFill="1"/>
    <xf numFmtId="43" fontId="7" fillId="33" borderId="0" xfId="1" applyFont="1" applyFill="1"/>
    <xf numFmtId="2" fontId="7" fillId="33" borderId="0" xfId="0" applyNumberFormat="1" applyFont="1" applyFill="1"/>
    <xf numFmtId="0" fontId="7" fillId="33" borderId="0" xfId="0" applyFont="1" applyFill="1" applyAlignment="1">
      <alignment horizontal="left" wrapText="1"/>
    </xf>
    <xf numFmtId="164" fontId="80" fillId="33" borderId="0" xfId="0" applyNumberFormat="1" applyFont="1" applyFill="1" applyAlignment="1">
      <alignment wrapText="1"/>
    </xf>
    <xf numFmtId="0" fontId="154" fillId="33" borderId="0" xfId="0" applyFont="1" applyFill="1" applyAlignment="1"/>
    <xf numFmtId="166" fontId="80" fillId="33" borderId="0" xfId="0" applyNumberFormat="1" applyFont="1" applyFill="1"/>
    <xf numFmtId="0" fontId="149" fillId="33" borderId="0" xfId="0" applyFont="1" applyFill="1"/>
    <xf numFmtId="168" fontId="7" fillId="33" borderId="0" xfId="1" applyNumberFormat="1" applyFont="1" applyFill="1"/>
    <xf numFmtId="43" fontId="7" fillId="33" borderId="0" xfId="0" applyNumberFormat="1" applyFont="1" applyFill="1"/>
    <xf numFmtId="0" fontId="9" fillId="23" borderId="0" xfId="0" applyFont="1" applyFill="1"/>
    <xf numFmtId="0" fontId="7" fillId="18" borderId="0" xfId="0" applyFont="1" applyFill="1"/>
    <xf numFmtId="1" fontId="7" fillId="18" borderId="0" xfId="0" applyNumberFormat="1" applyFont="1" applyFill="1"/>
    <xf numFmtId="0" fontId="134" fillId="21" borderId="88" xfId="13" applyFont="1" applyFill="1" applyBorder="1" applyAlignment="1">
      <alignment readingOrder="1"/>
    </xf>
    <xf numFmtId="170" fontId="134" fillId="21" borderId="88" xfId="13" applyNumberFormat="1" applyFont="1" applyFill="1" applyBorder="1">
      <alignment readingOrder="1"/>
    </xf>
    <xf numFmtId="9" fontId="134" fillId="21" borderId="88" xfId="2" applyFont="1" applyFill="1" applyBorder="1" applyAlignment="1">
      <alignment readingOrder="1"/>
    </xf>
    <xf numFmtId="0" fontId="134" fillId="19" borderId="88" xfId="13" applyFont="1" applyFill="1" applyBorder="1" applyAlignment="1">
      <alignment readingOrder="1"/>
    </xf>
    <xf numFmtId="170" fontId="134" fillId="19" borderId="88" xfId="13" applyNumberFormat="1" applyFont="1" applyFill="1" applyBorder="1">
      <alignment readingOrder="1"/>
    </xf>
    <xf numFmtId="9" fontId="134" fillId="19" borderId="88" xfId="2" applyFont="1" applyFill="1" applyBorder="1" applyAlignment="1">
      <alignment readingOrder="1"/>
    </xf>
    <xf numFmtId="0" fontId="134" fillId="33" borderId="88" xfId="13" applyFont="1" applyFill="1" applyBorder="1" applyAlignment="1">
      <alignment readingOrder="1"/>
    </xf>
    <xf numFmtId="170" fontId="134" fillId="33" borderId="88" xfId="13" applyNumberFormat="1" applyFont="1" applyFill="1" applyBorder="1">
      <alignment readingOrder="1"/>
    </xf>
    <xf numFmtId="9" fontId="134" fillId="33" borderId="88" xfId="2" applyFont="1" applyFill="1" applyBorder="1" applyAlignment="1">
      <alignment readingOrder="1"/>
    </xf>
    <xf numFmtId="0" fontId="135" fillId="20" borderId="0" xfId="13" applyFont="1" applyFill="1">
      <alignment readingOrder="1"/>
    </xf>
    <xf numFmtId="0" fontId="135" fillId="25" borderId="0" xfId="13" applyFont="1" applyFill="1">
      <alignment readingOrder="1"/>
    </xf>
    <xf numFmtId="0" fontId="134" fillId="25" borderId="0" xfId="13" applyFont="1" applyFill="1">
      <alignment readingOrder="1"/>
    </xf>
    <xf numFmtId="0" fontId="134" fillId="0" borderId="0" xfId="13" applyFont="1" applyFill="1" applyAlignment="1">
      <alignment horizontal="center" vertical="center" wrapText="1" readingOrder="1"/>
    </xf>
    <xf numFmtId="2" fontId="134" fillId="0" borderId="0" xfId="13" applyNumberFormat="1" applyFont="1" applyFill="1" applyAlignment="1">
      <alignment horizontal="center" vertical="center" wrapText="1" readingOrder="1"/>
    </xf>
    <xf numFmtId="2" fontId="135" fillId="81" borderId="79" xfId="13" applyNumberFormat="1" applyFont="1" applyFill="1" applyBorder="1" applyAlignment="1">
      <alignment horizontal="center" vertical="center" wrapText="1" readingOrder="1"/>
    </xf>
    <xf numFmtId="0" fontId="134" fillId="0" borderId="0" xfId="13" applyFont="1" applyAlignment="1">
      <alignment horizontal="center" vertical="center" readingOrder="1"/>
    </xf>
    <xf numFmtId="2" fontId="135" fillId="81" borderId="57" xfId="13" applyNumberFormat="1" applyFont="1" applyFill="1" applyBorder="1" applyAlignment="1">
      <alignment horizontal="center" vertical="center" wrapText="1" readingOrder="1"/>
    </xf>
    <xf numFmtId="2" fontId="135" fillId="81" borderId="58" xfId="13" applyNumberFormat="1" applyFont="1" applyFill="1" applyBorder="1" applyAlignment="1">
      <alignment horizontal="center" vertical="center" wrapText="1" readingOrder="1"/>
    </xf>
    <xf numFmtId="2" fontId="135" fillId="81" borderId="69" xfId="13" applyNumberFormat="1" applyFont="1" applyFill="1" applyBorder="1" applyAlignment="1">
      <alignment horizontal="center" vertical="center" wrapText="1" readingOrder="1"/>
    </xf>
    <xf numFmtId="2" fontId="135" fillId="81" borderId="73" xfId="13" applyNumberFormat="1" applyFont="1" applyFill="1" applyBorder="1" applyAlignment="1">
      <alignment horizontal="center" vertical="center" wrapText="1" readingOrder="1"/>
    </xf>
    <xf numFmtId="0" fontId="134" fillId="0" borderId="80" xfId="13" applyFont="1" applyBorder="1">
      <alignment readingOrder="1"/>
    </xf>
    <xf numFmtId="2" fontId="134" fillId="0" borderId="49" xfId="13" applyNumberFormat="1" applyFont="1" applyFill="1" applyBorder="1">
      <alignment readingOrder="1"/>
    </xf>
    <xf numFmtId="0" fontId="134" fillId="0" borderId="0" xfId="13" applyFont="1" applyFill="1">
      <alignment readingOrder="1"/>
    </xf>
    <xf numFmtId="2" fontId="134" fillId="0" borderId="70" xfId="13" applyNumberFormat="1" applyFont="1" applyFill="1" applyBorder="1">
      <alignment readingOrder="1"/>
    </xf>
    <xf numFmtId="2" fontId="134" fillId="0" borderId="35" xfId="13" applyNumberFormat="1" applyFont="1" applyFill="1" applyBorder="1">
      <alignment readingOrder="1"/>
    </xf>
    <xf numFmtId="2" fontId="134" fillId="0" borderId="71" xfId="13" applyNumberFormat="1" applyFont="1" applyFill="1" applyBorder="1">
      <alignment readingOrder="1"/>
    </xf>
    <xf numFmtId="2" fontId="134" fillId="0" borderId="74" xfId="13" applyNumberFormat="1" applyFont="1" applyFill="1" applyBorder="1">
      <alignment readingOrder="1"/>
    </xf>
    <xf numFmtId="0" fontId="134" fillId="0" borderId="81" xfId="13" applyFont="1" applyBorder="1">
      <alignment readingOrder="1"/>
    </xf>
    <xf numFmtId="2" fontId="134" fillId="0" borderId="72" xfId="13" applyNumberFormat="1" applyFont="1" applyFill="1" applyBorder="1">
      <alignment readingOrder="1"/>
    </xf>
    <xf numFmtId="2" fontId="134" fillId="0" borderId="43" xfId="13" applyNumberFormat="1" applyFont="1" applyFill="1" applyBorder="1">
      <alignment readingOrder="1"/>
    </xf>
    <xf numFmtId="2" fontId="134" fillId="0" borderId="39" xfId="13" applyNumberFormat="1" applyFont="1" applyFill="1" applyBorder="1">
      <alignment readingOrder="1"/>
    </xf>
    <xf numFmtId="2" fontId="134" fillId="0" borderId="14" xfId="13" applyNumberFormat="1" applyFont="1" applyFill="1" applyBorder="1">
      <alignment readingOrder="1"/>
    </xf>
    <xf numFmtId="2" fontId="134" fillId="0" borderId="44" xfId="13" applyNumberFormat="1" applyFont="1" applyFill="1" applyBorder="1">
      <alignment readingOrder="1"/>
    </xf>
    <xf numFmtId="1" fontId="134" fillId="0" borderId="72" xfId="13" applyNumberFormat="1" applyFont="1" applyFill="1" applyBorder="1">
      <alignment readingOrder="1"/>
    </xf>
    <xf numFmtId="0" fontId="196" fillId="0" borderId="0" xfId="13" applyFont="1" applyFill="1" applyAlignment="1">
      <alignment horizontal="left" readingOrder="1"/>
    </xf>
    <xf numFmtId="3" fontId="134" fillId="0" borderId="43" xfId="13" applyNumberFormat="1" applyFont="1" applyFill="1" applyBorder="1">
      <alignment readingOrder="1"/>
    </xf>
    <xf numFmtId="3" fontId="134" fillId="0" borderId="39" xfId="13" applyNumberFormat="1" applyFont="1" applyFill="1" applyBorder="1">
      <alignment readingOrder="1"/>
    </xf>
    <xf numFmtId="3" fontId="134" fillId="0" borderId="14" xfId="13" applyNumberFormat="1" applyFont="1" applyFill="1" applyBorder="1">
      <alignment readingOrder="1"/>
    </xf>
    <xf numFmtId="3" fontId="134" fillId="0" borderId="44" xfId="13" applyNumberFormat="1" applyFont="1" applyFill="1" applyBorder="1">
      <alignment readingOrder="1"/>
    </xf>
    <xf numFmtId="0" fontId="134" fillId="0" borderId="81" xfId="13" applyFont="1" applyFill="1" applyBorder="1">
      <alignment readingOrder="1"/>
    </xf>
    <xf numFmtId="2" fontId="196" fillId="0" borderId="0" xfId="13" applyNumberFormat="1" applyFont="1" applyFill="1" applyAlignment="1">
      <alignment horizontal="left" readingOrder="1"/>
    </xf>
    <xf numFmtId="1" fontId="134" fillId="0" borderId="43" xfId="13" applyNumberFormat="1" applyFont="1" applyFill="1" applyBorder="1">
      <alignment readingOrder="1"/>
    </xf>
    <xf numFmtId="1" fontId="134" fillId="0" borderId="39" xfId="13" applyNumberFormat="1" applyFont="1" applyFill="1" applyBorder="1">
      <alignment readingOrder="1"/>
    </xf>
    <xf numFmtId="1" fontId="134" fillId="0" borderId="14" xfId="13" applyNumberFormat="1" applyFont="1" applyFill="1" applyBorder="1">
      <alignment readingOrder="1"/>
    </xf>
    <xf numFmtId="1" fontId="134" fillId="0" borderId="44" xfId="13" applyNumberFormat="1" applyFont="1" applyFill="1" applyBorder="1">
      <alignment readingOrder="1"/>
    </xf>
    <xf numFmtId="3" fontId="134" fillId="0" borderId="72" xfId="13" applyNumberFormat="1" applyFont="1" applyFill="1" applyBorder="1">
      <alignment readingOrder="1"/>
    </xf>
    <xf numFmtId="0" fontId="134" fillId="0" borderId="82" xfId="13" applyFont="1" applyBorder="1">
      <alignment readingOrder="1"/>
    </xf>
    <xf numFmtId="174" fontId="134" fillId="0" borderId="83" xfId="13" applyNumberFormat="1" applyFont="1" applyFill="1" applyBorder="1">
      <alignment readingOrder="1"/>
    </xf>
    <xf numFmtId="174" fontId="134" fillId="0" borderId="75" xfId="13" applyNumberFormat="1" applyFont="1" applyFill="1" applyBorder="1">
      <alignment readingOrder="1"/>
    </xf>
    <xf numFmtId="174" fontId="134" fillId="0" borderId="20" xfId="13" applyNumberFormat="1" applyFont="1" applyFill="1" applyBorder="1">
      <alignment readingOrder="1"/>
    </xf>
    <xf numFmtId="174" fontId="134" fillId="0" borderId="56" xfId="13" applyNumberFormat="1" applyFont="1" applyFill="1" applyBorder="1">
      <alignment readingOrder="1"/>
    </xf>
    <xf numFmtId="174" fontId="134" fillId="0" borderId="76" xfId="13" applyNumberFormat="1" applyFont="1" applyFill="1" applyBorder="1">
      <alignment readingOrder="1"/>
    </xf>
    <xf numFmtId="0" fontId="134" fillId="0" borderId="4" xfId="13" applyFont="1" applyBorder="1">
      <alignment readingOrder="1"/>
    </xf>
    <xf numFmtId="174" fontId="134" fillId="0" borderId="79" xfId="13" applyNumberFormat="1" applyFont="1" applyFill="1" applyBorder="1">
      <alignment readingOrder="1"/>
    </xf>
    <xf numFmtId="0" fontId="134" fillId="0" borderId="0" xfId="13" applyFont="1" applyBorder="1" applyAlignment="1">
      <alignment wrapText="1" readingOrder="1"/>
    </xf>
    <xf numFmtId="174" fontId="134" fillId="0" borderId="57" xfId="13" applyNumberFormat="1" applyFont="1" applyBorder="1">
      <alignment readingOrder="1"/>
    </xf>
    <xf numFmtId="174" fontId="134" fillId="0" borderId="58" xfId="13" applyNumberFormat="1" applyFont="1" applyBorder="1">
      <alignment readingOrder="1"/>
    </xf>
    <xf numFmtId="174" fontId="134" fillId="0" borderId="69" xfId="13" applyNumberFormat="1" applyFont="1" applyFill="1" applyBorder="1">
      <alignment readingOrder="1"/>
    </xf>
    <xf numFmtId="174" fontId="134" fillId="0" borderId="73" xfId="13" applyNumberFormat="1" applyFont="1" applyBorder="1">
      <alignment readingOrder="1"/>
    </xf>
    <xf numFmtId="0" fontId="135" fillId="36" borderId="0" xfId="13" applyFont="1" applyFill="1">
      <alignment readingOrder="1"/>
    </xf>
    <xf numFmtId="0" fontId="134" fillId="36" borderId="0" xfId="13" applyFont="1" applyFill="1">
      <alignment readingOrder="1"/>
    </xf>
    <xf numFmtId="2" fontId="134" fillId="0" borderId="49" xfId="13" applyNumberFormat="1" applyFont="1" applyBorder="1">
      <alignment readingOrder="1"/>
    </xf>
    <xf numFmtId="2" fontId="134" fillId="0" borderId="40" xfId="13" applyNumberFormat="1" applyFont="1" applyBorder="1">
      <alignment readingOrder="1"/>
    </xf>
    <xf numFmtId="2" fontId="134" fillId="0" borderId="77" xfId="13" applyNumberFormat="1" applyFont="1" applyBorder="1">
      <alignment readingOrder="1"/>
    </xf>
    <xf numFmtId="2" fontId="134" fillId="0" borderId="41" xfId="13" applyNumberFormat="1" applyFont="1" applyFill="1" applyBorder="1">
      <alignment readingOrder="1"/>
    </xf>
    <xf numFmtId="2" fontId="134" fillId="0" borderId="42" xfId="13" applyNumberFormat="1" applyFont="1" applyBorder="1">
      <alignment readingOrder="1"/>
    </xf>
    <xf numFmtId="1" fontId="134" fillId="0" borderId="72" xfId="13" applyNumberFormat="1" applyFont="1" applyBorder="1">
      <alignment readingOrder="1"/>
    </xf>
    <xf numFmtId="1" fontId="134" fillId="0" borderId="43" xfId="13" applyNumberFormat="1" applyFont="1" applyBorder="1">
      <alignment readingOrder="1"/>
    </xf>
    <xf numFmtId="1" fontId="134" fillId="0" borderId="39" xfId="13" applyNumberFormat="1" applyFont="1" applyBorder="1">
      <alignment readingOrder="1"/>
    </xf>
    <xf numFmtId="1" fontId="134" fillId="0" borderId="44" xfId="13" applyNumberFormat="1" applyFont="1" applyBorder="1">
      <alignment readingOrder="1"/>
    </xf>
    <xf numFmtId="2" fontId="134" fillId="0" borderId="0" xfId="13" applyNumberFormat="1" applyFont="1" applyFill="1">
      <alignment readingOrder="1"/>
    </xf>
    <xf numFmtId="9" fontId="134" fillId="0" borderId="72" xfId="14" applyNumberFormat="1" applyFont="1" applyFill="1" applyBorder="1" applyAlignment="1">
      <alignment readingOrder="1"/>
    </xf>
    <xf numFmtId="9" fontId="134" fillId="0" borderId="0" xfId="13" applyNumberFormat="1" applyFont="1" applyFill="1">
      <alignment readingOrder="1"/>
    </xf>
    <xf numFmtId="9" fontId="134" fillId="0" borderId="43" xfId="14" applyNumberFormat="1" applyFont="1" applyFill="1" applyBorder="1" applyAlignment="1">
      <alignment readingOrder="1"/>
    </xf>
    <xf numFmtId="9" fontId="134" fillId="0" borderId="39" xfId="14" applyNumberFormat="1" applyFont="1" applyFill="1" applyBorder="1" applyAlignment="1">
      <alignment readingOrder="1"/>
    </xf>
    <xf numFmtId="9" fontId="134" fillId="0" borderId="14" xfId="14" applyNumberFormat="1" applyFont="1" applyFill="1" applyBorder="1" applyAlignment="1">
      <alignment readingOrder="1"/>
    </xf>
    <xf numFmtId="9" fontId="134" fillId="0" borderId="44" xfId="14" applyNumberFormat="1" applyFont="1" applyFill="1" applyBorder="1" applyAlignment="1">
      <alignment readingOrder="1"/>
    </xf>
    <xf numFmtId="1" fontId="134" fillId="0" borderId="50" xfId="13" applyNumberFormat="1" applyFont="1" applyBorder="1">
      <alignment readingOrder="1"/>
    </xf>
    <xf numFmtId="1" fontId="134" fillId="0" borderId="45" xfId="13" applyNumberFormat="1" applyFont="1" applyBorder="1">
      <alignment readingOrder="1"/>
    </xf>
    <xf numFmtId="1" fontId="134" fillId="0" borderId="78" xfId="13" applyNumberFormat="1" applyFont="1" applyBorder="1">
      <alignment readingOrder="1"/>
    </xf>
    <xf numFmtId="1" fontId="134" fillId="0" borderId="46" xfId="13" applyNumberFormat="1" applyFont="1" applyFill="1" applyBorder="1">
      <alignment readingOrder="1"/>
    </xf>
    <xf numFmtId="1" fontId="134" fillId="0" borderId="47" xfId="13" applyNumberFormat="1" applyFont="1" applyBorder="1">
      <alignment readingOrder="1"/>
    </xf>
    <xf numFmtId="1" fontId="134" fillId="0" borderId="49" xfId="13" applyNumberFormat="1" applyFont="1" applyBorder="1">
      <alignment readingOrder="1"/>
    </xf>
    <xf numFmtId="1" fontId="134" fillId="0" borderId="40" xfId="13" applyNumberFormat="1" applyFont="1" applyBorder="1">
      <alignment readingOrder="1"/>
    </xf>
    <xf numFmtId="1" fontId="134" fillId="0" borderId="77" xfId="13" applyNumberFormat="1" applyFont="1" applyBorder="1">
      <alignment readingOrder="1"/>
    </xf>
    <xf numFmtId="1" fontId="134" fillId="0" borderId="41" xfId="13" applyNumberFormat="1" applyFont="1" applyFill="1" applyBorder="1">
      <alignment readingOrder="1"/>
    </xf>
    <xf numFmtId="1" fontId="134" fillId="0" borderId="42" xfId="13" applyNumberFormat="1" applyFont="1" applyBorder="1">
      <alignment readingOrder="1"/>
    </xf>
    <xf numFmtId="9" fontId="134" fillId="0" borderId="72" xfId="14" applyFont="1" applyBorder="1" applyAlignment="1">
      <alignment readingOrder="1"/>
    </xf>
    <xf numFmtId="9" fontId="134" fillId="0" borderId="43" xfId="14" applyFont="1" applyBorder="1" applyAlignment="1">
      <alignment readingOrder="1"/>
    </xf>
    <xf numFmtId="9" fontId="134" fillId="0" borderId="39" xfId="14" applyFont="1" applyBorder="1" applyAlignment="1">
      <alignment readingOrder="1"/>
    </xf>
    <xf numFmtId="9" fontId="134" fillId="0" borderId="14" xfId="14" applyFont="1" applyFill="1" applyBorder="1" applyAlignment="1">
      <alignment readingOrder="1"/>
    </xf>
    <xf numFmtId="9" fontId="134" fillId="0" borderId="44" xfId="14" applyFont="1" applyBorder="1" applyAlignment="1">
      <alignment readingOrder="1"/>
    </xf>
    <xf numFmtId="9" fontId="134" fillId="0" borderId="50" xfId="14" applyFont="1" applyBorder="1" applyAlignment="1">
      <alignment readingOrder="1"/>
    </xf>
    <xf numFmtId="9" fontId="134" fillId="0" borderId="45" xfId="14" applyFont="1" applyBorder="1" applyAlignment="1">
      <alignment readingOrder="1"/>
    </xf>
    <xf numFmtId="9" fontId="134" fillId="0" borderId="78" xfId="14" applyFont="1" applyBorder="1" applyAlignment="1">
      <alignment readingOrder="1"/>
    </xf>
    <xf numFmtId="9" fontId="134" fillId="0" borderId="46" xfId="14" applyFont="1" applyFill="1" applyBorder="1" applyAlignment="1">
      <alignment readingOrder="1"/>
    </xf>
    <xf numFmtId="9" fontId="134" fillId="0" borderId="47" xfId="14" applyFont="1" applyBorder="1" applyAlignment="1">
      <alignment readingOrder="1"/>
    </xf>
    <xf numFmtId="170" fontId="134" fillId="0" borderId="49" xfId="13" applyNumberFormat="1" applyFont="1" applyBorder="1">
      <alignment readingOrder="1"/>
    </xf>
    <xf numFmtId="170" fontId="134" fillId="0" borderId="0" xfId="13" applyNumberFormat="1" applyFont="1">
      <alignment readingOrder="1"/>
    </xf>
    <xf numFmtId="170" fontId="134" fillId="0" borderId="40" xfId="13" applyNumberFormat="1" applyFont="1" applyBorder="1">
      <alignment readingOrder="1"/>
    </xf>
    <xf numFmtId="170" fontId="134" fillId="0" borderId="77" xfId="13" applyNumberFormat="1" applyFont="1" applyBorder="1">
      <alignment readingOrder="1"/>
    </xf>
    <xf numFmtId="170" fontId="134" fillId="0" borderId="41" xfId="13" applyNumberFormat="1" applyFont="1" applyFill="1" applyBorder="1">
      <alignment readingOrder="1"/>
    </xf>
    <xf numFmtId="170" fontId="134" fillId="0" borderId="42" xfId="13" applyNumberFormat="1" applyFont="1" applyBorder="1">
      <alignment readingOrder="1"/>
    </xf>
    <xf numFmtId="170" fontId="134" fillId="0" borderId="72" xfId="13" applyNumberFormat="1" applyFont="1" applyBorder="1">
      <alignment readingOrder="1"/>
    </xf>
    <xf numFmtId="170" fontId="134" fillId="0" borderId="43" xfId="13" applyNumberFormat="1" applyFont="1" applyBorder="1">
      <alignment readingOrder="1"/>
    </xf>
    <xf numFmtId="170" fontId="134" fillId="0" borderId="39" xfId="13" applyNumberFormat="1" applyFont="1" applyBorder="1">
      <alignment readingOrder="1"/>
    </xf>
    <xf numFmtId="170" fontId="134" fillId="0" borderId="14" xfId="13" applyNumberFormat="1" applyFont="1" applyFill="1" applyBorder="1">
      <alignment readingOrder="1"/>
    </xf>
    <xf numFmtId="170" fontId="134" fillId="0" borderId="44" xfId="13" applyNumberFormat="1" applyFont="1" applyBorder="1">
      <alignment readingOrder="1"/>
    </xf>
    <xf numFmtId="170" fontId="134" fillId="0" borderId="50" xfId="13" applyNumberFormat="1" applyFont="1" applyBorder="1">
      <alignment readingOrder="1"/>
    </xf>
    <xf numFmtId="170" fontId="134" fillId="0" borderId="45" xfId="13" applyNumberFormat="1" applyFont="1" applyBorder="1">
      <alignment readingOrder="1"/>
    </xf>
    <xf numFmtId="170" fontId="134" fillId="0" borderId="78" xfId="13" applyNumberFormat="1" applyFont="1" applyBorder="1">
      <alignment readingOrder="1"/>
    </xf>
    <xf numFmtId="170" fontId="134" fillId="0" borderId="46" xfId="13" applyNumberFormat="1" applyFont="1" applyFill="1" applyBorder="1">
      <alignment readingOrder="1"/>
    </xf>
    <xf numFmtId="170" fontId="134" fillId="0" borderId="47" xfId="13" applyNumberFormat="1" applyFont="1" applyBorder="1">
      <alignment readingOrder="1"/>
    </xf>
    <xf numFmtId="0" fontId="7" fillId="17" borderId="224" xfId="0" applyFont="1" applyFill="1" applyBorder="1" applyAlignment="1"/>
    <xf numFmtId="0" fontId="7" fillId="17" borderId="427" xfId="0" applyFont="1" applyFill="1" applyBorder="1" applyAlignment="1">
      <alignment wrapText="1"/>
    </xf>
    <xf numFmtId="0" fontId="7" fillId="17" borderId="229" xfId="0" applyFont="1" applyFill="1" applyBorder="1" applyAlignment="1"/>
    <xf numFmtId="164" fontId="7" fillId="17" borderId="228" xfId="1" applyNumberFormat="1" applyFont="1" applyFill="1" applyBorder="1"/>
    <xf numFmtId="43" fontId="120" fillId="19" borderId="228" xfId="4" applyNumberFormat="1" applyFont="1" applyFill="1" applyBorder="1"/>
    <xf numFmtId="43" fontId="7" fillId="17" borderId="228" xfId="1" applyNumberFormat="1" applyFont="1" applyFill="1" applyBorder="1"/>
    <xf numFmtId="43" fontId="7" fillId="17" borderId="229" xfId="1" applyNumberFormat="1" applyFont="1" applyFill="1" applyBorder="1"/>
    <xf numFmtId="43" fontId="7" fillId="17" borderId="231" xfId="1" applyNumberFormat="1" applyFont="1" applyFill="1" applyBorder="1"/>
    <xf numFmtId="0" fontId="7" fillId="17" borderId="428" xfId="0" applyFont="1" applyFill="1" applyBorder="1" applyAlignment="1">
      <alignment wrapText="1"/>
    </xf>
    <xf numFmtId="0" fontId="7" fillId="17" borderId="429" xfId="0" applyFont="1" applyFill="1" applyBorder="1" applyAlignment="1">
      <alignment wrapText="1"/>
    </xf>
    <xf numFmtId="166" fontId="7" fillId="17" borderId="430" xfId="0" applyNumberFormat="1" applyFont="1" applyFill="1" applyBorder="1"/>
    <xf numFmtId="164" fontId="7" fillId="17" borderId="429" xfId="0" applyNumberFormat="1" applyFont="1" applyFill="1" applyBorder="1"/>
    <xf numFmtId="164" fontId="120" fillId="17" borderId="429" xfId="4" applyNumberFormat="1" applyFont="1" applyFill="1" applyBorder="1"/>
    <xf numFmtId="10" fontId="154" fillId="17" borderId="157" xfId="0" applyNumberFormat="1" applyFont="1" applyFill="1" applyBorder="1"/>
    <xf numFmtId="0" fontId="9" fillId="17" borderId="157" xfId="0" applyFont="1" applyFill="1" applyBorder="1" applyAlignment="1">
      <alignment wrapText="1"/>
    </xf>
    <xf numFmtId="0" fontId="154" fillId="17" borderId="33" xfId="0" applyFont="1" applyFill="1" applyBorder="1" applyAlignment="1">
      <alignment wrapText="1"/>
    </xf>
    <xf numFmtId="0" fontId="154" fillId="17" borderId="34" xfId="0" applyFont="1" applyFill="1" applyBorder="1" applyAlignment="1">
      <alignment wrapText="1"/>
    </xf>
    <xf numFmtId="0" fontId="154" fillId="17" borderId="35" xfId="0" applyFont="1" applyFill="1" applyBorder="1" applyAlignment="1">
      <alignment wrapText="1"/>
    </xf>
    <xf numFmtId="165" fontId="154" fillId="17" borderId="35" xfId="1" applyNumberFormat="1" applyFont="1" applyFill="1" applyBorder="1" applyAlignment="1">
      <alignment wrapText="1"/>
    </xf>
    <xf numFmtId="43" fontId="120" fillId="19" borderId="201" xfId="4" applyNumberFormat="1" applyFont="1" applyFill="1" applyBorder="1"/>
    <xf numFmtId="43" fontId="7" fillId="17" borderId="204" xfId="1" applyNumberFormat="1" applyFont="1" applyFill="1" applyBorder="1"/>
    <xf numFmtId="43" fontId="120" fillId="19" borderId="27" xfId="4" applyNumberFormat="1" applyFont="1" applyFill="1" applyBorder="1"/>
    <xf numFmtId="43" fontId="7" fillId="17" borderId="29" xfId="1" applyNumberFormat="1" applyFont="1" applyFill="1" applyBorder="1"/>
    <xf numFmtId="0" fontId="183" fillId="0" borderId="0" xfId="0" applyFont="1"/>
    <xf numFmtId="43" fontId="163" fillId="19" borderId="228" xfId="4" applyNumberFormat="1" applyFont="1" applyFill="1" applyBorder="1"/>
    <xf numFmtId="43" fontId="7" fillId="17" borderId="201" xfId="1" applyFont="1" applyFill="1" applyBorder="1"/>
    <xf numFmtId="43" fontId="7" fillId="17" borderId="202" xfId="1" applyFont="1" applyFill="1" applyBorder="1"/>
    <xf numFmtId="43" fontId="7" fillId="17" borderId="27" xfId="1" applyFont="1" applyFill="1" applyBorder="1"/>
    <xf numFmtId="43" fontId="7" fillId="17" borderId="28" xfId="1" applyFont="1" applyFill="1" applyBorder="1"/>
    <xf numFmtId="164" fontId="120" fillId="17" borderId="432" xfId="4" applyNumberFormat="1" applyFont="1" applyFill="1" applyBorder="1"/>
    <xf numFmtId="164" fontId="120" fillId="81" borderId="433" xfId="4" applyNumberFormat="1" applyFont="1" applyFill="1" applyBorder="1"/>
    <xf numFmtId="164" fontId="120" fillId="17" borderId="433" xfId="4" applyNumberFormat="1" applyFont="1" applyFill="1" applyBorder="1"/>
    <xf numFmtId="164" fontId="120" fillId="17" borderId="434" xfId="4" applyNumberFormat="1" applyFont="1" applyFill="1" applyBorder="1"/>
    <xf numFmtId="0" fontId="80" fillId="16" borderId="0" xfId="0" applyFont="1" applyFill="1" applyAlignment="1">
      <alignment horizontal="center"/>
    </xf>
    <xf numFmtId="0" fontId="7" fillId="16" borderId="0" xfId="0" applyFont="1" applyFill="1" applyAlignment="1">
      <alignment horizontal="left" indent="2"/>
    </xf>
    <xf numFmtId="43" fontId="7" fillId="0" borderId="36" xfId="1" applyFont="1" applyFill="1" applyBorder="1"/>
    <xf numFmtId="9" fontId="7" fillId="0" borderId="36" xfId="2" applyFont="1" applyFill="1" applyBorder="1"/>
    <xf numFmtId="10" fontId="7" fillId="0" borderId="36" xfId="2" applyNumberFormat="1" applyFont="1" applyFill="1" applyBorder="1"/>
    <xf numFmtId="164" fontId="7" fillId="0" borderId="36" xfId="1" applyNumberFormat="1" applyFont="1" applyFill="1" applyBorder="1"/>
    <xf numFmtId="164" fontId="80" fillId="0" borderId="36" xfId="1" applyNumberFormat="1" applyFont="1" applyFill="1" applyBorder="1"/>
    <xf numFmtId="43" fontId="7" fillId="36" borderId="36" xfId="1" applyFont="1" applyFill="1" applyBorder="1"/>
    <xf numFmtId="165" fontId="7" fillId="16" borderId="31" xfId="1" applyNumberFormat="1" applyFont="1" applyFill="1" applyBorder="1" applyAlignment="1">
      <alignment wrapText="1"/>
    </xf>
    <xf numFmtId="9" fontId="7" fillId="36" borderId="36" xfId="2" applyFont="1" applyFill="1" applyBorder="1"/>
    <xf numFmtId="0" fontId="80" fillId="16" borderId="91" xfId="0" applyFont="1" applyFill="1" applyBorder="1" applyAlignment="1">
      <alignment horizontal="center" vertical="center"/>
    </xf>
    <xf numFmtId="164" fontId="7" fillId="36" borderId="36" xfId="1" applyNumberFormat="1" applyFont="1" applyFill="1" applyBorder="1"/>
    <xf numFmtId="164" fontId="7" fillId="18" borderId="91" xfId="1" applyNumberFormat="1" applyFont="1" applyFill="1" applyBorder="1"/>
    <xf numFmtId="164" fontId="80" fillId="36" borderId="36" xfId="1" applyNumberFormat="1" applyFont="1" applyFill="1" applyBorder="1"/>
    <xf numFmtId="0" fontId="18" fillId="0" borderId="0" xfId="5" applyFont="1"/>
    <xf numFmtId="0" fontId="197" fillId="16" borderId="0" xfId="0" applyFont="1" applyFill="1"/>
    <xf numFmtId="0" fontId="7" fillId="30" borderId="91" xfId="0" applyFont="1" applyFill="1" applyBorder="1" applyAlignment="1">
      <alignment horizontal="center" wrapText="1"/>
    </xf>
    <xf numFmtId="0" fontId="7" fillId="37" borderId="91" xfId="0" applyFont="1" applyFill="1" applyBorder="1" applyAlignment="1">
      <alignment horizontal="center" wrapText="1"/>
    </xf>
    <xf numFmtId="0" fontId="7" fillId="37" borderId="91" xfId="0" applyFont="1" applyFill="1" applyBorder="1"/>
    <xf numFmtId="43" fontId="7" fillId="0" borderId="91" xfId="7" applyFont="1" applyBorder="1"/>
    <xf numFmtId="9" fontId="7" fillId="0" borderId="91" xfId="8" applyFont="1" applyFill="1" applyBorder="1"/>
    <xf numFmtId="0" fontId="7" fillId="0" borderId="0" xfId="5" applyFont="1"/>
    <xf numFmtId="0" fontId="134" fillId="0" borderId="91" xfId="6" applyFont="1" applyFill="1" applyBorder="1"/>
    <xf numFmtId="0" fontId="112" fillId="16" borderId="0" xfId="0" applyFont="1" applyFill="1"/>
    <xf numFmtId="0" fontId="20" fillId="33" borderId="91" xfId="8181" applyFont="1" applyFill="1" applyBorder="1"/>
    <xf numFmtId="0" fontId="152" fillId="0" borderId="0" xfId="0" applyFont="1"/>
    <xf numFmtId="0" fontId="112" fillId="0" borderId="0" xfId="0" applyFont="1"/>
    <xf numFmtId="0" fontId="7" fillId="0" borderId="40" xfId="0" applyFont="1" applyBorder="1"/>
    <xf numFmtId="0" fontId="134" fillId="0" borderId="41" xfId="0" applyFont="1" applyFill="1" applyBorder="1" applyAlignment="1">
      <alignment horizontal="center" vertical="center"/>
    </xf>
    <xf numFmtId="0" fontId="112" fillId="87" borderId="41" xfId="0" applyFont="1" applyFill="1" applyBorder="1" applyAlignment="1">
      <alignment horizontal="center" vertical="center"/>
    </xf>
    <xf numFmtId="0" fontId="112" fillId="90" borderId="42" xfId="0" applyFont="1" applyFill="1" applyBorder="1" applyAlignment="1">
      <alignment horizontal="center" vertical="center"/>
    </xf>
    <xf numFmtId="0" fontId="7" fillId="0" borderId="101" xfId="0" applyFont="1" applyBorder="1"/>
    <xf numFmtId="170" fontId="7" fillId="0" borderId="102" xfId="0" applyNumberFormat="1" applyFont="1" applyBorder="1"/>
    <xf numFmtId="170" fontId="7" fillId="0" borderId="103" xfId="0" applyNumberFormat="1" applyFont="1" applyBorder="1"/>
    <xf numFmtId="0" fontId="134" fillId="0" borderId="49" xfId="0" applyFont="1" applyFill="1" applyBorder="1" applyAlignment="1">
      <alignment horizontal="center" vertical="center"/>
    </xf>
    <xf numFmtId="0" fontId="7" fillId="0" borderId="104" xfId="0" applyFont="1" applyBorder="1"/>
    <xf numFmtId="9" fontId="7" fillId="0" borderId="105" xfId="0" applyNumberFormat="1" applyFont="1" applyBorder="1"/>
    <xf numFmtId="170" fontId="7" fillId="0" borderId="72" xfId="0" applyNumberFormat="1" applyFont="1" applyBorder="1"/>
    <xf numFmtId="9" fontId="7" fillId="0" borderId="102" xfId="0" applyNumberFormat="1" applyFont="1" applyBorder="1"/>
    <xf numFmtId="9" fontId="7" fillId="0" borderId="103" xfId="0" applyNumberFormat="1" applyFont="1" applyBorder="1"/>
    <xf numFmtId="170" fontId="7" fillId="0" borderId="106" xfId="0" applyNumberFormat="1" applyFont="1" applyBorder="1"/>
    <xf numFmtId="170" fontId="80" fillId="18" borderId="0" xfId="0" applyNumberFormat="1" applyFont="1" applyFill="1"/>
    <xf numFmtId="0" fontId="7" fillId="33" borderId="107" xfId="0" applyFont="1" applyFill="1" applyBorder="1"/>
    <xf numFmtId="0" fontId="7" fillId="33" borderId="99" xfId="0" applyFont="1" applyFill="1" applyBorder="1"/>
    <xf numFmtId="0" fontId="7" fillId="33" borderId="99" xfId="0" applyFont="1" applyFill="1" applyBorder="1" applyAlignment="1">
      <alignment wrapText="1"/>
    </xf>
    <xf numFmtId="0" fontId="7" fillId="33" borderId="100" xfId="0" applyFont="1" applyFill="1" applyBorder="1" applyAlignment="1">
      <alignment wrapText="1"/>
    </xf>
    <xf numFmtId="0" fontId="7" fillId="33" borderId="33" xfId="0" applyFont="1" applyFill="1" applyBorder="1" applyAlignment="1">
      <alignment horizontal="left"/>
    </xf>
    <xf numFmtId="0" fontId="7" fillId="91" borderId="91" xfId="0" applyFont="1" applyFill="1" applyBorder="1"/>
    <xf numFmtId="0" fontId="7" fillId="33" borderId="34" xfId="0" applyFont="1" applyFill="1" applyBorder="1"/>
    <xf numFmtId="0" fontId="7" fillId="33" borderId="35" xfId="0" applyFont="1" applyFill="1" applyBorder="1"/>
    <xf numFmtId="0" fontId="7" fillId="33" borderId="107" xfId="0" applyFont="1" applyFill="1" applyBorder="1" applyAlignment="1"/>
    <xf numFmtId="0" fontId="7" fillId="33" borderId="98" xfId="0" applyFont="1" applyFill="1" applyBorder="1" applyAlignment="1"/>
    <xf numFmtId="0" fontId="7" fillId="0" borderId="107" xfId="0" applyFont="1" applyBorder="1"/>
    <xf numFmtId="0" fontId="7" fillId="0" borderId="99" xfId="0" applyFont="1" applyBorder="1"/>
    <xf numFmtId="0" fontId="7" fillId="33" borderId="91" xfId="0" applyFont="1" applyFill="1" applyBorder="1"/>
    <xf numFmtId="0" fontId="7" fillId="33" borderId="91" xfId="0" applyFont="1" applyFill="1" applyBorder="1" applyAlignment="1">
      <alignment wrapText="1"/>
    </xf>
    <xf numFmtId="0" fontId="7" fillId="88" borderId="91" xfId="0" applyFont="1" applyFill="1" applyBorder="1" applyAlignment="1">
      <alignment wrapText="1"/>
    </xf>
    <xf numFmtId="0" fontId="7" fillId="16" borderId="96" xfId="0" applyFont="1" applyFill="1" applyBorder="1" applyAlignment="1">
      <alignment horizontal="center" wrapText="1"/>
    </xf>
    <xf numFmtId="0" fontId="7" fillId="16" borderId="97" xfId="0" applyFont="1" applyFill="1" applyBorder="1" applyAlignment="1">
      <alignment wrapText="1"/>
    </xf>
    <xf numFmtId="0" fontId="7" fillId="16" borderId="91" xfId="0" applyFont="1" applyFill="1" applyBorder="1" applyAlignment="1">
      <alignment wrapText="1"/>
    </xf>
    <xf numFmtId="0" fontId="7" fillId="0" borderId="31" xfId="0" applyFont="1" applyBorder="1"/>
    <xf numFmtId="0" fontId="7" fillId="0" borderId="32" xfId="0" applyFont="1" applyBorder="1"/>
    <xf numFmtId="9" fontId="7" fillId="0" borderId="108" xfId="2" applyFont="1" applyBorder="1"/>
    <xf numFmtId="0" fontId="7" fillId="16" borderId="108" xfId="0" applyFont="1" applyFill="1" applyBorder="1"/>
    <xf numFmtId="0" fontId="7" fillId="0" borderId="0" xfId="0" applyFont="1" applyFill="1" applyBorder="1" applyAlignment="1">
      <alignment wrapText="1"/>
    </xf>
    <xf numFmtId="0" fontId="7" fillId="0" borderId="0" xfId="0" applyFont="1" applyFill="1" applyBorder="1"/>
    <xf numFmtId="0" fontId="7" fillId="92" borderId="0" xfId="0" applyFont="1" applyFill="1" applyBorder="1"/>
    <xf numFmtId="170" fontId="7" fillId="0" borderId="0" xfId="0" applyNumberFormat="1" applyFont="1" applyBorder="1"/>
    <xf numFmtId="170" fontId="7" fillId="0" borderId="32" xfId="0" applyNumberFormat="1" applyFont="1" applyBorder="1"/>
    <xf numFmtId="43" fontId="7" fillId="16" borderId="91" xfId="1" applyNumberFormat="1" applyFont="1" applyFill="1" applyBorder="1"/>
    <xf numFmtId="43" fontId="7" fillId="16" borderId="0" xfId="1" applyNumberFormat="1" applyFont="1" applyFill="1"/>
    <xf numFmtId="170" fontId="7" fillId="0" borderId="34" xfId="0" applyNumberFormat="1" applyFont="1" applyBorder="1"/>
    <xf numFmtId="9" fontId="7" fillId="0" borderId="71" xfId="2" applyFont="1" applyBorder="1"/>
    <xf numFmtId="0" fontId="133" fillId="38" borderId="96" xfId="10" applyFont="1" applyFill="1" applyBorder="1" applyAlignment="1">
      <alignment horizontal="center" wrapText="1"/>
    </xf>
    <xf numFmtId="0" fontId="133" fillId="38" borderId="97" xfId="10" applyFont="1" applyFill="1" applyBorder="1" applyAlignment="1">
      <alignment horizontal="center" wrapText="1"/>
    </xf>
    <xf numFmtId="0" fontId="7" fillId="0" borderId="91" xfId="0" applyFont="1" applyBorder="1"/>
    <xf numFmtId="169" fontId="7" fillId="0" borderId="91" xfId="0" applyNumberFormat="1" applyFont="1" applyBorder="1"/>
    <xf numFmtId="0" fontId="7" fillId="0" borderId="91" xfId="0" applyFont="1" applyFill="1" applyBorder="1"/>
    <xf numFmtId="0" fontId="198" fillId="81" borderId="7" xfId="0" applyFont="1" applyFill="1" applyBorder="1" applyAlignment="1">
      <alignment wrapText="1"/>
    </xf>
    <xf numFmtId="0" fontId="198" fillId="81" borderId="21" xfId="0" applyFont="1" applyFill="1" applyBorder="1" applyAlignment="1">
      <alignment wrapText="1"/>
    </xf>
    <xf numFmtId="0" fontId="198" fillId="81" borderId="22" xfId="0" applyFont="1" applyFill="1" applyBorder="1" applyAlignment="1">
      <alignment wrapText="1"/>
    </xf>
    <xf numFmtId="165" fontId="198" fillId="81" borderId="22" xfId="1" applyNumberFormat="1" applyFont="1" applyFill="1" applyBorder="1" applyAlignment="1">
      <alignment wrapText="1"/>
    </xf>
    <xf numFmtId="0" fontId="149" fillId="26" borderId="31" xfId="0" applyFont="1" applyFill="1" applyBorder="1" applyAlignment="1"/>
    <xf numFmtId="0" fontId="149" fillId="27" borderId="0" xfId="0" applyNumberFormat="1" applyFont="1" applyFill="1" applyBorder="1" applyAlignment="1"/>
    <xf numFmtId="0" fontId="149" fillId="27" borderId="32" xfId="0" applyNumberFormat="1" applyFont="1" applyFill="1" applyBorder="1" applyAlignment="1"/>
    <xf numFmtId="0" fontId="7" fillId="17" borderId="146" xfId="0" applyFont="1" applyFill="1" applyBorder="1" applyAlignment="1"/>
    <xf numFmtId="0" fontId="7" fillId="17" borderId="147" xfId="0" applyFont="1" applyFill="1" applyBorder="1" applyAlignment="1"/>
    <xf numFmtId="166" fontId="7" fillId="17" borderId="152" xfId="0" applyNumberFormat="1" applyFont="1" applyFill="1" applyBorder="1" applyAlignment="1"/>
    <xf numFmtId="164" fontId="7" fillId="17" borderId="25" xfId="0" applyNumberFormat="1" applyFont="1" applyFill="1" applyBorder="1" applyAlignment="1"/>
    <xf numFmtId="164" fontId="120" fillId="17" borderId="150" xfId="4" applyNumberFormat="1" applyFont="1" applyFill="1" applyBorder="1" applyAlignment="1"/>
    <xf numFmtId="164" fontId="120" fillId="19" borderId="149" xfId="4" applyNumberFormat="1" applyFont="1" applyFill="1" applyBorder="1" applyAlignment="1"/>
    <xf numFmtId="0" fontId="9" fillId="17" borderId="210" xfId="0" applyFont="1" applyFill="1" applyBorder="1" applyAlignment="1"/>
    <xf numFmtId="43" fontId="7" fillId="17" borderId="146" xfId="0" applyNumberFormat="1" applyFont="1" applyFill="1" applyBorder="1" applyAlignment="1"/>
    <xf numFmtId="43" fontId="7" fillId="17" borderId="147" xfId="0" applyNumberFormat="1" applyFont="1" applyFill="1" applyBorder="1" applyAlignment="1"/>
    <xf numFmtId="43" fontId="7" fillId="17" borderId="148" xfId="1" applyFont="1" applyFill="1" applyBorder="1" applyAlignment="1"/>
    <xf numFmtId="0" fontId="7" fillId="17" borderId="149" xfId="0" applyFont="1" applyFill="1" applyBorder="1" applyAlignment="1"/>
    <xf numFmtId="0" fontId="7" fillId="17" borderId="150" xfId="0" applyFont="1" applyFill="1" applyBorder="1" applyAlignment="1"/>
    <xf numFmtId="166" fontId="7" fillId="17" borderId="153" xfId="0" applyNumberFormat="1" applyFont="1" applyFill="1" applyBorder="1" applyAlignment="1"/>
    <xf numFmtId="43" fontId="7" fillId="17" borderId="149" xfId="0" applyNumberFormat="1" applyFont="1" applyFill="1" applyBorder="1" applyAlignment="1"/>
    <xf numFmtId="43" fontId="7" fillId="17" borderId="150" xfId="0" applyNumberFormat="1" applyFont="1" applyFill="1" applyBorder="1" applyAlignment="1"/>
    <xf numFmtId="43" fontId="7" fillId="17" borderId="151" xfId="1" applyFont="1" applyFill="1" applyBorder="1" applyAlignment="1"/>
    <xf numFmtId="0" fontId="149" fillId="26" borderId="5" xfId="0" applyFont="1" applyFill="1" applyBorder="1" applyAlignment="1"/>
    <xf numFmtId="0" fontId="149" fillId="27" borderId="158" xfId="0" applyNumberFormat="1" applyFont="1" applyFill="1" applyBorder="1" applyAlignment="1"/>
    <xf numFmtId="0" fontId="149" fillId="27" borderId="342" xfId="0" applyNumberFormat="1" applyFont="1" applyFill="1" applyBorder="1" applyAlignment="1"/>
    <xf numFmtId="0" fontId="7" fillId="17" borderId="356" xfId="0" applyFont="1" applyFill="1" applyBorder="1" applyAlignment="1"/>
    <xf numFmtId="0" fontId="7" fillId="17" borderId="357" xfId="0" applyFont="1" applyFill="1" applyBorder="1" applyAlignment="1"/>
    <xf numFmtId="166" fontId="7" fillId="17" borderId="358" xfId="0" applyNumberFormat="1" applyFont="1" applyFill="1" applyBorder="1" applyAlignment="1"/>
    <xf numFmtId="164" fontId="7" fillId="17" borderId="329" xfId="0" applyNumberFormat="1" applyFont="1" applyFill="1" applyBorder="1" applyAlignment="1"/>
    <xf numFmtId="164" fontId="7" fillId="17" borderId="324" xfId="0" applyNumberFormat="1" applyFont="1" applyFill="1" applyBorder="1" applyAlignment="1"/>
    <xf numFmtId="164" fontId="120" fillId="17" borderId="357" xfId="4" applyNumberFormat="1" applyFont="1" applyFill="1" applyBorder="1" applyAlignment="1"/>
    <xf numFmtId="10" fontId="154" fillId="17" borderId="328" xfId="0" applyNumberFormat="1" applyFont="1" applyFill="1" applyBorder="1" applyAlignment="1"/>
    <xf numFmtId="164" fontId="120" fillId="19" borderId="356" xfId="4" applyNumberFormat="1" applyFont="1" applyFill="1" applyBorder="1" applyAlignment="1"/>
    <xf numFmtId="43" fontId="7" fillId="17" borderId="356" xfId="0" applyNumberFormat="1" applyFont="1" applyFill="1" applyBorder="1" applyAlignment="1"/>
    <xf numFmtId="43" fontId="7" fillId="17" borderId="357" xfId="0" applyNumberFormat="1" applyFont="1" applyFill="1" applyBorder="1" applyAlignment="1"/>
    <xf numFmtId="43" fontId="7" fillId="17" borderId="360" xfId="1" applyFont="1" applyFill="1" applyBorder="1" applyAlignment="1"/>
    <xf numFmtId="0" fontId="7" fillId="16" borderId="158" xfId="0" applyFont="1" applyFill="1" applyBorder="1" applyAlignment="1"/>
    <xf numFmtId="0" fontId="149" fillId="26" borderId="159" xfId="0" applyFont="1" applyFill="1" applyBorder="1" applyAlignment="1"/>
    <xf numFmtId="0" fontId="7" fillId="101" borderId="0" xfId="0" applyFont="1" applyFill="1"/>
    <xf numFmtId="164" fontId="7" fillId="101" borderId="0" xfId="1" applyNumberFormat="1" applyFont="1" applyFill="1"/>
    <xf numFmtId="0" fontId="7" fillId="16" borderId="0" xfId="0" applyFont="1" applyFill="1" applyAlignment="1">
      <alignment horizontal="center" wrapText="1"/>
    </xf>
    <xf numFmtId="2" fontId="7" fillId="18" borderId="91" xfId="0" applyNumberFormat="1" applyFont="1" applyFill="1" applyBorder="1"/>
    <xf numFmtId="0" fontId="80" fillId="0" borderId="5" xfId="0" applyFont="1" applyBorder="1" applyAlignment="1">
      <alignment horizontal="center" wrapText="1"/>
    </xf>
    <xf numFmtId="0" fontId="80" fillId="0" borderId="158" xfId="0" applyFont="1" applyBorder="1" applyAlignment="1">
      <alignment horizontal="center" wrapText="1"/>
    </xf>
    <xf numFmtId="0" fontId="80" fillId="0" borderId="6" xfId="0" applyFont="1" applyBorder="1" applyAlignment="1">
      <alignment horizontal="center" wrapText="1"/>
    </xf>
    <xf numFmtId="0" fontId="80" fillId="17" borderId="48" xfId="0" applyFont="1" applyFill="1" applyBorder="1" applyAlignment="1">
      <alignment horizontal="center" wrapText="1"/>
    </xf>
    <xf numFmtId="0" fontId="7" fillId="29" borderId="41" xfId="0" applyFont="1" applyFill="1" applyBorder="1" applyAlignment="1">
      <alignment vertical="center" wrapText="1"/>
    </xf>
    <xf numFmtId="2" fontId="199" fillId="106" borderId="41" xfId="0" applyNumberFormat="1" applyFont="1" applyFill="1" applyBorder="1" applyAlignment="1">
      <alignment horizontal="center" vertical="center" wrapText="1"/>
    </xf>
    <xf numFmtId="9" fontId="199" fillId="106" borderId="41" xfId="0" applyNumberFormat="1" applyFont="1" applyFill="1" applyBorder="1" applyAlignment="1">
      <alignment horizontal="center" vertical="center" wrapText="1"/>
    </xf>
    <xf numFmtId="1" fontId="193" fillId="106" borderId="41" xfId="0" applyNumberFormat="1" applyFont="1" applyFill="1" applyBorder="1" applyAlignment="1">
      <alignment horizontal="center" vertical="center" wrapText="1"/>
    </xf>
    <xf numFmtId="10" fontId="193" fillId="106" borderId="248" xfId="0" applyNumberFormat="1" applyFont="1" applyFill="1" applyBorder="1" applyAlignment="1">
      <alignment horizontal="center" vertical="center" wrapText="1"/>
    </xf>
    <xf numFmtId="0" fontId="7" fillId="29" borderId="49" xfId="0" applyFont="1" applyFill="1" applyBorder="1" applyAlignment="1">
      <alignment horizontal="center" vertical="center"/>
    </xf>
    <xf numFmtId="0" fontId="7" fillId="19" borderId="91" xfId="0" applyFont="1" applyFill="1" applyBorder="1" applyAlignment="1">
      <alignment vertical="center" wrapText="1"/>
    </xf>
    <xf numFmtId="2" fontId="193" fillId="107" borderId="91" xfId="0" applyNumberFormat="1" applyFont="1" applyFill="1" applyBorder="1" applyAlignment="1">
      <alignment horizontal="center" vertical="center" wrapText="1"/>
    </xf>
    <xf numFmtId="9" fontId="193" fillId="107" borderId="91" xfId="0" applyNumberFormat="1" applyFont="1" applyFill="1" applyBorder="1" applyAlignment="1">
      <alignment horizontal="center" vertical="center" wrapText="1"/>
    </xf>
    <xf numFmtId="1" fontId="193" fillId="107" borderId="91" xfId="0" applyNumberFormat="1" applyFont="1" applyFill="1" applyBorder="1" applyAlignment="1">
      <alignment horizontal="center" vertical="center" wrapText="1"/>
    </xf>
    <xf numFmtId="10" fontId="193" fillId="107" borderId="96" xfId="0" applyNumberFormat="1" applyFont="1" applyFill="1" applyBorder="1" applyAlignment="1">
      <alignment horizontal="center" vertical="center" wrapText="1"/>
    </xf>
    <xf numFmtId="0" fontId="7" fillId="19" borderId="72" xfId="0" applyFont="1" applyFill="1" applyBorder="1" applyAlignment="1">
      <alignment horizontal="center" vertical="center"/>
    </xf>
    <xf numFmtId="0" fontId="7" fillId="29" borderId="91" xfId="0" applyFont="1" applyFill="1" applyBorder="1" applyAlignment="1">
      <alignment vertical="center" wrapText="1"/>
    </xf>
    <xf numFmtId="2" fontId="193" fillId="29" borderId="91" xfId="0" applyNumberFormat="1" applyFont="1" applyFill="1" applyBorder="1" applyAlignment="1">
      <alignment horizontal="center" vertical="center" wrapText="1"/>
    </xf>
    <xf numFmtId="9" fontId="193" fillId="29" borderId="91" xfId="0" applyNumberFormat="1" applyFont="1" applyFill="1" applyBorder="1" applyAlignment="1">
      <alignment horizontal="center" vertical="center" wrapText="1"/>
    </xf>
    <xf numFmtId="1" fontId="193" fillId="29" borderId="91" xfId="0" applyNumberFormat="1" applyFont="1" applyFill="1" applyBorder="1" applyAlignment="1">
      <alignment horizontal="center" vertical="center" wrapText="1"/>
    </xf>
    <xf numFmtId="10" fontId="193" fillId="29" borderId="96" xfId="0" applyNumberFormat="1" applyFont="1" applyFill="1" applyBorder="1" applyAlignment="1">
      <alignment horizontal="center" vertical="center" wrapText="1"/>
    </xf>
    <xf numFmtId="0" fontId="7" fillId="29" borderId="72" xfId="0" applyFont="1" applyFill="1" applyBorder="1" applyAlignment="1">
      <alignment horizontal="center" vertical="center"/>
    </xf>
    <xf numFmtId="0" fontId="7" fillId="19" borderId="102" xfId="0" applyFont="1" applyFill="1" applyBorder="1" applyAlignment="1">
      <alignment vertical="center" wrapText="1"/>
    </xf>
    <xf numFmtId="2" fontId="193" fillId="19" borderId="102" xfId="0" applyNumberFormat="1" applyFont="1" applyFill="1" applyBorder="1" applyAlignment="1">
      <alignment horizontal="center" vertical="center" wrapText="1"/>
    </xf>
    <xf numFmtId="9" fontId="193" fillId="19" borderId="102" xfId="0" applyNumberFormat="1" applyFont="1" applyFill="1" applyBorder="1" applyAlignment="1">
      <alignment horizontal="center" vertical="center" wrapText="1"/>
    </xf>
    <xf numFmtId="1" fontId="193" fillId="19" borderId="102" xfId="0" applyNumberFormat="1" applyFont="1" applyFill="1" applyBorder="1" applyAlignment="1">
      <alignment horizontal="center" vertical="center" wrapText="1"/>
    </xf>
    <xf numFmtId="10" fontId="193" fillId="19" borderId="249" xfId="0" applyNumberFormat="1" applyFont="1" applyFill="1" applyBorder="1" applyAlignment="1">
      <alignment horizontal="center" vertical="center" wrapText="1"/>
    </xf>
    <xf numFmtId="0" fontId="7" fillId="19" borderId="106" xfId="0" applyFont="1" applyFill="1" applyBorder="1" applyAlignment="1">
      <alignment horizontal="center" vertical="center"/>
    </xf>
    <xf numFmtId="0" fontId="7" fillId="32" borderId="71" xfId="0" applyFont="1" applyFill="1" applyBorder="1" applyAlignment="1">
      <alignment vertical="center" wrapText="1"/>
    </xf>
    <xf numFmtId="2" fontId="199" fillId="32" borderId="71" xfId="0" applyNumberFormat="1" applyFont="1" applyFill="1" applyBorder="1" applyAlignment="1">
      <alignment horizontal="center" vertical="center" wrapText="1"/>
    </xf>
    <xf numFmtId="9" fontId="199" fillId="32" borderId="71" xfId="0" applyNumberFormat="1" applyFont="1" applyFill="1" applyBorder="1" applyAlignment="1">
      <alignment horizontal="center" vertical="center" wrapText="1"/>
    </xf>
    <xf numFmtId="1" fontId="193" fillId="32" borderId="71" xfId="0" applyNumberFormat="1" applyFont="1" applyFill="1" applyBorder="1" applyAlignment="1">
      <alignment horizontal="center" vertical="center" wrapText="1"/>
    </xf>
    <xf numFmtId="10" fontId="193" fillId="32" borderId="33" xfId="0" applyNumberFormat="1" applyFont="1" applyFill="1" applyBorder="1" applyAlignment="1">
      <alignment horizontal="center" vertical="center" wrapText="1"/>
    </xf>
    <xf numFmtId="0" fontId="7" fillId="32" borderId="232" xfId="0" applyFont="1" applyFill="1" applyBorder="1" applyAlignment="1">
      <alignment horizontal="center" vertical="center"/>
    </xf>
    <xf numFmtId="0" fontId="7" fillId="23" borderId="91" xfId="0" applyFont="1" applyFill="1" applyBorder="1" applyAlignment="1">
      <alignment vertical="center" wrapText="1"/>
    </xf>
    <xf numFmtId="2" fontId="193" fillId="23" borderId="91" xfId="0" applyNumberFormat="1" applyFont="1" applyFill="1" applyBorder="1" applyAlignment="1">
      <alignment horizontal="center" vertical="center" wrapText="1"/>
    </xf>
    <xf numFmtId="9" fontId="193" fillId="23" borderId="91" xfId="0" applyNumberFormat="1" applyFont="1" applyFill="1" applyBorder="1" applyAlignment="1">
      <alignment horizontal="center" vertical="center" wrapText="1"/>
    </xf>
    <xf numFmtId="1" fontId="193" fillId="23" borderId="91" xfId="0" applyNumberFormat="1" applyFont="1" applyFill="1" applyBorder="1" applyAlignment="1">
      <alignment horizontal="center" vertical="center" wrapText="1"/>
    </xf>
    <xf numFmtId="10" fontId="193" fillId="23" borderId="96" xfId="0" applyNumberFormat="1" applyFont="1" applyFill="1" applyBorder="1" applyAlignment="1">
      <alignment horizontal="center" vertical="center" wrapText="1"/>
    </xf>
    <xf numFmtId="0" fontId="7" fillId="23" borderId="232" xfId="0" applyFont="1" applyFill="1" applyBorder="1" applyAlignment="1">
      <alignment horizontal="center" vertical="center"/>
    </xf>
    <xf numFmtId="0" fontId="7" fillId="32" borderId="91" xfId="0" applyFont="1" applyFill="1" applyBorder="1" applyAlignment="1">
      <alignment vertical="center" wrapText="1"/>
    </xf>
    <xf numFmtId="2" fontId="193" fillId="108" borderId="91" xfId="0" applyNumberFormat="1" applyFont="1" applyFill="1" applyBorder="1" applyAlignment="1">
      <alignment horizontal="center" vertical="center" wrapText="1"/>
    </xf>
    <xf numFmtId="9" fontId="193" fillId="108" borderId="91" xfId="0" applyNumberFormat="1" applyFont="1" applyFill="1" applyBorder="1" applyAlignment="1">
      <alignment horizontal="center" vertical="center" wrapText="1"/>
    </xf>
    <xf numFmtId="1" fontId="193" fillId="108" borderId="91" xfId="0" applyNumberFormat="1" applyFont="1" applyFill="1" applyBorder="1" applyAlignment="1">
      <alignment horizontal="center" vertical="center" wrapText="1"/>
    </xf>
    <xf numFmtId="10" fontId="193" fillId="108" borderId="96" xfId="0" applyNumberFormat="1" applyFont="1" applyFill="1" applyBorder="1" applyAlignment="1">
      <alignment horizontal="center" vertical="center" wrapText="1"/>
    </xf>
    <xf numFmtId="0" fontId="7" fillId="32" borderId="72" xfId="0" applyFont="1" applyFill="1" applyBorder="1" applyAlignment="1">
      <alignment horizontal="center" vertical="center"/>
    </xf>
    <xf numFmtId="0" fontId="7" fillId="23" borderId="102" xfId="0" applyFont="1" applyFill="1" applyBorder="1" applyAlignment="1">
      <alignment vertical="center" wrapText="1"/>
    </xf>
    <xf numFmtId="2" fontId="193" fillId="109" borderId="102" xfId="0" applyNumberFormat="1" applyFont="1" applyFill="1" applyBorder="1" applyAlignment="1">
      <alignment horizontal="center" vertical="center" wrapText="1"/>
    </xf>
    <xf numFmtId="9" fontId="193" fillId="109" borderId="102" xfId="0" applyNumberFormat="1" applyFont="1" applyFill="1" applyBorder="1" applyAlignment="1">
      <alignment horizontal="center" vertical="center" wrapText="1"/>
    </xf>
    <xf numFmtId="1" fontId="193" fillId="109" borderId="102" xfId="0" applyNumberFormat="1" applyFont="1" applyFill="1" applyBorder="1" applyAlignment="1">
      <alignment horizontal="center" vertical="center" wrapText="1"/>
    </xf>
    <xf numFmtId="10" fontId="193" fillId="109" borderId="249" xfId="0" applyNumberFormat="1" applyFont="1" applyFill="1" applyBorder="1" applyAlignment="1">
      <alignment horizontal="center" vertical="center" wrapText="1"/>
    </xf>
    <xf numFmtId="0" fontId="7" fillId="23" borderId="106" xfId="0" applyFont="1" applyFill="1" applyBorder="1" applyAlignment="1">
      <alignment horizontal="center" vertical="center"/>
    </xf>
    <xf numFmtId="0" fontId="117" fillId="104" borderId="4" xfId="0" applyFont="1" applyFill="1" applyBorder="1" applyAlignment="1">
      <alignment horizontal="center" wrapText="1"/>
    </xf>
    <xf numFmtId="0" fontId="7" fillId="29" borderId="41" xfId="0" applyFont="1" applyFill="1" applyBorder="1" applyAlignment="1">
      <alignment vertical="center"/>
    </xf>
    <xf numFmtId="2" fontId="199" fillId="106" borderId="41" xfId="0" applyNumberFormat="1" applyFont="1" applyFill="1" applyBorder="1" applyAlignment="1">
      <alignment horizontal="center" vertical="center"/>
    </xf>
    <xf numFmtId="9" fontId="199" fillId="106" borderId="41" xfId="0" applyNumberFormat="1" applyFont="1" applyFill="1" applyBorder="1" applyAlignment="1">
      <alignment horizontal="center" vertical="center"/>
    </xf>
    <xf numFmtId="1" fontId="193" fillId="106" borderId="41" xfId="0" applyNumberFormat="1" applyFont="1" applyFill="1" applyBorder="1" applyAlignment="1">
      <alignment horizontal="center" vertical="center"/>
    </xf>
    <xf numFmtId="10" fontId="193" fillId="106" borderId="248" xfId="0" applyNumberFormat="1" applyFont="1" applyFill="1" applyBorder="1" applyAlignment="1">
      <alignment horizontal="center" vertical="center"/>
    </xf>
    <xf numFmtId="2" fontId="193" fillId="107" borderId="91" xfId="0" applyNumberFormat="1" applyFont="1" applyFill="1" applyBorder="1" applyAlignment="1">
      <alignment horizontal="center" vertical="center"/>
    </xf>
    <xf numFmtId="9" fontId="193" fillId="107" borderId="91" xfId="0" applyNumberFormat="1" applyFont="1" applyFill="1" applyBorder="1" applyAlignment="1">
      <alignment horizontal="center" vertical="center"/>
    </xf>
    <xf numFmtId="1" fontId="193" fillId="107" borderId="91" xfId="0" applyNumberFormat="1" applyFont="1" applyFill="1" applyBorder="1" applyAlignment="1">
      <alignment horizontal="center" vertical="center"/>
    </xf>
    <xf numFmtId="10" fontId="193" fillId="107" borderId="96" xfId="0" applyNumberFormat="1" applyFont="1" applyFill="1" applyBorder="1" applyAlignment="1">
      <alignment horizontal="center" vertical="center"/>
    </xf>
    <xf numFmtId="0" fontId="7" fillId="29" borderId="91" xfId="0" applyFont="1" applyFill="1" applyBorder="1" applyAlignment="1">
      <alignment vertical="center"/>
    </xf>
    <xf numFmtId="2" fontId="193" fillId="29" borderId="91" xfId="0" applyNumberFormat="1" applyFont="1" applyFill="1" applyBorder="1" applyAlignment="1">
      <alignment horizontal="center" vertical="center"/>
    </xf>
    <xf numFmtId="9" fontId="193" fillId="29" borderId="91" xfId="0" applyNumberFormat="1" applyFont="1" applyFill="1" applyBorder="1" applyAlignment="1">
      <alignment horizontal="center" vertical="center"/>
    </xf>
    <xf numFmtId="1" fontId="193" fillId="29" borderId="91" xfId="0" applyNumberFormat="1" applyFont="1" applyFill="1" applyBorder="1" applyAlignment="1">
      <alignment horizontal="center" vertical="center"/>
    </xf>
    <xf numFmtId="10" fontId="193" fillId="29" borderId="96" xfId="0" applyNumberFormat="1" applyFont="1" applyFill="1" applyBorder="1" applyAlignment="1">
      <alignment horizontal="center" vertical="center"/>
    </xf>
    <xf numFmtId="0" fontId="7" fillId="19" borderId="102" xfId="0" applyFont="1" applyFill="1" applyBorder="1" applyAlignment="1">
      <alignment vertical="center"/>
    </xf>
    <xf numFmtId="2" fontId="193" fillId="19" borderId="102" xfId="0" applyNumberFormat="1" applyFont="1" applyFill="1" applyBorder="1" applyAlignment="1">
      <alignment horizontal="center" vertical="center"/>
    </xf>
    <xf numFmtId="9" fontId="193" fillId="19" borderId="102" xfId="0" applyNumberFormat="1" applyFont="1" applyFill="1" applyBorder="1" applyAlignment="1">
      <alignment horizontal="center" vertical="center"/>
    </xf>
    <xf numFmtId="1" fontId="193" fillId="19" borderId="102" xfId="0" applyNumberFormat="1" applyFont="1" applyFill="1" applyBorder="1" applyAlignment="1">
      <alignment horizontal="center" vertical="center"/>
    </xf>
    <xf numFmtId="10" fontId="193" fillId="19" borderId="249" xfId="0" applyNumberFormat="1" applyFont="1" applyFill="1" applyBorder="1" applyAlignment="1">
      <alignment horizontal="center" vertical="center"/>
    </xf>
    <xf numFmtId="0" fontId="7" fillId="19" borderId="315" xfId="0" applyFont="1" applyFill="1" applyBorder="1" applyAlignment="1">
      <alignment horizontal="center" vertical="center"/>
    </xf>
    <xf numFmtId="0" fontId="7" fillId="32" borderId="71" xfId="0" applyFont="1" applyFill="1" applyBorder="1" applyAlignment="1">
      <alignment vertical="center"/>
    </xf>
    <xf numFmtId="2" fontId="199" fillId="32" borderId="71" xfId="0" applyNumberFormat="1" applyFont="1" applyFill="1" applyBorder="1" applyAlignment="1">
      <alignment horizontal="center" vertical="center"/>
    </xf>
    <xf numFmtId="9" fontId="199" fillId="32" borderId="71" xfId="0" applyNumberFormat="1" applyFont="1" applyFill="1" applyBorder="1" applyAlignment="1">
      <alignment horizontal="center" vertical="center"/>
    </xf>
    <xf numFmtId="1" fontId="193" fillId="32" borderId="71" xfId="0" applyNumberFormat="1" applyFont="1" applyFill="1" applyBorder="1" applyAlignment="1">
      <alignment horizontal="center" vertical="center"/>
    </xf>
    <xf numFmtId="10" fontId="193" fillId="32" borderId="33" xfId="0" applyNumberFormat="1" applyFont="1" applyFill="1" applyBorder="1" applyAlignment="1">
      <alignment horizontal="center" vertical="center"/>
    </xf>
    <xf numFmtId="0" fontId="7" fillId="23" borderId="91" xfId="0" applyFont="1" applyFill="1" applyBorder="1" applyAlignment="1">
      <alignment vertical="center"/>
    </xf>
    <xf numFmtId="2" fontId="193" fillId="23" borderId="91" xfId="0" applyNumberFormat="1" applyFont="1" applyFill="1" applyBorder="1" applyAlignment="1">
      <alignment horizontal="center" vertical="center"/>
    </xf>
    <xf numFmtId="9" fontId="193" fillId="23" borderId="91" xfId="0" applyNumberFormat="1" applyFont="1" applyFill="1" applyBorder="1" applyAlignment="1">
      <alignment horizontal="center" vertical="center"/>
    </xf>
    <xf numFmtId="1" fontId="193" fillId="23" borderId="91" xfId="0" applyNumberFormat="1" applyFont="1" applyFill="1" applyBorder="1" applyAlignment="1">
      <alignment horizontal="center" vertical="center"/>
    </xf>
    <xf numFmtId="10" fontId="193" fillId="23" borderId="96" xfId="0" applyNumberFormat="1" applyFont="1" applyFill="1" applyBorder="1" applyAlignment="1">
      <alignment horizontal="center" vertical="center"/>
    </xf>
    <xf numFmtId="0" fontId="7" fillId="32" borderId="91" xfId="0" applyFont="1" applyFill="1" applyBorder="1" applyAlignment="1">
      <alignment vertical="center"/>
    </xf>
    <xf numFmtId="2" fontId="193" fillId="108" borderId="91" xfId="0" applyNumberFormat="1" applyFont="1" applyFill="1" applyBorder="1" applyAlignment="1">
      <alignment horizontal="center" vertical="center"/>
    </xf>
    <xf numFmtId="9" fontId="193" fillId="108" borderId="91" xfId="0" applyNumberFormat="1" applyFont="1" applyFill="1" applyBorder="1" applyAlignment="1">
      <alignment horizontal="center" vertical="center"/>
    </xf>
    <xf numFmtId="1" fontId="193" fillId="108" borderId="91" xfId="0" applyNumberFormat="1" applyFont="1" applyFill="1" applyBorder="1" applyAlignment="1">
      <alignment horizontal="center" vertical="center"/>
    </xf>
    <xf numFmtId="10" fontId="193" fillId="108" borderId="96" xfId="0" applyNumberFormat="1" applyFont="1" applyFill="1" applyBorder="1" applyAlignment="1">
      <alignment horizontal="center" vertical="center"/>
    </xf>
    <xf numFmtId="0" fontId="7" fillId="23" borderId="102" xfId="0" applyFont="1" applyFill="1" applyBorder="1" applyAlignment="1">
      <alignment vertical="center"/>
    </xf>
    <xf numFmtId="2" fontId="193" fillId="109" borderId="102" xfId="0" applyNumberFormat="1" applyFont="1" applyFill="1" applyBorder="1" applyAlignment="1">
      <alignment horizontal="center" vertical="center"/>
    </xf>
    <xf numFmtId="9" fontId="193" fillId="109" borderId="102" xfId="0" applyNumberFormat="1" applyFont="1" applyFill="1" applyBorder="1" applyAlignment="1">
      <alignment horizontal="center" vertical="center"/>
    </xf>
    <xf numFmtId="1" fontId="193" fillId="109" borderId="102" xfId="0" applyNumberFormat="1" applyFont="1" applyFill="1" applyBorder="1" applyAlignment="1">
      <alignment horizontal="center" vertical="center"/>
    </xf>
    <xf numFmtId="10" fontId="193" fillId="109" borderId="249" xfId="0" applyNumberFormat="1" applyFont="1" applyFill="1" applyBorder="1" applyAlignment="1">
      <alignment horizontal="center" vertical="center"/>
    </xf>
    <xf numFmtId="0" fontId="7" fillId="23" borderId="315" xfId="0" applyFont="1" applyFill="1" applyBorder="1" applyAlignment="1">
      <alignment horizontal="center" vertical="center"/>
    </xf>
    <xf numFmtId="0" fontId="7" fillId="0" borderId="0" xfId="0" applyFont="1" applyAlignment="1">
      <alignment horizontal="left" vertical="center"/>
    </xf>
    <xf numFmtId="0" fontId="7" fillId="0" borderId="0" xfId="0" applyFont="1" applyAlignment="1">
      <alignment horizontal="center"/>
    </xf>
    <xf numFmtId="43" fontId="7" fillId="36" borderId="36" xfId="1" applyNumberFormat="1" applyFont="1" applyFill="1" applyBorder="1"/>
    <xf numFmtId="2" fontId="7" fillId="18" borderId="36" xfId="2" applyNumberFormat="1" applyFont="1" applyFill="1" applyBorder="1"/>
    <xf numFmtId="2" fontId="7" fillId="0" borderId="36" xfId="2" applyNumberFormat="1" applyFont="1" applyFill="1" applyBorder="1"/>
    <xf numFmtId="167" fontId="7" fillId="0" borderId="36" xfId="2" applyNumberFormat="1" applyFont="1" applyFill="1" applyBorder="1"/>
    <xf numFmtId="9" fontId="7" fillId="0" borderId="0" xfId="2" applyFont="1" applyFill="1" applyBorder="1"/>
    <xf numFmtId="167" fontId="7" fillId="0" borderId="0" xfId="2" applyNumberFormat="1" applyFont="1" applyFill="1" applyBorder="1"/>
    <xf numFmtId="3" fontId="7" fillId="0" borderId="0" xfId="2" applyNumberFormat="1" applyFont="1" applyFill="1" applyBorder="1"/>
    <xf numFmtId="3" fontId="7" fillId="0" borderId="36" xfId="2" applyNumberFormat="1" applyFont="1" applyFill="1" applyBorder="1"/>
    <xf numFmtId="43" fontId="80" fillId="36" borderId="36" xfId="1" applyNumberFormat="1" applyFont="1" applyFill="1" applyBorder="1"/>
    <xf numFmtId="1" fontId="7" fillId="30" borderId="91" xfId="0" applyNumberFormat="1" applyFont="1" applyFill="1" applyBorder="1" applyAlignment="1">
      <alignment horizontal="center" wrapText="1"/>
    </xf>
    <xf numFmtId="2" fontId="20" fillId="0" borderId="91" xfId="9" applyNumberFormat="1" applyFont="1" applyBorder="1"/>
    <xf numFmtId="169" fontId="20" fillId="0" borderId="91" xfId="9" applyNumberFormat="1" applyFont="1" applyBorder="1"/>
    <xf numFmtId="0" fontId="173" fillId="16" borderId="0" xfId="0" applyFont="1" applyFill="1" applyAlignment="1">
      <alignment horizontal="right" wrapText="1"/>
    </xf>
    <xf numFmtId="0" fontId="9" fillId="0" borderId="0" xfId="0" applyFont="1" applyFill="1" applyAlignment="1">
      <alignment vertical="center" wrapText="1"/>
    </xf>
    <xf numFmtId="1" fontId="134" fillId="16" borderId="101" xfId="0" applyNumberFormat="1" applyFont="1" applyFill="1" applyBorder="1" applyAlignment="1">
      <alignment horizontal="center"/>
    </xf>
    <xf numFmtId="1" fontId="134" fillId="16" borderId="102" xfId="0" applyNumberFormat="1" applyFont="1" applyFill="1" applyBorder="1" applyAlignment="1">
      <alignment horizontal="center"/>
    </xf>
    <xf numFmtId="1" fontId="134" fillId="16" borderId="103" xfId="0" applyNumberFormat="1" applyFont="1" applyFill="1" applyBorder="1" applyAlignment="1">
      <alignment horizontal="center"/>
    </xf>
    <xf numFmtId="9" fontId="134" fillId="16" borderId="102" xfId="2" applyFont="1" applyFill="1" applyBorder="1" applyAlignment="1">
      <alignment horizontal="center"/>
    </xf>
    <xf numFmtId="2" fontId="134" fillId="0" borderId="103" xfId="0" applyNumberFormat="1" applyFont="1" applyFill="1" applyBorder="1" applyAlignment="1">
      <alignment horizontal="center"/>
    </xf>
    <xf numFmtId="0" fontId="7" fillId="16" borderId="104" xfId="0" applyFont="1" applyFill="1" applyBorder="1"/>
    <xf numFmtId="0" fontId="7" fillId="16" borderId="318" xfId="0" applyFont="1" applyFill="1" applyBorder="1"/>
    <xf numFmtId="0" fontId="7" fillId="16" borderId="57" xfId="0" applyFont="1" applyFill="1" applyBorder="1"/>
    <xf numFmtId="2" fontId="7" fillId="16" borderId="73" xfId="0" applyNumberFormat="1" applyFont="1" applyFill="1" applyBorder="1"/>
    <xf numFmtId="0" fontId="7" fillId="16" borderId="40" xfId="0" applyFont="1" applyFill="1" applyBorder="1"/>
    <xf numFmtId="43" fontId="7" fillId="16" borderId="42" xfId="0" applyNumberFormat="1" applyFont="1" applyFill="1" applyBorder="1"/>
    <xf numFmtId="43" fontId="7" fillId="16" borderId="103" xfId="0" applyNumberFormat="1" applyFont="1" applyFill="1" applyBorder="1"/>
    <xf numFmtId="0" fontId="7" fillId="16" borderId="101" xfId="0" applyFont="1" applyFill="1" applyBorder="1" applyAlignment="1">
      <alignment horizontal="center" vertical="center"/>
    </xf>
    <xf numFmtId="1" fontId="134" fillId="16" borderId="102" xfId="0" applyNumberFormat="1" applyFont="1" applyFill="1" applyBorder="1" applyAlignment="1">
      <alignment horizontal="center" vertical="center"/>
    </xf>
    <xf numFmtId="1" fontId="134" fillId="16" borderId="103" xfId="0" applyNumberFormat="1" applyFont="1" applyFill="1" applyBorder="1" applyAlignment="1">
      <alignment horizontal="center" vertical="center"/>
    </xf>
    <xf numFmtId="1" fontId="134" fillId="16" borderId="0" xfId="0" applyNumberFormat="1" applyFont="1" applyFill="1" applyBorder="1" applyAlignment="1">
      <alignment horizontal="center"/>
    </xf>
    <xf numFmtId="0" fontId="7" fillId="16" borderId="104" xfId="0" applyFont="1" applyFill="1" applyBorder="1" applyAlignment="1">
      <alignment horizontal="center" vertical="center" wrapText="1"/>
    </xf>
    <xf numFmtId="2" fontId="7" fillId="16" borderId="91" xfId="0" applyNumberFormat="1" applyFont="1" applyFill="1" applyBorder="1" applyAlignment="1">
      <alignment horizontal="center" vertical="center"/>
    </xf>
    <xf numFmtId="10" fontId="7" fillId="16" borderId="96" xfId="2" applyNumberFormat="1" applyFont="1" applyFill="1" applyBorder="1" applyAlignment="1">
      <alignment vertical="center"/>
    </xf>
    <xf numFmtId="43" fontId="7" fillId="16" borderId="72" xfId="0" applyNumberFormat="1" applyFont="1" applyFill="1" applyBorder="1" applyAlignment="1">
      <alignment vertical="center"/>
    </xf>
    <xf numFmtId="0" fontId="7" fillId="16" borderId="101" xfId="0" applyFont="1" applyFill="1" applyBorder="1" applyAlignment="1">
      <alignment horizontal="center" vertical="center" wrapText="1"/>
    </xf>
    <xf numFmtId="2" fontId="7" fillId="16" borderId="102" xfId="0" applyNumberFormat="1" applyFont="1" applyFill="1" applyBorder="1" applyAlignment="1">
      <alignment horizontal="center" vertical="center"/>
    </xf>
    <xf numFmtId="10" fontId="7" fillId="16" borderId="249" xfId="2" applyNumberFormat="1" applyFont="1" applyFill="1" applyBorder="1" applyAlignment="1">
      <alignment vertical="center"/>
    </xf>
    <xf numFmtId="43" fontId="7" fillId="16" borderId="106" xfId="0" applyNumberFormat="1" applyFont="1" applyFill="1" applyBorder="1" applyAlignment="1">
      <alignment vertical="center"/>
    </xf>
    <xf numFmtId="43" fontId="7" fillId="16" borderId="79" xfId="0" applyNumberFormat="1" applyFont="1" applyFill="1" applyBorder="1" applyAlignment="1">
      <alignment vertical="center"/>
    </xf>
    <xf numFmtId="1" fontId="134" fillId="16" borderId="101" xfId="0" applyNumberFormat="1" applyFont="1" applyFill="1" applyBorder="1" applyAlignment="1">
      <alignment horizontal="center" vertical="center" wrapText="1"/>
    </xf>
    <xf numFmtId="2" fontId="134" fillId="16" borderId="102" xfId="0" applyNumberFormat="1" applyFont="1" applyFill="1" applyBorder="1" applyAlignment="1">
      <alignment horizontal="center" vertical="center"/>
    </xf>
    <xf numFmtId="1" fontId="134" fillId="16" borderId="0" xfId="0" applyNumberFormat="1" applyFont="1" applyFill="1" applyBorder="1" applyAlignment="1">
      <alignment horizontal="center" vertical="center"/>
    </xf>
    <xf numFmtId="1" fontId="134" fillId="16" borderId="91" xfId="0" applyNumberFormat="1" applyFont="1" applyFill="1" applyBorder="1" applyAlignment="1">
      <alignment horizontal="center" vertical="center"/>
    </xf>
    <xf numFmtId="9" fontId="134" fillId="16" borderId="91" xfId="2" applyFont="1" applyFill="1" applyBorder="1" applyAlignment="1">
      <alignment horizontal="center" vertical="center"/>
    </xf>
    <xf numFmtId="2" fontId="134" fillId="16" borderId="105" xfId="0" applyNumberFormat="1" applyFont="1" applyFill="1" applyBorder="1" applyAlignment="1">
      <alignment horizontal="center" vertical="center"/>
    </xf>
    <xf numFmtId="9" fontId="134" fillId="16" borderId="102" xfId="2" applyFont="1" applyFill="1" applyBorder="1" applyAlignment="1">
      <alignment horizontal="center" vertical="center"/>
    </xf>
    <xf numFmtId="2" fontId="134" fillId="16" borderId="103" xfId="0" applyNumberFormat="1" applyFont="1" applyFill="1" applyBorder="1" applyAlignment="1">
      <alignment horizontal="center" vertical="center"/>
    </xf>
    <xf numFmtId="0" fontId="165" fillId="16" borderId="0" xfId="3" applyFont="1" applyFill="1" applyBorder="1"/>
    <xf numFmtId="0" fontId="80" fillId="81" borderId="91" xfId="0" applyFont="1" applyFill="1" applyBorder="1" applyAlignment="1">
      <alignment horizontal="center" wrapText="1"/>
    </xf>
    <xf numFmtId="0" fontId="80" fillId="81" borderId="91" xfId="0" applyFont="1" applyFill="1" applyBorder="1" applyAlignment="1">
      <alignment horizontal="center"/>
    </xf>
    <xf numFmtId="0" fontId="7" fillId="115" borderId="91" xfId="0" applyFont="1" applyFill="1" applyBorder="1" applyAlignment="1">
      <alignment horizontal="center" vertical="center" wrapText="1"/>
    </xf>
    <xf numFmtId="0" fontId="7" fillId="0" borderId="91" xfId="0" applyFont="1" applyBorder="1" applyAlignment="1">
      <alignment horizontal="center"/>
    </xf>
    <xf numFmtId="3" fontId="7" fillId="0" borderId="91" xfId="0" applyNumberFormat="1" applyFont="1" applyBorder="1" applyAlignment="1">
      <alignment horizontal="center"/>
    </xf>
    <xf numFmtId="167" fontId="7" fillId="0" borderId="71" xfId="2" applyNumberFormat="1" applyFont="1" applyBorder="1" applyAlignment="1">
      <alignment horizontal="center"/>
    </xf>
    <xf numFmtId="3" fontId="7" fillId="0" borderId="71" xfId="0" applyNumberFormat="1" applyFont="1" applyBorder="1" applyAlignment="1">
      <alignment horizontal="center"/>
    </xf>
    <xf numFmtId="43" fontId="7" fillId="36" borderId="36" xfId="1" applyNumberFormat="1" applyFont="1" applyFill="1" applyBorder="1" applyAlignment="1">
      <alignment vertical="center"/>
    </xf>
    <xf numFmtId="0" fontId="157" fillId="0" borderId="0" xfId="0" applyFont="1"/>
    <xf numFmtId="0" fontId="7" fillId="0" borderId="48" xfId="0" applyFont="1" applyBorder="1"/>
    <xf numFmtId="0" fontId="80" fillId="0" borderId="272" xfId="0" applyFont="1" applyBorder="1" applyAlignment="1">
      <alignment horizontal="center" wrapText="1"/>
    </xf>
    <xf numFmtId="0" fontId="80" fillId="0" borderId="159" xfId="0" applyFont="1" applyBorder="1" applyAlignment="1">
      <alignment horizontal="center" vertical="center" wrapText="1"/>
    </xf>
    <xf numFmtId="0" fontId="80" fillId="0" borderId="0" xfId="0" applyFont="1" applyBorder="1" applyAlignment="1">
      <alignment horizontal="center" vertical="center" wrapText="1"/>
    </xf>
    <xf numFmtId="0" fontId="80" fillId="0" borderId="0" xfId="0" applyFont="1" applyFill="1" applyBorder="1" applyAlignment="1">
      <alignment vertical="center" wrapText="1"/>
    </xf>
    <xf numFmtId="0" fontId="7" fillId="0" borderId="272" xfId="0" applyFont="1" applyBorder="1" applyAlignment="1">
      <alignment horizontal="center"/>
    </xf>
    <xf numFmtId="9" fontId="7" fillId="0" borderId="159" xfId="0" applyNumberFormat="1" applyFont="1" applyBorder="1" applyAlignment="1">
      <alignment horizontal="center"/>
    </xf>
    <xf numFmtId="3" fontId="7" fillId="0" borderId="0" xfId="0" applyNumberFormat="1" applyFont="1" applyBorder="1"/>
    <xf numFmtId="9" fontId="7" fillId="0" borderId="159" xfId="0" applyNumberFormat="1" applyFont="1" applyBorder="1"/>
    <xf numFmtId="0" fontId="80" fillId="0" borderId="0" xfId="0" applyFont="1" applyFill="1" applyBorder="1" applyAlignment="1">
      <alignment vertical="center"/>
    </xf>
    <xf numFmtId="0" fontId="80" fillId="0" borderId="91" xfId="0" applyFont="1" applyBorder="1" applyAlignment="1">
      <alignment horizontal="center"/>
    </xf>
    <xf numFmtId="0" fontId="7" fillId="0" borderId="392" xfId="0" applyFont="1" applyBorder="1" applyAlignment="1">
      <alignment horizontal="center"/>
    </xf>
    <xf numFmtId="9" fontId="7" fillId="0" borderId="170" xfId="0" applyNumberFormat="1" applyFont="1" applyBorder="1" applyAlignment="1">
      <alignment horizontal="center"/>
    </xf>
    <xf numFmtId="3" fontId="7" fillId="0" borderId="171" xfId="0" applyNumberFormat="1" applyFont="1" applyBorder="1"/>
    <xf numFmtId="9" fontId="7" fillId="0" borderId="170" xfId="0" applyNumberFormat="1" applyFont="1" applyBorder="1"/>
    <xf numFmtId="0" fontId="165" fillId="16" borderId="391" xfId="9184" applyFont="1" applyFill="1"/>
    <xf numFmtId="0" fontId="117" fillId="31" borderId="395" xfId="0" applyFont="1" applyFill="1" applyBorder="1" applyAlignment="1">
      <alignment horizontal="center" vertical="center"/>
    </xf>
    <xf numFmtId="3" fontId="7" fillId="0" borderId="395" xfId="0" applyNumberFormat="1" applyFont="1" applyFill="1" applyBorder="1" applyAlignment="1">
      <alignment vertical="center"/>
    </xf>
    <xf numFmtId="1" fontId="7" fillId="0" borderId="395" xfId="0" applyNumberFormat="1" applyFont="1" applyBorder="1" applyAlignment="1">
      <alignment vertical="center"/>
    </xf>
    <xf numFmtId="0" fontId="7" fillId="0" borderId="105" xfId="0" applyFont="1" applyBorder="1" applyAlignment="1">
      <alignment horizontal="center"/>
    </xf>
    <xf numFmtId="0" fontId="80" fillId="0" borderId="105" xfId="0" applyFont="1" applyBorder="1" applyAlignment="1">
      <alignment horizontal="center"/>
    </xf>
    <xf numFmtId="0" fontId="121" fillId="104" borderId="270" xfId="0" applyFont="1" applyFill="1" applyBorder="1" applyAlignment="1">
      <alignment vertical="center" wrapText="1"/>
    </xf>
    <xf numFmtId="165" fontId="7" fillId="16" borderId="0" xfId="0" applyNumberFormat="1" applyFont="1" applyFill="1"/>
    <xf numFmtId="43" fontId="201" fillId="16" borderId="0" xfId="0" applyNumberFormat="1" applyFont="1" applyFill="1"/>
    <xf numFmtId="164" fontId="136" fillId="16" borderId="0" xfId="0" applyNumberFormat="1" applyFont="1" applyFill="1"/>
    <xf numFmtId="0" fontId="16" fillId="104" borderId="0" xfId="0" applyFont="1" applyFill="1" applyAlignment="1">
      <alignment vertical="center" wrapText="1"/>
    </xf>
    <xf numFmtId="0" fontId="85" fillId="17" borderId="7" xfId="0" applyFont="1" applyFill="1" applyBorder="1" applyAlignment="1">
      <alignment wrapText="1"/>
    </xf>
    <xf numFmtId="0" fontId="85" fillId="17" borderId="21" xfId="0" applyFont="1" applyFill="1" applyBorder="1" applyAlignment="1">
      <alignment wrapText="1"/>
    </xf>
    <xf numFmtId="0" fontId="85" fillId="17" borderId="22" xfId="0" applyFont="1" applyFill="1" applyBorder="1" applyAlignment="1">
      <alignment wrapText="1"/>
    </xf>
    <xf numFmtId="165" fontId="85" fillId="17" borderId="22" xfId="1" applyNumberFormat="1" applyFont="1" applyFill="1" applyBorder="1" applyAlignment="1">
      <alignment wrapText="1"/>
    </xf>
    <xf numFmtId="170" fontId="80" fillId="0" borderId="0" xfId="0" applyNumberFormat="1" applyFont="1"/>
    <xf numFmtId="0" fontId="121" fillId="104" borderId="435" xfId="0" applyFont="1" applyFill="1" applyBorder="1" applyAlignment="1">
      <alignment vertical="center" wrapText="1"/>
    </xf>
    <xf numFmtId="0" fontId="194" fillId="17" borderId="7" xfId="0" applyFont="1" applyFill="1" applyBorder="1" applyAlignment="1">
      <alignment horizontal="center" wrapText="1"/>
    </xf>
    <xf numFmtId="0" fontId="194" fillId="17" borderId="21" xfId="0" applyFont="1" applyFill="1" applyBorder="1" applyAlignment="1">
      <alignment horizontal="center" wrapText="1"/>
    </xf>
    <xf numFmtId="0" fontId="194" fillId="17" borderId="22" xfId="0" applyFont="1" applyFill="1" applyBorder="1" applyAlignment="1">
      <alignment horizontal="center" wrapText="1"/>
    </xf>
    <xf numFmtId="165" fontId="194" fillId="17" borderId="22" xfId="1" applyNumberFormat="1" applyFont="1" applyFill="1" applyBorder="1" applyAlignment="1">
      <alignment horizontal="center" wrapText="1"/>
    </xf>
    <xf numFmtId="164" fontId="120" fillId="19" borderId="329" xfId="1" applyNumberFormat="1" applyFont="1" applyFill="1" applyBorder="1"/>
    <xf numFmtId="43" fontId="7" fillId="17" borderId="332" xfId="1" applyNumberFormat="1" applyFont="1" applyFill="1" applyBorder="1"/>
    <xf numFmtId="43" fontId="7" fillId="17" borderId="341" xfId="1" applyNumberFormat="1" applyFont="1" applyFill="1" applyBorder="1"/>
    <xf numFmtId="43" fontId="7" fillId="17" borderId="0" xfId="0" applyNumberFormat="1" applyFont="1" applyFill="1" applyBorder="1"/>
    <xf numFmtId="43" fontId="7" fillId="17" borderId="0" xfId="1" applyNumberFormat="1" applyFont="1" applyFill="1" applyBorder="1"/>
    <xf numFmtId="0" fontId="137" fillId="16" borderId="0" xfId="0" applyFont="1" applyFill="1" applyAlignment="1">
      <alignment vertical="center"/>
    </xf>
    <xf numFmtId="167" fontId="7" fillId="0" borderId="0" xfId="2" applyNumberFormat="1" applyFont="1"/>
    <xf numFmtId="43" fontId="7" fillId="114" borderId="0" xfId="0" applyNumberFormat="1" applyFont="1" applyFill="1"/>
    <xf numFmtId="164" fontId="7" fillId="18" borderId="9" xfId="0" applyNumberFormat="1" applyFont="1" applyFill="1" applyBorder="1"/>
    <xf numFmtId="164" fontId="7" fillId="18" borderId="224" xfId="0" applyNumberFormat="1" applyFont="1" applyFill="1" applyBorder="1"/>
    <xf numFmtId="0" fontId="80" fillId="0" borderId="91" xfId="0" applyFont="1" applyBorder="1" applyAlignment="1">
      <alignment horizontal="center"/>
    </xf>
    <xf numFmtId="3" fontId="7" fillId="0" borderId="91" xfId="0" applyNumberFormat="1" applyFont="1" applyBorder="1" applyAlignment="1">
      <alignment horizontal="center"/>
    </xf>
    <xf numFmtId="9" fontId="7" fillId="0" borderId="0" xfId="0" applyNumberFormat="1" applyFont="1" applyFill="1" applyBorder="1"/>
    <xf numFmtId="9" fontId="7" fillId="0" borderId="171" xfId="0" applyNumberFormat="1" applyFont="1" applyFill="1" applyBorder="1"/>
    <xf numFmtId="9" fontId="7" fillId="0" borderId="0" xfId="0" applyNumberFormat="1" applyFont="1" applyFill="1" applyBorder="1" applyAlignment="1">
      <alignment horizontal="center"/>
    </xf>
    <xf numFmtId="9" fontId="7" fillId="0" borderId="171" xfId="0" applyNumberFormat="1" applyFont="1" applyFill="1" applyBorder="1" applyAlignment="1">
      <alignment horizontal="center"/>
    </xf>
    <xf numFmtId="9" fontId="7" fillId="19" borderId="0" xfId="0" applyNumberFormat="1" applyFont="1" applyFill="1" applyBorder="1"/>
    <xf numFmtId="9" fontId="7" fillId="19" borderId="171" xfId="0" applyNumberFormat="1" applyFont="1" applyFill="1" applyBorder="1"/>
    <xf numFmtId="9" fontId="7" fillId="19" borderId="0" xfId="0" applyNumberFormat="1" applyFont="1" applyFill="1" applyBorder="1" applyAlignment="1">
      <alignment horizontal="center"/>
    </xf>
    <xf numFmtId="9" fontId="7" fillId="19" borderId="171" xfId="0" applyNumberFormat="1" applyFont="1" applyFill="1" applyBorder="1" applyAlignment="1">
      <alignment horizontal="center"/>
    </xf>
    <xf numFmtId="0" fontId="80" fillId="0" borderId="0" xfId="0" applyFont="1" applyFill="1" applyBorder="1" applyAlignment="1">
      <alignment horizontal="center" vertical="center" wrapText="1"/>
    </xf>
    <xf numFmtId="3" fontId="7" fillId="0" borderId="0" xfId="0" applyNumberFormat="1" applyFont="1" applyFill="1" applyBorder="1"/>
    <xf numFmtId="3" fontId="7" fillId="0" borderId="171" xfId="0" applyNumberFormat="1" applyFont="1" applyFill="1" applyBorder="1"/>
    <xf numFmtId="0" fontId="80" fillId="95" borderId="160" xfId="0" applyFont="1" applyFill="1" applyBorder="1" applyAlignment="1">
      <alignment horizontal="center" vertical="center" wrapText="1"/>
    </xf>
    <xf numFmtId="3" fontId="7" fillId="95" borderId="160" xfId="0" applyNumberFormat="1" applyFont="1" applyFill="1" applyBorder="1"/>
    <xf numFmtId="3" fontId="7" fillId="95" borderId="172" xfId="0" applyNumberFormat="1" applyFont="1" applyFill="1" applyBorder="1"/>
    <xf numFmtId="0" fontId="80" fillId="17" borderId="160" xfId="0" applyFont="1" applyFill="1" applyBorder="1" applyAlignment="1">
      <alignment horizontal="center" vertical="center" wrapText="1"/>
    </xf>
    <xf numFmtId="3" fontId="7" fillId="17" borderId="160" xfId="0" applyNumberFormat="1" applyFont="1" applyFill="1" applyBorder="1"/>
    <xf numFmtId="3" fontId="7" fillId="17" borderId="172" xfId="0" applyNumberFormat="1" applyFont="1" applyFill="1" applyBorder="1"/>
    <xf numFmtId="0" fontId="80" fillId="0" borderId="159" xfId="0" applyFont="1" applyFill="1" applyBorder="1" applyAlignment="1">
      <alignment horizontal="center" vertical="center" wrapText="1"/>
    </xf>
    <xf numFmtId="9" fontId="7" fillId="0" borderId="159" xfId="0" applyNumberFormat="1" applyFont="1" applyFill="1" applyBorder="1"/>
    <xf numFmtId="9" fontId="7" fillId="0" borderId="170" xfId="0" applyNumberFormat="1" applyFont="1" applyFill="1" applyBorder="1"/>
    <xf numFmtId="0" fontId="9" fillId="0" borderId="0" xfId="0" applyFont="1"/>
    <xf numFmtId="0" fontId="203" fillId="0" borderId="0" xfId="0" applyFont="1"/>
    <xf numFmtId="43" fontId="204" fillId="0" borderId="446" xfId="1" applyFont="1" applyFill="1" applyBorder="1"/>
    <xf numFmtId="43" fontId="204" fillId="0" borderId="447" xfId="1" applyFont="1" applyFill="1" applyBorder="1"/>
    <xf numFmtId="43" fontId="204" fillId="0" borderId="449" xfId="1" applyFont="1" applyFill="1" applyBorder="1"/>
    <xf numFmtId="43" fontId="204" fillId="0" borderId="450" xfId="1" applyFont="1" applyFill="1" applyBorder="1"/>
    <xf numFmtId="43" fontId="204" fillId="0" borderId="449" xfId="1" applyNumberFormat="1" applyFont="1" applyFill="1" applyBorder="1"/>
    <xf numFmtId="165" fontId="204" fillId="0" borderId="449" xfId="1" applyNumberFormat="1" applyFont="1" applyFill="1" applyBorder="1"/>
    <xf numFmtId="43" fontId="204" fillId="0" borderId="451" xfId="1" applyFont="1" applyFill="1" applyBorder="1"/>
    <xf numFmtId="43" fontId="204" fillId="0" borderId="453" xfId="1" applyFont="1" applyFill="1" applyBorder="1"/>
    <xf numFmtId="43" fontId="204" fillId="0" borderId="455" xfId="1" applyFont="1" applyFill="1" applyBorder="1"/>
    <xf numFmtId="43" fontId="204" fillId="0" borderId="456" xfId="1" applyFont="1" applyFill="1" applyBorder="1"/>
    <xf numFmtId="43" fontId="204" fillId="0" borderId="459" xfId="1" applyFont="1" applyFill="1" applyBorder="1"/>
    <xf numFmtId="43" fontId="204" fillId="0" borderId="460" xfId="1" applyFont="1" applyFill="1" applyBorder="1"/>
    <xf numFmtId="43" fontId="204" fillId="0" borderId="462" xfId="1" applyFont="1" applyFill="1" applyBorder="1"/>
    <xf numFmtId="43" fontId="204" fillId="0" borderId="463" xfId="1" applyFont="1" applyFill="1" applyBorder="1"/>
    <xf numFmtId="43" fontId="204" fillId="17" borderId="238" xfId="0" applyNumberFormat="1" applyFont="1" applyFill="1" applyBorder="1"/>
    <xf numFmtId="43" fontId="204" fillId="17" borderId="97" xfId="0" applyNumberFormat="1" applyFont="1" applyFill="1" applyBorder="1"/>
    <xf numFmtId="43" fontId="204" fillId="17" borderId="465" xfId="0" applyNumberFormat="1" applyFont="1" applyFill="1" applyBorder="1"/>
    <xf numFmtId="43" fontId="204" fillId="17" borderId="466" xfId="0" applyNumberFormat="1" applyFont="1" applyFill="1" applyBorder="1"/>
    <xf numFmtId="49" fontId="9" fillId="0" borderId="0" xfId="1" applyNumberFormat="1" applyFont="1"/>
    <xf numFmtId="0" fontId="9" fillId="0" borderId="31" xfId="0" applyFont="1" applyBorder="1"/>
    <xf numFmtId="0" fontId="206" fillId="0" borderId="443" xfId="0" applyFont="1" applyBorder="1" applyAlignment="1">
      <alignment horizontal="center" wrapText="1"/>
    </xf>
    <xf numFmtId="0" fontId="194" fillId="0" borderId="443" xfId="0" applyFont="1" applyBorder="1" applyAlignment="1">
      <alignment horizontal="center" wrapText="1"/>
    </xf>
    <xf numFmtId="0" fontId="206" fillId="0" borderId="444" xfId="0" applyFont="1" applyBorder="1" applyAlignment="1">
      <alignment horizontal="center" wrapText="1"/>
    </xf>
    <xf numFmtId="0" fontId="194" fillId="0" borderId="442" xfId="0" applyFont="1" applyBorder="1" applyAlignment="1">
      <alignment horizontal="center" wrapText="1"/>
    </xf>
    <xf numFmtId="9" fontId="9" fillId="0" borderId="0" xfId="2" applyFont="1"/>
    <xf numFmtId="0" fontId="207" fillId="0" borderId="304" xfId="9112" applyFont="1" applyFill="1" applyBorder="1" applyAlignment="1">
      <alignment vertical="center"/>
    </xf>
    <xf numFmtId="43" fontId="165" fillId="0" borderId="445" xfId="1" applyFont="1" applyFill="1" applyBorder="1"/>
    <xf numFmtId="43" fontId="154" fillId="0" borderId="446" xfId="1" applyFont="1" applyFill="1" applyBorder="1"/>
    <xf numFmtId="0" fontId="154" fillId="114" borderId="403" xfId="0" applyFont="1" applyFill="1" applyBorder="1"/>
    <xf numFmtId="0" fontId="207" fillId="0" borderId="305" xfId="9112" applyFont="1" applyFill="1" applyBorder="1" applyAlignment="1">
      <alignment vertical="center"/>
    </xf>
    <xf numFmtId="43" fontId="165" fillId="0" borderId="448" xfId="1" applyFont="1" applyFill="1" applyBorder="1"/>
    <xf numFmtId="43" fontId="154" fillId="0" borderId="449" xfId="1" applyFont="1" applyFill="1" applyBorder="1"/>
    <xf numFmtId="9" fontId="9" fillId="18" borderId="0" xfId="2" applyFont="1" applyFill="1"/>
    <xf numFmtId="0" fontId="207" fillId="0" borderId="306" xfId="9112" applyFont="1" applyFill="1" applyBorder="1" applyAlignment="1">
      <alignment vertical="center"/>
    </xf>
    <xf numFmtId="0" fontId="154" fillId="19" borderId="403" xfId="0" applyFont="1" applyFill="1" applyBorder="1"/>
    <xf numFmtId="43" fontId="154" fillId="0" borderId="449" xfId="1" applyNumberFormat="1" applyFont="1" applyFill="1" applyBorder="1"/>
    <xf numFmtId="0" fontId="207" fillId="0" borderId="307" xfId="9112" applyFont="1" applyFill="1" applyBorder="1" applyAlignment="1">
      <alignment vertical="center"/>
    </xf>
    <xf numFmtId="43" fontId="165" fillId="0" borderId="452" xfId="1" applyFont="1" applyFill="1" applyBorder="1"/>
    <xf numFmtId="43" fontId="204" fillId="0" borderId="437" xfId="1" applyFont="1" applyFill="1" applyBorder="1"/>
    <xf numFmtId="43" fontId="154" fillId="0" borderId="451" xfId="1" applyFont="1" applyFill="1" applyBorder="1"/>
    <xf numFmtId="43" fontId="154" fillId="0" borderId="452" xfId="1" applyFont="1" applyFill="1" applyBorder="1"/>
    <xf numFmtId="0" fontId="207" fillId="0" borderId="308" xfId="9112" applyFont="1" applyFill="1" applyBorder="1" applyAlignment="1">
      <alignment vertical="center"/>
    </xf>
    <xf numFmtId="43" fontId="165" fillId="0" borderId="454" xfId="1" applyFont="1" applyFill="1" applyBorder="1"/>
    <xf numFmtId="43" fontId="154" fillId="0" borderId="455" xfId="1" applyNumberFormat="1" applyFont="1" applyFill="1" applyBorder="1"/>
    <xf numFmtId="43" fontId="154" fillId="0" borderId="455" xfId="1" applyFont="1" applyFill="1" applyBorder="1"/>
    <xf numFmtId="0" fontId="207" fillId="0" borderId="309" xfId="9112" applyFont="1" applyFill="1" applyBorder="1" applyAlignment="1">
      <alignment vertical="center"/>
    </xf>
    <xf numFmtId="43" fontId="165" fillId="0" borderId="457" xfId="1" applyFont="1" applyFill="1" applyBorder="1"/>
    <xf numFmtId="43" fontId="204" fillId="0" borderId="458" xfId="1" applyFont="1" applyFill="1" applyBorder="1"/>
    <xf numFmtId="43" fontId="154" fillId="0" borderId="459" xfId="1" applyFont="1" applyFill="1" applyBorder="1"/>
    <xf numFmtId="43" fontId="165" fillId="0" borderId="461" xfId="1" applyFont="1" applyFill="1" applyBorder="1"/>
    <xf numFmtId="43" fontId="204" fillId="0" borderId="443" xfId="1" applyFont="1" applyFill="1" applyBorder="1"/>
    <xf numFmtId="43" fontId="154" fillId="0" borderId="462" xfId="1" applyFont="1" applyFill="1" applyBorder="1"/>
    <xf numFmtId="0" fontId="154" fillId="114" borderId="404" xfId="0" applyFont="1" applyFill="1" applyBorder="1"/>
    <xf numFmtId="0" fontId="154" fillId="0" borderId="96" xfId="0" applyFont="1" applyBorder="1"/>
    <xf numFmtId="0" fontId="165" fillId="17" borderId="237" xfId="0" applyFont="1" applyFill="1" applyBorder="1"/>
    <xf numFmtId="0" fontId="165" fillId="17" borderId="62" xfId="0" applyFont="1" applyFill="1" applyBorder="1"/>
    <xf numFmtId="43" fontId="204" fillId="17" borderId="317" xfId="0" applyNumberFormat="1" applyFont="1" applyFill="1" applyBorder="1"/>
    <xf numFmtId="43" fontId="154" fillId="17" borderId="238" xfId="0" applyNumberFormat="1" applyFont="1" applyFill="1" applyBorder="1"/>
    <xf numFmtId="43" fontId="165" fillId="17" borderId="317" xfId="0" applyNumberFormat="1" applyFont="1" applyFill="1" applyBorder="1"/>
    <xf numFmtId="43" fontId="165" fillId="17" borderId="464" xfId="0" applyNumberFormat="1" applyFont="1" applyFill="1" applyBorder="1"/>
    <xf numFmtId="43" fontId="165" fillId="17" borderId="465" xfId="0" applyNumberFormat="1" applyFont="1" applyFill="1" applyBorder="1"/>
    <xf numFmtId="43" fontId="7" fillId="0" borderId="0" xfId="0" applyNumberFormat="1" applyFont="1"/>
    <xf numFmtId="43" fontId="165" fillId="114" borderId="96" xfId="0" applyNumberFormat="1" applyFont="1" applyFill="1" applyBorder="1"/>
    <xf numFmtId="0" fontId="112" fillId="16" borderId="0" xfId="0" applyFont="1" applyFill="1" applyAlignment="1">
      <alignment wrapText="1"/>
    </xf>
    <xf numFmtId="0" fontId="9" fillId="17" borderId="351" xfId="0" applyFont="1" applyFill="1" applyBorder="1" applyAlignment="1"/>
    <xf numFmtId="43" fontId="9" fillId="0" borderId="0" xfId="1" applyFont="1"/>
    <xf numFmtId="0" fontId="26" fillId="0" borderId="316" xfId="0" applyFont="1" applyBorder="1" applyAlignment="1">
      <alignment vertical="center" wrapText="1"/>
    </xf>
    <xf numFmtId="43" fontId="5" fillId="21" borderId="96" xfId="0" applyNumberFormat="1" applyFont="1" applyFill="1" applyBorder="1"/>
    <xf numFmtId="2" fontId="5" fillId="21" borderId="91" xfId="0" applyNumberFormat="1" applyFont="1" applyFill="1" applyBorder="1" applyAlignment="1">
      <alignment horizontal="center"/>
    </xf>
    <xf numFmtId="43" fontId="5" fillId="114" borderId="96" xfId="1" applyFont="1" applyFill="1" applyBorder="1" applyAlignment="1">
      <alignment horizontal="center" wrapText="1"/>
    </xf>
    <xf numFmtId="0" fontId="92" fillId="104" borderId="31" xfId="0" applyFont="1" applyFill="1" applyBorder="1" applyAlignment="1">
      <alignment horizontal="center"/>
    </xf>
    <xf numFmtId="0" fontId="92" fillId="104" borderId="157" xfId="0" applyFont="1" applyFill="1" applyBorder="1" applyAlignment="1">
      <alignment horizontal="center"/>
    </xf>
    <xf numFmtId="0" fontId="136" fillId="0" borderId="0" xfId="0" applyFont="1"/>
    <xf numFmtId="43" fontId="157" fillId="0" borderId="385" xfId="1" applyFont="1" applyBorder="1" applyAlignment="1">
      <alignment horizontal="left"/>
    </xf>
    <xf numFmtId="43" fontId="157" fillId="0" borderId="370" xfId="1" applyFont="1" applyBorder="1" applyAlignment="1">
      <alignment horizontal="left"/>
    </xf>
    <xf numFmtId="43" fontId="157" fillId="0" borderId="376" xfId="0" applyNumberFormat="1" applyFont="1" applyBorder="1" applyAlignment="1">
      <alignment horizontal="left" indent="1"/>
    </xf>
    <xf numFmtId="43" fontId="157" fillId="0" borderId="386" xfId="1" applyFont="1" applyFill="1" applyBorder="1" applyAlignment="1">
      <alignment horizontal="left"/>
    </xf>
    <xf numFmtId="43" fontId="157" fillId="0" borderId="385" xfId="1" applyFont="1" applyFill="1" applyBorder="1" applyAlignment="1">
      <alignment horizontal="left"/>
    </xf>
    <xf numFmtId="43" fontId="157" fillId="0" borderId="370" xfId="1" applyFont="1" applyFill="1" applyBorder="1" applyAlignment="1">
      <alignment horizontal="left"/>
    </xf>
    <xf numFmtId="43" fontId="7" fillId="0" borderId="468" xfId="0" applyNumberFormat="1" applyFont="1" applyBorder="1" applyAlignment="1">
      <alignment horizontal="left"/>
    </xf>
    <xf numFmtId="43" fontId="202" fillId="0" borderId="386" xfId="1" applyFont="1" applyFill="1" applyBorder="1" applyAlignment="1">
      <alignment horizontal="left"/>
    </xf>
    <xf numFmtId="43" fontId="202" fillId="0" borderId="385" xfId="1" applyFont="1" applyFill="1" applyBorder="1" applyAlignment="1">
      <alignment horizontal="left"/>
    </xf>
    <xf numFmtId="43" fontId="202" fillId="0" borderId="370" xfId="1" applyFont="1" applyFill="1" applyBorder="1" applyAlignment="1">
      <alignment horizontal="left"/>
    </xf>
    <xf numFmtId="43" fontId="9" fillId="17" borderId="0" xfId="0" applyNumberFormat="1" applyFont="1" applyFill="1" applyBorder="1"/>
    <xf numFmtId="43" fontId="9" fillId="114" borderId="0" xfId="0" applyNumberFormat="1" applyFont="1" applyFill="1" applyBorder="1"/>
    <xf numFmtId="43" fontId="114" fillId="0" borderId="385" xfId="1" applyFont="1" applyBorder="1" applyAlignment="1">
      <alignment horizontal="left"/>
    </xf>
    <xf numFmtId="43" fontId="114" fillId="0" borderId="370" xfId="1" applyFont="1" applyBorder="1" applyAlignment="1">
      <alignment horizontal="left"/>
    </xf>
    <xf numFmtId="43" fontId="114" fillId="0" borderId="386" xfId="1" applyFont="1" applyFill="1" applyBorder="1" applyAlignment="1">
      <alignment horizontal="left"/>
    </xf>
    <xf numFmtId="43" fontId="9" fillId="0" borderId="387" xfId="1" applyFont="1" applyBorder="1" applyAlignment="1">
      <alignment horizontal="left"/>
    </xf>
    <xf numFmtId="43" fontId="9" fillId="0" borderId="388" xfId="1" applyFont="1" applyBorder="1" applyAlignment="1">
      <alignment horizontal="left"/>
    </xf>
    <xf numFmtId="43" fontId="9" fillId="0" borderId="389" xfId="1" applyFont="1" applyBorder="1" applyAlignment="1">
      <alignment horizontal="left"/>
    </xf>
    <xf numFmtId="43" fontId="7" fillId="0" borderId="376" xfId="0" applyNumberFormat="1" applyFont="1" applyBorder="1" applyAlignment="1">
      <alignment horizontal="left" indent="1"/>
    </xf>
    <xf numFmtId="43" fontId="202" fillId="0" borderId="376" xfId="0" applyNumberFormat="1" applyFont="1" applyBorder="1" applyAlignment="1">
      <alignment horizontal="left" indent="2"/>
    </xf>
    <xf numFmtId="43" fontId="202" fillId="0" borderId="376" xfId="0" applyNumberFormat="1" applyFont="1" applyBorder="1" applyAlignment="1">
      <alignment horizontal="left" wrapText="1" indent="2"/>
    </xf>
    <xf numFmtId="43" fontId="7" fillId="16" borderId="375" xfId="0" applyNumberFormat="1" applyFont="1" applyFill="1" applyBorder="1" applyAlignment="1">
      <alignment horizontal="left" indent="1"/>
    </xf>
    <xf numFmtId="43" fontId="7" fillId="16" borderId="0" xfId="0" applyNumberFormat="1" applyFont="1" applyFill="1" applyBorder="1"/>
    <xf numFmtId="43" fontId="7" fillId="16" borderId="467" xfId="0" applyNumberFormat="1" applyFont="1" applyFill="1" applyBorder="1"/>
    <xf numFmtId="43" fontId="80" fillId="17" borderId="375" xfId="0" applyNumberFormat="1" applyFont="1" applyFill="1" applyBorder="1" applyAlignment="1">
      <alignment horizontal="left"/>
    </xf>
    <xf numFmtId="43" fontId="80" fillId="17" borderId="0" xfId="0" applyNumberFormat="1" applyFont="1" applyFill="1" applyBorder="1"/>
    <xf numFmtId="43" fontId="80" fillId="114" borderId="467" xfId="0" applyNumberFormat="1" applyFont="1" applyFill="1" applyBorder="1"/>
    <xf numFmtId="0" fontId="114" fillId="0" borderId="0" xfId="0" applyFont="1" applyAlignment="1">
      <alignment horizontal="left" wrapText="1"/>
    </xf>
    <xf numFmtId="0" fontId="210" fillId="16" borderId="0" xfId="0" applyFont="1" applyFill="1" applyAlignment="1">
      <alignment vertical="center"/>
    </xf>
    <xf numFmtId="43" fontId="165" fillId="17" borderId="375" xfId="0" applyNumberFormat="1" applyFont="1" applyFill="1" applyBorder="1" applyAlignment="1">
      <alignment horizontal="left"/>
    </xf>
    <xf numFmtId="43" fontId="165" fillId="0" borderId="376" xfId="0" applyNumberFormat="1" applyFont="1" applyBorder="1" applyAlignment="1">
      <alignment horizontal="left"/>
    </xf>
    <xf numFmtId="43" fontId="165" fillId="0" borderId="377" xfId="0" applyNumberFormat="1" applyFont="1" applyBorder="1" applyAlignment="1">
      <alignment horizontal="left"/>
    </xf>
    <xf numFmtId="43" fontId="154" fillId="17" borderId="383" xfId="1" applyFont="1" applyFill="1" applyBorder="1" applyAlignment="1">
      <alignment horizontal="left"/>
    </xf>
    <xf numFmtId="43" fontId="154" fillId="17" borderId="371" xfId="1" applyFont="1" applyFill="1" applyBorder="1" applyAlignment="1">
      <alignment horizontal="left"/>
    </xf>
    <xf numFmtId="43" fontId="154" fillId="114" borderId="384" xfId="1" applyFont="1" applyFill="1" applyBorder="1" applyAlignment="1">
      <alignment horizontal="left"/>
    </xf>
    <xf numFmtId="43" fontId="154" fillId="0" borderId="385" xfId="1" applyFont="1" applyBorder="1" applyAlignment="1">
      <alignment horizontal="left"/>
    </xf>
    <xf numFmtId="43" fontId="154" fillId="0" borderId="370" xfId="1" applyFont="1" applyBorder="1" applyAlignment="1">
      <alignment horizontal="left"/>
    </xf>
    <xf numFmtId="43" fontId="154" fillId="0" borderId="386" xfId="1" applyFont="1" applyBorder="1" applyAlignment="1">
      <alignment horizontal="left"/>
    </xf>
    <xf numFmtId="43" fontId="154" fillId="0" borderId="387" xfId="1" applyFont="1" applyBorder="1" applyAlignment="1">
      <alignment horizontal="left"/>
    </xf>
    <xf numFmtId="43" fontId="154" fillId="0" borderId="388" xfId="1" applyFont="1" applyBorder="1" applyAlignment="1">
      <alignment horizontal="left"/>
    </xf>
    <xf numFmtId="43" fontId="154" fillId="0" borderId="389" xfId="1" applyFont="1" applyBorder="1" applyAlignment="1">
      <alignment horizontal="left"/>
    </xf>
    <xf numFmtId="43" fontId="7" fillId="0" borderId="0" xfId="1" applyFont="1" applyBorder="1" applyAlignment="1">
      <alignment horizontal="left"/>
    </xf>
    <xf numFmtId="43" fontId="9" fillId="0" borderId="0" xfId="1" applyFont="1" applyBorder="1" applyAlignment="1">
      <alignment horizontal="left"/>
    </xf>
    <xf numFmtId="43" fontId="87" fillId="0" borderId="0" xfId="0" applyNumberFormat="1" applyFont="1" applyBorder="1" applyAlignment="1">
      <alignment horizontal="left"/>
    </xf>
    <xf numFmtId="0" fontId="154" fillId="17" borderId="21" xfId="0" applyFont="1" applyFill="1" applyBorder="1" applyAlignment="1">
      <alignment horizontal="center" wrapText="1"/>
    </xf>
    <xf numFmtId="164" fontId="7" fillId="17" borderId="150" xfId="0" applyNumberFormat="1" applyFont="1" applyFill="1" applyBorder="1"/>
    <xf numFmtId="10" fontId="154" fillId="17" borderId="151" xfId="0" applyNumberFormat="1" applyFont="1" applyFill="1" applyBorder="1"/>
    <xf numFmtId="43" fontId="7" fillId="17" borderId="149" xfId="1" applyNumberFormat="1" applyFont="1" applyFill="1" applyBorder="1"/>
    <xf numFmtId="43" fontId="7" fillId="17" borderId="150" xfId="1" applyNumberFormat="1" applyFont="1" applyFill="1" applyBorder="1"/>
    <xf numFmtId="164" fontId="7" fillId="17" borderId="149" xfId="1" applyNumberFormat="1" applyFont="1" applyFill="1" applyBorder="1"/>
    <xf numFmtId="43" fontId="7" fillId="17" borderId="151" xfId="1" applyNumberFormat="1" applyFont="1" applyFill="1" applyBorder="1"/>
    <xf numFmtId="0" fontId="7" fillId="17" borderId="471" xfId="0" applyFont="1" applyFill="1" applyBorder="1" applyAlignment="1">
      <alignment wrapText="1"/>
    </xf>
    <xf numFmtId="166" fontId="7" fillId="17" borderId="472" xfId="0" applyNumberFormat="1" applyFont="1" applyFill="1" applyBorder="1"/>
    <xf numFmtId="164" fontId="7" fillId="17" borderId="471" xfId="1" applyNumberFormat="1" applyFont="1" applyFill="1" applyBorder="1"/>
    <xf numFmtId="164" fontId="7" fillId="17" borderId="473" xfId="0" applyNumberFormat="1" applyFont="1" applyFill="1" applyBorder="1"/>
    <xf numFmtId="164" fontId="120" fillId="17" borderId="473" xfId="4" applyNumberFormat="1" applyFont="1" applyFill="1" applyBorder="1"/>
    <xf numFmtId="10" fontId="154" fillId="17" borderId="474" xfId="0" applyNumberFormat="1" applyFont="1" applyFill="1" applyBorder="1"/>
    <xf numFmtId="43" fontId="7" fillId="17" borderId="471" xfId="1" applyNumberFormat="1" applyFont="1" applyFill="1" applyBorder="1"/>
    <xf numFmtId="43" fontId="7" fillId="17" borderId="473" xfId="1" applyNumberFormat="1" applyFont="1" applyFill="1" applyBorder="1"/>
    <xf numFmtId="43" fontId="7" fillId="17" borderId="474" xfId="1" applyNumberFormat="1" applyFont="1" applyFill="1" applyBorder="1"/>
    <xf numFmtId="0" fontId="7" fillId="17" borderId="475" xfId="0" applyFont="1" applyFill="1" applyBorder="1" applyAlignment="1">
      <alignment wrapText="1"/>
    </xf>
    <xf numFmtId="0" fontId="7" fillId="17" borderId="476" xfId="0" applyFont="1" applyFill="1" applyBorder="1" applyAlignment="1">
      <alignment wrapText="1"/>
    </xf>
    <xf numFmtId="166" fontId="7" fillId="17" borderId="477" xfId="0" applyNumberFormat="1" applyFont="1" applyFill="1" applyBorder="1"/>
    <xf numFmtId="164" fontId="7" fillId="17" borderId="475" xfId="1" applyNumberFormat="1" applyFont="1" applyFill="1" applyBorder="1"/>
    <xf numFmtId="164" fontId="7" fillId="17" borderId="476" xfId="0" applyNumberFormat="1" applyFont="1" applyFill="1" applyBorder="1"/>
    <xf numFmtId="164" fontId="120" fillId="17" borderId="476" xfId="4" applyNumberFormat="1" applyFont="1" applyFill="1" applyBorder="1"/>
    <xf numFmtId="10" fontId="154" fillId="17" borderId="478" xfId="0" applyNumberFormat="1" applyFont="1" applyFill="1" applyBorder="1"/>
    <xf numFmtId="43" fontId="120" fillId="19" borderId="475" xfId="4" applyNumberFormat="1" applyFont="1" applyFill="1" applyBorder="1"/>
    <xf numFmtId="43" fontId="7" fillId="17" borderId="475" xfId="1" applyNumberFormat="1" applyFont="1" applyFill="1" applyBorder="1"/>
    <xf numFmtId="43" fontId="7" fillId="17" borderId="476" xfId="1" applyNumberFormat="1" applyFont="1" applyFill="1" applyBorder="1"/>
    <xf numFmtId="43" fontId="7" fillId="17" borderId="478" xfId="1" applyNumberFormat="1" applyFont="1" applyFill="1" applyBorder="1"/>
    <xf numFmtId="0" fontId="7" fillId="17" borderId="473" xfId="0" applyFont="1" applyFill="1" applyBorder="1" applyAlignment="1">
      <alignment wrapText="1"/>
    </xf>
    <xf numFmtId="0" fontId="7" fillId="17" borderId="479" xfId="0" applyFont="1" applyFill="1" applyBorder="1" applyAlignment="1">
      <alignment wrapText="1"/>
    </xf>
    <xf numFmtId="0" fontId="7" fillId="17" borderId="480" xfId="0" applyFont="1" applyFill="1" applyBorder="1" applyAlignment="1">
      <alignment wrapText="1"/>
    </xf>
    <xf numFmtId="166" fontId="7" fillId="17" borderId="481" xfId="0" applyNumberFormat="1" applyFont="1" applyFill="1" applyBorder="1"/>
    <xf numFmtId="164" fontId="7" fillId="17" borderId="482" xfId="0" applyNumberFormat="1" applyFont="1" applyFill="1" applyBorder="1"/>
    <xf numFmtId="164" fontId="7" fillId="17" borderId="480" xfId="0" applyNumberFormat="1" applyFont="1" applyFill="1" applyBorder="1"/>
    <xf numFmtId="164" fontId="120" fillId="17" borderId="480" xfId="4" applyNumberFormat="1" applyFont="1" applyFill="1" applyBorder="1"/>
    <xf numFmtId="10" fontId="154" fillId="17" borderId="351" xfId="0" applyNumberFormat="1" applyFont="1" applyFill="1" applyBorder="1"/>
    <xf numFmtId="43" fontId="7" fillId="19" borderId="480" xfId="0" applyNumberFormat="1" applyFont="1" applyFill="1" applyBorder="1"/>
    <xf numFmtId="165" fontId="7" fillId="17" borderId="482" xfId="0" applyNumberFormat="1" applyFont="1" applyFill="1" applyBorder="1"/>
    <xf numFmtId="43" fontId="7" fillId="17" borderId="480" xfId="0" applyNumberFormat="1" applyFont="1" applyFill="1" applyBorder="1"/>
    <xf numFmtId="43" fontId="7" fillId="17" borderId="351" xfId="1" applyNumberFormat="1" applyFont="1" applyFill="1" applyBorder="1"/>
    <xf numFmtId="164" fontId="7" fillId="17" borderId="431" xfId="0" applyNumberFormat="1" applyFont="1" applyFill="1" applyBorder="1"/>
    <xf numFmtId="43" fontId="7" fillId="19" borderId="429" xfId="0" applyNumberFormat="1" applyFont="1" applyFill="1" applyBorder="1"/>
    <xf numFmtId="165" fontId="7" fillId="17" borderId="431" xfId="0" applyNumberFormat="1" applyFont="1" applyFill="1" applyBorder="1"/>
    <xf numFmtId="43" fontId="7" fillId="17" borderId="429" xfId="0" applyNumberFormat="1" applyFont="1" applyFill="1" applyBorder="1"/>
    <xf numFmtId="43" fontId="7" fillId="17" borderId="157" xfId="1" applyNumberFormat="1" applyFont="1" applyFill="1" applyBorder="1"/>
    <xf numFmtId="43" fontId="7" fillId="19" borderId="202" xfId="0" applyNumberFormat="1" applyFont="1" applyFill="1" applyBorder="1"/>
    <xf numFmtId="0" fontId="9" fillId="17" borderId="204" xfId="0" applyFont="1" applyFill="1" applyBorder="1" applyAlignment="1"/>
    <xf numFmtId="43" fontId="7" fillId="19" borderId="28" xfId="0" applyNumberFormat="1" applyFont="1" applyFill="1" applyBorder="1"/>
    <xf numFmtId="0" fontId="9" fillId="17" borderId="200" xfId="0" applyFont="1" applyFill="1" applyBorder="1" applyAlignment="1"/>
    <xf numFmtId="166" fontId="7" fillId="17" borderId="34" xfId="0" applyNumberFormat="1" applyFont="1" applyFill="1" applyBorder="1"/>
    <xf numFmtId="164" fontId="120" fillId="19" borderId="27" xfId="4" applyNumberFormat="1" applyFont="1" applyFill="1" applyBorder="1"/>
    <xf numFmtId="168" fontId="163" fillId="19" borderId="223" xfId="4" applyNumberFormat="1" applyFont="1" applyFill="1" applyBorder="1"/>
    <xf numFmtId="164" fontId="80" fillId="17" borderId="9" xfId="0" applyNumberFormat="1" applyFont="1" applyFill="1" applyBorder="1"/>
    <xf numFmtId="10" fontId="165" fillId="17" borderId="26" xfId="0" applyNumberFormat="1" applyFont="1" applyFill="1" applyBorder="1"/>
    <xf numFmtId="43" fontId="212" fillId="19" borderId="25" xfId="1" applyNumberFormat="1" applyFont="1" applyFill="1" applyBorder="1"/>
    <xf numFmtId="0" fontId="187" fillId="17" borderId="37" xfId="0" applyFont="1" applyFill="1" applyBorder="1" applyAlignment="1"/>
    <xf numFmtId="165" fontId="80" fillId="17" borderId="25" xfId="0" applyNumberFormat="1" applyFont="1" applyFill="1" applyBorder="1"/>
    <xf numFmtId="43" fontId="80" fillId="17" borderId="9" xfId="0" applyNumberFormat="1" applyFont="1" applyFill="1" applyBorder="1"/>
    <xf numFmtId="43" fontId="80" fillId="17" borderId="332" xfId="1" applyFont="1" applyFill="1" applyBorder="1"/>
    <xf numFmtId="168" fontId="7" fillId="16" borderId="0" xfId="0" applyNumberFormat="1" applyFont="1" applyFill="1"/>
    <xf numFmtId="0" fontId="9" fillId="17" borderId="400" xfId="0" applyFont="1" applyFill="1" applyBorder="1" applyAlignment="1"/>
    <xf numFmtId="0" fontId="9" fillId="17" borderId="401" xfId="0" applyFont="1" applyFill="1" applyBorder="1" applyAlignment="1"/>
    <xf numFmtId="0" fontId="213" fillId="103" borderId="0" xfId="0" applyFont="1" applyFill="1" applyAlignment="1">
      <alignment vertical="center" wrapText="1"/>
    </xf>
    <xf numFmtId="0" fontId="20" fillId="0" borderId="0" xfId="481"/>
    <xf numFmtId="0" fontId="214" fillId="0" borderId="0" xfId="481" applyFont="1" applyAlignment="1">
      <alignment wrapText="1"/>
    </xf>
    <xf numFmtId="0" fontId="24" fillId="0" borderId="0" xfId="481" applyFont="1"/>
    <xf numFmtId="0" fontId="23" fillId="104" borderId="0" xfId="9112" applyFill="1" applyAlignment="1">
      <alignment vertical="center" wrapText="1"/>
    </xf>
    <xf numFmtId="0" fontId="7" fillId="16" borderId="214" xfId="0" applyFont="1" applyFill="1" applyBorder="1"/>
    <xf numFmtId="14" fontId="7" fillId="16" borderId="214" xfId="0" applyNumberFormat="1" applyFont="1" applyFill="1" applyBorder="1"/>
    <xf numFmtId="0" fontId="23" fillId="0" borderId="214" xfId="9112" applyFill="1" applyBorder="1" applyAlignment="1">
      <alignment vertical="center"/>
    </xf>
    <xf numFmtId="0" fontId="72" fillId="0" borderId="214" xfId="0" applyFont="1" applyFill="1" applyBorder="1" applyAlignment="1">
      <alignment horizontal="right" vertical="center"/>
    </xf>
    <xf numFmtId="0" fontId="72" fillId="0" borderId="214" xfId="0" applyFont="1" applyFill="1" applyBorder="1" applyAlignment="1">
      <alignment vertical="center"/>
    </xf>
    <xf numFmtId="14" fontId="72" fillId="0" borderId="214" xfId="0" applyNumberFormat="1" applyFont="1" applyFill="1" applyBorder="1" applyAlignment="1">
      <alignment horizontal="right" vertical="center"/>
    </xf>
    <xf numFmtId="0" fontId="23" fillId="0" borderId="214" xfId="9112" applyFill="1" applyBorder="1" applyAlignment="1">
      <alignment horizontal="fill" vertical="center"/>
    </xf>
    <xf numFmtId="14" fontId="23" fillId="0" borderId="214" xfId="9112" applyNumberFormat="1" applyFill="1" applyBorder="1" applyAlignment="1">
      <alignment horizontal="fill" vertical="center"/>
    </xf>
    <xf numFmtId="0" fontId="23" fillId="17" borderId="34" xfId="9112" applyFill="1" applyBorder="1" applyAlignment="1">
      <alignment wrapText="1"/>
    </xf>
    <xf numFmtId="0" fontId="7" fillId="16" borderId="214" xfId="0" applyFont="1" applyFill="1" applyBorder="1" applyAlignment="1">
      <alignment vertical="center" wrapText="1"/>
    </xf>
    <xf numFmtId="14" fontId="7" fillId="16" borderId="214" xfId="0" applyNumberFormat="1" applyFont="1" applyFill="1" applyBorder="1" applyAlignment="1">
      <alignment vertical="center"/>
    </xf>
    <xf numFmtId="0" fontId="7" fillId="16" borderId="214" xfId="0" applyFont="1" applyFill="1" applyBorder="1" applyAlignment="1">
      <alignment vertical="center"/>
    </xf>
    <xf numFmtId="0" fontId="6" fillId="103" borderId="214" xfId="0" applyFont="1" applyFill="1" applyBorder="1" applyAlignment="1">
      <alignment horizontal="center" wrapText="1"/>
    </xf>
    <xf numFmtId="164" fontId="6" fillId="103" borderId="214" xfId="0" applyNumberFormat="1" applyFont="1" applyFill="1" applyBorder="1" applyAlignment="1">
      <alignment horizontal="center" wrapText="1"/>
    </xf>
    <xf numFmtId="164" fontId="7" fillId="16" borderId="0" xfId="0" applyNumberFormat="1" applyFont="1" applyFill="1" applyAlignment="1">
      <alignment horizontal="center" wrapText="1"/>
    </xf>
    <xf numFmtId="165" fontId="7" fillId="16" borderId="0" xfId="1" applyNumberFormat="1" applyFont="1" applyFill="1" applyAlignment="1">
      <alignment horizontal="center" wrapText="1"/>
    </xf>
    <xf numFmtId="164" fontId="7" fillId="16" borderId="214" xfId="0" applyNumberFormat="1" applyFont="1" applyFill="1" applyBorder="1"/>
    <xf numFmtId="0" fontId="23" fillId="17" borderId="7" xfId="9112" applyFill="1" applyBorder="1" applyAlignment="1">
      <alignment wrapText="1"/>
    </xf>
    <xf numFmtId="0" fontId="112" fillId="104" borderId="96" xfId="0" applyFont="1" applyFill="1" applyBorder="1" applyAlignment="1">
      <alignment horizontal="center"/>
    </xf>
    <xf numFmtId="0" fontId="112" fillId="104" borderId="317" xfId="0" applyFont="1" applyFill="1" applyBorder="1" applyAlignment="1">
      <alignment horizontal="center"/>
    </xf>
    <xf numFmtId="0" fontId="112" fillId="104" borderId="97" xfId="0" applyFont="1" applyFill="1" applyBorder="1" applyAlignment="1">
      <alignment horizontal="center"/>
    </xf>
    <xf numFmtId="0" fontId="112" fillId="114" borderId="96" xfId="0" applyFont="1" applyFill="1" applyBorder="1" applyAlignment="1">
      <alignment horizontal="center"/>
    </xf>
    <xf numFmtId="0" fontId="112" fillId="114" borderId="97" xfId="0" applyFont="1" applyFill="1" applyBorder="1" applyAlignment="1">
      <alignment horizontal="center"/>
    </xf>
    <xf numFmtId="0" fontId="112" fillId="24" borderId="96" xfId="0" applyFont="1" applyFill="1" applyBorder="1" applyAlignment="1">
      <alignment horizontal="center"/>
    </xf>
    <xf numFmtId="0" fontId="112" fillId="24" borderId="317" xfId="0" applyFont="1" applyFill="1" applyBorder="1" applyAlignment="1">
      <alignment horizontal="center"/>
    </xf>
    <xf numFmtId="0" fontId="112" fillId="24" borderId="97" xfId="0" applyFont="1" applyFill="1" applyBorder="1" applyAlignment="1">
      <alignment horizontal="center"/>
    </xf>
    <xf numFmtId="0" fontId="112" fillId="35" borderId="96" xfId="0" applyFont="1" applyFill="1" applyBorder="1" applyAlignment="1">
      <alignment horizontal="center"/>
    </xf>
    <xf numFmtId="0" fontId="112" fillId="35" borderId="97" xfId="0" applyFont="1" applyFill="1" applyBorder="1" applyAlignment="1">
      <alignment horizontal="center"/>
    </xf>
    <xf numFmtId="43" fontId="154" fillId="16" borderId="445" xfId="1" applyFont="1" applyFill="1" applyBorder="1"/>
    <xf numFmtId="43" fontId="204" fillId="16" borderId="446" xfId="1" applyFont="1" applyFill="1" applyBorder="1"/>
    <xf numFmtId="43" fontId="154" fillId="16" borderId="446" xfId="1" applyFont="1" applyFill="1" applyBorder="1"/>
    <xf numFmtId="43" fontId="204" fillId="16" borderId="447" xfId="1" applyFont="1" applyFill="1" applyBorder="1"/>
    <xf numFmtId="43" fontId="154" fillId="16" borderId="448" xfId="1" applyFont="1" applyFill="1" applyBorder="1"/>
    <xf numFmtId="43" fontId="204" fillId="16" borderId="449" xfId="1" applyFont="1" applyFill="1" applyBorder="1"/>
    <xf numFmtId="43" fontId="154" fillId="16" borderId="449" xfId="1" applyFont="1" applyFill="1" applyBorder="1"/>
    <xf numFmtId="43" fontId="204" fillId="16" borderId="450" xfId="1" applyFont="1" applyFill="1" applyBorder="1"/>
    <xf numFmtId="165" fontId="154" fillId="16" borderId="448" xfId="1" applyNumberFormat="1" applyFont="1" applyFill="1" applyBorder="1"/>
    <xf numFmtId="0" fontId="154" fillId="16" borderId="437" xfId="0" applyFont="1" applyFill="1" applyBorder="1"/>
    <xf numFmtId="179" fontId="204" fillId="16" borderId="449" xfId="1" applyNumberFormat="1" applyFont="1" applyFill="1" applyBorder="1"/>
    <xf numFmtId="43" fontId="154" fillId="16" borderId="452" xfId="1" applyFont="1" applyFill="1" applyBorder="1"/>
    <xf numFmtId="43" fontId="204" fillId="16" borderId="451" xfId="1" applyFont="1" applyFill="1" applyBorder="1"/>
    <xf numFmtId="43" fontId="154" fillId="16" borderId="451" xfId="1" applyFont="1" applyFill="1" applyBorder="1"/>
    <xf numFmtId="43" fontId="204" fillId="16" borderId="453" xfId="1" applyFont="1" applyFill="1" applyBorder="1"/>
    <xf numFmtId="43" fontId="154" fillId="16" borderId="454" xfId="1" applyFont="1" applyFill="1" applyBorder="1"/>
    <xf numFmtId="43" fontId="204" fillId="16" borderId="455" xfId="1" applyFont="1" applyFill="1" applyBorder="1"/>
    <xf numFmtId="43" fontId="154" fillId="16" borderId="455" xfId="1" applyFont="1" applyFill="1" applyBorder="1"/>
    <xf numFmtId="43" fontId="204" fillId="16" borderId="456" xfId="1" applyFont="1" applyFill="1" applyBorder="1"/>
    <xf numFmtId="43" fontId="154" fillId="16" borderId="457" xfId="1" applyFont="1" applyFill="1" applyBorder="1"/>
    <xf numFmtId="43" fontId="204" fillId="16" borderId="459" xfId="1" applyFont="1" applyFill="1" applyBorder="1"/>
    <xf numFmtId="43" fontId="154" fillId="16" borderId="459" xfId="1" applyFont="1" applyFill="1" applyBorder="1"/>
    <xf numFmtId="43" fontId="204" fillId="16" borderId="460" xfId="1" applyFont="1" applyFill="1" applyBorder="1"/>
    <xf numFmtId="164" fontId="9" fillId="17" borderId="149" xfId="1" applyNumberFormat="1" applyFont="1" applyFill="1" applyBorder="1"/>
    <xf numFmtId="43" fontId="80" fillId="114" borderId="0" xfId="0" applyNumberFormat="1" applyFont="1" applyFill="1" applyBorder="1"/>
    <xf numFmtId="43" fontId="80" fillId="0" borderId="0" xfId="0" applyNumberFormat="1" applyFont="1"/>
    <xf numFmtId="43" fontId="165" fillId="114" borderId="384" xfId="1" applyFont="1" applyFill="1" applyBorder="1" applyAlignment="1">
      <alignment horizontal="left"/>
    </xf>
    <xf numFmtId="166" fontId="7" fillId="17" borderId="26" xfId="0" applyNumberFormat="1" applyFont="1" applyFill="1" applyBorder="1"/>
    <xf numFmtId="166" fontId="7" fillId="17" borderId="29" xfId="0" applyNumberFormat="1" applyFont="1" applyFill="1" applyBorder="1"/>
    <xf numFmtId="0" fontId="9" fillId="17" borderId="478" xfId="0" applyFont="1" applyFill="1" applyBorder="1" applyAlignment="1"/>
    <xf numFmtId="0" fontId="9" fillId="17" borderId="151" xfId="0" applyFont="1" applyFill="1" applyBorder="1" applyAlignment="1"/>
    <xf numFmtId="0" fontId="9" fillId="17" borderId="474" xfId="0" applyFont="1" applyFill="1" applyBorder="1" applyAlignment="1"/>
    <xf numFmtId="0" fontId="215" fillId="0" borderId="0" xfId="0" applyFont="1"/>
    <xf numFmtId="164" fontId="120" fillId="19" borderId="149" xfId="4" applyNumberFormat="1" applyFont="1" applyFill="1" applyBorder="1"/>
    <xf numFmtId="164" fontId="120" fillId="19" borderId="471" xfId="4" applyNumberFormat="1" applyFont="1" applyFill="1" applyBorder="1"/>
    <xf numFmtId="0" fontId="7" fillId="17" borderId="476" xfId="0" applyFont="1" applyFill="1" applyBorder="1" applyAlignment="1"/>
    <xf numFmtId="0" fontId="7" fillId="17" borderId="473" xfId="0" applyFont="1" applyFill="1" applyBorder="1" applyAlignment="1"/>
    <xf numFmtId="43" fontId="120" fillId="19" borderId="329" xfId="1" applyNumberFormat="1" applyFont="1" applyFill="1" applyBorder="1"/>
    <xf numFmtId="0" fontId="194" fillId="17" borderId="0" xfId="0" applyFont="1" applyFill="1" applyBorder="1" applyAlignment="1">
      <alignment wrapText="1"/>
    </xf>
    <xf numFmtId="0" fontId="194" fillId="17" borderId="31" xfId="0" applyFont="1" applyFill="1" applyBorder="1" applyAlignment="1">
      <alignment wrapText="1"/>
    </xf>
    <xf numFmtId="0" fontId="194" fillId="17" borderId="32" xfId="0" applyFont="1" applyFill="1" applyBorder="1" applyAlignment="1">
      <alignment wrapText="1"/>
    </xf>
    <xf numFmtId="0" fontId="7" fillId="0" borderId="0" xfId="0" applyFont="1" applyAlignment="1">
      <alignment horizontal="center" wrapText="1"/>
    </xf>
    <xf numFmtId="167" fontId="7" fillId="16" borderId="0" xfId="2" applyNumberFormat="1" applyFont="1" applyFill="1" applyBorder="1"/>
    <xf numFmtId="9" fontId="7" fillId="16" borderId="103" xfId="2" applyFont="1" applyFill="1" applyBorder="1" applyAlignment="1">
      <alignment horizontal="center"/>
    </xf>
    <xf numFmtId="2" fontId="7" fillId="0" borderId="91" xfId="1" applyNumberFormat="1" applyFont="1" applyFill="1" applyBorder="1" applyAlignment="1">
      <alignment horizontal="center"/>
    </xf>
    <xf numFmtId="2" fontId="7" fillId="0" borderId="102" xfId="1" applyNumberFormat="1" applyFont="1" applyFill="1" applyBorder="1" applyAlignment="1">
      <alignment horizontal="center"/>
    </xf>
    <xf numFmtId="9" fontId="7" fillId="0" borderId="105" xfId="2" applyFont="1" applyFill="1" applyBorder="1" applyAlignment="1">
      <alignment horizontal="center"/>
    </xf>
    <xf numFmtId="167" fontId="7" fillId="0" borderId="105" xfId="2" applyNumberFormat="1" applyFont="1" applyFill="1" applyBorder="1" applyAlignment="1">
      <alignment horizontal="center"/>
    </xf>
    <xf numFmtId="0" fontId="134" fillId="94" borderId="318" xfId="11" applyFont="1" applyFill="1" applyBorder="1" applyAlignment="1">
      <alignment horizontal="center"/>
    </xf>
    <xf numFmtId="0" fontId="80" fillId="16" borderId="0" xfId="0" applyFont="1" applyFill="1" applyBorder="1" applyAlignment="1">
      <alignment horizontal="right" wrapText="1"/>
    </xf>
    <xf numFmtId="0" fontId="80" fillId="17" borderId="331" xfId="0" applyFont="1" applyFill="1" applyBorder="1" applyAlignment="1">
      <alignment wrapText="1"/>
    </xf>
    <xf numFmtId="0" fontId="194" fillId="17" borderId="159" xfId="0" applyFont="1" applyFill="1" applyBorder="1" applyAlignment="1">
      <alignment wrapText="1"/>
    </xf>
    <xf numFmtId="165" fontId="194" fillId="17" borderId="160" xfId="1" applyNumberFormat="1" applyFont="1" applyFill="1" applyBorder="1" applyAlignment="1">
      <alignment wrapText="1"/>
    </xf>
    <xf numFmtId="164" fontId="212" fillId="19" borderId="25" xfId="1" applyNumberFormat="1" applyFont="1" applyFill="1" applyBorder="1"/>
    <xf numFmtId="0" fontId="7" fillId="0" borderId="513" xfId="0" applyFont="1" applyFill="1" applyBorder="1" applyAlignment="1"/>
    <xf numFmtId="0" fontId="7" fillId="0" borderId="515" xfId="0" applyFont="1" applyFill="1" applyBorder="1" applyAlignment="1"/>
    <xf numFmtId="164" fontId="175" fillId="0" borderId="514" xfId="9112" applyNumberFormat="1" applyFont="1" applyFill="1" applyBorder="1" applyAlignment="1"/>
    <xf numFmtId="164" fontId="175" fillId="0" borderId="500" xfId="9112" applyNumberFormat="1" applyFont="1" applyFill="1" applyBorder="1" applyAlignment="1"/>
    <xf numFmtId="164" fontId="134" fillId="0" borderId="511" xfId="1" applyNumberFormat="1" applyFont="1" applyFill="1" applyBorder="1" applyAlignment="1"/>
    <xf numFmtId="164" fontId="134" fillId="0" borderId="512" xfId="1" applyNumberFormat="1" applyFont="1" applyFill="1" applyBorder="1" applyAlignment="1"/>
    <xf numFmtId="0" fontId="134" fillId="0" borderId="512" xfId="0" applyFont="1" applyFill="1" applyBorder="1" applyAlignment="1"/>
    <xf numFmtId="164" fontId="134" fillId="0" borderId="514" xfId="1" applyNumberFormat="1" applyFont="1" applyFill="1" applyBorder="1" applyAlignment="1"/>
    <xf numFmtId="164" fontId="134" fillId="0" borderId="500" xfId="1" applyNumberFormat="1" applyFont="1" applyFill="1" applyBorder="1" applyAlignment="1"/>
    <xf numFmtId="0" fontId="134" fillId="0" borderId="500" xfId="0" applyFont="1" applyFill="1" applyBorder="1" applyAlignment="1"/>
    <xf numFmtId="0" fontId="134" fillId="0" borderId="515" xfId="0" applyFont="1" applyFill="1" applyBorder="1" applyAlignment="1"/>
    <xf numFmtId="43" fontId="134" fillId="0" borderId="514" xfId="1" applyNumberFormat="1" applyFont="1" applyFill="1" applyBorder="1" applyAlignment="1"/>
    <xf numFmtId="43" fontId="134" fillId="0" borderId="500" xfId="1" applyNumberFormat="1" applyFont="1" applyFill="1" applyBorder="1" applyAlignment="1"/>
    <xf numFmtId="168" fontId="134" fillId="0" borderId="514" xfId="1" applyNumberFormat="1" applyFont="1" applyFill="1" applyBorder="1" applyAlignment="1"/>
    <xf numFmtId="168" fontId="134" fillId="0" borderId="500" xfId="1" applyNumberFormat="1" applyFont="1" applyFill="1" applyBorder="1" applyAlignment="1"/>
    <xf numFmtId="0" fontId="7" fillId="0" borderId="515" xfId="0" applyFont="1" applyFill="1" applyBorder="1"/>
    <xf numFmtId="164" fontId="134" fillId="0" borderId="516" xfId="1" applyNumberFormat="1" applyFont="1" applyFill="1" applyBorder="1" applyAlignment="1"/>
    <xf numFmtId="164" fontId="134" fillId="0" borderId="517" xfId="1" applyNumberFormat="1" applyFont="1" applyFill="1" applyBorder="1" applyAlignment="1"/>
    <xf numFmtId="0" fontId="134" fillId="0" borderId="517" xfId="0" applyFont="1" applyFill="1" applyBorder="1" applyAlignment="1"/>
    <xf numFmtId="0" fontId="7" fillId="0" borderId="518" xfId="0" applyFont="1" applyFill="1" applyBorder="1"/>
    <xf numFmtId="0" fontId="80" fillId="81" borderId="283" xfId="0" applyFont="1" applyFill="1" applyBorder="1" applyAlignment="1">
      <alignment horizontal="center"/>
    </xf>
    <xf numFmtId="0" fontId="80" fillId="81" borderId="284" xfId="0" applyFont="1" applyFill="1" applyBorder="1" applyAlignment="1">
      <alignment horizontal="center"/>
    </xf>
    <xf numFmtId="0" fontId="80" fillId="81" borderId="285" xfId="0" applyFont="1" applyFill="1" applyBorder="1" applyAlignment="1">
      <alignment horizontal="center"/>
    </xf>
    <xf numFmtId="0" fontId="7" fillId="25" borderId="0" xfId="0" applyFont="1" applyFill="1"/>
    <xf numFmtId="0" fontId="0" fillId="0" borderId="0" xfId="0" applyFont="1"/>
    <xf numFmtId="0" fontId="80" fillId="25" borderId="0" xfId="0" applyFont="1" applyFill="1"/>
    <xf numFmtId="0" fontId="80" fillId="81" borderId="283" xfId="0" applyFont="1" applyFill="1" applyBorder="1" applyAlignment="1">
      <alignment horizontal="center" wrapText="1"/>
    </xf>
    <xf numFmtId="0" fontId="80" fillId="81" borderId="489" xfId="0" applyFont="1" applyFill="1" applyBorder="1" applyAlignment="1">
      <alignment horizontal="center"/>
    </xf>
    <xf numFmtId="0" fontId="134" fillId="0" borderId="511" xfId="0" applyFont="1" applyFill="1" applyBorder="1" applyAlignment="1"/>
    <xf numFmtId="0" fontId="134" fillId="0" borderId="513" xfId="0" applyFont="1" applyFill="1" applyBorder="1" applyAlignment="1"/>
    <xf numFmtId="9" fontId="134" fillId="0" borderId="511" xfId="2" applyFont="1" applyFill="1" applyBorder="1" applyAlignment="1"/>
    <xf numFmtId="0" fontId="134" fillId="0" borderId="520" xfId="0" applyFont="1" applyFill="1" applyBorder="1" applyAlignment="1"/>
    <xf numFmtId="0" fontId="134" fillId="0" borderId="514" xfId="0" applyFont="1" applyFill="1" applyBorder="1" applyAlignment="1"/>
    <xf numFmtId="9" fontId="134" fillId="0" borderId="514" xfId="2" applyFont="1" applyFill="1" applyBorder="1" applyAlignment="1"/>
    <xf numFmtId="0" fontId="134" fillId="0" borderId="501" xfId="0" applyFont="1" applyFill="1" applyBorder="1" applyAlignment="1"/>
    <xf numFmtId="0" fontId="7" fillId="0" borderId="514" xfId="0" applyFont="1" applyFill="1" applyBorder="1" applyAlignment="1"/>
    <xf numFmtId="9" fontId="7" fillId="0" borderId="514" xfId="2" applyFont="1" applyFill="1" applyBorder="1" applyAlignment="1"/>
    <xf numFmtId="0" fontId="7" fillId="0" borderId="500" xfId="0" applyFont="1" applyFill="1" applyBorder="1" applyAlignment="1"/>
    <xf numFmtId="0" fontId="7" fillId="0" borderId="501" xfId="0" applyFont="1" applyFill="1" applyBorder="1" applyAlignment="1"/>
    <xf numFmtId="9" fontId="134" fillId="0" borderId="514" xfId="0" applyNumberFormat="1" applyFont="1" applyFill="1" applyBorder="1" applyAlignment="1"/>
    <xf numFmtId="0" fontId="134" fillId="0" borderId="501" xfId="0" quotePrefix="1" applyFont="1" applyFill="1" applyBorder="1" applyAlignment="1"/>
    <xf numFmtId="0" fontId="7" fillId="25" borderId="107" xfId="0" applyFont="1" applyFill="1" applyBorder="1"/>
    <xf numFmtId="0" fontId="7" fillId="25" borderId="176" xfId="0" applyFont="1" applyFill="1" applyBorder="1"/>
    <xf numFmtId="0" fontId="7" fillId="0" borderId="176" xfId="0" applyFont="1" applyBorder="1"/>
    <xf numFmtId="0" fontId="7" fillId="25" borderId="31" xfId="0" applyFont="1" applyFill="1" applyBorder="1"/>
    <xf numFmtId="0" fontId="7" fillId="25" borderId="0" xfId="0" applyFont="1" applyFill="1" applyBorder="1"/>
    <xf numFmtId="0" fontId="7" fillId="25" borderId="33" xfId="0" applyFont="1" applyFill="1" applyBorder="1"/>
    <xf numFmtId="0" fontId="7" fillId="25" borderId="34" xfId="0" applyFont="1" applyFill="1" applyBorder="1"/>
    <xf numFmtId="0" fontId="134" fillId="0" borderId="516" xfId="0" applyFont="1" applyFill="1" applyBorder="1" applyAlignment="1"/>
    <xf numFmtId="0" fontId="134" fillId="0" borderId="518" xfId="0" applyFont="1" applyFill="1" applyBorder="1" applyAlignment="1"/>
    <xf numFmtId="9" fontId="134" fillId="0" borderId="516" xfId="2" applyFont="1" applyFill="1" applyBorder="1" applyAlignment="1"/>
    <xf numFmtId="0" fontId="134" fillId="0" borderId="521" xfId="0" applyFont="1" applyFill="1" applyBorder="1" applyAlignment="1"/>
    <xf numFmtId="0" fontId="7" fillId="0" borderId="0" xfId="0" applyFont="1" applyAlignment="1">
      <alignment wrapText="1"/>
    </xf>
    <xf numFmtId="0" fontId="0" fillId="25" borderId="0" xfId="0" applyFont="1" applyFill="1"/>
    <xf numFmtId="0" fontId="6" fillId="104" borderId="91" xfId="0" applyFont="1" applyFill="1" applyBorder="1" applyAlignment="1">
      <alignment horizontal="center"/>
    </xf>
    <xf numFmtId="0" fontId="176" fillId="0" borderId="0" xfId="0" applyFont="1" applyAlignment="1">
      <alignment horizontal="left" vertical="center" indent="1"/>
    </xf>
    <xf numFmtId="0" fontId="188" fillId="0" borderId="0" xfId="0" applyFont="1" applyAlignment="1">
      <alignment horizontal="left" vertical="center" indent="2"/>
    </xf>
    <xf numFmtId="17" fontId="176" fillId="0" borderId="0" xfId="0" applyNumberFormat="1" applyFont="1" applyAlignment="1">
      <alignment horizontal="left" vertical="center" indent="1"/>
    </xf>
    <xf numFmtId="0" fontId="207" fillId="0" borderId="306" xfId="9112" applyFont="1" applyFill="1" applyBorder="1" applyAlignment="1">
      <alignment vertical="center" wrapText="1"/>
    </xf>
    <xf numFmtId="0" fontId="205" fillId="0" borderId="121" xfId="0" applyFont="1" applyFill="1" applyBorder="1" applyAlignment="1">
      <alignment vertical="center"/>
    </xf>
    <xf numFmtId="0" fontId="205" fillId="0" borderId="116" xfId="0" applyFont="1" applyFill="1" applyBorder="1" applyAlignment="1">
      <alignment vertical="center"/>
    </xf>
    <xf numFmtId="0" fontId="205" fillId="0" borderId="117" xfId="0" applyFont="1" applyFill="1" applyBorder="1" applyAlignment="1">
      <alignment vertical="center"/>
    </xf>
    <xf numFmtId="0" fontId="205" fillId="0" borderId="114" xfId="0" applyFont="1" applyFill="1" applyBorder="1" applyAlignment="1">
      <alignment vertical="center"/>
    </xf>
    <xf numFmtId="0" fontId="205" fillId="0" borderId="121" xfId="0" applyFont="1" applyFill="1" applyBorder="1" applyAlignment="1">
      <alignment vertical="center" wrapText="1"/>
    </xf>
    <xf numFmtId="0" fontId="205" fillId="0" borderId="131" xfId="0" applyFont="1" applyFill="1" applyBorder="1" applyAlignment="1">
      <alignment vertical="center"/>
    </xf>
    <xf numFmtId="0" fontId="114" fillId="0" borderId="0" xfId="0" applyFont="1" applyBorder="1" applyAlignment="1">
      <alignment wrapText="1"/>
    </xf>
    <xf numFmtId="0" fontId="123" fillId="16" borderId="0" xfId="0" applyFont="1" applyFill="1" applyBorder="1"/>
    <xf numFmtId="0" fontId="114" fillId="0" borderId="0" xfId="0" applyFont="1" applyBorder="1" applyAlignment="1">
      <alignment horizontal="left" vertical="top" wrapText="1" indent="1"/>
    </xf>
    <xf numFmtId="43" fontId="165" fillId="0" borderId="371" xfId="0" applyNumberFormat="1" applyFont="1" applyFill="1" applyBorder="1" applyAlignment="1">
      <alignment horizontal="left" vertical="center"/>
    </xf>
    <xf numFmtId="43" fontId="154" fillId="0" borderId="371" xfId="1" applyFont="1" applyFill="1" applyBorder="1" applyAlignment="1">
      <alignment horizontal="left" vertical="center"/>
    </xf>
    <xf numFmtId="43" fontId="165" fillId="0" borderId="370" xfId="0" applyNumberFormat="1" applyFont="1" applyBorder="1" applyAlignment="1">
      <alignment horizontal="left" vertical="center"/>
    </xf>
    <xf numFmtId="43" fontId="154" fillId="0" borderId="370" xfId="1" applyFont="1" applyBorder="1" applyAlignment="1">
      <alignment horizontal="left" vertical="center"/>
    </xf>
    <xf numFmtId="43" fontId="165" fillId="0" borderId="374" xfId="0" applyNumberFormat="1" applyFont="1" applyBorder="1" applyAlignment="1">
      <alignment horizontal="left" vertical="center"/>
    </xf>
    <xf numFmtId="43" fontId="154" fillId="0" borderId="374" xfId="1" applyFont="1" applyBorder="1" applyAlignment="1">
      <alignment horizontal="left" vertical="center"/>
    </xf>
    <xf numFmtId="0" fontId="7" fillId="16" borderId="0" xfId="0" applyFont="1" applyFill="1" applyAlignment="1">
      <alignment horizontal="left" vertical="center" wrapText="1"/>
    </xf>
    <xf numFmtId="0" fontId="148" fillId="23" borderId="206" xfId="0" applyFont="1" applyFill="1" applyBorder="1" applyAlignment="1">
      <alignment horizontal="left" vertical="center"/>
    </xf>
    <xf numFmtId="0" fontId="145" fillId="103" borderId="206" xfId="0" applyFont="1" applyFill="1" applyBorder="1" applyAlignment="1">
      <alignment vertical="center"/>
    </xf>
    <xf numFmtId="0" fontId="147" fillId="117" borderId="0" xfId="0" applyFont="1" applyFill="1" applyBorder="1" applyAlignment="1">
      <alignment horizontal="left" vertical="center" wrapText="1"/>
    </xf>
    <xf numFmtId="0" fontId="145" fillId="110" borderId="206" xfId="0" applyFont="1" applyFill="1" applyBorder="1" applyAlignment="1">
      <alignment vertical="center"/>
    </xf>
    <xf numFmtId="0" fontId="112" fillId="31" borderId="214" xfId="0" applyFont="1" applyFill="1" applyBorder="1" applyAlignment="1">
      <alignment horizontal="center" vertical="center"/>
    </xf>
    <xf numFmtId="0" fontId="112" fillId="31" borderId="214" xfId="0" applyFont="1" applyFill="1" applyBorder="1" applyAlignment="1">
      <alignment horizontal="center" vertical="center" wrapText="1"/>
    </xf>
    <xf numFmtId="0" fontId="7" fillId="17" borderId="496" xfId="0" applyFont="1" applyFill="1" applyBorder="1" applyAlignment="1">
      <alignment horizontal="left" vertical="center" wrapText="1"/>
    </xf>
    <xf numFmtId="0" fontId="7" fillId="17" borderId="496" xfId="0" applyFont="1" applyFill="1" applyBorder="1" applyAlignment="1">
      <alignment vertical="center" wrapText="1"/>
    </xf>
    <xf numFmtId="0" fontId="7" fillId="17" borderId="507" xfId="0" applyFont="1" applyFill="1" applyBorder="1" applyAlignment="1">
      <alignment horizontal="left" vertical="center" wrapText="1"/>
    </xf>
    <xf numFmtId="0" fontId="7" fillId="17" borderId="507" xfId="0" applyFont="1" applyFill="1" applyBorder="1" applyAlignment="1">
      <alignment vertical="center" wrapText="1"/>
    </xf>
    <xf numFmtId="0" fontId="7" fillId="17" borderId="500" xfId="0" applyFont="1" applyFill="1" applyBorder="1" applyAlignment="1">
      <alignment horizontal="left" vertical="center" wrapText="1"/>
    </xf>
    <xf numFmtId="0" fontId="7" fillId="17" borderId="500" xfId="0" applyFont="1" applyFill="1" applyBorder="1" applyAlignment="1">
      <alignment vertical="center" wrapText="1"/>
    </xf>
    <xf numFmtId="0" fontId="7" fillId="17" borderId="503" xfId="0" applyFont="1" applyFill="1" applyBorder="1" applyAlignment="1">
      <alignment horizontal="left" vertical="center" wrapText="1"/>
    </xf>
    <xf numFmtId="0" fontId="7" fillId="17" borderId="503" xfId="0" applyFont="1" applyFill="1" applyBorder="1" applyAlignment="1">
      <alignment vertical="center" wrapText="1"/>
    </xf>
    <xf numFmtId="0" fontId="7" fillId="16" borderId="487" xfId="0" applyFont="1" applyFill="1" applyBorder="1" applyAlignment="1">
      <alignment horizontal="left" vertical="center" wrapText="1"/>
    </xf>
    <xf numFmtId="0" fontId="7" fillId="16" borderId="486" xfId="0" applyFont="1" applyFill="1" applyBorder="1" applyAlignment="1">
      <alignment horizontal="left" vertical="center" wrapText="1"/>
    </xf>
    <xf numFmtId="0" fontId="7" fillId="16" borderId="489" xfId="0" applyFont="1" applyFill="1" applyBorder="1" applyAlignment="1">
      <alignment horizontal="left" vertical="center" wrapText="1"/>
    </xf>
    <xf numFmtId="0" fontId="7" fillId="16" borderId="490" xfId="0" applyFont="1" applyFill="1" applyBorder="1" applyAlignment="1">
      <alignment horizontal="left" vertical="center" wrapText="1"/>
    </xf>
    <xf numFmtId="0" fontId="7" fillId="16" borderId="488" xfId="0" applyFont="1" applyFill="1" applyBorder="1" applyAlignment="1">
      <alignment vertical="center" wrapText="1"/>
    </xf>
    <xf numFmtId="0" fontId="7" fillId="17" borderId="284" xfId="0" applyFont="1" applyFill="1" applyBorder="1" applyAlignment="1">
      <alignment horizontal="left" vertical="center" wrapText="1"/>
    </xf>
    <xf numFmtId="0" fontId="7" fillId="17" borderId="488" xfId="0" applyFont="1" applyFill="1" applyBorder="1" applyAlignment="1">
      <alignment vertical="center" wrapText="1"/>
    </xf>
    <xf numFmtId="0" fontId="7" fillId="17" borderId="488" xfId="0" applyFont="1" applyFill="1" applyBorder="1" applyAlignment="1">
      <alignment wrapText="1"/>
    </xf>
    <xf numFmtId="0" fontId="7" fillId="17" borderId="214" xfId="0" applyFont="1" applyFill="1" applyBorder="1" applyAlignment="1">
      <alignment horizontal="left" vertical="center" wrapText="1"/>
    </xf>
    <xf numFmtId="0" fontId="145" fillId="118" borderId="206" xfId="0" applyFont="1" applyFill="1" applyBorder="1" applyAlignment="1">
      <alignment vertical="center"/>
    </xf>
    <xf numFmtId="14" fontId="9" fillId="0" borderId="0" xfId="0" applyNumberFormat="1" applyFont="1" applyAlignment="1">
      <alignment horizontal="left"/>
    </xf>
    <xf numFmtId="0" fontId="219" fillId="16" borderId="0" xfId="0" applyFont="1" applyFill="1"/>
    <xf numFmtId="0" fontId="7" fillId="81" borderId="0" xfId="0" applyFont="1" applyFill="1"/>
    <xf numFmtId="0" fontId="165" fillId="0" borderId="448" xfId="1" applyNumberFormat="1" applyFont="1" applyFill="1" applyBorder="1" applyAlignment="1">
      <alignment horizontal="right"/>
    </xf>
    <xf numFmtId="43" fontId="154" fillId="0" borderId="449" xfId="1" applyFont="1" applyFill="1" applyBorder="1" applyAlignment="1">
      <alignment horizontal="right"/>
    </xf>
    <xf numFmtId="43" fontId="154" fillId="0" borderId="448" xfId="1" applyFont="1" applyFill="1" applyBorder="1" applyAlignment="1">
      <alignment horizontal="right"/>
    </xf>
    <xf numFmtId="0" fontId="154" fillId="0" borderId="305" xfId="9112" applyFont="1" applyFill="1" applyBorder="1" applyAlignment="1">
      <alignment vertical="center"/>
    </xf>
    <xf numFmtId="43" fontId="220" fillId="16" borderId="0" xfId="0" applyNumberFormat="1" applyFont="1" applyFill="1" applyBorder="1"/>
    <xf numFmtId="0" fontId="80" fillId="19" borderId="331" xfId="0" applyFont="1" applyFill="1" applyBorder="1" applyAlignment="1">
      <alignment wrapText="1"/>
    </xf>
    <xf numFmtId="0" fontId="80" fillId="19" borderId="9" xfId="0" applyFont="1" applyFill="1" applyBorder="1" applyAlignment="1">
      <alignment wrapText="1"/>
    </xf>
    <xf numFmtId="166" fontId="80" fillId="19" borderId="16" xfId="0" applyNumberFormat="1" applyFont="1" applyFill="1" applyBorder="1"/>
    <xf numFmtId="164" fontId="80" fillId="19" borderId="25" xfId="0" applyNumberFormat="1" applyFont="1" applyFill="1" applyBorder="1"/>
    <xf numFmtId="164" fontId="80" fillId="19" borderId="9" xfId="0" applyNumberFormat="1" applyFont="1" applyFill="1" applyBorder="1"/>
    <xf numFmtId="164" fontId="212" fillId="19" borderId="9" xfId="4" applyNumberFormat="1" applyFont="1" applyFill="1" applyBorder="1"/>
    <xf numFmtId="10" fontId="165" fillId="19" borderId="26" xfId="0" applyNumberFormat="1" applyFont="1" applyFill="1" applyBorder="1"/>
    <xf numFmtId="0" fontId="187" fillId="19" borderId="37" xfId="0" applyFont="1" applyFill="1" applyBorder="1" applyAlignment="1"/>
    <xf numFmtId="165" fontId="80" fillId="19" borderId="25" xfId="0" applyNumberFormat="1" applyFont="1" applyFill="1" applyBorder="1"/>
    <xf numFmtId="43" fontId="80" fillId="19" borderId="9" xfId="0" applyNumberFormat="1" applyFont="1" applyFill="1" applyBorder="1"/>
    <xf numFmtId="43" fontId="80" fillId="19" borderId="332" xfId="1" applyFont="1" applyFill="1" applyBorder="1"/>
    <xf numFmtId="43" fontId="154" fillId="16" borderId="448" xfId="1" applyFont="1" applyFill="1" applyBorder="1" applyAlignment="1">
      <alignment horizontal="right"/>
    </xf>
    <xf numFmtId="43" fontId="154" fillId="16" borderId="452" xfId="1" applyFont="1" applyFill="1" applyBorder="1" applyAlignment="1">
      <alignment horizontal="right"/>
    </xf>
    <xf numFmtId="43" fontId="165" fillId="0" borderId="452" xfId="1" applyFont="1" applyFill="1" applyBorder="1" applyAlignment="1">
      <alignment horizontal="right"/>
    </xf>
    <xf numFmtId="43" fontId="165" fillId="0" borderId="448" xfId="1" applyFont="1" applyFill="1" applyBorder="1" applyAlignment="1">
      <alignment horizontal="right"/>
    </xf>
    <xf numFmtId="165" fontId="7" fillId="36" borderId="25" xfId="0" applyNumberFormat="1" applyFont="1" applyFill="1" applyBorder="1" applyAlignment="1"/>
    <xf numFmtId="165" fontId="7" fillId="36" borderId="9" xfId="0" applyNumberFormat="1" applyFont="1" applyFill="1" applyBorder="1" applyAlignment="1"/>
    <xf numFmtId="164" fontId="7" fillId="36" borderId="149" xfId="1" applyNumberFormat="1" applyFont="1" applyFill="1" applyBorder="1"/>
    <xf numFmtId="0" fontId="7" fillId="0" borderId="0" xfId="0" applyFont="1" applyBorder="1" applyAlignment="1">
      <alignment vertical="center" wrapText="1"/>
    </xf>
    <xf numFmtId="0" fontId="138" fillId="16" borderId="0" xfId="0" applyFont="1" applyFill="1" applyAlignment="1">
      <alignment vertical="center" wrapText="1"/>
    </xf>
    <xf numFmtId="0" fontId="141" fillId="16" borderId="0" xfId="0" applyFont="1" applyFill="1" applyAlignment="1">
      <alignment vertical="center" wrapText="1"/>
    </xf>
    <xf numFmtId="0" fontId="145" fillId="103" borderId="253" xfId="0" applyFont="1" applyFill="1" applyBorder="1" applyAlignment="1">
      <alignment horizontal="left" vertical="center"/>
    </xf>
    <xf numFmtId="0" fontId="145" fillId="103" borderId="254" xfId="0" applyFont="1" applyFill="1" applyBorder="1" applyAlignment="1">
      <alignment horizontal="left" vertical="center"/>
    </xf>
    <xf numFmtId="0" fontId="145" fillId="103" borderId="255" xfId="0" applyFont="1" applyFill="1" applyBorder="1" applyAlignment="1">
      <alignment horizontal="left" vertical="center"/>
    </xf>
    <xf numFmtId="0" fontId="9" fillId="17" borderId="0" xfId="0" quotePrefix="1" applyFont="1" applyFill="1" applyAlignment="1">
      <alignment horizontal="left" vertical="center" wrapText="1"/>
    </xf>
    <xf numFmtId="0" fontId="9" fillId="17" borderId="0" xfId="0" applyFont="1" applyFill="1" applyAlignment="1">
      <alignment horizontal="left" vertical="center" wrapText="1"/>
    </xf>
    <xf numFmtId="0" fontId="114" fillId="0" borderId="0" xfId="0" applyFont="1" applyAlignment="1">
      <alignment horizontal="left" wrapText="1"/>
    </xf>
    <xf numFmtId="0" fontId="16" fillId="114" borderId="96" xfId="0" applyFont="1" applyFill="1" applyBorder="1" applyAlignment="1">
      <alignment horizontal="center" vertical="center" wrapText="1"/>
    </xf>
    <xf numFmtId="0" fontId="16" fillId="114" borderId="97" xfId="0" applyFont="1" applyFill="1" applyBorder="1" applyAlignment="1">
      <alignment horizontal="center" vertical="center" wrapText="1"/>
    </xf>
    <xf numFmtId="0" fontId="112" fillId="103" borderId="378" xfId="0" applyFont="1" applyFill="1" applyBorder="1" applyAlignment="1">
      <alignment horizontal="center"/>
    </xf>
    <xf numFmtId="0" fontId="112" fillId="103" borderId="379" xfId="0" applyFont="1" applyFill="1" applyBorder="1" applyAlignment="1">
      <alignment horizontal="center"/>
    </xf>
    <xf numFmtId="0" fontId="112" fillId="103" borderId="380" xfId="0" applyFont="1" applyFill="1" applyBorder="1" applyAlignment="1">
      <alignment horizontal="center"/>
    </xf>
    <xf numFmtId="0" fontId="112" fillId="100" borderId="469" xfId="0" applyFont="1" applyFill="1" applyBorder="1" applyAlignment="1">
      <alignment horizontal="center"/>
    </xf>
    <xf numFmtId="0" fontId="7" fillId="18" borderId="470" xfId="0" applyFont="1" applyFill="1" applyBorder="1" applyAlignment="1">
      <alignment horizontal="center"/>
    </xf>
    <xf numFmtId="0" fontId="7" fillId="33" borderId="470" xfId="0" applyFont="1" applyFill="1" applyBorder="1" applyAlignment="1">
      <alignment horizontal="center"/>
    </xf>
    <xf numFmtId="0" fontId="112" fillId="114" borderId="470" xfId="0" applyFont="1" applyFill="1" applyBorder="1" applyAlignment="1">
      <alignment horizontal="center"/>
    </xf>
    <xf numFmtId="0" fontId="9" fillId="17" borderId="0" xfId="0" quotePrefix="1" applyFont="1" applyFill="1" applyBorder="1" applyAlignment="1">
      <alignment horizontal="left" vertical="top" wrapText="1" indent="1"/>
    </xf>
    <xf numFmtId="0" fontId="9" fillId="17" borderId="0" xfId="0" applyFont="1" applyFill="1" applyBorder="1" applyAlignment="1">
      <alignment horizontal="left" vertical="top" wrapText="1" indent="1"/>
    </xf>
    <xf numFmtId="0" fontId="114" fillId="0" borderId="0" xfId="0" applyFont="1" applyBorder="1" applyAlignment="1">
      <alignment horizontal="left" vertical="top" wrapText="1" indent="1"/>
    </xf>
    <xf numFmtId="0" fontId="9" fillId="17" borderId="522" xfId="0" applyFont="1" applyFill="1" applyBorder="1" applyAlignment="1">
      <alignment horizontal="left" vertical="top" wrapText="1"/>
    </xf>
    <xf numFmtId="0" fontId="187" fillId="17" borderId="0" xfId="0" applyFont="1" applyFill="1" applyBorder="1" applyAlignment="1">
      <alignment horizontal="left" vertical="top" wrapText="1"/>
    </xf>
    <xf numFmtId="0" fontId="114" fillId="17" borderId="0" xfId="0" quotePrefix="1" applyFont="1" applyFill="1" applyBorder="1" applyAlignment="1">
      <alignment horizontal="left" vertical="top" wrapText="1" indent="1"/>
    </xf>
    <xf numFmtId="0" fontId="114" fillId="17" borderId="0" xfId="0" applyFont="1" applyFill="1" applyBorder="1" applyAlignment="1">
      <alignment horizontal="left" vertical="top" wrapText="1" indent="1"/>
    </xf>
    <xf numFmtId="43" fontId="204" fillId="16" borderId="451" xfId="1" applyFont="1" applyFill="1" applyBorder="1" applyAlignment="1">
      <alignment horizontal="center" vertical="center"/>
    </xf>
    <xf numFmtId="43" fontId="204" fillId="16" borderId="437" xfId="1" applyFont="1" applyFill="1" applyBorder="1" applyAlignment="1">
      <alignment horizontal="center" vertical="center"/>
    </xf>
    <xf numFmtId="43" fontId="204" fillId="16" borderId="446" xfId="1" applyFont="1" applyFill="1" applyBorder="1" applyAlignment="1">
      <alignment horizontal="center" vertical="center"/>
    </xf>
    <xf numFmtId="0" fontId="154" fillId="0" borderId="140" xfId="0" applyFont="1" applyBorder="1" applyAlignment="1">
      <alignment horizontal="center" vertical="center" textRotation="90"/>
    </xf>
    <xf numFmtId="0" fontId="154" fillId="0" borderId="110" xfId="0" applyFont="1" applyBorder="1" applyAlignment="1">
      <alignment horizontal="center" vertical="center" textRotation="90"/>
    </xf>
    <xf numFmtId="0" fontId="154" fillId="0" borderId="142" xfId="0" applyFont="1" applyBorder="1" applyAlignment="1">
      <alignment horizontal="center" vertical="center" textRotation="90"/>
    </xf>
    <xf numFmtId="0" fontId="154" fillId="0" borderId="141" xfId="0" applyFont="1" applyBorder="1" applyAlignment="1">
      <alignment horizontal="center" vertical="center" textRotation="90"/>
    </xf>
    <xf numFmtId="0" fontId="154" fillId="0" borderId="143" xfId="0" applyFont="1" applyBorder="1" applyAlignment="1">
      <alignment horizontal="center" vertical="center" textRotation="90"/>
    </xf>
    <xf numFmtId="0" fontId="9" fillId="0" borderId="0" xfId="0" applyFont="1" applyAlignment="1">
      <alignment horizontal="left" vertical="top" wrapText="1"/>
    </xf>
    <xf numFmtId="0" fontId="205" fillId="0" borderId="116" xfId="0" applyFont="1" applyFill="1" applyBorder="1" applyAlignment="1">
      <alignment horizontal="left" vertical="center" wrapText="1"/>
    </xf>
    <xf numFmtId="0" fontId="205" fillId="0" borderId="116" xfId="0" applyFont="1" applyFill="1" applyBorder="1" applyAlignment="1">
      <alignment horizontal="left" vertical="center"/>
    </xf>
    <xf numFmtId="43" fontId="204" fillId="0" borderId="451" xfId="1" applyFont="1" applyFill="1" applyBorder="1" applyAlignment="1">
      <alignment horizontal="center" vertical="center"/>
    </xf>
    <xf numFmtId="43" fontId="204" fillId="0" borderId="437" xfId="1" applyFont="1" applyFill="1" applyBorder="1" applyAlignment="1">
      <alignment horizontal="center" vertical="center"/>
    </xf>
    <xf numFmtId="43" fontId="204" fillId="0" borderId="446" xfId="1" applyFont="1" applyFill="1" applyBorder="1" applyAlignment="1">
      <alignment horizontal="center" vertical="center"/>
    </xf>
    <xf numFmtId="43" fontId="154" fillId="0" borderId="451" xfId="1" applyFont="1" applyFill="1" applyBorder="1" applyAlignment="1">
      <alignment horizontal="center" vertical="center"/>
    </xf>
    <xf numFmtId="43" fontId="154" fillId="0" borderId="437" xfId="1" applyFont="1" applyFill="1" applyBorder="1" applyAlignment="1">
      <alignment horizontal="center" vertical="center"/>
    </xf>
    <xf numFmtId="43" fontId="154" fillId="0" borderId="446" xfId="1" applyFont="1" applyFill="1" applyBorder="1" applyAlignment="1">
      <alignment horizontal="center" vertical="center"/>
    </xf>
    <xf numFmtId="0" fontId="194" fillId="0" borderId="442" xfId="0" applyFont="1" applyBorder="1" applyAlignment="1">
      <alignment horizontal="center" wrapText="1"/>
    </xf>
    <xf numFmtId="0" fontId="194" fillId="0" borderId="443" xfId="0" applyFont="1" applyBorder="1" applyAlignment="1">
      <alignment horizontal="center" wrapText="1"/>
    </xf>
    <xf numFmtId="0" fontId="194" fillId="22" borderId="437" xfId="0" applyFont="1" applyFill="1" applyBorder="1" applyAlignment="1">
      <alignment horizontal="center" vertical="center"/>
    </xf>
    <xf numFmtId="0" fontId="194" fillId="22" borderId="438" xfId="0" applyFont="1" applyFill="1" applyBorder="1" applyAlignment="1">
      <alignment horizontal="center" vertical="center"/>
    </xf>
    <xf numFmtId="0" fontId="194" fillId="33" borderId="436" xfId="0" applyFont="1" applyFill="1" applyBorder="1" applyAlignment="1">
      <alignment horizontal="center" vertical="center"/>
    </xf>
    <xf numFmtId="0" fontId="194" fillId="33" borderId="437" xfId="0" applyFont="1" applyFill="1" applyBorder="1" applyAlignment="1">
      <alignment horizontal="center" vertical="center"/>
    </xf>
    <xf numFmtId="0" fontId="194" fillId="0" borderId="221" xfId="0" applyFont="1" applyBorder="1" applyAlignment="1">
      <alignment horizontal="left"/>
    </xf>
    <xf numFmtId="0" fontId="194" fillId="0" borderId="301" xfId="0" applyFont="1" applyBorder="1" applyAlignment="1">
      <alignment horizontal="left"/>
    </xf>
    <xf numFmtId="0" fontId="194" fillId="0" borderId="220" xfId="0" applyFont="1" applyBorder="1" applyAlignment="1">
      <alignment horizontal="left"/>
    </xf>
    <xf numFmtId="0" fontId="194" fillId="0" borderId="302" xfId="0" applyFont="1" applyBorder="1" applyAlignment="1">
      <alignment horizontal="left"/>
    </xf>
    <xf numFmtId="0" fontId="194" fillId="0" borderId="19" xfId="0" applyFont="1" applyBorder="1" applyAlignment="1">
      <alignment horizontal="left"/>
    </xf>
    <xf numFmtId="0" fontId="194" fillId="0" borderId="34" xfId="0" applyFont="1" applyBorder="1" applyAlignment="1">
      <alignment horizontal="left"/>
    </xf>
    <xf numFmtId="0" fontId="205" fillId="0" borderId="439" xfId="0" applyFont="1" applyBorder="1" applyAlignment="1">
      <alignment horizontal="center" wrapText="1"/>
    </xf>
    <xf numFmtId="0" fontId="205" fillId="0" borderId="440" xfId="0" applyFont="1" applyBorder="1" applyAlignment="1">
      <alignment horizontal="center" wrapText="1"/>
    </xf>
    <xf numFmtId="0" fontId="205" fillId="0" borderId="441" xfId="0" applyFont="1" applyBorder="1" applyAlignment="1">
      <alignment horizontal="center" wrapText="1"/>
    </xf>
    <xf numFmtId="0" fontId="6" fillId="103" borderId="96" xfId="0" applyFont="1" applyFill="1" applyBorder="1" applyAlignment="1">
      <alignment horizontal="center"/>
    </xf>
    <xf numFmtId="0" fontId="6" fillId="103" borderId="62" xfId="0" applyFont="1" applyFill="1" applyBorder="1" applyAlignment="1">
      <alignment horizontal="center"/>
    </xf>
    <xf numFmtId="0" fontId="6" fillId="103" borderId="97" xfId="0" applyFont="1" applyFill="1" applyBorder="1" applyAlignment="1">
      <alignment horizontal="center"/>
    </xf>
    <xf numFmtId="0" fontId="208" fillId="0" borderId="0" xfId="0" applyFont="1" applyAlignment="1">
      <alignment horizontal="left" vertical="center"/>
    </xf>
    <xf numFmtId="0" fontId="6" fillId="104" borderId="107" xfId="9185" applyFont="1" applyFill="1" applyBorder="1" applyAlignment="1">
      <alignment horizontal="center" vertical="center"/>
    </xf>
    <xf numFmtId="0" fontId="6" fillId="104" borderId="176" xfId="9185" applyFont="1" applyFill="1" applyBorder="1" applyAlignment="1">
      <alignment horizontal="center" vertical="center"/>
    </xf>
    <xf numFmtId="0" fontId="6" fillId="104" borderId="100" xfId="9185" applyFont="1" applyFill="1" applyBorder="1" applyAlignment="1">
      <alignment horizontal="center" vertical="center"/>
    </xf>
    <xf numFmtId="0" fontId="218" fillId="104" borderId="439" xfId="0" applyFont="1" applyFill="1" applyBorder="1" applyAlignment="1">
      <alignment horizontal="center" vertical="center"/>
    </xf>
    <xf numFmtId="0" fontId="218" fillId="104" borderId="440" xfId="0" applyFont="1" applyFill="1" applyBorder="1" applyAlignment="1">
      <alignment horizontal="center" vertical="center"/>
    </xf>
    <xf numFmtId="0" fontId="218" fillId="104" borderId="441" xfId="0" applyFont="1" applyFill="1" applyBorder="1" applyAlignment="1">
      <alignment horizontal="center" vertical="center"/>
    </xf>
    <xf numFmtId="0" fontId="7" fillId="0" borderId="0" xfId="0" applyFont="1" applyAlignment="1">
      <alignment horizontal="center"/>
    </xf>
    <xf numFmtId="0" fontId="112" fillId="31" borderId="483" xfId="0" applyFont="1" applyFill="1" applyBorder="1" applyAlignment="1">
      <alignment horizontal="center" vertical="center"/>
    </xf>
    <xf numFmtId="0" fontId="112" fillId="31" borderId="484" xfId="0" applyFont="1" applyFill="1" applyBorder="1" applyAlignment="1">
      <alignment horizontal="center" vertical="center"/>
    </xf>
    <xf numFmtId="0" fontId="112" fillId="31" borderId="485" xfId="0" applyFont="1" applyFill="1" applyBorder="1" applyAlignment="1">
      <alignment horizontal="center" vertical="center"/>
    </xf>
    <xf numFmtId="43" fontId="7" fillId="17" borderId="214" xfId="1" applyFont="1" applyFill="1" applyBorder="1" applyAlignment="1">
      <alignment horizontal="center" vertical="center"/>
    </xf>
    <xf numFmtId="43" fontId="7" fillId="0" borderId="214" xfId="1" applyNumberFormat="1" applyFont="1" applyBorder="1" applyAlignment="1">
      <alignment horizontal="center" vertical="center"/>
    </xf>
    <xf numFmtId="0" fontId="23" fillId="17" borderId="496" xfId="9112" applyFont="1" applyFill="1" applyBorder="1" applyAlignment="1">
      <alignment horizontal="left" vertical="center" wrapText="1"/>
    </xf>
    <xf numFmtId="0" fontId="23" fillId="17" borderId="507" xfId="9112" applyFont="1" applyFill="1" applyBorder="1" applyAlignment="1">
      <alignment horizontal="left" vertical="center" wrapText="1"/>
    </xf>
    <xf numFmtId="0" fontId="23" fillId="17" borderId="500" xfId="9112" applyFont="1" applyFill="1" applyBorder="1" applyAlignment="1">
      <alignment horizontal="left" vertical="center" wrapText="1"/>
    </xf>
    <xf numFmtId="0" fontId="23" fillId="17" borderId="503" xfId="9112" applyFont="1" applyFill="1" applyBorder="1" applyAlignment="1">
      <alignment horizontal="left" vertical="center" wrapText="1"/>
    </xf>
    <xf numFmtId="0" fontId="7" fillId="17" borderId="497" xfId="0" applyFont="1" applyFill="1" applyBorder="1" applyAlignment="1">
      <alignment horizontal="left" vertical="center" wrapText="1"/>
    </xf>
    <xf numFmtId="0" fontId="7" fillId="17" borderId="498" xfId="0" applyFont="1" applyFill="1" applyBorder="1" applyAlignment="1">
      <alignment horizontal="left" vertical="center" wrapText="1"/>
    </xf>
    <xf numFmtId="0" fontId="7" fillId="17" borderId="499" xfId="0" applyFont="1" applyFill="1" applyBorder="1" applyAlignment="1">
      <alignment horizontal="left" vertical="center" wrapText="1"/>
    </xf>
    <xf numFmtId="0" fontId="7" fillId="17" borderId="508" xfId="0" applyFont="1" applyFill="1" applyBorder="1" applyAlignment="1">
      <alignment horizontal="left" vertical="center" wrapText="1"/>
    </xf>
    <xf numFmtId="0" fontId="7" fillId="17" borderId="509" xfId="0" applyFont="1" applyFill="1" applyBorder="1" applyAlignment="1">
      <alignment horizontal="left" vertical="center" wrapText="1"/>
    </xf>
    <xf numFmtId="0" fontId="7" fillId="17" borderId="510" xfId="0" applyFont="1" applyFill="1" applyBorder="1" applyAlignment="1">
      <alignment horizontal="left" vertical="center" wrapText="1"/>
    </xf>
    <xf numFmtId="0" fontId="7" fillId="17" borderId="501" xfId="0" applyFont="1" applyFill="1" applyBorder="1" applyAlignment="1">
      <alignment horizontal="left" vertical="center" wrapText="1"/>
    </xf>
    <xf numFmtId="0" fontId="7" fillId="17" borderId="277" xfId="0" applyFont="1" applyFill="1" applyBorder="1" applyAlignment="1">
      <alignment horizontal="left" vertical="center" wrapText="1"/>
    </xf>
    <xf numFmtId="0" fontId="7" fillId="17" borderId="502" xfId="0" applyFont="1" applyFill="1" applyBorder="1" applyAlignment="1">
      <alignment horizontal="left" vertical="center" wrapText="1"/>
    </xf>
    <xf numFmtId="0" fontId="7" fillId="17" borderId="504" xfId="0" applyFont="1" applyFill="1" applyBorder="1" applyAlignment="1">
      <alignment horizontal="left" vertical="center" wrapText="1"/>
    </xf>
    <xf numFmtId="0" fontId="7" fillId="17" borderId="505" xfId="0" applyFont="1" applyFill="1" applyBorder="1" applyAlignment="1">
      <alignment horizontal="left" vertical="center" wrapText="1"/>
    </xf>
    <xf numFmtId="0" fontId="7" fillId="17" borderId="506" xfId="0" applyFont="1" applyFill="1" applyBorder="1" applyAlignment="1">
      <alignment horizontal="left" vertical="center" wrapText="1"/>
    </xf>
    <xf numFmtId="0" fontId="23" fillId="16" borderId="284" xfId="9112" applyFont="1" applyFill="1" applyBorder="1" applyAlignment="1">
      <alignment horizontal="left" vertical="center" wrapText="1"/>
    </xf>
    <xf numFmtId="0" fontId="23" fillId="16" borderId="487" xfId="9112" applyFont="1" applyFill="1" applyBorder="1" applyAlignment="1">
      <alignment horizontal="left" vertical="center" wrapText="1"/>
    </xf>
    <xf numFmtId="0" fontId="23" fillId="16" borderId="486" xfId="9112" applyFont="1" applyFill="1" applyBorder="1" applyAlignment="1">
      <alignment horizontal="left" vertical="center" wrapText="1"/>
    </xf>
    <xf numFmtId="0" fontId="7" fillId="17" borderId="489" xfId="0" applyFont="1" applyFill="1" applyBorder="1" applyAlignment="1">
      <alignment horizontal="left" vertical="center" wrapText="1"/>
    </xf>
    <xf numFmtId="0" fontId="7" fillId="17" borderId="495" xfId="0" applyFont="1" applyFill="1" applyBorder="1" applyAlignment="1">
      <alignment horizontal="left" vertical="center" wrapText="1"/>
    </xf>
    <xf numFmtId="0" fontId="7" fillId="17" borderId="492" xfId="0" applyFont="1" applyFill="1" applyBorder="1" applyAlignment="1">
      <alignment horizontal="left" vertical="center" wrapText="1"/>
    </xf>
    <xf numFmtId="0" fontId="7" fillId="17" borderId="490" xfId="0" applyFont="1" applyFill="1" applyBorder="1" applyAlignment="1">
      <alignment horizontal="left" vertical="center" wrapText="1"/>
    </xf>
    <xf numFmtId="0" fontId="7" fillId="17" borderId="0" xfId="0" applyFont="1" applyFill="1" applyBorder="1" applyAlignment="1">
      <alignment horizontal="left" vertical="center" wrapText="1"/>
    </xf>
    <xf numFmtId="0" fontId="7" fillId="17" borderId="219" xfId="0" applyFont="1" applyFill="1" applyBorder="1" applyAlignment="1">
      <alignment horizontal="left" vertical="center" wrapText="1"/>
    </xf>
    <xf numFmtId="0" fontId="7" fillId="17" borderId="491" xfId="0" applyFont="1" applyFill="1" applyBorder="1" applyAlignment="1">
      <alignment horizontal="left" vertical="center" wrapText="1"/>
    </xf>
    <xf numFmtId="0" fontId="7" fillId="17" borderId="493" xfId="0" applyFont="1" applyFill="1" applyBorder="1" applyAlignment="1">
      <alignment horizontal="left" vertical="center" wrapText="1"/>
    </xf>
    <xf numFmtId="0" fontId="7" fillId="17" borderId="494" xfId="0" applyFont="1" applyFill="1" applyBorder="1" applyAlignment="1">
      <alignment horizontal="left" vertical="center" wrapText="1"/>
    </xf>
    <xf numFmtId="0" fontId="7" fillId="16" borderId="483" xfId="0" quotePrefix="1" applyFont="1" applyFill="1" applyBorder="1" applyAlignment="1">
      <alignment horizontal="left" vertical="center" wrapText="1"/>
    </xf>
    <xf numFmtId="0" fontId="7" fillId="16" borderId="484" xfId="0" quotePrefix="1" applyFont="1" applyFill="1" applyBorder="1" applyAlignment="1">
      <alignment horizontal="left" vertical="center" wrapText="1"/>
    </xf>
    <xf numFmtId="0" fontId="7" fillId="16" borderId="485" xfId="0" quotePrefix="1" applyFont="1" applyFill="1" applyBorder="1" applyAlignment="1">
      <alignment horizontal="left" vertical="center" wrapText="1"/>
    </xf>
    <xf numFmtId="0" fontId="23" fillId="17" borderId="487" xfId="9112" applyFont="1" applyFill="1" applyBorder="1" applyAlignment="1">
      <alignment horizontal="left" vertical="center" wrapText="1"/>
    </xf>
    <xf numFmtId="0" fontId="23" fillId="17" borderId="486" xfId="9112" applyFont="1" applyFill="1" applyBorder="1" applyAlignment="1">
      <alignment horizontal="left" vertical="center" wrapText="1"/>
    </xf>
    <xf numFmtId="0" fontId="217" fillId="103" borderId="0" xfId="0" applyFont="1" applyFill="1" applyAlignment="1">
      <alignment horizontal="left" vertical="center" wrapText="1"/>
    </xf>
    <xf numFmtId="0" fontId="217" fillId="103" borderId="0" xfId="0" applyFont="1" applyFill="1" applyAlignment="1">
      <alignment horizontal="left" vertical="center"/>
    </xf>
    <xf numFmtId="0" fontId="81" fillId="0" borderId="239" xfId="0" applyFont="1" applyFill="1" applyBorder="1" applyAlignment="1">
      <alignment horizontal="center" vertical="center"/>
    </xf>
    <xf numFmtId="0" fontId="81" fillId="0" borderId="240" xfId="0" applyFont="1" applyFill="1" applyBorder="1" applyAlignment="1">
      <alignment horizontal="center" vertical="center"/>
    </xf>
    <xf numFmtId="0" fontId="81" fillId="0" borderId="241" xfId="0" applyFont="1" applyFill="1" applyBorder="1" applyAlignment="1">
      <alignment horizontal="center" vertical="center"/>
    </xf>
    <xf numFmtId="0" fontId="216" fillId="104" borderId="239" xfId="0" applyFont="1" applyFill="1" applyBorder="1" applyAlignment="1">
      <alignment horizontal="center" vertical="center"/>
    </xf>
    <xf numFmtId="0" fontId="216" fillId="104" borderId="240" xfId="0" applyFont="1" applyFill="1" applyBorder="1" applyAlignment="1">
      <alignment horizontal="center" vertical="center"/>
    </xf>
    <xf numFmtId="0" fontId="216" fillId="104" borderId="519" xfId="0" applyFont="1" applyFill="1" applyBorder="1" applyAlignment="1">
      <alignment horizontal="center" vertical="center"/>
    </xf>
    <xf numFmtId="0" fontId="216" fillId="114" borderId="239" xfId="0" applyFont="1" applyFill="1" applyBorder="1" applyAlignment="1">
      <alignment horizontal="center" vertical="center"/>
    </xf>
    <xf numFmtId="0" fontId="216" fillId="114" borderId="240" xfId="0" applyFont="1" applyFill="1" applyBorder="1" applyAlignment="1">
      <alignment horizontal="center" vertical="center"/>
    </xf>
    <xf numFmtId="0" fontId="216" fillId="114" borderId="241" xfId="0" applyFont="1" applyFill="1" applyBorder="1" applyAlignment="1">
      <alignment horizontal="center" vertical="center"/>
    </xf>
    <xf numFmtId="10" fontId="7" fillId="16" borderId="89" xfId="0" applyNumberFormat="1" applyFont="1" applyFill="1" applyBorder="1" applyAlignment="1">
      <alignment horizontal="center" vertical="center" wrapText="1"/>
    </xf>
    <xf numFmtId="14" fontId="216" fillId="103" borderId="0" xfId="0" applyNumberFormat="1" applyFont="1" applyFill="1" applyAlignment="1">
      <alignment horizontal="center" vertical="center"/>
    </xf>
    <xf numFmtId="0" fontId="7" fillId="16" borderId="0" xfId="0" applyFont="1" applyFill="1" applyAlignment="1">
      <alignment horizontal="left" vertical="top" wrapText="1"/>
    </xf>
    <xf numFmtId="0" fontId="112" fillId="104" borderId="0" xfId="0" applyFont="1" applyFill="1" applyAlignment="1">
      <alignment horizontal="center" vertical="center"/>
    </xf>
    <xf numFmtId="0" fontId="7" fillId="16" borderId="0" xfId="0" applyFont="1" applyFill="1" applyAlignment="1">
      <alignment horizontal="left" vertical="center" wrapText="1"/>
    </xf>
    <xf numFmtId="0" fontId="80" fillId="16" borderId="89" xfId="0" applyFont="1" applyFill="1" applyBorder="1" applyAlignment="1">
      <alignment horizontal="center" vertical="center" wrapText="1"/>
    </xf>
    <xf numFmtId="0" fontId="7" fillId="16" borderId="89" xfId="0" applyFont="1" applyFill="1" applyBorder="1" applyAlignment="1">
      <alignment horizontal="left" vertical="center" wrapText="1"/>
    </xf>
    <xf numFmtId="0" fontId="117" fillId="111" borderId="0" xfId="0" applyFont="1" applyFill="1" applyAlignment="1">
      <alignment horizontal="left" vertical="center" wrapText="1"/>
    </xf>
    <xf numFmtId="0" fontId="188" fillId="16" borderId="0" xfId="0" applyFont="1" applyFill="1" applyAlignment="1">
      <alignment horizontal="left" vertical="center" wrapText="1" indent="1"/>
    </xf>
    <xf numFmtId="0" fontId="117" fillId="81" borderId="0" xfId="0" applyFont="1" applyFill="1" applyAlignment="1">
      <alignment horizontal="left" vertical="center" wrapText="1"/>
    </xf>
    <xf numFmtId="0" fontId="6" fillId="87" borderId="96" xfId="0" applyFont="1" applyFill="1" applyBorder="1" applyAlignment="1">
      <alignment horizontal="center"/>
    </xf>
    <xf numFmtId="0" fontId="6" fillId="87" borderId="62" xfId="0" applyFont="1" applyFill="1" applyBorder="1" applyAlignment="1">
      <alignment horizontal="center"/>
    </xf>
    <xf numFmtId="0" fontId="6" fillId="87" borderId="97" xfId="0" applyFont="1" applyFill="1" applyBorder="1" applyAlignment="1">
      <alignment horizontal="center"/>
    </xf>
    <xf numFmtId="0" fontId="83" fillId="19" borderId="90" xfId="0" applyFont="1" applyFill="1" applyBorder="1" applyAlignment="1">
      <alignment horizontal="center" vertical="center"/>
    </xf>
    <xf numFmtId="0" fontId="83" fillId="19" borderId="19" xfId="0" applyFont="1" applyFill="1" applyBorder="1" applyAlignment="1">
      <alignment horizontal="center" vertical="center"/>
    </xf>
    <xf numFmtId="0" fontId="83" fillId="19" borderId="20" xfId="0" applyFont="1" applyFill="1" applyBorder="1" applyAlignment="1">
      <alignment horizontal="center" vertical="center"/>
    </xf>
    <xf numFmtId="0" fontId="79" fillId="33" borderId="31" xfId="0" applyFont="1" applyFill="1" applyBorder="1" applyAlignment="1">
      <alignment horizontal="center" vertical="center"/>
    </xf>
    <xf numFmtId="0" fontId="79" fillId="33" borderId="0" xfId="0" applyFont="1" applyFill="1" applyBorder="1" applyAlignment="1">
      <alignment horizontal="center" vertical="center"/>
    </xf>
    <xf numFmtId="0" fontId="83" fillId="0" borderId="296" xfId="0" applyFont="1" applyBorder="1" applyAlignment="1">
      <alignment horizontal="center" wrapText="1"/>
    </xf>
    <xf numFmtId="0" fontId="83" fillId="0" borderId="297" xfId="0" applyFont="1" applyBorder="1" applyAlignment="1">
      <alignment horizontal="center" wrapText="1"/>
    </xf>
    <xf numFmtId="0" fontId="83" fillId="21" borderId="0" xfId="0" applyFont="1" applyFill="1" applyBorder="1" applyAlignment="1">
      <alignment horizontal="center" vertical="center"/>
    </xf>
    <xf numFmtId="0" fontId="83" fillId="21" borderId="90" xfId="0" applyFont="1" applyFill="1" applyBorder="1" applyAlignment="1">
      <alignment horizontal="center" vertical="center"/>
    </xf>
    <xf numFmtId="0" fontId="83" fillId="21" borderId="19" xfId="0" applyFont="1" applyFill="1" applyBorder="1" applyAlignment="1">
      <alignment horizontal="center" vertical="center"/>
    </xf>
    <xf numFmtId="0" fontId="83" fillId="21" borderId="20" xfId="0" applyFont="1" applyFill="1" applyBorder="1" applyAlignment="1">
      <alignment horizontal="center" vertical="center"/>
    </xf>
    <xf numFmtId="0" fontId="83" fillId="0" borderId="300" xfId="0" applyFont="1" applyBorder="1" applyAlignment="1">
      <alignment horizontal="center" wrapText="1"/>
    </xf>
    <xf numFmtId="0" fontId="79" fillId="22" borderId="0" xfId="0" applyFont="1" applyFill="1" applyBorder="1" applyAlignment="1">
      <alignment horizontal="center" vertical="center"/>
    </xf>
    <xf numFmtId="0" fontId="79" fillId="22" borderId="32" xfId="0" applyFont="1" applyFill="1" applyBorder="1" applyAlignment="1">
      <alignment horizontal="center" vertical="center"/>
    </xf>
    <xf numFmtId="0" fontId="83" fillId="0" borderId="298" xfId="0" applyFont="1" applyBorder="1" applyAlignment="1">
      <alignment horizontal="center" wrapText="1"/>
    </xf>
    <xf numFmtId="0" fontId="83" fillId="0" borderId="299" xfId="0" applyFont="1" applyBorder="1" applyAlignment="1">
      <alignment horizontal="center" wrapText="1"/>
    </xf>
    <xf numFmtId="0" fontId="164" fillId="0" borderId="0" xfId="0" applyFont="1" applyAlignment="1">
      <alignment horizontal="left" vertical="center"/>
    </xf>
    <xf numFmtId="0" fontId="0" fillId="0" borderId="0" xfId="0" applyAlignment="1">
      <alignment horizontal="center"/>
    </xf>
    <xf numFmtId="43" fontId="87" fillId="0" borderId="292" xfId="1" applyFont="1" applyFill="1" applyBorder="1" applyAlignment="1">
      <alignment horizontal="center" vertical="center"/>
    </xf>
    <xf numFmtId="43" fontId="87" fillId="0" borderId="219" xfId="1" applyFont="1" applyFill="1" applyBorder="1" applyAlignment="1">
      <alignment horizontal="center" vertical="center"/>
    </xf>
    <xf numFmtId="43" fontId="87" fillId="0" borderId="290" xfId="1" applyFont="1" applyFill="1" applyBorder="1" applyAlignment="1">
      <alignment horizontal="center" vertical="center"/>
    </xf>
    <xf numFmtId="43" fontId="119" fillId="0" borderId="123" xfId="1" applyFont="1" applyFill="1" applyBorder="1" applyAlignment="1">
      <alignment horizontal="center" vertical="center"/>
    </xf>
    <xf numFmtId="43" fontId="119" fillId="0" borderId="0" xfId="1" applyFont="1" applyFill="1" applyBorder="1" applyAlignment="1">
      <alignment horizontal="center" vertical="center"/>
    </xf>
    <xf numFmtId="43" fontId="119" fillId="0" borderId="119" xfId="1" applyFont="1" applyFill="1" applyBorder="1" applyAlignment="1">
      <alignment horizontal="center" vertical="center"/>
    </xf>
    <xf numFmtId="0" fontId="79" fillId="0" borderId="33" xfId="0" applyFont="1" applyBorder="1" applyAlignment="1">
      <alignment horizontal="center" wrapText="1"/>
    </xf>
    <xf numFmtId="0" fontId="79" fillId="0" borderId="34" xfId="0" applyFont="1" applyBorder="1" applyAlignment="1">
      <alignment horizontal="center" wrapText="1"/>
    </xf>
    <xf numFmtId="0" fontId="26" fillId="0" borderId="0" xfId="0" applyFont="1" applyAlignment="1">
      <alignment horizontal="left" vertical="top" wrapText="1"/>
    </xf>
    <xf numFmtId="0" fontId="8" fillId="0" borderId="140" xfId="0" applyFont="1" applyBorder="1" applyAlignment="1">
      <alignment horizontal="center" vertical="center" textRotation="90"/>
    </xf>
    <xf numFmtId="0" fontId="8" fillId="0" borderId="110" xfId="0" applyFont="1" applyBorder="1" applyAlignment="1">
      <alignment horizontal="center" vertical="center" textRotation="90"/>
    </xf>
    <xf numFmtId="0" fontId="8" fillId="0" borderId="142" xfId="0" applyFont="1" applyBorder="1" applyAlignment="1">
      <alignment horizontal="center" vertical="center" textRotation="90"/>
    </xf>
    <xf numFmtId="0" fontId="8" fillId="0" borderId="141" xfId="0" applyFont="1" applyBorder="1" applyAlignment="1">
      <alignment horizontal="center" vertical="center" textRotation="90"/>
    </xf>
    <xf numFmtId="0" fontId="8" fillId="0" borderId="143" xfId="0" applyFont="1" applyBorder="1" applyAlignment="1">
      <alignment horizontal="center" vertical="center" textRotation="90"/>
    </xf>
    <xf numFmtId="0" fontId="83" fillId="0" borderId="116" xfId="0" applyFont="1" applyFill="1" applyBorder="1" applyAlignment="1">
      <alignment horizontal="left" vertical="center" wrapText="1"/>
    </xf>
    <xf numFmtId="0" fontId="83" fillId="0" borderId="116" xfId="0" applyFont="1" applyFill="1" applyBorder="1" applyAlignment="1">
      <alignment horizontal="left" vertical="center"/>
    </xf>
    <xf numFmtId="0" fontId="79" fillId="0" borderId="19" xfId="0" applyFont="1" applyBorder="1" applyAlignment="1">
      <alignment horizontal="left"/>
    </xf>
    <xf numFmtId="0" fontId="79" fillId="0" borderId="34" xfId="0" applyFont="1" applyBorder="1" applyAlignment="1">
      <alignment horizontal="left"/>
    </xf>
    <xf numFmtId="0" fontId="79" fillId="0" borderId="220" xfId="0" applyFont="1" applyBorder="1" applyAlignment="1">
      <alignment horizontal="left"/>
    </xf>
    <xf numFmtId="0" fontId="79" fillId="0" borderId="302" xfId="0" applyFont="1" applyBorder="1" applyAlignment="1">
      <alignment horizontal="left"/>
    </xf>
    <xf numFmtId="0" fontId="79" fillId="0" borderId="221" xfId="0" applyFont="1" applyBorder="1" applyAlignment="1">
      <alignment horizontal="left"/>
    </xf>
    <xf numFmtId="0" fontId="79" fillId="0" borderId="301" xfId="0" applyFont="1" applyBorder="1" applyAlignment="1">
      <alignment horizontal="left"/>
    </xf>
    <xf numFmtId="43" fontId="111" fillId="0" borderId="122" xfId="1" applyFont="1" applyFill="1" applyBorder="1" applyAlignment="1">
      <alignment horizontal="center" vertical="center"/>
    </xf>
    <xf numFmtId="43" fontId="111" fillId="0" borderId="218" xfId="1" applyFont="1" applyFill="1" applyBorder="1" applyAlignment="1">
      <alignment horizontal="center" vertical="center"/>
    </xf>
    <xf numFmtId="43" fontId="111" fillId="0" borderId="118" xfId="1" applyFont="1" applyFill="1" applyBorder="1" applyAlignment="1">
      <alignment horizontal="center" vertical="center"/>
    </xf>
    <xf numFmtId="0" fontId="123" fillId="17" borderId="0" xfId="0" applyFont="1" applyFill="1" applyAlignment="1">
      <alignment horizontal="left" vertical="center" wrapText="1"/>
    </xf>
    <xf numFmtId="0" fontId="123" fillId="16" borderId="250" xfId="0" applyFont="1" applyFill="1" applyBorder="1" applyAlignment="1">
      <alignment horizontal="left" vertical="top" wrapText="1"/>
    </xf>
    <xf numFmtId="0" fontId="123" fillId="16" borderId="251" xfId="0" applyFont="1" applyFill="1" applyBorder="1" applyAlignment="1">
      <alignment horizontal="left" vertical="top" wrapText="1"/>
    </xf>
    <xf numFmtId="0" fontId="123" fillId="16" borderId="252" xfId="0" applyFont="1" applyFill="1" applyBorder="1" applyAlignment="1">
      <alignment horizontal="left" vertical="top" wrapText="1"/>
    </xf>
    <xf numFmtId="0" fontId="126" fillId="17" borderId="0" xfId="0" applyFont="1" applyFill="1" applyAlignment="1">
      <alignment horizontal="left" vertical="center" wrapText="1"/>
    </xf>
    <xf numFmtId="0" fontId="123" fillId="17" borderId="0" xfId="0" quotePrefix="1" applyFont="1" applyFill="1" applyAlignment="1">
      <alignment horizontal="left" vertical="center" wrapText="1"/>
    </xf>
    <xf numFmtId="0" fontId="16" fillId="87" borderId="96" xfId="0" applyFont="1" applyFill="1" applyBorder="1" applyAlignment="1">
      <alignment horizontal="center" vertical="center" wrapText="1"/>
    </xf>
    <xf numFmtId="0" fontId="16" fillId="87" borderId="97" xfId="0" applyFont="1" applyFill="1" applyBorder="1" applyAlignment="1">
      <alignment horizontal="center" vertical="center" wrapText="1"/>
    </xf>
    <xf numFmtId="0" fontId="16" fillId="87" borderId="33" xfId="0" applyFont="1" applyFill="1" applyBorder="1" applyAlignment="1">
      <alignment horizontal="center" vertical="center" wrapText="1"/>
    </xf>
    <xf numFmtId="0" fontId="16" fillId="87" borderId="34" xfId="0" applyFont="1" applyFill="1" applyBorder="1" applyAlignment="1">
      <alignment horizontal="center" vertical="center" wrapText="1"/>
    </xf>
    <xf numFmtId="0" fontId="124" fillId="104" borderId="239" xfId="0" applyFont="1" applyFill="1" applyBorder="1" applyAlignment="1">
      <alignment horizontal="center" vertical="center"/>
    </xf>
    <xf numFmtId="0" fontId="124" fillId="104" borderId="240" xfId="0" applyFont="1" applyFill="1" applyBorder="1" applyAlignment="1">
      <alignment horizontal="center" vertical="center"/>
    </xf>
    <xf numFmtId="0" fontId="124" fillId="104" borderId="241" xfId="0" applyFont="1" applyFill="1" applyBorder="1" applyAlignment="1">
      <alignment horizontal="center" vertical="center"/>
    </xf>
    <xf numFmtId="0" fontId="128" fillId="103" borderId="0" xfId="0" applyFont="1" applyFill="1" applyAlignment="1">
      <alignment horizontal="left" vertical="center" wrapText="1"/>
    </xf>
    <xf numFmtId="0" fontId="128" fillId="103" borderId="0" xfId="0" applyFont="1" applyFill="1" applyAlignment="1">
      <alignment horizontal="left" vertical="center"/>
    </xf>
    <xf numFmtId="2" fontId="7" fillId="36" borderId="215" xfId="2" applyNumberFormat="1" applyFont="1" applyFill="1" applyBorder="1" applyAlignment="1">
      <alignment horizontal="left"/>
    </xf>
    <xf numFmtId="2" fontId="7" fillId="36" borderId="217" xfId="2" applyNumberFormat="1" applyFont="1" applyFill="1" applyBorder="1" applyAlignment="1">
      <alignment horizontal="left"/>
    </xf>
    <xf numFmtId="0" fontId="154" fillId="17" borderId="96" xfId="0" applyFont="1" applyFill="1" applyBorder="1" applyAlignment="1">
      <alignment horizontal="left" vertical="center" wrapText="1"/>
    </xf>
    <xf numFmtId="0" fontId="154" fillId="17" borderId="62" xfId="0" applyFont="1" applyFill="1" applyBorder="1" applyAlignment="1">
      <alignment horizontal="left" vertical="center" wrapText="1"/>
    </xf>
    <xf numFmtId="0" fontId="154" fillId="17" borderId="97" xfId="0" applyFont="1" applyFill="1" applyBorder="1" applyAlignment="1">
      <alignment horizontal="left" vertical="center" wrapText="1"/>
    </xf>
    <xf numFmtId="0" fontId="7" fillId="17" borderId="96" xfId="0" applyFont="1" applyFill="1" applyBorder="1" applyAlignment="1">
      <alignment horizontal="left" vertical="center" wrapText="1"/>
    </xf>
    <xf numFmtId="0" fontId="7" fillId="17" borderId="62" xfId="0" applyFont="1" applyFill="1" applyBorder="1" applyAlignment="1">
      <alignment horizontal="left" vertical="center" wrapText="1"/>
    </xf>
    <xf numFmtId="0" fontId="7" fillId="17" borderId="97" xfId="0" applyFont="1" applyFill="1" applyBorder="1" applyAlignment="1">
      <alignment horizontal="left" vertical="center" wrapText="1"/>
    </xf>
    <xf numFmtId="0" fontId="134" fillId="21" borderId="91" xfId="11" applyFont="1" applyFill="1" applyBorder="1" applyAlignment="1">
      <alignment horizontal="left" wrapText="1"/>
    </xf>
    <xf numFmtId="0" fontId="133" fillId="38" borderId="91" xfId="10" applyFont="1" applyFill="1" applyBorder="1" applyAlignment="1">
      <alignment horizontal="center" wrapText="1"/>
    </xf>
    <xf numFmtId="0" fontId="7" fillId="16" borderId="96" xfId="0" applyFont="1" applyFill="1" applyBorder="1" applyAlignment="1">
      <alignment horizontal="left" vertical="center" wrapText="1"/>
    </xf>
    <xf numFmtId="0" fontId="7" fillId="16" borderId="62" xfId="0" applyFont="1" applyFill="1" applyBorder="1" applyAlignment="1">
      <alignment horizontal="left" vertical="center" wrapText="1"/>
    </xf>
    <xf numFmtId="0" fontId="7" fillId="16" borderId="97" xfId="0" applyFont="1" applyFill="1" applyBorder="1" applyAlignment="1">
      <alignment horizontal="left" vertical="center" wrapText="1"/>
    </xf>
    <xf numFmtId="2" fontId="7" fillId="36" borderId="216" xfId="2" applyNumberFormat="1" applyFont="1" applyFill="1" applyBorder="1" applyAlignment="1">
      <alignment horizontal="left"/>
    </xf>
    <xf numFmtId="0" fontId="112" fillId="104" borderId="96" xfId="0" applyFont="1" applyFill="1" applyBorder="1" applyAlignment="1">
      <alignment horizontal="center"/>
    </xf>
    <xf numFmtId="0" fontId="112" fillId="104" borderId="317" xfId="0" applyFont="1" applyFill="1" applyBorder="1" applyAlignment="1">
      <alignment horizontal="center"/>
    </xf>
    <xf numFmtId="0" fontId="112" fillId="104" borderId="97" xfId="0" applyFont="1" applyFill="1" applyBorder="1" applyAlignment="1">
      <alignment horizontal="center"/>
    </xf>
    <xf numFmtId="0" fontId="7" fillId="28" borderId="0" xfId="0" applyFont="1" applyFill="1" applyAlignment="1">
      <alignment horizontal="left" vertical="center" wrapText="1"/>
    </xf>
    <xf numFmtId="0" fontId="149" fillId="26" borderId="18" xfId="0" applyFont="1" applyFill="1" applyBorder="1" applyAlignment="1">
      <alignment horizontal="center"/>
    </xf>
    <xf numFmtId="0" fontId="149" fillId="26" borderId="19" xfId="0" applyFont="1" applyFill="1" applyBorder="1" applyAlignment="1">
      <alignment horizontal="center"/>
    </xf>
    <xf numFmtId="0" fontId="149" fillId="26" borderId="20" xfId="0" applyFont="1" applyFill="1" applyBorder="1" applyAlignment="1">
      <alignment horizontal="center"/>
    </xf>
    <xf numFmtId="0" fontId="112" fillId="103" borderId="96" xfId="0" applyFont="1" applyFill="1" applyBorder="1" applyAlignment="1">
      <alignment horizontal="center"/>
    </xf>
    <xf numFmtId="0" fontId="112" fillId="103" borderId="317" xfId="0" applyFont="1" applyFill="1" applyBorder="1" applyAlignment="1">
      <alignment horizontal="center"/>
    </xf>
    <xf numFmtId="0" fontId="112" fillId="34" borderId="96" xfId="0" applyFont="1" applyFill="1" applyBorder="1" applyAlignment="1">
      <alignment horizontal="center"/>
    </xf>
    <xf numFmtId="0" fontId="112" fillId="34" borderId="317" xfId="0" applyFont="1" applyFill="1" applyBorder="1" applyAlignment="1">
      <alignment horizontal="center"/>
    </xf>
    <xf numFmtId="0" fontId="112" fillId="34" borderId="97" xfId="0" applyFont="1" applyFill="1" applyBorder="1" applyAlignment="1">
      <alignment horizontal="center"/>
    </xf>
    <xf numFmtId="0" fontId="112" fillId="114" borderId="96" xfId="0" applyFont="1" applyFill="1" applyBorder="1" applyAlignment="1">
      <alignment horizontal="center"/>
    </xf>
    <xf numFmtId="0" fontId="112" fillId="114" borderId="97" xfId="0" applyFont="1" applyFill="1" applyBorder="1" applyAlignment="1">
      <alignment horizontal="center"/>
    </xf>
    <xf numFmtId="164" fontId="7" fillId="0" borderId="5" xfId="137" applyNumberFormat="1" applyFont="1" applyBorder="1" applyAlignment="1">
      <alignment horizontal="center" vertical="center" wrapText="1"/>
    </xf>
    <xf numFmtId="164" fontId="7" fillId="0" borderId="6" xfId="137" applyNumberFormat="1" applyFont="1" applyBorder="1" applyAlignment="1">
      <alignment horizontal="center" vertical="center" wrapText="1"/>
    </xf>
    <xf numFmtId="164" fontId="7" fillId="0" borderId="159" xfId="137" applyNumberFormat="1" applyFont="1" applyBorder="1" applyAlignment="1">
      <alignment horizontal="center" vertical="center" wrapText="1"/>
    </xf>
    <xf numFmtId="164" fontId="7" fillId="0" borderId="160" xfId="137" applyNumberFormat="1" applyFont="1" applyBorder="1" applyAlignment="1">
      <alignment horizontal="center" vertical="center" wrapText="1"/>
    </xf>
    <xf numFmtId="0" fontId="80" fillId="16" borderId="5" xfId="0" applyFont="1" applyFill="1" applyBorder="1" applyAlignment="1">
      <alignment horizontal="center" wrapText="1"/>
    </xf>
    <xf numFmtId="0" fontId="80" fillId="16" borderId="158" xfId="0" applyFont="1" applyFill="1" applyBorder="1" applyAlignment="1">
      <alignment horizontal="center" wrapText="1"/>
    </xf>
    <xf numFmtId="0" fontId="80" fillId="16" borderId="6" xfId="0" applyFont="1" applyFill="1" applyBorder="1" applyAlignment="1">
      <alignment horizontal="center" wrapText="1"/>
    </xf>
    <xf numFmtId="0" fontId="80" fillId="104" borderId="91" xfId="0" applyFont="1" applyFill="1" applyBorder="1" applyAlignment="1">
      <alignment horizontal="center" wrapText="1"/>
    </xf>
    <xf numFmtId="0" fontId="80" fillId="16" borderId="0" xfId="0" applyFont="1" applyFill="1" applyAlignment="1">
      <alignment horizontal="left" vertical="center" wrapText="1"/>
    </xf>
    <xf numFmtId="0" fontId="7" fillId="25" borderId="91" xfId="0" applyFont="1" applyFill="1" applyBorder="1" applyAlignment="1">
      <alignment horizontal="center" vertical="center"/>
    </xf>
    <xf numFmtId="164" fontId="7" fillId="25" borderId="91" xfId="0" applyNumberFormat="1" applyFont="1" applyFill="1" applyBorder="1" applyAlignment="1">
      <alignment horizontal="center" vertical="center" wrapText="1"/>
    </xf>
    <xf numFmtId="0" fontId="7" fillId="25" borderId="91" xfId="0" applyFont="1" applyFill="1" applyBorder="1" applyAlignment="1">
      <alignment horizontal="center" vertical="center" wrapText="1"/>
    </xf>
    <xf numFmtId="0" fontId="0" fillId="16" borderId="4" xfId="0" applyFill="1" applyBorder="1" applyAlignment="1">
      <alignment horizontal="center"/>
    </xf>
    <xf numFmtId="0" fontId="0" fillId="16" borderId="174" xfId="0" applyFill="1" applyBorder="1" applyAlignment="1">
      <alignment horizontal="center"/>
    </xf>
    <xf numFmtId="0" fontId="0" fillId="16" borderId="173" xfId="0" applyFill="1" applyBorder="1" applyAlignment="1">
      <alignment horizontal="center"/>
    </xf>
    <xf numFmtId="0" fontId="0" fillId="16" borderId="0" xfId="0" applyFill="1" applyAlignment="1">
      <alignment horizontal="center"/>
    </xf>
    <xf numFmtId="0" fontId="25" fillId="0" borderId="96" xfId="0" applyFont="1" applyFill="1" applyBorder="1" applyAlignment="1">
      <alignment horizontal="center" wrapText="1"/>
    </xf>
    <xf numFmtId="0" fontId="25" fillId="0" borderId="317" xfId="0" applyFont="1" applyFill="1" applyBorder="1" applyAlignment="1">
      <alignment horizontal="center" wrapText="1"/>
    </xf>
    <xf numFmtId="0" fontId="25" fillId="0" borderId="97" xfId="0" applyFont="1" applyFill="1" applyBorder="1" applyAlignment="1">
      <alignment horizontal="center" wrapText="1"/>
    </xf>
    <xf numFmtId="0" fontId="0" fillId="0" borderId="96" xfId="0" applyBorder="1" applyAlignment="1">
      <alignment horizontal="center"/>
    </xf>
    <xf numFmtId="0" fontId="0" fillId="0" borderId="317" xfId="0" applyBorder="1" applyAlignment="1">
      <alignment horizontal="center"/>
    </xf>
    <xf numFmtId="0" fontId="0" fillId="0" borderId="97" xfId="0" applyBorder="1" applyAlignment="1">
      <alignment horizontal="center"/>
    </xf>
    <xf numFmtId="0" fontId="23" fillId="17" borderId="316" xfId="9112" applyFill="1" applyBorder="1" applyAlignment="1">
      <alignment horizontal="left" vertical="center"/>
    </xf>
    <xf numFmtId="0" fontId="23" fillId="17" borderId="71" xfId="9112" applyFill="1" applyBorder="1" applyAlignment="1">
      <alignment horizontal="left" vertical="center"/>
    </xf>
    <xf numFmtId="0" fontId="23" fillId="25" borderId="316" xfId="9112" applyFill="1" applyBorder="1" applyAlignment="1">
      <alignment horizontal="left" vertical="center"/>
    </xf>
    <xf numFmtId="0" fontId="23" fillId="25" borderId="71" xfId="9112" applyFill="1" applyBorder="1" applyAlignment="1">
      <alignment horizontal="left" vertical="center"/>
    </xf>
    <xf numFmtId="0" fontId="23" fillId="23" borderId="316" xfId="9112" applyFill="1" applyBorder="1" applyAlignment="1">
      <alignment horizontal="left" vertical="center"/>
    </xf>
    <xf numFmtId="0" fontId="23" fillId="23" borderId="108" xfId="9112" applyFill="1" applyBorder="1" applyAlignment="1">
      <alignment horizontal="left" vertical="center"/>
    </xf>
    <xf numFmtId="0" fontId="23" fillId="23" borderId="71" xfId="9112" applyFill="1" applyBorder="1" applyAlignment="1">
      <alignment horizontal="left" vertical="center"/>
    </xf>
    <xf numFmtId="0" fontId="136" fillId="16" borderId="0" xfId="0" applyFont="1" applyFill="1" applyAlignment="1">
      <alignment horizontal="left" vertical="center" wrapText="1"/>
    </xf>
    <xf numFmtId="0" fontId="133" fillId="39" borderId="96" xfId="12" applyFont="1" applyFill="1" applyBorder="1" applyAlignment="1">
      <alignment horizontal="center" wrapText="1" readingOrder="1"/>
    </xf>
    <xf numFmtId="0" fontId="133" fillId="39" borderId="97" xfId="12" applyFont="1" applyFill="1" applyBorder="1" applyAlignment="1">
      <alignment horizontal="center" wrapText="1" readingOrder="1"/>
    </xf>
    <xf numFmtId="0" fontId="5" fillId="20" borderId="91" xfId="0" applyFont="1" applyFill="1" applyBorder="1" applyAlignment="1">
      <alignment horizontal="center" vertical="center"/>
    </xf>
    <xf numFmtId="0" fontId="0" fillId="21" borderId="107" xfId="0" applyFill="1" applyBorder="1" applyAlignment="1">
      <alignment horizontal="left" vertical="center" wrapText="1"/>
    </xf>
    <xf numFmtId="0" fontId="0" fillId="21" borderId="176" xfId="0" applyFill="1" applyBorder="1" applyAlignment="1">
      <alignment horizontal="left" vertical="center" wrapText="1"/>
    </xf>
    <xf numFmtId="0" fontId="0" fillId="21" borderId="100" xfId="0" applyFill="1" applyBorder="1" applyAlignment="1">
      <alignment horizontal="left" vertical="center" wrapText="1"/>
    </xf>
    <xf numFmtId="0" fontId="0" fillId="21" borderId="33" xfId="0" applyFill="1" applyBorder="1" applyAlignment="1">
      <alignment horizontal="left" vertical="center" wrapText="1"/>
    </xf>
    <xf numFmtId="0" fontId="0" fillId="21" borderId="34" xfId="0" applyFill="1" applyBorder="1" applyAlignment="1">
      <alignment horizontal="left" vertical="center" wrapText="1"/>
    </xf>
    <xf numFmtId="0" fontId="0" fillId="21" borderId="35" xfId="0" applyFill="1" applyBorder="1" applyAlignment="1">
      <alignment horizontal="left" vertical="center" wrapText="1"/>
    </xf>
    <xf numFmtId="0" fontId="150" fillId="103" borderId="91" xfId="0" applyFont="1" applyFill="1" applyBorder="1" applyAlignment="1">
      <alignment horizontal="center" vertical="center"/>
    </xf>
    <xf numFmtId="0" fontId="5" fillId="104" borderId="91" xfId="0" applyFont="1" applyFill="1" applyBorder="1" applyAlignment="1">
      <alignment horizontal="center" wrapText="1"/>
    </xf>
    <xf numFmtId="0" fontId="5" fillId="104" borderId="91" xfId="0" applyFont="1" applyFill="1" applyBorder="1" applyAlignment="1">
      <alignment horizontal="center" vertical="center" wrapText="1"/>
    </xf>
    <xf numFmtId="0" fontId="175" fillId="23" borderId="177" xfId="9112" applyFont="1" applyFill="1" applyBorder="1" applyAlignment="1">
      <alignment horizontal="left" vertical="center"/>
    </xf>
    <xf numFmtId="0" fontId="175" fillId="23" borderId="108" xfId="9112" applyFont="1" applyFill="1" applyBorder="1" applyAlignment="1">
      <alignment horizontal="left" vertical="center"/>
    </xf>
    <xf numFmtId="0" fontId="175" fillId="23" borderId="71" xfId="9112" applyFont="1" applyFill="1" applyBorder="1" applyAlignment="1">
      <alignment horizontal="left" vertical="center"/>
    </xf>
    <xf numFmtId="0" fontId="175" fillId="25" borderId="316" xfId="9112" applyFont="1" applyFill="1" applyBorder="1" applyAlignment="1">
      <alignment horizontal="left" vertical="center"/>
    </xf>
    <xf numFmtId="0" fontId="175" fillId="25" borderId="108" xfId="9112" applyFont="1" applyFill="1" applyBorder="1" applyAlignment="1">
      <alignment horizontal="left" vertical="center"/>
    </xf>
    <xf numFmtId="0" fontId="175" fillId="25" borderId="71" xfId="9112" applyFont="1" applyFill="1" applyBorder="1" applyAlignment="1">
      <alignment horizontal="left" vertical="center"/>
    </xf>
    <xf numFmtId="0" fontId="133" fillId="0" borderId="96" xfId="0" applyFont="1" applyFill="1" applyBorder="1" applyAlignment="1">
      <alignment horizontal="center" wrapText="1"/>
    </xf>
    <xf numFmtId="0" fontId="133" fillId="0" borderId="62" xfId="0" applyFont="1" applyFill="1" applyBorder="1" applyAlignment="1">
      <alignment horizontal="center" wrapText="1"/>
    </xf>
    <xf numFmtId="0" fontId="133" fillId="0" borderId="97" xfId="0" applyFont="1" applyFill="1" applyBorder="1" applyAlignment="1">
      <alignment horizontal="center" wrapText="1"/>
    </xf>
    <xf numFmtId="0" fontId="117" fillId="103" borderId="0" xfId="0" applyFont="1" applyFill="1" applyBorder="1" applyAlignment="1">
      <alignment horizontal="center" vertical="center"/>
    </xf>
    <xf numFmtId="0" fontId="117" fillId="103" borderId="34" xfId="0" applyFont="1" applyFill="1" applyBorder="1" applyAlignment="1">
      <alignment horizontal="center" vertical="center"/>
    </xf>
    <xf numFmtId="0" fontId="7" fillId="0" borderId="96" xfId="0" applyFont="1" applyBorder="1" applyAlignment="1">
      <alignment horizontal="center"/>
    </xf>
    <xf numFmtId="0" fontId="7" fillId="0" borderId="62" xfId="0" applyFont="1" applyBorder="1" applyAlignment="1">
      <alignment horizontal="center"/>
    </xf>
    <xf numFmtId="0" fontId="7" fillId="0" borderId="97" xfId="0" applyFont="1" applyBorder="1" applyAlignment="1">
      <alignment horizontal="center"/>
    </xf>
    <xf numFmtId="0" fontId="7" fillId="16" borderId="0" xfId="0" applyFont="1" applyFill="1" applyAlignment="1">
      <alignment horizontal="left" wrapText="1"/>
    </xf>
    <xf numFmtId="0" fontId="112" fillId="31" borderId="96" xfId="0" applyFont="1" applyFill="1" applyBorder="1" applyAlignment="1">
      <alignment horizontal="center"/>
    </xf>
    <xf numFmtId="0" fontId="112" fillId="31" borderId="317" xfId="0" applyFont="1" applyFill="1" applyBorder="1" applyAlignment="1">
      <alignment horizontal="center"/>
    </xf>
    <xf numFmtId="0" fontId="7" fillId="16" borderId="0" xfId="0" applyFont="1" applyFill="1" applyAlignment="1">
      <alignment horizontal="center"/>
    </xf>
    <xf numFmtId="0" fontId="7" fillId="16" borderId="4" xfId="0" applyFont="1" applyFill="1" applyBorder="1" applyAlignment="1">
      <alignment horizontal="center"/>
    </xf>
    <xf numFmtId="0" fontId="7" fillId="16" borderId="174" xfId="0" applyFont="1" applyFill="1" applyBorder="1" applyAlignment="1">
      <alignment horizontal="center"/>
    </xf>
    <xf numFmtId="0" fontId="7" fillId="16" borderId="173" xfId="0" applyFont="1" applyFill="1" applyBorder="1" applyAlignment="1">
      <alignment horizontal="center"/>
    </xf>
    <xf numFmtId="0" fontId="80" fillId="104" borderId="91" xfId="0" applyFont="1" applyFill="1" applyBorder="1" applyAlignment="1">
      <alignment horizontal="center" vertical="center" wrapText="1"/>
    </xf>
    <xf numFmtId="0" fontId="7" fillId="17" borderId="107" xfId="0" applyFont="1" applyFill="1" applyBorder="1" applyAlignment="1">
      <alignment horizontal="left" vertical="center" wrapText="1"/>
    </xf>
    <xf numFmtId="0" fontId="7" fillId="17" borderId="176" xfId="0" applyFont="1" applyFill="1" applyBorder="1" applyAlignment="1">
      <alignment horizontal="left" vertical="center" wrapText="1"/>
    </xf>
    <xf numFmtId="0" fontId="7" fillId="17" borderId="100" xfId="0" applyFont="1" applyFill="1" applyBorder="1" applyAlignment="1">
      <alignment horizontal="left" vertical="center" wrapText="1"/>
    </xf>
    <xf numFmtId="0" fontId="7" fillId="17" borderId="33" xfId="0" applyFont="1" applyFill="1" applyBorder="1" applyAlignment="1">
      <alignment horizontal="left" vertical="center" wrapText="1"/>
    </xf>
    <xf numFmtId="0" fontId="7" fillId="17" borderId="34" xfId="0" applyFont="1" applyFill="1" applyBorder="1" applyAlignment="1">
      <alignment horizontal="left" vertical="center" wrapText="1"/>
    </xf>
    <xf numFmtId="0" fontId="7" fillId="17" borderId="35" xfId="0" applyFont="1" applyFill="1" applyBorder="1" applyAlignment="1">
      <alignment horizontal="left" vertical="center" wrapText="1"/>
    </xf>
    <xf numFmtId="0" fontId="7" fillId="21" borderId="96" xfId="0" applyFont="1" applyFill="1" applyBorder="1" applyAlignment="1">
      <alignment horizontal="left" vertical="center" wrapText="1"/>
    </xf>
    <xf numFmtId="0" fontId="7" fillId="21" borderId="62" xfId="0" applyFont="1" applyFill="1" applyBorder="1" applyAlignment="1">
      <alignment horizontal="left" vertical="center" wrapText="1"/>
    </xf>
    <xf numFmtId="0" fontId="7" fillId="21" borderId="97" xfId="0" applyFont="1" applyFill="1" applyBorder="1" applyAlignment="1">
      <alignment horizontal="left" vertical="center" wrapText="1"/>
    </xf>
    <xf numFmtId="0" fontId="112" fillId="103" borderId="97" xfId="0" applyFont="1" applyFill="1" applyBorder="1" applyAlignment="1">
      <alignment horizontal="center"/>
    </xf>
    <xf numFmtId="0" fontId="7" fillId="16" borderId="96" xfId="0" applyFont="1" applyFill="1" applyBorder="1" applyAlignment="1">
      <alignment horizontal="center"/>
    </xf>
    <xf numFmtId="0" fontId="7" fillId="16" borderId="317" xfId="0" applyFont="1" applyFill="1" applyBorder="1" applyAlignment="1">
      <alignment horizontal="center"/>
    </xf>
    <xf numFmtId="0" fontId="7" fillId="16" borderId="97" xfId="0" applyFont="1" applyFill="1" applyBorder="1" applyAlignment="1">
      <alignment horizontal="center"/>
    </xf>
    <xf numFmtId="0" fontId="80" fillId="16" borderId="34" xfId="0" applyFont="1" applyFill="1" applyBorder="1" applyAlignment="1">
      <alignment horizontal="center"/>
    </xf>
    <xf numFmtId="0" fontId="131" fillId="86" borderId="96" xfId="10" applyFont="1" applyFill="1" applyBorder="1" applyAlignment="1">
      <alignment horizontal="center"/>
    </xf>
    <xf numFmtId="0" fontId="131" fillId="86" borderId="317" xfId="10" applyFont="1" applyFill="1" applyBorder="1" applyAlignment="1">
      <alignment horizontal="center"/>
    </xf>
    <xf numFmtId="0" fontId="131" fillId="86" borderId="97" xfId="10" applyFont="1" applyFill="1" applyBorder="1" applyAlignment="1">
      <alignment horizontal="center"/>
    </xf>
    <xf numFmtId="0" fontId="7" fillId="28" borderId="435" xfId="0" applyFont="1" applyFill="1" applyBorder="1" applyAlignment="1">
      <alignment horizontal="left" vertical="center" wrapText="1"/>
    </xf>
    <xf numFmtId="0" fontId="7" fillId="28" borderId="270" xfId="0" applyFont="1" applyFill="1" applyBorder="1" applyAlignment="1">
      <alignment horizontal="left" vertical="center" wrapText="1"/>
    </xf>
    <xf numFmtId="0" fontId="7" fillId="21" borderId="96" xfId="0" applyFont="1" applyFill="1" applyBorder="1" applyAlignment="1">
      <alignment horizontal="left" vertical="top" wrapText="1"/>
    </xf>
    <xf numFmtId="0" fontId="7" fillId="21" borderId="62" xfId="0" applyFont="1" applyFill="1" applyBorder="1" applyAlignment="1">
      <alignment horizontal="left" vertical="top" wrapText="1"/>
    </xf>
    <xf numFmtId="0" fontId="7" fillId="21" borderId="97" xfId="0" applyFont="1" applyFill="1" applyBorder="1" applyAlignment="1">
      <alignment horizontal="left" vertical="top" wrapText="1"/>
    </xf>
    <xf numFmtId="0" fontId="7" fillId="16" borderId="90" xfId="0" applyFont="1" applyFill="1" applyBorder="1" applyAlignment="1">
      <alignment horizontal="left" wrapText="1"/>
    </xf>
    <xf numFmtId="0" fontId="7" fillId="16" borderId="19" xfId="0" applyFont="1" applyFill="1" applyBorder="1" applyAlignment="1">
      <alignment horizontal="left" wrapText="1"/>
    </xf>
    <xf numFmtId="0" fontId="7" fillId="16" borderId="20" xfId="0" applyFont="1" applyFill="1" applyBorder="1" applyAlignment="1">
      <alignment horizontal="left" wrapText="1"/>
    </xf>
    <xf numFmtId="0" fontId="7" fillId="21" borderId="90" xfId="0" applyFont="1" applyFill="1" applyBorder="1" applyAlignment="1">
      <alignment horizontal="left" vertical="top" wrapText="1"/>
    </xf>
    <xf numFmtId="0" fontId="7" fillId="21" borderId="19" xfId="0" applyFont="1" applyFill="1" applyBorder="1" applyAlignment="1">
      <alignment horizontal="left" vertical="top" wrapText="1"/>
    </xf>
    <xf numFmtId="0" fontId="7" fillId="21" borderId="20" xfId="0" applyFont="1" applyFill="1" applyBorder="1" applyAlignment="1">
      <alignment horizontal="left" vertical="top" wrapText="1"/>
    </xf>
    <xf numFmtId="0" fontId="7" fillId="21" borderId="31" xfId="0" applyFont="1" applyFill="1" applyBorder="1" applyAlignment="1">
      <alignment horizontal="left" vertical="top" wrapText="1"/>
    </xf>
    <xf numFmtId="0" fontId="7" fillId="21" borderId="0" xfId="0" applyFont="1" applyFill="1" applyBorder="1" applyAlignment="1">
      <alignment horizontal="left" vertical="top" wrapText="1"/>
    </xf>
    <xf numFmtId="0" fontId="7" fillId="21" borderId="32" xfId="0" applyFont="1" applyFill="1" applyBorder="1" applyAlignment="1">
      <alignment horizontal="left" vertical="top" wrapText="1"/>
    </xf>
    <xf numFmtId="0" fontId="7" fillId="21" borderId="33" xfId="0" applyFont="1" applyFill="1" applyBorder="1" applyAlignment="1">
      <alignment horizontal="left" vertical="top" wrapText="1"/>
    </xf>
    <xf numFmtId="0" fontId="7" fillId="21" borderId="34" xfId="0" applyFont="1" applyFill="1" applyBorder="1" applyAlignment="1">
      <alignment horizontal="left" vertical="top" wrapText="1"/>
    </xf>
    <xf numFmtId="0" fontId="7" fillId="21" borderId="35" xfId="0" applyFont="1" applyFill="1" applyBorder="1" applyAlignment="1">
      <alignment horizontal="left" vertical="top" wrapText="1"/>
    </xf>
    <xf numFmtId="0" fontId="149" fillId="26" borderId="176" xfId="0" applyFont="1" applyFill="1" applyBorder="1" applyAlignment="1">
      <alignment horizontal="center"/>
    </xf>
    <xf numFmtId="0" fontId="121" fillId="103" borderId="80" xfId="0" applyFont="1" applyFill="1" applyBorder="1" applyAlignment="1">
      <alignment horizontal="center"/>
    </xf>
    <xf numFmtId="0" fontId="121" fillId="103" borderId="178" xfId="0" applyFont="1" applyFill="1" applyBorder="1" applyAlignment="1">
      <alignment horizontal="center"/>
    </xf>
    <xf numFmtId="0" fontId="112" fillId="34" borderId="248" xfId="0" applyFont="1" applyFill="1" applyBorder="1" applyAlignment="1">
      <alignment horizontal="center"/>
    </xf>
    <xf numFmtId="0" fontId="112" fillId="34" borderId="178" xfId="0" applyFont="1" applyFill="1" applyBorder="1" applyAlignment="1">
      <alignment horizontal="center"/>
    </xf>
    <xf numFmtId="0" fontId="112" fillId="34" borderId="77" xfId="0" applyFont="1" applyFill="1" applyBorder="1" applyAlignment="1">
      <alignment horizontal="center"/>
    </xf>
    <xf numFmtId="0" fontId="7" fillId="21" borderId="107" xfId="0" applyFont="1" applyFill="1" applyBorder="1" applyAlignment="1">
      <alignment horizontal="left" vertical="top" wrapText="1"/>
    </xf>
    <xf numFmtId="0" fontId="7" fillId="21" borderId="176" xfId="0" applyFont="1" applyFill="1" applyBorder="1" applyAlignment="1">
      <alignment horizontal="left" vertical="top" wrapText="1"/>
    </xf>
    <xf numFmtId="0" fontId="7" fillId="21" borderId="100" xfId="0" applyFont="1" applyFill="1" applyBorder="1" applyAlignment="1">
      <alignment horizontal="left" vertical="top" wrapText="1"/>
    </xf>
    <xf numFmtId="0" fontId="112" fillId="104" borderId="248" xfId="0" applyFont="1" applyFill="1" applyBorder="1" applyAlignment="1">
      <alignment horizontal="center"/>
    </xf>
    <xf numFmtId="0" fontId="112" fillId="104" borderId="178" xfId="0" applyFont="1" applyFill="1" applyBorder="1" applyAlignment="1">
      <alignment horizontal="center"/>
    </xf>
    <xf numFmtId="0" fontId="112" fillId="104" borderId="179" xfId="0" applyFont="1" applyFill="1" applyBorder="1" applyAlignment="1">
      <alignment horizontal="center"/>
    </xf>
    <xf numFmtId="0" fontId="112" fillId="114" borderId="248" xfId="0" applyFont="1" applyFill="1" applyBorder="1" applyAlignment="1">
      <alignment horizontal="center"/>
    </xf>
    <xf numFmtId="0" fontId="112" fillId="114" borderId="77" xfId="0" applyFont="1" applyFill="1" applyBorder="1" applyAlignment="1">
      <alignment horizontal="center"/>
    </xf>
    <xf numFmtId="0" fontId="0" fillId="16" borderId="0" xfId="0" applyFill="1" applyAlignment="1">
      <alignment horizontal="left" vertical="top" wrapText="1"/>
    </xf>
    <xf numFmtId="2" fontId="0" fillId="36" borderId="215" xfId="2" applyNumberFormat="1" applyFont="1" applyFill="1" applyBorder="1" applyAlignment="1">
      <alignment horizontal="left"/>
    </xf>
    <xf numFmtId="2" fontId="0" fillId="36" borderId="216" xfId="2" applyNumberFormat="1" applyFont="1" applyFill="1" applyBorder="1" applyAlignment="1">
      <alignment horizontal="left"/>
    </xf>
    <xf numFmtId="2" fontId="0" fillId="36" borderId="217" xfId="2" applyNumberFormat="1" applyFont="1" applyFill="1" applyBorder="1" applyAlignment="1">
      <alignment horizontal="left"/>
    </xf>
    <xf numFmtId="0" fontId="5" fillId="16" borderId="0" xfId="0" applyFont="1" applyFill="1" applyAlignment="1">
      <alignment horizontal="left" wrapText="1"/>
    </xf>
    <xf numFmtId="0" fontId="98" fillId="16" borderId="0" xfId="320" applyFont="1" applyFill="1" applyAlignment="1">
      <alignment horizontal="left" vertical="top" wrapText="1"/>
    </xf>
    <xf numFmtId="0" fontId="80" fillId="0" borderId="0" xfId="0" applyFont="1" applyAlignment="1">
      <alignment horizontal="center"/>
    </xf>
    <xf numFmtId="170" fontId="80" fillId="0" borderId="0" xfId="0" applyNumberFormat="1" applyFont="1" applyAlignment="1">
      <alignment horizontal="center" wrapText="1"/>
    </xf>
    <xf numFmtId="0" fontId="7" fillId="0" borderId="0" xfId="0" applyFont="1" applyAlignment="1">
      <alignment horizontal="center" wrapText="1"/>
    </xf>
    <xf numFmtId="0" fontId="135" fillId="0" borderId="0" xfId="0" applyFont="1" applyAlignment="1">
      <alignment horizontal="center" wrapText="1"/>
    </xf>
    <xf numFmtId="0" fontId="189" fillId="16" borderId="0" xfId="320" applyFont="1" applyFill="1" applyAlignment="1">
      <alignment horizontal="left" vertical="top" wrapText="1"/>
    </xf>
    <xf numFmtId="0" fontId="112" fillId="104" borderId="91" xfId="0" applyFont="1" applyFill="1" applyBorder="1" applyAlignment="1">
      <alignment horizontal="center"/>
    </xf>
    <xf numFmtId="0" fontId="7" fillId="0" borderId="171" xfId="0" applyFont="1" applyBorder="1" applyAlignment="1">
      <alignment horizontal="center"/>
    </xf>
    <xf numFmtId="0" fontId="112" fillId="34" borderId="91" xfId="0" applyFont="1" applyFill="1" applyBorder="1" applyAlignment="1">
      <alignment horizontal="center"/>
    </xf>
    <xf numFmtId="0" fontId="112" fillId="114" borderId="91" xfId="0" applyFont="1" applyFill="1" applyBorder="1" applyAlignment="1">
      <alignment horizontal="center"/>
    </xf>
    <xf numFmtId="0" fontId="80" fillId="16" borderId="0" xfId="0" applyFont="1" applyFill="1" applyAlignment="1">
      <alignment horizontal="left" wrapText="1"/>
    </xf>
    <xf numFmtId="0" fontId="7" fillId="17" borderId="31" xfId="0" applyFont="1" applyFill="1" applyBorder="1" applyAlignment="1">
      <alignment horizontal="left" vertical="center" wrapText="1"/>
    </xf>
    <xf numFmtId="0" fontId="7" fillId="17" borderId="32" xfId="0" applyFont="1" applyFill="1" applyBorder="1" applyAlignment="1">
      <alignment horizontal="left" vertical="center" wrapText="1"/>
    </xf>
    <xf numFmtId="43" fontId="112" fillId="104" borderId="96" xfId="1" applyFont="1" applyFill="1" applyBorder="1" applyAlignment="1">
      <alignment horizontal="center"/>
    </xf>
    <xf numFmtId="43" fontId="112" fillId="104" borderId="317" xfId="1" applyFont="1" applyFill="1" applyBorder="1" applyAlignment="1">
      <alignment horizontal="center"/>
    </xf>
    <xf numFmtId="43" fontId="112" fillId="104" borderId="97" xfId="1" applyFont="1" applyFill="1" applyBorder="1" applyAlignment="1">
      <alignment horizontal="center"/>
    </xf>
    <xf numFmtId="0" fontId="12" fillId="26" borderId="18" xfId="0" applyFont="1" applyFill="1" applyBorder="1" applyAlignment="1">
      <alignment horizontal="center"/>
    </xf>
    <xf numFmtId="0" fontId="12" fillId="26" borderId="19" xfId="0" applyFont="1" applyFill="1" applyBorder="1" applyAlignment="1">
      <alignment horizontal="center"/>
    </xf>
    <xf numFmtId="0" fontId="12" fillId="26" borderId="20" xfId="0" applyFont="1" applyFill="1" applyBorder="1" applyAlignment="1">
      <alignment horizontal="center"/>
    </xf>
    <xf numFmtId="0" fontId="114" fillId="16" borderId="0" xfId="0" applyFont="1" applyFill="1" applyAlignment="1">
      <alignment horizontal="left" vertical="center" wrapText="1"/>
    </xf>
    <xf numFmtId="164" fontId="9" fillId="17" borderId="247" xfId="0" applyNumberFormat="1" applyFont="1" applyFill="1" applyBorder="1" applyAlignment="1">
      <alignment horizontal="left" wrapText="1"/>
    </xf>
    <xf numFmtId="0" fontId="6" fillId="103" borderId="0" xfId="0" applyFont="1" applyFill="1" applyAlignment="1">
      <alignment horizontal="center"/>
    </xf>
    <xf numFmtId="164" fontId="6" fillId="103" borderId="0" xfId="0" applyNumberFormat="1" applyFont="1" applyFill="1" applyAlignment="1">
      <alignment horizontal="center" wrapText="1"/>
    </xf>
    <xf numFmtId="0" fontId="110" fillId="0" borderId="0" xfId="0" applyFont="1" applyAlignment="1">
      <alignment horizontal="right" indent="2"/>
    </xf>
    <xf numFmtId="0" fontId="7" fillId="19" borderId="40" xfId="0" applyFont="1" applyFill="1" applyBorder="1" applyAlignment="1">
      <alignment horizontal="center" vertical="center" wrapText="1"/>
    </xf>
    <xf numFmtId="0" fontId="7" fillId="19" borderId="104" xfId="0" applyFont="1" applyFill="1" applyBorder="1" applyAlignment="1">
      <alignment horizontal="center" vertical="center" wrapText="1"/>
    </xf>
    <xf numFmtId="0" fontId="7" fillId="19" borderId="318" xfId="0" applyFont="1" applyFill="1" applyBorder="1" applyAlignment="1">
      <alignment horizontal="center" vertical="center" wrapText="1"/>
    </xf>
    <xf numFmtId="0" fontId="7" fillId="23" borderId="70" xfId="0" applyFont="1" applyFill="1" applyBorder="1" applyAlignment="1">
      <alignment horizontal="center" vertical="center" wrapText="1"/>
    </xf>
    <xf numFmtId="0" fontId="7" fillId="23" borderId="104" xfId="0" applyFont="1" applyFill="1" applyBorder="1" applyAlignment="1">
      <alignment horizontal="center" vertical="center" wrapText="1"/>
    </xf>
    <xf numFmtId="0" fontId="7" fillId="23" borderId="318" xfId="0" applyFont="1" applyFill="1" applyBorder="1" applyAlignment="1">
      <alignment horizontal="center" vertical="center" wrapText="1"/>
    </xf>
    <xf numFmtId="0" fontId="7" fillId="23" borderId="101" xfId="0" applyFont="1" applyFill="1" applyBorder="1" applyAlignment="1">
      <alignment horizontal="center" vertical="center" wrapText="1"/>
    </xf>
    <xf numFmtId="0" fontId="114" fillId="16" borderId="158" xfId="0" applyFont="1" applyFill="1" applyBorder="1" applyAlignment="1">
      <alignment horizontal="left" wrapText="1"/>
    </xf>
    <xf numFmtId="0" fontId="7" fillId="19" borderId="101" xfId="0" applyFont="1" applyFill="1" applyBorder="1" applyAlignment="1">
      <alignment horizontal="center" vertical="center" wrapText="1"/>
    </xf>
    <xf numFmtId="0" fontId="202" fillId="16" borderId="0" xfId="0" applyFont="1" applyFill="1" applyAlignment="1">
      <alignment horizontal="left" vertical="center" wrapText="1"/>
    </xf>
    <xf numFmtId="0" fontId="121" fillId="103" borderId="96" xfId="0" applyFont="1" applyFill="1" applyBorder="1" applyAlignment="1">
      <alignment horizontal="center"/>
    </xf>
    <xf numFmtId="0" fontId="121" fillId="103" borderId="317" xfId="0" applyFont="1" applyFill="1" applyBorder="1" applyAlignment="1">
      <alignment horizontal="center"/>
    </xf>
    <xf numFmtId="0" fontId="7" fillId="21" borderId="107" xfId="0" applyFont="1" applyFill="1" applyBorder="1" applyAlignment="1">
      <alignment vertical="center" wrapText="1"/>
    </xf>
    <xf numFmtId="0" fontId="7" fillId="21" borderId="176" xfId="0" applyFont="1" applyFill="1" applyBorder="1" applyAlignment="1">
      <alignment vertical="center" wrapText="1"/>
    </xf>
    <xf numFmtId="0" fontId="7" fillId="21" borderId="100" xfId="0" applyFont="1" applyFill="1" applyBorder="1" applyAlignment="1">
      <alignment vertical="center" wrapText="1"/>
    </xf>
    <xf numFmtId="0" fontId="7" fillId="21" borderId="31" xfId="0" applyFont="1" applyFill="1" applyBorder="1" applyAlignment="1">
      <alignment vertical="center" wrapText="1"/>
    </xf>
    <xf numFmtId="0" fontId="7" fillId="21" borderId="0" xfId="0" applyFont="1" applyFill="1" applyBorder="1" applyAlignment="1">
      <alignment vertical="center" wrapText="1"/>
    </xf>
    <xf numFmtId="0" fontId="7" fillId="21" borderId="32" xfId="0" applyFont="1" applyFill="1" applyBorder="1" applyAlignment="1">
      <alignment vertical="center" wrapText="1"/>
    </xf>
    <xf numFmtId="0" fontId="7" fillId="21" borderId="33" xfId="0" applyFont="1" applyFill="1" applyBorder="1" applyAlignment="1">
      <alignment vertical="center" wrapText="1"/>
    </xf>
    <xf numFmtId="0" fontId="7" fillId="21" borderId="34" xfId="0" applyFont="1" applyFill="1" applyBorder="1" applyAlignment="1">
      <alignment vertical="center" wrapText="1"/>
    </xf>
    <xf numFmtId="0" fontId="7" fillId="21" borderId="35" xfId="0" applyFont="1" applyFill="1" applyBorder="1" applyAlignment="1">
      <alignment vertical="center" wrapText="1"/>
    </xf>
    <xf numFmtId="0" fontId="7" fillId="29" borderId="177" xfId="0" applyFont="1" applyFill="1" applyBorder="1" applyAlignment="1">
      <alignment horizontal="center" vertical="center"/>
    </xf>
    <xf numFmtId="0" fontId="7" fillId="29" borderId="108" xfId="0" applyFont="1" applyFill="1" applyBorder="1" applyAlignment="1">
      <alignment horizontal="center" vertical="center"/>
    </xf>
    <xf numFmtId="0" fontId="7" fillId="29" borderId="71" xfId="0" applyFont="1" applyFill="1" applyBorder="1" applyAlignment="1">
      <alignment horizontal="center" vertical="center"/>
    </xf>
    <xf numFmtId="0" fontId="7" fillId="29" borderId="177" xfId="0" applyFont="1" applyFill="1" applyBorder="1" applyAlignment="1">
      <alignment horizontal="left" vertical="center" wrapText="1"/>
    </xf>
    <xf numFmtId="0" fontId="7" fillId="29" borderId="108" xfId="0" applyFont="1" applyFill="1" applyBorder="1" applyAlignment="1">
      <alignment horizontal="left" vertical="center" wrapText="1"/>
    </xf>
    <xf numFmtId="0" fontId="7" fillId="29" borderId="71" xfId="0" applyFont="1" applyFill="1" applyBorder="1" applyAlignment="1">
      <alignment horizontal="left" vertical="center" wrapText="1"/>
    </xf>
    <xf numFmtId="0" fontId="7" fillId="19" borderId="71" xfId="0" applyFont="1" applyFill="1" applyBorder="1" applyAlignment="1">
      <alignment horizontal="center" vertical="center"/>
    </xf>
    <xf numFmtId="0" fontId="7" fillId="19" borderId="91" xfId="0" applyFont="1" applyFill="1" applyBorder="1" applyAlignment="1">
      <alignment horizontal="center" vertical="center"/>
    </xf>
    <xf numFmtId="0" fontId="7" fillId="19" borderId="71" xfId="0" applyFont="1" applyFill="1" applyBorder="1" applyAlignment="1">
      <alignment horizontal="left" vertical="center" wrapText="1"/>
    </xf>
    <xf numFmtId="0" fontId="7" fillId="19" borderId="91" xfId="0" applyFont="1" applyFill="1" applyBorder="1" applyAlignment="1">
      <alignment horizontal="left" vertical="center" wrapText="1"/>
    </xf>
    <xf numFmtId="0" fontId="7" fillId="23" borderId="91" xfId="0" applyFont="1" applyFill="1" applyBorder="1" applyAlignment="1">
      <alignment horizontal="center" vertical="center"/>
    </xf>
    <xf numFmtId="0" fontId="7" fillId="23" borderId="102" xfId="0" applyFont="1" applyFill="1" applyBorder="1" applyAlignment="1">
      <alignment horizontal="center" vertical="center"/>
    </xf>
    <xf numFmtId="0" fontId="7" fillId="23" borderId="91" xfId="0" applyFont="1" applyFill="1" applyBorder="1" applyAlignment="1">
      <alignment horizontal="left" vertical="center" wrapText="1"/>
    </xf>
    <xf numFmtId="0" fontId="7" fillId="23" borderId="102" xfId="0" applyFont="1" applyFill="1" applyBorder="1" applyAlignment="1">
      <alignment horizontal="left" vertical="center" wrapText="1"/>
    </xf>
    <xf numFmtId="0" fontId="7" fillId="32" borderId="177" xfId="0" applyFont="1" applyFill="1" applyBorder="1" applyAlignment="1">
      <alignment horizontal="center" vertical="center"/>
    </xf>
    <xf numFmtId="0" fontId="7" fillId="32" borderId="108" xfId="0" applyFont="1" applyFill="1" applyBorder="1" applyAlignment="1">
      <alignment horizontal="center" vertical="center"/>
    </xf>
    <xf numFmtId="0" fontId="7" fillId="32" borderId="71" xfId="0" applyFont="1" applyFill="1" applyBorder="1" applyAlignment="1">
      <alignment horizontal="center" vertical="center"/>
    </xf>
    <xf numFmtId="0" fontId="7" fillId="32" borderId="177" xfId="0" applyFont="1" applyFill="1" applyBorder="1" applyAlignment="1">
      <alignment horizontal="left" vertical="center" wrapText="1"/>
    </xf>
    <xf numFmtId="0" fontId="7" fillId="32" borderId="108" xfId="0" applyFont="1" applyFill="1" applyBorder="1" applyAlignment="1">
      <alignment horizontal="left" vertical="center" wrapText="1"/>
    </xf>
    <xf numFmtId="0" fontId="7" fillId="32" borderId="71" xfId="0" applyFont="1" applyFill="1" applyBorder="1" applyAlignment="1">
      <alignment horizontal="left" vertical="center" wrapText="1"/>
    </xf>
    <xf numFmtId="0" fontId="7" fillId="19" borderId="102" xfId="0" applyFont="1" applyFill="1" applyBorder="1" applyAlignment="1">
      <alignment horizontal="center" vertical="center"/>
    </xf>
    <xf numFmtId="0" fontId="7" fillId="19" borderId="102" xfId="0" applyFont="1" applyFill="1" applyBorder="1" applyAlignment="1">
      <alignment horizontal="left" vertical="center" wrapText="1"/>
    </xf>
    <xf numFmtId="0" fontId="7" fillId="23" borderId="104" xfId="0" applyFont="1" applyFill="1" applyBorder="1" applyAlignment="1">
      <alignment horizontal="center" vertical="center"/>
    </xf>
    <xf numFmtId="0" fontId="7" fillId="23" borderId="91" xfId="0" applyFont="1" applyFill="1" applyBorder="1" applyAlignment="1">
      <alignment horizontal="left" vertical="center"/>
    </xf>
    <xf numFmtId="0" fontId="7" fillId="32" borderId="75" xfId="0" applyFont="1" applyFill="1" applyBorder="1" applyAlignment="1">
      <alignment horizontal="center" vertical="center"/>
    </xf>
    <xf numFmtId="0" fontId="7" fillId="32" borderId="367" xfId="0" applyFont="1" applyFill="1" applyBorder="1" applyAlignment="1">
      <alignment horizontal="center" vertical="center"/>
    </xf>
    <xf numFmtId="0" fontId="7" fillId="32" borderId="368" xfId="0" applyFont="1" applyFill="1" applyBorder="1" applyAlignment="1">
      <alignment horizontal="center" vertical="center"/>
    </xf>
    <xf numFmtId="0" fontId="7" fillId="32" borderId="316" xfId="0" applyFont="1" applyFill="1" applyBorder="1" applyAlignment="1">
      <alignment horizontal="left" vertical="center"/>
    </xf>
    <xf numFmtId="0" fontId="7" fillId="32" borderId="108" xfId="0" applyFont="1" applyFill="1" applyBorder="1" applyAlignment="1">
      <alignment horizontal="left" vertical="center"/>
    </xf>
    <xf numFmtId="0" fontId="7" fillId="32" borderId="369" xfId="0" applyFont="1" applyFill="1" applyBorder="1" applyAlignment="1">
      <alignment horizontal="left" vertical="center"/>
    </xf>
    <xf numFmtId="0" fontId="117" fillId="104" borderId="4" xfId="0" applyFont="1" applyFill="1" applyBorder="1" applyAlignment="1">
      <alignment horizontal="center"/>
    </xf>
    <xf numFmtId="0" fontId="117" fillId="104" borderId="174" xfId="0" applyFont="1" applyFill="1" applyBorder="1" applyAlignment="1">
      <alignment horizontal="center"/>
    </xf>
    <xf numFmtId="0" fontId="7" fillId="19" borderId="104" xfId="0" applyFont="1" applyFill="1" applyBorder="1" applyAlignment="1">
      <alignment horizontal="center" vertical="center"/>
    </xf>
    <xf numFmtId="0" fontId="7" fillId="19" borderId="91" xfId="0" applyFont="1" applyFill="1" applyBorder="1" applyAlignment="1">
      <alignment horizontal="left" vertical="center"/>
    </xf>
    <xf numFmtId="0" fontId="7" fillId="29" borderId="75" xfId="0" applyFont="1" applyFill="1" applyBorder="1" applyAlignment="1">
      <alignment horizontal="center" vertical="center"/>
    </xf>
    <xf numFmtId="0" fontId="7" fillId="29" borderId="367" xfId="0" applyFont="1" applyFill="1" applyBorder="1" applyAlignment="1">
      <alignment horizontal="center" vertical="center"/>
    </xf>
    <xf numFmtId="0" fontId="7" fillId="29" borderId="70" xfId="0" applyFont="1" applyFill="1" applyBorder="1" applyAlignment="1">
      <alignment horizontal="center" vertical="center"/>
    </xf>
    <xf numFmtId="0" fontId="7" fillId="29" borderId="316" xfId="0" applyFont="1" applyFill="1" applyBorder="1" applyAlignment="1">
      <alignment horizontal="left" vertical="center"/>
    </xf>
    <xf numFmtId="0" fontId="7" fillId="29" borderId="108" xfId="0" applyFont="1" applyFill="1" applyBorder="1" applyAlignment="1">
      <alignment horizontal="left" vertical="center"/>
    </xf>
    <xf numFmtId="0" fontId="7" fillId="29" borderId="71" xfId="0" applyFont="1" applyFill="1" applyBorder="1" applyAlignment="1">
      <alignment horizontal="left" vertical="center"/>
    </xf>
    <xf numFmtId="0" fontId="80" fillId="16" borderId="91" xfId="0" applyFont="1" applyFill="1" applyBorder="1" applyAlignment="1">
      <alignment horizontal="center" wrapText="1"/>
    </xf>
    <xf numFmtId="0" fontId="80" fillId="16" borderId="98" xfId="0" applyFont="1" applyFill="1" applyBorder="1" applyAlignment="1">
      <alignment horizontal="center" wrapText="1"/>
    </xf>
    <xf numFmtId="0" fontId="80" fillId="16" borderId="71" xfId="0" applyFont="1" applyFill="1" applyBorder="1" applyAlignment="1">
      <alignment horizontal="center" wrapText="1"/>
    </xf>
    <xf numFmtId="0" fontId="121" fillId="103" borderId="97" xfId="0" applyFont="1" applyFill="1" applyBorder="1" applyAlignment="1">
      <alignment horizontal="center"/>
    </xf>
    <xf numFmtId="170" fontId="7" fillId="16" borderId="98" xfId="0" applyNumberFormat="1" applyFont="1" applyFill="1" applyBorder="1" applyAlignment="1">
      <alignment horizontal="center" vertical="center"/>
    </xf>
    <xf numFmtId="170" fontId="7" fillId="16" borderId="108" xfId="0" applyNumberFormat="1" applyFont="1" applyFill="1" applyBorder="1" applyAlignment="1">
      <alignment horizontal="center" vertical="center"/>
    </xf>
    <xf numFmtId="170" fontId="7" fillId="16" borderId="71" xfId="0" applyNumberFormat="1" applyFont="1" applyFill="1" applyBorder="1" applyAlignment="1">
      <alignment horizontal="center" vertical="center"/>
    </xf>
    <xf numFmtId="9" fontId="7" fillId="16" borderId="108" xfId="2" applyFont="1" applyFill="1" applyBorder="1" applyAlignment="1">
      <alignment horizontal="center" vertical="center"/>
    </xf>
    <xf numFmtId="9" fontId="7" fillId="16" borderId="71" xfId="2" applyFont="1" applyFill="1" applyBorder="1" applyAlignment="1">
      <alignment horizontal="center" vertical="center"/>
    </xf>
    <xf numFmtId="0" fontId="20" fillId="33" borderId="91" xfId="8181" applyFont="1" applyFill="1" applyBorder="1" applyAlignment="1">
      <alignment horizontal="center"/>
    </xf>
    <xf numFmtId="0" fontId="20" fillId="33" borderId="96" xfId="8181" applyFont="1" applyFill="1" applyBorder="1" applyAlignment="1">
      <alignment horizontal="center"/>
    </xf>
    <xf numFmtId="0" fontId="20" fillId="33" borderId="97" xfId="8181" applyFont="1" applyFill="1" applyBorder="1" applyAlignment="1">
      <alignment horizontal="center"/>
    </xf>
    <xf numFmtId="43" fontId="80" fillId="36" borderId="286" xfId="1" applyNumberFormat="1" applyFont="1" applyFill="1" applyBorder="1" applyAlignment="1">
      <alignment horizontal="center" vertical="center"/>
    </xf>
    <xf numFmtId="43" fontId="80" fillId="36" borderId="287" xfId="1" applyNumberFormat="1" applyFont="1" applyFill="1" applyBorder="1" applyAlignment="1">
      <alignment horizontal="center" vertical="center"/>
    </xf>
    <xf numFmtId="0" fontId="7" fillId="16" borderId="288" xfId="0" applyFont="1" applyFill="1" applyBorder="1" applyAlignment="1">
      <alignment horizontal="center" vertical="center"/>
    </xf>
    <xf numFmtId="0" fontId="200" fillId="16" borderId="0" xfId="0" applyFont="1" applyFill="1" applyBorder="1" applyAlignment="1">
      <alignment horizontal="left" vertical="center"/>
    </xf>
    <xf numFmtId="0" fontId="121" fillId="31" borderId="5" xfId="0" applyFont="1" applyFill="1" applyBorder="1" applyAlignment="1">
      <alignment horizontal="center" vertical="center"/>
    </xf>
    <xf numFmtId="0" fontId="121" fillId="31" borderId="6" xfId="0" applyFont="1" applyFill="1" applyBorder="1" applyAlignment="1">
      <alignment horizontal="center" vertical="center"/>
    </xf>
    <xf numFmtId="170" fontId="133" fillId="39" borderId="81" xfId="12" applyNumberFormat="1" applyFont="1" applyFill="1" applyBorder="1" applyAlignment="1">
      <alignment horizontal="center" wrapText="1" readingOrder="1"/>
    </xf>
    <xf numFmtId="170" fontId="133" fillId="39" borderId="271" xfId="12" applyNumberFormat="1" applyFont="1" applyFill="1" applyBorder="1" applyAlignment="1">
      <alignment horizontal="center" wrapText="1" readingOrder="1"/>
    </xf>
    <xf numFmtId="0" fontId="149" fillId="17" borderId="0" xfId="0" applyFont="1" applyFill="1" applyAlignment="1">
      <alignment horizontal="left" vertical="center" wrapText="1"/>
    </xf>
    <xf numFmtId="0" fontId="149" fillId="0" borderId="0" xfId="0" applyFont="1" applyFill="1" applyAlignment="1">
      <alignment horizontal="left" vertical="center" wrapText="1"/>
    </xf>
    <xf numFmtId="0" fontId="121" fillId="31" borderId="96" xfId="0" applyFont="1" applyFill="1" applyBorder="1" applyAlignment="1">
      <alignment horizontal="center"/>
    </xf>
    <xf numFmtId="0" fontId="121" fillId="31" borderId="317" xfId="0" applyFont="1" applyFill="1" applyBorder="1" applyAlignment="1">
      <alignment horizontal="center"/>
    </xf>
    <xf numFmtId="0" fontId="137" fillId="17" borderId="0" xfId="0" applyFont="1" applyFill="1" applyAlignment="1">
      <alignment horizontal="left" vertical="top" wrapText="1" indent="1"/>
    </xf>
    <xf numFmtId="0" fontId="7" fillId="16" borderId="5" xfId="0" applyFont="1" applyFill="1" applyBorder="1" applyAlignment="1">
      <alignment horizontal="center"/>
    </xf>
    <xf numFmtId="0" fontId="7" fillId="16" borderId="158" xfId="0" applyFont="1" applyFill="1" applyBorder="1" applyAlignment="1">
      <alignment horizontal="center"/>
    </xf>
    <xf numFmtId="0" fontId="7" fillId="16" borderId="6" xfId="0" applyFont="1" applyFill="1" applyBorder="1" applyAlignment="1">
      <alignment horizontal="center"/>
    </xf>
    <xf numFmtId="0" fontId="7" fillId="16" borderId="170" xfId="0" applyFont="1" applyFill="1" applyBorder="1" applyAlignment="1">
      <alignment horizontal="center"/>
    </xf>
    <xf numFmtId="0" fontId="7" fillId="16" borderId="171" xfId="0" applyFont="1" applyFill="1" applyBorder="1" applyAlignment="1">
      <alignment horizontal="center"/>
    </xf>
    <xf numFmtId="0" fontId="7" fillId="16" borderId="172" xfId="0" applyFont="1" applyFill="1" applyBorder="1" applyAlignment="1">
      <alignment horizontal="center"/>
    </xf>
    <xf numFmtId="0" fontId="112" fillId="34" borderId="31" xfId="0" applyFont="1" applyFill="1" applyBorder="1" applyAlignment="1">
      <alignment horizontal="center"/>
    </xf>
    <xf numFmtId="0" fontId="112" fillId="34" borderId="0" xfId="0" applyFont="1" applyFill="1" applyBorder="1" applyAlignment="1">
      <alignment horizontal="center"/>
    </xf>
    <xf numFmtId="0" fontId="112" fillId="34" borderId="32" xfId="0" applyFont="1" applyFill="1" applyBorder="1" applyAlignment="1">
      <alignment horizontal="center"/>
    </xf>
    <xf numFmtId="0" fontId="7" fillId="0" borderId="393" xfId="0" applyFont="1" applyBorder="1" applyAlignment="1">
      <alignment horizontal="center"/>
    </xf>
    <xf numFmtId="0" fontId="7" fillId="0" borderId="394" xfId="0" applyFont="1" applyBorder="1" applyAlignment="1">
      <alignment horizontal="center"/>
    </xf>
    <xf numFmtId="0" fontId="135" fillId="0" borderId="5" xfId="8811" applyFont="1" applyBorder="1" applyAlignment="1">
      <alignment horizontal="center" vertical="center" wrapText="1"/>
    </xf>
    <xf numFmtId="0" fontId="135" fillId="0" borderId="158" xfId="8811" applyFont="1" applyBorder="1" applyAlignment="1">
      <alignment horizontal="center" vertical="center" wrapText="1"/>
    </xf>
    <xf numFmtId="0" fontId="135" fillId="0" borderId="6" xfId="8811" applyFont="1" applyBorder="1" applyAlignment="1">
      <alignment horizontal="center" vertical="center" wrapText="1"/>
    </xf>
    <xf numFmtId="0" fontId="178" fillId="0" borderId="75" xfId="8811" applyFont="1" applyBorder="1" applyAlignment="1">
      <alignment horizontal="center"/>
    </xf>
    <xf numFmtId="0" fontId="178" fillId="0" borderId="367" xfId="8811" applyFont="1" applyBorder="1" applyAlignment="1">
      <alignment horizontal="center"/>
    </xf>
    <xf numFmtId="0" fontId="178" fillId="0" borderId="70" xfId="8811" applyFont="1" applyBorder="1" applyAlignment="1">
      <alignment horizontal="center"/>
    </xf>
    <xf numFmtId="0" fontId="178" fillId="0" borderId="96" xfId="8811" applyFont="1" applyBorder="1" applyAlignment="1">
      <alignment horizontal="center"/>
    </xf>
    <xf numFmtId="0" fontId="178" fillId="0" borderId="317" xfId="8811" applyFont="1" applyBorder="1" applyAlignment="1">
      <alignment horizontal="center"/>
    </xf>
    <xf numFmtId="0" fontId="178" fillId="0" borderId="97" xfId="8811" applyFont="1" applyBorder="1" applyAlignment="1">
      <alignment horizontal="center"/>
    </xf>
    <xf numFmtId="0" fontId="178" fillId="0" borderId="91" xfId="8811" applyFont="1" applyBorder="1" applyAlignment="1">
      <alignment horizontal="center"/>
    </xf>
    <xf numFmtId="0" fontId="178" fillId="0" borderId="105" xfId="8811" applyFont="1" applyBorder="1" applyAlignment="1">
      <alignment horizontal="center"/>
    </xf>
    <xf numFmtId="0" fontId="179" fillId="0" borderId="96" xfId="8811" applyFont="1" applyBorder="1" applyAlignment="1">
      <alignment horizontal="center"/>
    </xf>
    <xf numFmtId="0" fontId="179" fillId="0" borderId="271" xfId="8811" applyFont="1" applyBorder="1" applyAlignment="1">
      <alignment horizontal="center"/>
    </xf>
    <xf numFmtId="43" fontId="7" fillId="36" borderId="215" xfId="1" applyNumberFormat="1" applyFont="1" applyFill="1" applyBorder="1" applyAlignment="1">
      <alignment horizontal="left" vertical="center"/>
    </xf>
    <xf numFmtId="43" fontId="7" fillId="36" borderId="216" xfId="1" applyNumberFormat="1" applyFont="1" applyFill="1" applyBorder="1" applyAlignment="1">
      <alignment horizontal="left" vertical="center"/>
    </xf>
    <xf numFmtId="43" fontId="7" fillId="36" borderId="217" xfId="1" applyNumberFormat="1" applyFont="1" applyFill="1" applyBorder="1" applyAlignment="1">
      <alignment horizontal="left" vertical="center"/>
    </xf>
    <xf numFmtId="0" fontId="80" fillId="22" borderId="5" xfId="0" applyFont="1" applyFill="1" applyBorder="1" applyAlignment="1">
      <alignment horizontal="center"/>
    </xf>
    <xf numFmtId="0" fontId="80" fillId="22" borderId="158" xfId="0" applyFont="1" applyFill="1" applyBorder="1" applyAlignment="1">
      <alignment horizontal="center"/>
    </xf>
    <xf numFmtId="0" fontId="80" fillId="22" borderId="6" xfId="0" applyFont="1" applyFill="1" applyBorder="1" applyAlignment="1">
      <alignment horizontal="center"/>
    </xf>
    <xf numFmtId="0" fontId="80" fillId="95" borderId="5" xfId="0" applyFont="1" applyFill="1" applyBorder="1" applyAlignment="1">
      <alignment horizontal="center"/>
    </xf>
    <xf numFmtId="0" fontId="80" fillId="95" borderId="158" xfId="0" applyFont="1" applyFill="1" applyBorder="1" applyAlignment="1">
      <alignment horizontal="center"/>
    </xf>
    <xf numFmtId="0" fontId="80" fillId="95" borderId="6" xfId="0" applyFont="1" applyFill="1" applyBorder="1" applyAlignment="1">
      <alignment horizontal="center"/>
    </xf>
    <xf numFmtId="0" fontId="80" fillId="81" borderId="96" xfId="0" applyFont="1" applyFill="1" applyBorder="1" applyAlignment="1">
      <alignment horizontal="center"/>
    </xf>
    <xf numFmtId="0" fontId="80" fillId="81" borderId="317" xfId="0" applyFont="1" applyFill="1" applyBorder="1" applyAlignment="1">
      <alignment horizontal="center"/>
    </xf>
    <xf numFmtId="0" fontId="80" fillId="81" borderId="97" xfId="0" applyFont="1" applyFill="1" applyBorder="1" applyAlignment="1">
      <alignment horizontal="center"/>
    </xf>
    <xf numFmtId="0" fontId="80" fillId="0" borderId="91" xfId="0" applyFont="1" applyBorder="1" applyAlignment="1">
      <alignment horizontal="center"/>
    </xf>
    <xf numFmtId="3" fontId="7" fillId="0" borderId="91" xfId="0" applyNumberFormat="1" applyFont="1" applyBorder="1" applyAlignment="1">
      <alignment horizontal="center"/>
    </xf>
    <xf numFmtId="0" fontId="178" fillId="0" borderId="271" xfId="8811" applyFont="1" applyBorder="1" applyAlignment="1">
      <alignment horizontal="center"/>
    </xf>
    <xf numFmtId="0" fontId="6" fillId="104" borderId="96" xfId="0" applyFont="1" applyFill="1" applyBorder="1" applyAlignment="1">
      <alignment horizontal="center"/>
    </xf>
    <xf numFmtId="0" fontId="6" fillId="104" borderId="317" xfId="0" applyFont="1" applyFill="1" applyBorder="1" applyAlignment="1">
      <alignment horizontal="center"/>
    </xf>
    <xf numFmtId="0" fontId="6" fillId="104" borderId="97" xfId="0" applyFont="1" applyFill="1" applyBorder="1" applyAlignment="1">
      <alignment horizontal="center"/>
    </xf>
    <xf numFmtId="0" fontId="17" fillId="28" borderId="0" xfId="0" applyFont="1" applyFill="1" applyAlignment="1">
      <alignment horizontal="left" vertical="center" wrapText="1"/>
    </xf>
    <xf numFmtId="0" fontId="16" fillId="103" borderId="96" xfId="0" applyFont="1" applyFill="1" applyBorder="1" applyAlignment="1">
      <alignment horizontal="center"/>
    </xf>
    <xf numFmtId="0" fontId="16" fillId="103" borderId="317" xfId="0" applyFont="1" applyFill="1" applyBorder="1" applyAlignment="1">
      <alignment horizontal="center"/>
    </xf>
    <xf numFmtId="0" fontId="6" fillId="34" borderId="96" xfId="0" applyFont="1" applyFill="1" applyBorder="1" applyAlignment="1">
      <alignment horizontal="center"/>
    </xf>
    <xf numFmtId="0" fontId="6" fillId="34" borderId="317" xfId="0" applyFont="1" applyFill="1" applyBorder="1" applyAlignment="1">
      <alignment horizontal="center"/>
    </xf>
    <xf numFmtId="0" fontId="6" fillId="34" borderId="97" xfId="0" applyFont="1" applyFill="1" applyBorder="1" applyAlignment="1">
      <alignment horizontal="center"/>
    </xf>
    <xf numFmtId="0" fontId="6" fillId="114" borderId="96" xfId="0" applyFont="1" applyFill="1" applyBorder="1" applyAlignment="1">
      <alignment horizontal="center"/>
    </xf>
    <xf numFmtId="0" fontId="6" fillId="114" borderId="97" xfId="0" applyFont="1" applyFill="1" applyBorder="1" applyAlignment="1">
      <alignment horizontal="center"/>
    </xf>
    <xf numFmtId="0" fontId="16" fillId="31" borderId="12" xfId="0" applyFont="1" applyFill="1" applyBorder="1" applyAlignment="1">
      <alignment horizontal="center"/>
    </xf>
    <xf numFmtId="0" fontId="6" fillId="34" borderId="18" xfId="0" applyFont="1" applyFill="1" applyBorder="1" applyAlignment="1">
      <alignment horizontal="center"/>
    </xf>
    <xf numFmtId="0" fontId="6" fillId="34" borderId="19" xfId="0" applyFont="1" applyFill="1" applyBorder="1" applyAlignment="1">
      <alignment horizontal="center"/>
    </xf>
    <xf numFmtId="0" fontId="6" fillId="34" borderId="20" xfId="0" applyFont="1" applyFill="1" applyBorder="1" applyAlignment="1">
      <alignment horizontal="center"/>
    </xf>
    <xf numFmtId="0" fontId="6" fillId="35" borderId="18" xfId="0" applyFont="1" applyFill="1" applyBorder="1" applyAlignment="1">
      <alignment horizontal="center"/>
    </xf>
    <xf numFmtId="0" fontId="6" fillId="35" borderId="20" xfId="0" applyFont="1" applyFill="1" applyBorder="1" applyAlignment="1">
      <alignment horizontal="center"/>
    </xf>
    <xf numFmtId="0" fontId="6" fillId="24" borderId="18" xfId="0" applyFont="1" applyFill="1" applyBorder="1" applyAlignment="1">
      <alignment horizontal="center"/>
    </xf>
    <xf numFmtId="0" fontId="6" fillId="24" borderId="19" xfId="0" applyFont="1" applyFill="1" applyBorder="1" applyAlignment="1">
      <alignment horizontal="center"/>
    </xf>
    <xf numFmtId="0" fontId="6" fillId="24" borderId="20" xfId="0" applyFont="1" applyFill="1" applyBorder="1" applyAlignment="1">
      <alignment horizontal="center"/>
    </xf>
    <xf numFmtId="0" fontId="9" fillId="0" borderId="0" xfId="0" applyFont="1" applyAlignment="1">
      <alignment horizontal="left" vertical="center" wrapText="1"/>
    </xf>
    <xf numFmtId="0" fontId="7" fillId="17" borderId="0" xfId="0" applyFont="1" applyFill="1" applyAlignment="1">
      <alignment horizontal="left" vertical="center" wrapText="1" indent="1"/>
    </xf>
    <xf numFmtId="0" fontId="7" fillId="0" borderId="0" xfId="0" applyFont="1" applyAlignment="1">
      <alignment horizontal="left" indent="1"/>
    </xf>
  </cellXfs>
  <cellStyles count="9186">
    <cellStyle name="20% - Accent1 2" xfId="25"/>
    <cellStyle name="20% - Accent1 2 2" xfId="248"/>
    <cellStyle name="20% - Accent1 2 2 2" xfId="8226"/>
    <cellStyle name="20% - Accent1 2 2 2 2" xfId="8227"/>
    <cellStyle name="20% - Accent1 2 2 3" xfId="8228"/>
    <cellStyle name="20% - Accent1 2 2 3 2" xfId="8229"/>
    <cellStyle name="20% - Accent1 2 2 4" xfId="8230"/>
    <cellStyle name="20% - Accent1 2 2 5" xfId="8231"/>
    <cellStyle name="20% - Accent1 2 2 6" xfId="8184"/>
    <cellStyle name="20% - Accent1 2 3" xfId="8232"/>
    <cellStyle name="20% - Accent1 2 3 2" xfId="8233"/>
    <cellStyle name="20% - Accent1 2 4" xfId="8234"/>
    <cellStyle name="20% - Accent1 2 4 2" xfId="8235"/>
    <cellStyle name="20% - Accent1 2 5" xfId="8236"/>
    <cellStyle name="20% - Accent1 2 5 2" xfId="8237"/>
    <cellStyle name="20% - Accent1 2 6" xfId="8183"/>
    <cellStyle name="20% - Accent1 3" xfId="249"/>
    <cellStyle name="20% - Accent1 3 2" xfId="373"/>
    <cellStyle name="20% - Accent1 3 2 2" xfId="8238"/>
    <cellStyle name="20% - Accent1 3 2 2 2" xfId="8239"/>
    <cellStyle name="20% - Accent1 3 2 3" xfId="8240"/>
    <cellStyle name="20% - Accent1 3 2 3 2" xfId="8241"/>
    <cellStyle name="20% - Accent1 3 2 4" xfId="8242"/>
    <cellStyle name="20% - Accent1 3 3" xfId="8243"/>
    <cellStyle name="20% - Accent1 3 3 2" xfId="8244"/>
    <cellStyle name="20% - Accent1 3 4" xfId="8245"/>
    <cellStyle name="20% - Accent1 3 4 2" xfId="8246"/>
    <cellStyle name="20% - Accent1 3 5" xfId="8247"/>
    <cellStyle name="20% - Accent1 4" xfId="374"/>
    <cellStyle name="20% - Accent1 4 2" xfId="375"/>
    <cellStyle name="20% - Accent1 4 2 2" xfId="8248"/>
    <cellStyle name="20% - Accent1 4 2 2 2" xfId="8249"/>
    <cellStyle name="20% - Accent1 4 2 3" xfId="8250"/>
    <cellStyle name="20% - Accent1 4 2 3 2" xfId="8251"/>
    <cellStyle name="20% - Accent1 4 2 4" xfId="8252"/>
    <cellStyle name="20% - Accent1 4 3" xfId="8253"/>
    <cellStyle name="20% - Accent1 4 3 2" xfId="8254"/>
    <cellStyle name="20% - Accent1 4 4" xfId="8255"/>
    <cellStyle name="20% - Accent1 4 4 2" xfId="8256"/>
    <cellStyle name="20% - Accent1 4 5" xfId="8257"/>
    <cellStyle name="20% - Accent1 5" xfId="376"/>
    <cellStyle name="20% - Accent1 5 2" xfId="8258"/>
    <cellStyle name="20% - Accent1 5 2 2" xfId="8259"/>
    <cellStyle name="20% - Accent1 5 3" xfId="8260"/>
    <cellStyle name="20% - Accent1 5 3 2" xfId="8261"/>
    <cellStyle name="20% - Accent1 5 4" xfId="8262"/>
    <cellStyle name="20% - Accent2 2" xfId="26"/>
    <cellStyle name="20% - Accent2 2 2" xfId="377"/>
    <cellStyle name="20% - Accent2 2 2 2" xfId="8263"/>
    <cellStyle name="20% - Accent2 2 2 2 2" xfId="8264"/>
    <cellStyle name="20% - Accent2 2 2 3" xfId="8265"/>
    <cellStyle name="20% - Accent2 2 2 3 2" xfId="8266"/>
    <cellStyle name="20% - Accent2 2 2 4" xfId="8267"/>
    <cellStyle name="20% - Accent2 2 3" xfId="8268"/>
    <cellStyle name="20% - Accent2 2 3 2" xfId="8269"/>
    <cellStyle name="20% - Accent2 2 4" xfId="8270"/>
    <cellStyle name="20% - Accent2 2 4 2" xfId="8271"/>
    <cellStyle name="20% - Accent2 2 5" xfId="8272"/>
    <cellStyle name="20% - Accent2 2 5 2" xfId="8273"/>
    <cellStyle name="20% - Accent2 3" xfId="250"/>
    <cellStyle name="20% - Accent2 3 2" xfId="378"/>
    <cellStyle name="20% - Accent2 3 2 2" xfId="8274"/>
    <cellStyle name="20% - Accent2 3 2 2 2" xfId="8275"/>
    <cellStyle name="20% - Accent2 3 2 3" xfId="8276"/>
    <cellStyle name="20% - Accent2 3 2 3 2" xfId="8277"/>
    <cellStyle name="20% - Accent2 3 2 4" xfId="8278"/>
    <cellStyle name="20% - Accent2 3 3" xfId="8279"/>
    <cellStyle name="20% - Accent2 3 3 2" xfId="8280"/>
    <cellStyle name="20% - Accent2 3 4" xfId="8281"/>
    <cellStyle name="20% - Accent2 3 4 2" xfId="8282"/>
    <cellStyle name="20% - Accent2 3 5" xfId="8283"/>
    <cellStyle name="20% - Accent2 4" xfId="379"/>
    <cellStyle name="20% - Accent2 4 2" xfId="380"/>
    <cellStyle name="20% - Accent2 4 2 2" xfId="8284"/>
    <cellStyle name="20% - Accent2 4 2 2 2" xfId="8285"/>
    <cellStyle name="20% - Accent2 4 2 3" xfId="8286"/>
    <cellStyle name="20% - Accent2 4 2 3 2" xfId="8287"/>
    <cellStyle name="20% - Accent2 4 2 4" xfId="8288"/>
    <cellStyle name="20% - Accent2 4 3" xfId="8289"/>
    <cellStyle name="20% - Accent2 4 3 2" xfId="8290"/>
    <cellStyle name="20% - Accent2 4 4" xfId="8291"/>
    <cellStyle name="20% - Accent2 4 4 2" xfId="8292"/>
    <cellStyle name="20% - Accent2 4 5" xfId="8293"/>
    <cellStyle name="20% - Accent2 5" xfId="381"/>
    <cellStyle name="20% - Accent2 5 2" xfId="8294"/>
    <cellStyle name="20% - Accent2 5 2 2" xfId="8295"/>
    <cellStyle name="20% - Accent2 5 3" xfId="8296"/>
    <cellStyle name="20% - Accent2 5 3 2" xfId="8297"/>
    <cellStyle name="20% - Accent2 5 4" xfId="8298"/>
    <cellStyle name="20% - Accent3 2" xfId="27"/>
    <cellStyle name="20% - Accent3 2 2" xfId="251"/>
    <cellStyle name="20% - Accent3 2 2 2" xfId="8299"/>
    <cellStyle name="20% - Accent3 2 2 2 2" xfId="8300"/>
    <cellStyle name="20% - Accent3 2 2 3" xfId="8301"/>
    <cellStyle name="20% - Accent3 2 2 3 2" xfId="8302"/>
    <cellStyle name="20% - Accent3 2 2 4" xfId="8303"/>
    <cellStyle name="20% - Accent3 2 2 5" xfId="8304"/>
    <cellStyle name="20% - Accent3 2 2 6" xfId="8186"/>
    <cellStyle name="20% - Accent3 2 3" xfId="8305"/>
    <cellStyle name="20% - Accent3 2 3 2" xfId="8306"/>
    <cellStyle name="20% - Accent3 2 4" xfId="8307"/>
    <cellStyle name="20% - Accent3 2 4 2" xfId="8308"/>
    <cellStyle name="20% - Accent3 2 5" xfId="8309"/>
    <cellStyle name="20% - Accent3 2 5 2" xfId="8310"/>
    <cellStyle name="20% - Accent3 2 6" xfId="8185"/>
    <cellStyle name="20% - Accent3 3" xfId="252"/>
    <cellStyle name="20% - Accent3 3 2" xfId="382"/>
    <cellStyle name="20% - Accent3 3 2 2" xfId="8311"/>
    <cellStyle name="20% - Accent3 3 2 2 2" xfId="8312"/>
    <cellStyle name="20% - Accent3 3 2 3" xfId="8313"/>
    <cellStyle name="20% - Accent3 3 2 3 2" xfId="8314"/>
    <cellStyle name="20% - Accent3 3 2 4" xfId="8315"/>
    <cellStyle name="20% - Accent3 3 3" xfId="8316"/>
    <cellStyle name="20% - Accent3 3 3 2" xfId="8317"/>
    <cellStyle name="20% - Accent3 3 4" xfId="8318"/>
    <cellStyle name="20% - Accent3 3 4 2" xfId="8319"/>
    <cellStyle name="20% - Accent3 3 5" xfId="8320"/>
    <cellStyle name="20% - Accent3 4" xfId="383"/>
    <cellStyle name="20% - Accent3 4 2" xfId="384"/>
    <cellStyle name="20% - Accent3 4 2 2" xfId="8321"/>
    <cellStyle name="20% - Accent3 4 2 2 2" xfId="8322"/>
    <cellStyle name="20% - Accent3 4 2 3" xfId="8323"/>
    <cellStyle name="20% - Accent3 4 2 3 2" xfId="8324"/>
    <cellStyle name="20% - Accent3 4 2 4" xfId="8325"/>
    <cellStyle name="20% - Accent3 4 3" xfId="8326"/>
    <cellStyle name="20% - Accent3 4 3 2" xfId="8327"/>
    <cellStyle name="20% - Accent3 4 4" xfId="8328"/>
    <cellStyle name="20% - Accent3 4 4 2" xfId="8329"/>
    <cellStyle name="20% - Accent3 4 5" xfId="8330"/>
    <cellStyle name="20% - Accent3 5" xfId="385"/>
    <cellStyle name="20% - Accent3 5 2" xfId="8331"/>
    <cellStyle name="20% - Accent3 5 2 2" xfId="8332"/>
    <cellStyle name="20% - Accent3 5 3" xfId="8333"/>
    <cellStyle name="20% - Accent3 5 3 2" xfId="8334"/>
    <cellStyle name="20% - Accent3 5 4" xfId="8335"/>
    <cellStyle name="20% - Accent4 2" xfId="28"/>
    <cellStyle name="20% - Accent4 2 2" xfId="253"/>
    <cellStyle name="20% - Accent4 2 2 2" xfId="8336"/>
    <cellStyle name="20% - Accent4 2 2 2 2" xfId="8337"/>
    <cellStyle name="20% - Accent4 2 2 3" xfId="8338"/>
    <cellStyle name="20% - Accent4 2 2 3 2" xfId="8339"/>
    <cellStyle name="20% - Accent4 2 2 4" xfId="8340"/>
    <cellStyle name="20% - Accent4 2 2 5" xfId="8341"/>
    <cellStyle name="20% - Accent4 2 2 6" xfId="8188"/>
    <cellStyle name="20% - Accent4 2 3" xfId="8342"/>
    <cellStyle name="20% - Accent4 2 3 2" xfId="8343"/>
    <cellStyle name="20% - Accent4 2 4" xfId="8344"/>
    <cellStyle name="20% - Accent4 2 4 2" xfId="8345"/>
    <cellStyle name="20% - Accent4 2 5" xfId="8346"/>
    <cellStyle name="20% - Accent4 2 5 2" xfId="8347"/>
    <cellStyle name="20% - Accent4 2 6" xfId="8187"/>
    <cellStyle name="20% - Accent4 3" xfId="254"/>
    <cellStyle name="20% - Accent4 3 2" xfId="386"/>
    <cellStyle name="20% - Accent4 3 2 2" xfId="8348"/>
    <cellStyle name="20% - Accent4 3 2 2 2" xfId="8349"/>
    <cellStyle name="20% - Accent4 3 2 3" xfId="8350"/>
    <cellStyle name="20% - Accent4 3 2 3 2" xfId="8351"/>
    <cellStyle name="20% - Accent4 3 2 4" xfId="8352"/>
    <cellStyle name="20% - Accent4 3 3" xfId="8353"/>
    <cellStyle name="20% - Accent4 3 3 2" xfId="8354"/>
    <cellStyle name="20% - Accent4 3 4" xfId="8355"/>
    <cellStyle name="20% - Accent4 3 4 2" xfId="8356"/>
    <cellStyle name="20% - Accent4 3 5" xfId="8357"/>
    <cellStyle name="20% - Accent4 4" xfId="387"/>
    <cellStyle name="20% - Accent4 4 2" xfId="388"/>
    <cellStyle name="20% - Accent4 4 2 2" xfId="8358"/>
    <cellStyle name="20% - Accent4 4 2 2 2" xfId="8359"/>
    <cellStyle name="20% - Accent4 4 2 3" xfId="8360"/>
    <cellStyle name="20% - Accent4 4 2 3 2" xfId="8361"/>
    <cellStyle name="20% - Accent4 4 2 4" xfId="8362"/>
    <cellStyle name="20% - Accent4 4 3" xfId="8363"/>
    <cellStyle name="20% - Accent4 4 3 2" xfId="8364"/>
    <cellStyle name="20% - Accent4 4 4" xfId="8365"/>
    <cellStyle name="20% - Accent4 4 4 2" xfId="8366"/>
    <cellStyle name="20% - Accent4 4 5" xfId="8367"/>
    <cellStyle name="20% - Accent4 5" xfId="389"/>
    <cellStyle name="20% - Accent4 5 2" xfId="8368"/>
    <cellStyle name="20% - Accent4 5 2 2" xfId="8369"/>
    <cellStyle name="20% - Accent4 5 3" xfId="8370"/>
    <cellStyle name="20% - Accent4 5 3 2" xfId="8371"/>
    <cellStyle name="20% - Accent4 5 4" xfId="8372"/>
    <cellStyle name="20% - Accent5 2" xfId="29"/>
    <cellStyle name="20% - Accent5 2 2" xfId="390"/>
    <cellStyle name="20% - Accent5 2 2 2" xfId="8373"/>
    <cellStyle name="20% - Accent5 2 2 2 2" xfId="8374"/>
    <cellStyle name="20% - Accent5 2 2 3" xfId="8375"/>
    <cellStyle name="20% - Accent5 2 2 3 2" xfId="8376"/>
    <cellStyle name="20% - Accent5 2 2 4" xfId="8377"/>
    <cellStyle name="20% - Accent5 2 3" xfId="8378"/>
    <cellStyle name="20% - Accent5 2 3 2" xfId="8379"/>
    <cellStyle name="20% - Accent5 2 4" xfId="8380"/>
    <cellStyle name="20% - Accent5 2 4 2" xfId="8381"/>
    <cellStyle name="20% - Accent5 2 5" xfId="8382"/>
    <cellStyle name="20% - Accent5 2 5 2" xfId="8383"/>
    <cellStyle name="20% - Accent5 3" xfId="255"/>
    <cellStyle name="20% - Accent5 3 2" xfId="391"/>
    <cellStyle name="20% - Accent5 3 2 2" xfId="8384"/>
    <cellStyle name="20% - Accent5 3 2 2 2" xfId="8385"/>
    <cellStyle name="20% - Accent5 3 2 3" xfId="8386"/>
    <cellStyle name="20% - Accent5 3 2 3 2" xfId="8387"/>
    <cellStyle name="20% - Accent5 3 2 4" xfId="8388"/>
    <cellStyle name="20% - Accent5 3 3" xfId="8389"/>
    <cellStyle name="20% - Accent5 3 3 2" xfId="8390"/>
    <cellStyle name="20% - Accent5 3 4" xfId="8391"/>
    <cellStyle name="20% - Accent5 3 4 2" xfId="8392"/>
    <cellStyle name="20% - Accent5 3 5" xfId="8393"/>
    <cellStyle name="20% - Accent5 4" xfId="392"/>
    <cellStyle name="20% - Accent5 4 2" xfId="393"/>
    <cellStyle name="20% - Accent5 4 2 2" xfId="8394"/>
    <cellStyle name="20% - Accent5 4 2 2 2" xfId="8395"/>
    <cellStyle name="20% - Accent5 4 2 3" xfId="8396"/>
    <cellStyle name="20% - Accent5 4 2 3 2" xfId="8397"/>
    <cellStyle name="20% - Accent5 4 2 4" xfId="8398"/>
    <cellStyle name="20% - Accent5 4 3" xfId="8399"/>
    <cellStyle name="20% - Accent5 4 3 2" xfId="8400"/>
    <cellStyle name="20% - Accent5 4 4" xfId="8401"/>
    <cellStyle name="20% - Accent5 4 4 2" xfId="8402"/>
    <cellStyle name="20% - Accent5 4 5" xfId="8403"/>
    <cellStyle name="20% - Accent5 5" xfId="394"/>
    <cellStyle name="20% - Accent5 5 2" xfId="8404"/>
    <cellStyle name="20% - Accent5 5 2 2" xfId="8405"/>
    <cellStyle name="20% - Accent5 5 3" xfId="8406"/>
    <cellStyle name="20% - Accent5 5 3 2" xfId="8407"/>
    <cellStyle name="20% - Accent5 5 4" xfId="8408"/>
    <cellStyle name="20% - Accent6 2" xfId="30"/>
    <cellStyle name="20% - Accent6 2 2" xfId="395"/>
    <cellStyle name="20% - Accent6 2 2 2" xfId="8409"/>
    <cellStyle name="20% - Accent6 2 2 2 2" xfId="8410"/>
    <cellStyle name="20% - Accent6 2 2 3" xfId="8411"/>
    <cellStyle name="20% - Accent6 2 2 3 2" xfId="8412"/>
    <cellStyle name="20% - Accent6 2 2 4" xfId="8413"/>
    <cellStyle name="20% - Accent6 2 3" xfId="8414"/>
    <cellStyle name="20% - Accent6 2 3 2" xfId="8415"/>
    <cellStyle name="20% - Accent6 2 4" xfId="8416"/>
    <cellStyle name="20% - Accent6 2 4 2" xfId="8417"/>
    <cellStyle name="20% - Accent6 2 5" xfId="8418"/>
    <cellStyle name="20% - Accent6 2 5 2" xfId="8419"/>
    <cellStyle name="20% - Accent6 3" xfId="256"/>
    <cellStyle name="20% - Accent6 3 2" xfId="396"/>
    <cellStyle name="20% - Accent6 3 2 2" xfId="8420"/>
    <cellStyle name="20% - Accent6 3 2 2 2" xfId="8421"/>
    <cellStyle name="20% - Accent6 3 2 3" xfId="8422"/>
    <cellStyle name="20% - Accent6 3 2 3 2" xfId="8423"/>
    <cellStyle name="20% - Accent6 3 2 4" xfId="8424"/>
    <cellStyle name="20% - Accent6 3 3" xfId="8425"/>
    <cellStyle name="20% - Accent6 3 3 2" xfId="8426"/>
    <cellStyle name="20% - Accent6 3 4" xfId="8427"/>
    <cellStyle name="20% - Accent6 3 4 2" xfId="8428"/>
    <cellStyle name="20% - Accent6 3 5" xfId="8429"/>
    <cellStyle name="20% - Accent6 4" xfId="397"/>
    <cellStyle name="20% - Accent6 4 2" xfId="398"/>
    <cellStyle name="20% - Accent6 4 2 2" xfId="8430"/>
    <cellStyle name="20% - Accent6 4 2 2 2" xfId="8431"/>
    <cellStyle name="20% - Accent6 4 2 3" xfId="8432"/>
    <cellStyle name="20% - Accent6 4 2 3 2" xfId="8433"/>
    <cellStyle name="20% - Accent6 4 2 4" xfId="8434"/>
    <cellStyle name="20% - Accent6 4 3" xfId="8435"/>
    <cellStyle name="20% - Accent6 4 3 2" xfId="8436"/>
    <cellStyle name="20% - Accent6 4 4" xfId="8437"/>
    <cellStyle name="20% - Accent6 4 4 2" xfId="8438"/>
    <cellStyle name="20% - Accent6 4 5" xfId="8439"/>
    <cellStyle name="20% - Accent6 5" xfId="399"/>
    <cellStyle name="20% - Accent6 5 2" xfId="8440"/>
    <cellStyle name="20% - Accent6 5 2 2" xfId="8441"/>
    <cellStyle name="20% - Accent6 5 3" xfId="8442"/>
    <cellStyle name="20% - Accent6 5 3 2" xfId="8443"/>
    <cellStyle name="20% - Accent6 5 4" xfId="8444"/>
    <cellStyle name="40% - Accent1 2" xfId="31"/>
    <cellStyle name="40% - Accent1 2 2" xfId="257"/>
    <cellStyle name="40% - Accent1 2 2 2" xfId="8445"/>
    <cellStyle name="40% - Accent1 2 2 2 2" xfId="8446"/>
    <cellStyle name="40% - Accent1 2 2 3" xfId="8447"/>
    <cellStyle name="40% - Accent1 2 2 3 2" xfId="8448"/>
    <cellStyle name="40% - Accent1 2 2 4" xfId="8449"/>
    <cellStyle name="40% - Accent1 2 2 5" xfId="8450"/>
    <cellStyle name="40% - Accent1 2 2 6" xfId="8190"/>
    <cellStyle name="40% - Accent1 2 3" xfId="8451"/>
    <cellStyle name="40% - Accent1 2 3 2" xfId="8452"/>
    <cellStyle name="40% - Accent1 2 4" xfId="8453"/>
    <cellStyle name="40% - Accent1 2 4 2" xfId="8454"/>
    <cellStyle name="40% - Accent1 2 5" xfId="8455"/>
    <cellStyle name="40% - Accent1 2 5 2" xfId="8456"/>
    <cellStyle name="40% - Accent1 2 6" xfId="8189"/>
    <cellStyle name="40% - Accent1 3" xfId="258"/>
    <cellStyle name="40% - Accent1 3 2" xfId="400"/>
    <cellStyle name="40% - Accent1 3 2 2" xfId="8457"/>
    <cellStyle name="40% - Accent1 3 2 2 2" xfId="8458"/>
    <cellStyle name="40% - Accent1 3 2 3" xfId="8459"/>
    <cellStyle name="40% - Accent1 3 2 3 2" xfId="8460"/>
    <cellStyle name="40% - Accent1 3 2 4" xfId="8461"/>
    <cellStyle name="40% - Accent1 3 3" xfId="8462"/>
    <cellStyle name="40% - Accent1 3 3 2" xfId="8463"/>
    <cellStyle name="40% - Accent1 3 4" xfId="8464"/>
    <cellStyle name="40% - Accent1 3 4 2" xfId="8465"/>
    <cellStyle name="40% - Accent1 3 5" xfId="8466"/>
    <cellStyle name="40% - Accent1 4" xfId="401"/>
    <cellStyle name="40% - Accent1 4 2" xfId="402"/>
    <cellStyle name="40% - Accent1 4 2 2" xfId="8467"/>
    <cellStyle name="40% - Accent1 4 2 2 2" xfId="8468"/>
    <cellStyle name="40% - Accent1 4 2 3" xfId="8469"/>
    <cellStyle name="40% - Accent1 4 2 3 2" xfId="8470"/>
    <cellStyle name="40% - Accent1 4 2 4" xfId="8471"/>
    <cellStyle name="40% - Accent1 4 3" xfId="8472"/>
    <cellStyle name="40% - Accent1 4 3 2" xfId="8473"/>
    <cellStyle name="40% - Accent1 4 4" xfId="8474"/>
    <cellStyle name="40% - Accent1 4 4 2" xfId="8475"/>
    <cellStyle name="40% - Accent1 4 5" xfId="8476"/>
    <cellStyle name="40% - Accent1 5" xfId="403"/>
    <cellStyle name="40% - Accent1 5 2" xfId="8477"/>
    <cellStyle name="40% - Accent1 5 2 2" xfId="8478"/>
    <cellStyle name="40% - Accent1 5 3" xfId="8479"/>
    <cellStyle name="40% - Accent1 5 3 2" xfId="8480"/>
    <cellStyle name="40% - Accent1 5 4" xfId="8481"/>
    <cellStyle name="40% - Accent2 2" xfId="32"/>
    <cellStyle name="40% - Accent2 2 2" xfId="259"/>
    <cellStyle name="40% - Accent2 2 2 2" xfId="8482"/>
    <cellStyle name="40% - Accent2 2 2 2 2" xfId="8483"/>
    <cellStyle name="40% - Accent2 2 2 3" xfId="8484"/>
    <cellStyle name="40% - Accent2 2 2 3 2" xfId="8485"/>
    <cellStyle name="40% - Accent2 2 2 4" xfId="8486"/>
    <cellStyle name="40% - Accent2 2 2 5" xfId="8487"/>
    <cellStyle name="40% - Accent2 2 2 6" xfId="8192"/>
    <cellStyle name="40% - Accent2 2 3" xfId="8488"/>
    <cellStyle name="40% - Accent2 2 3 2" xfId="8489"/>
    <cellStyle name="40% - Accent2 2 4" xfId="8490"/>
    <cellStyle name="40% - Accent2 2 4 2" xfId="8491"/>
    <cellStyle name="40% - Accent2 2 5" xfId="8492"/>
    <cellStyle name="40% - Accent2 2 5 2" xfId="8493"/>
    <cellStyle name="40% - Accent2 2 6" xfId="8191"/>
    <cellStyle name="40% - Accent2 3" xfId="260"/>
    <cellStyle name="40% - Accent2 3 2" xfId="404"/>
    <cellStyle name="40% - Accent2 3 2 2" xfId="8494"/>
    <cellStyle name="40% - Accent2 3 2 2 2" xfId="8495"/>
    <cellStyle name="40% - Accent2 3 2 3" xfId="8496"/>
    <cellStyle name="40% - Accent2 3 2 3 2" xfId="8497"/>
    <cellStyle name="40% - Accent2 3 2 4" xfId="8498"/>
    <cellStyle name="40% - Accent2 3 3" xfId="8499"/>
    <cellStyle name="40% - Accent2 3 3 2" xfId="8500"/>
    <cellStyle name="40% - Accent2 3 4" xfId="8501"/>
    <cellStyle name="40% - Accent2 3 4 2" xfId="8502"/>
    <cellStyle name="40% - Accent2 3 5" xfId="8503"/>
    <cellStyle name="40% - Accent2 4" xfId="405"/>
    <cellStyle name="40% - Accent2 4 2" xfId="406"/>
    <cellStyle name="40% - Accent2 4 2 2" xfId="8504"/>
    <cellStyle name="40% - Accent2 4 2 2 2" xfId="8505"/>
    <cellStyle name="40% - Accent2 4 2 3" xfId="8506"/>
    <cellStyle name="40% - Accent2 4 2 3 2" xfId="8507"/>
    <cellStyle name="40% - Accent2 4 2 4" xfId="8508"/>
    <cellStyle name="40% - Accent2 4 3" xfId="8509"/>
    <cellStyle name="40% - Accent2 4 3 2" xfId="8510"/>
    <cellStyle name="40% - Accent2 4 4" xfId="8511"/>
    <cellStyle name="40% - Accent2 4 4 2" xfId="8512"/>
    <cellStyle name="40% - Accent2 4 5" xfId="8513"/>
    <cellStyle name="40% - Accent2 5" xfId="407"/>
    <cellStyle name="40% - Accent2 5 2" xfId="8514"/>
    <cellStyle name="40% - Accent2 5 2 2" xfId="8515"/>
    <cellStyle name="40% - Accent2 5 3" xfId="8516"/>
    <cellStyle name="40% - Accent2 5 3 2" xfId="8517"/>
    <cellStyle name="40% - Accent2 5 4" xfId="8518"/>
    <cellStyle name="40% - Accent3 2" xfId="33"/>
    <cellStyle name="40% - Accent3 2 2" xfId="261"/>
    <cellStyle name="40% - Accent3 2 2 2" xfId="8519"/>
    <cellStyle name="40% - Accent3 2 2 2 2" xfId="8520"/>
    <cellStyle name="40% - Accent3 2 2 3" xfId="8521"/>
    <cellStyle name="40% - Accent3 2 2 3 2" xfId="8522"/>
    <cellStyle name="40% - Accent3 2 2 4" xfId="8523"/>
    <cellStyle name="40% - Accent3 2 2 5" xfId="8524"/>
    <cellStyle name="40% - Accent3 2 2 6" xfId="8194"/>
    <cellStyle name="40% - Accent3 2 3" xfId="8525"/>
    <cellStyle name="40% - Accent3 2 3 2" xfId="8526"/>
    <cellStyle name="40% - Accent3 2 4" xfId="8527"/>
    <cellStyle name="40% - Accent3 2 4 2" xfId="8528"/>
    <cellStyle name="40% - Accent3 2 5" xfId="8529"/>
    <cellStyle name="40% - Accent3 2 5 2" xfId="8530"/>
    <cellStyle name="40% - Accent3 2 6" xfId="8193"/>
    <cellStyle name="40% - Accent3 3" xfId="262"/>
    <cellStyle name="40% - Accent3 3 2" xfId="408"/>
    <cellStyle name="40% - Accent3 3 2 2" xfId="8531"/>
    <cellStyle name="40% - Accent3 3 2 2 2" xfId="8532"/>
    <cellStyle name="40% - Accent3 3 2 3" xfId="8533"/>
    <cellStyle name="40% - Accent3 3 2 3 2" xfId="8534"/>
    <cellStyle name="40% - Accent3 3 2 4" xfId="8535"/>
    <cellStyle name="40% - Accent3 3 3" xfId="8536"/>
    <cellStyle name="40% - Accent3 3 3 2" xfId="8537"/>
    <cellStyle name="40% - Accent3 3 4" xfId="8538"/>
    <cellStyle name="40% - Accent3 3 4 2" xfId="8539"/>
    <cellStyle name="40% - Accent3 3 5" xfId="8540"/>
    <cellStyle name="40% - Accent3 4" xfId="409"/>
    <cellStyle name="40% - Accent3 4 2" xfId="410"/>
    <cellStyle name="40% - Accent3 4 2 2" xfId="8541"/>
    <cellStyle name="40% - Accent3 4 2 2 2" xfId="8542"/>
    <cellStyle name="40% - Accent3 4 2 3" xfId="8543"/>
    <cellStyle name="40% - Accent3 4 2 3 2" xfId="8544"/>
    <cellStyle name="40% - Accent3 4 2 4" xfId="8545"/>
    <cellStyle name="40% - Accent3 4 3" xfId="8546"/>
    <cellStyle name="40% - Accent3 4 3 2" xfId="8547"/>
    <cellStyle name="40% - Accent3 4 4" xfId="8548"/>
    <cellStyle name="40% - Accent3 4 4 2" xfId="8549"/>
    <cellStyle name="40% - Accent3 4 5" xfId="8550"/>
    <cellStyle name="40% - Accent3 5" xfId="411"/>
    <cellStyle name="40% - Accent3 5 2" xfId="8551"/>
    <cellStyle name="40% - Accent3 5 2 2" xfId="8552"/>
    <cellStyle name="40% - Accent3 5 3" xfId="8553"/>
    <cellStyle name="40% - Accent3 5 3 2" xfId="8554"/>
    <cellStyle name="40% - Accent3 5 4" xfId="8555"/>
    <cellStyle name="40% - Accent4 2" xfId="34"/>
    <cellStyle name="40% - Accent4 2 2" xfId="263"/>
    <cellStyle name="40% - Accent4 2 2 2" xfId="8556"/>
    <cellStyle name="40% - Accent4 2 2 2 2" xfId="8557"/>
    <cellStyle name="40% - Accent4 2 2 3" xfId="8558"/>
    <cellStyle name="40% - Accent4 2 2 3 2" xfId="8559"/>
    <cellStyle name="40% - Accent4 2 2 4" xfId="8560"/>
    <cellStyle name="40% - Accent4 2 2 5" xfId="8561"/>
    <cellStyle name="40% - Accent4 2 2 6" xfId="8196"/>
    <cellStyle name="40% - Accent4 2 3" xfId="8562"/>
    <cellStyle name="40% - Accent4 2 3 2" xfId="8563"/>
    <cellStyle name="40% - Accent4 2 4" xfId="8564"/>
    <cellStyle name="40% - Accent4 2 4 2" xfId="8565"/>
    <cellStyle name="40% - Accent4 2 5" xfId="8566"/>
    <cellStyle name="40% - Accent4 2 5 2" xfId="8567"/>
    <cellStyle name="40% - Accent4 2 6" xfId="8195"/>
    <cellStyle name="40% - Accent4 3" xfId="264"/>
    <cellStyle name="40% - Accent4 3 2" xfId="412"/>
    <cellStyle name="40% - Accent4 3 2 2" xfId="8568"/>
    <cellStyle name="40% - Accent4 3 2 2 2" xfId="8569"/>
    <cellStyle name="40% - Accent4 3 2 3" xfId="8570"/>
    <cellStyle name="40% - Accent4 3 2 3 2" xfId="8571"/>
    <cellStyle name="40% - Accent4 3 2 4" xfId="8572"/>
    <cellStyle name="40% - Accent4 3 3" xfId="8573"/>
    <cellStyle name="40% - Accent4 3 3 2" xfId="8574"/>
    <cellStyle name="40% - Accent4 3 4" xfId="8575"/>
    <cellStyle name="40% - Accent4 3 4 2" xfId="8576"/>
    <cellStyle name="40% - Accent4 3 5" xfId="8577"/>
    <cellStyle name="40% - Accent4 4" xfId="413"/>
    <cellStyle name="40% - Accent4 4 2" xfId="414"/>
    <cellStyle name="40% - Accent4 4 2 2" xfId="8578"/>
    <cellStyle name="40% - Accent4 4 2 2 2" xfId="8579"/>
    <cellStyle name="40% - Accent4 4 2 3" xfId="8580"/>
    <cellStyle name="40% - Accent4 4 2 3 2" xfId="8581"/>
    <cellStyle name="40% - Accent4 4 2 4" xfId="8582"/>
    <cellStyle name="40% - Accent4 4 3" xfId="8583"/>
    <cellStyle name="40% - Accent4 4 3 2" xfId="8584"/>
    <cellStyle name="40% - Accent4 4 4" xfId="8585"/>
    <cellStyle name="40% - Accent4 4 4 2" xfId="8586"/>
    <cellStyle name="40% - Accent4 4 5" xfId="8587"/>
    <cellStyle name="40% - Accent4 5" xfId="415"/>
    <cellStyle name="40% - Accent4 5 2" xfId="8588"/>
    <cellStyle name="40% - Accent4 5 2 2" xfId="8589"/>
    <cellStyle name="40% - Accent4 5 3" xfId="8590"/>
    <cellStyle name="40% - Accent4 5 3 2" xfId="8591"/>
    <cellStyle name="40% - Accent4 5 4" xfId="8592"/>
    <cellStyle name="40% - Accent5 2" xfId="35"/>
    <cellStyle name="40% - Accent5 2 2" xfId="416"/>
    <cellStyle name="40% - Accent5 2 2 2" xfId="8593"/>
    <cellStyle name="40% - Accent5 2 2 2 2" xfId="8594"/>
    <cellStyle name="40% - Accent5 2 2 3" xfId="8595"/>
    <cellStyle name="40% - Accent5 2 2 3 2" xfId="8596"/>
    <cellStyle name="40% - Accent5 2 2 4" xfId="8597"/>
    <cellStyle name="40% - Accent5 2 3" xfId="8598"/>
    <cellStyle name="40% - Accent5 2 3 2" xfId="8599"/>
    <cellStyle name="40% - Accent5 2 4" xfId="8600"/>
    <cellStyle name="40% - Accent5 2 4 2" xfId="8601"/>
    <cellStyle name="40% - Accent5 2 5" xfId="8602"/>
    <cellStyle name="40% - Accent5 2 5 2" xfId="8603"/>
    <cellStyle name="40% - Accent5 3" xfId="265"/>
    <cellStyle name="40% - Accent5 3 2" xfId="417"/>
    <cellStyle name="40% - Accent5 3 2 2" xfId="8604"/>
    <cellStyle name="40% - Accent5 3 2 2 2" xfId="8605"/>
    <cellStyle name="40% - Accent5 3 2 3" xfId="8606"/>
    <cellStyle name="40% - Accent5 3 2 3 2" xfId="8607"/>
    <cellStyle name="40% - Accent5 3 2 4" xfId="8608"/>
    <cellStyle name="40% - Accent5 3 3" xfId="8609"/>
    <cellStyle name="40% - Accent5 3 3 2" xfId="8610"/>
    <cellStyle name="40% - Accent5 3 4" xfId="8611"/>
    <cellStyle name="40% - Accent5 3 4 2" xfId="8612"/>
    <cellStyle name="40% - Accent5 3 5" xfId="8613"/>
    <cellStyle name="40% - Accent5 4" xfId="418"/>
    <cellStyle name="40% - Accent5 4 2" xfId="419"/>
    <cellStyle name="40% - Accent5 4 2 2" xfId="8614"/>
    <cellStyle name="40% - Accent5 4 2 2 2" xfId="8615"/>
    <cellStyle name="40% - Accent5 4 2 3" xfId="8616"/>
    <cellStyle name="40% - Accent5 4 2 3 2" xfId="8617"/>
    <cellStyle name="40% - Accent5 4 2 4" xfId="8618"/>
    <cellStyle name="40% - Accent5 4 3" xfId="8619"/>
    <cellStyle name="40% - Accent5 4 3 2" xfId="8620"/>
    <cellStyle name="40% - Accent5 4 4" xfId="8621"/>
    <cellStyle name="40% - Accent5 4 4 2" xfId="8622"/>
    <cellStyle name="40% - Accent5 4 5" xfId="8623"/>
    <cellStyle name="40% - Accent5 5" xfId="420"/>
    <cellStyle name="40% - Accent5 5 2" xfId="8624"/>
    <cellStyle name="40% - Accent5 5 2 2" xfId="8625"/>
    <cellStyle name="40% - Accent5 5 3" xfId="8626"/>
    <cellStyle name="40% - Accent5 5 3 2" xfId="8627"/>
    <cellStyle name="40% - Accent5 5 4" xfId="8628"/>
    <cellStyle name="40% - Accent6 2" xfId="36"/>
    <cellStyle name="40% - Accent6 2 2" xfId="266"/>
    <cellStyle name="40% - Accent6 2 2 2" xfId="8629"/>
    <cellStyle name="40% - Accent6 2 2 2 2" xfId="8630"/>
    <cellStyle name="40% - Accent6 2 2 3" xfId="8631"/>
    <cellStyle name="40% - Accent6 2 2 3 2" xfId="8632"/>
    <cellStyle name="40% - Accent6 2 2 4" xfId="8633"/>
    <cellStyle name="40% - Accent6 2 2 5" xfId="8634"/>
    <cellStyle name="40% - Accent6 2 2 6" xfId="8198"/>
    <cellStyle name="40% - Accent6 2 3" xfId="8635"/>
    <cellStyle name="40% - Accent6 2 3 2" xfId="8636"/>
    <cellStyle name="40% - Accent6 2 4" xfId="8637"/>
    <cellStyle name="40% - Accent6 2 4 2" xfId="8638"/>
    <cellStyle name="40% - Accent6 2 5" xfId="8639"/>
    <cellStyle name="40% - Accent6 2 5 2" xfId="8640"/>
    <cellStyle name="40% - Accent6 2 6" xfId="8197"/>
    <cellStyle name="40% - Accent6 3" xfId="267"/>
    <cellStyle name="40% - Accent6 3 2" xfId="421"/>
    <cellStyle name="40% - Accent6 3 2 2" xfId="8641"/>
    <cellStyle name="40% - Accent6 3 2 2 2" xfId="8642"/>
    <cellStyle name="40% - Accent6 3 2 3" xfId="8643"/>
    <cellStyle name="40% - Accent6 3 2 3 2" xfId="8644"/>
    <cellStyle name="40% - Accent6 3 2 4" xfId="8645"/>
    <cellStyle name="40% - Accent6 3 3" xfId="8646"/>
    <cellStyle name="40% - Accent6 3 3 2" xfId="8647"/>
    <cellStyle name="40% - Accent6 3 4" xfId="8648"/>
    <cellStyle name="40% - Accent6 3 4 2" xfId="8649"/>
    <cellStyle name="40% - Accent6 3 5" xfId="8650"/>
    <cellStyle name="40% - Accent6 4" xfId="422"/>
    <cellStyle name="40% - Accent6 4 2" xfId="423"/>
    <cellStyle name="40% - Accent6 4 2 2" xfId="8651"/>
    <cellStyle name="40% - Accent6 4 2 2 2" xfId="8652"/>
    <cellStyle name="40% - Accent6 4 2 3" xfId="8653"/>
    <cellStyle name="40% - Accent6 4 2 3 2" xfId="8654"/>
    <cellStyle name="40% - Accent6 4 2 4" xfId="8655"/>
    <cellStyle name="40% - Accent6 4 3" xfId="8656"/>
    <cellStyle name="40% - Accent6 4 3 2" xfId="8657"/>
    <cellStyle name="40% - Accent6 4 4" xfId="8658"/>
    <cellStyle name="40% - Accent6 4 4 2" xfId="8659"/>
    <cellStyle name="40% - Accent6 4 5" xfId="8660"/>
    <cellStyle name="40% - Accent6 5" xfId="424"/>
    <cellStyle name="40% - Accent6 5 2" xfId="8661"/>
    <cellStyle name="40% - Accent6 5 2 2" xfId="8662"/>
    <cellStyle name="40% - Accent6 5 3" xfId="8663"/>
    <cellStyle name="40% - Accent6 5 3 2" xfId="8664"/>
    <cellStyle name="40% - Accent6 5 4" xfId="8665"/>
    <cellStyle name="60% - Accent1 2" xfId="37"/>
    <cellStyle name="60% - Accent1 2 2" xfId="268"/>
    <cellStyle name="60% - Accent1 3" xfId="269"/>
    <cellStyle name="60% - Accent2 2" xfId="38"/>
    <cellStyle name="60% - Accent2 2 2" xfId="270"/>
    <cellStyle name="60% - Accent2 3" xfId="271"/>
    <cellStyle name="60% - Accent3 2" xfId="39"/>
    <cellStyle name="60% - Accent3 2 2" xfId="272"/>
    <cellStyle name="60% - Accent3 3" xfId="273"/>
    <cellStyle name="60% - Accent4 2" xfId="40"/>
    <cellStyle name="60% - Accent4 2 2" xfId="274"/>
    <cellStyle name="60% - Accent4 3" xfId="275"/>
    <cellStyle name="60% - Accent5 2" xfId="41"/>
    <cellStyle name="60% - Accent5 3" xfId="276"/>
    <cellStyle name="60% - Accent6 2" xfId="42"/>
    <cellStyle name="60% - Accent6 2 2" xfId="277"/>
    <cellStyle name="60% - Accent6 3" xfId="278"/>
    <cellStyle name="Accent1 - 20%" xfId="43"/>
    <cellStyle name="Accent1 - 40%" xfId="44"/>
    <cellStyle name="Accent1 - 60%" xfId="45"/>
    <cellStyle name="Accent1 2" xfId="46"/>
    <cellStyle name="Accent1 2 2" xfId="279"/>
    <cellStyle name="Accent1 3" xfId="280"/>
    <cellStyle name="Accent2 - 20%" xfId="47"/>
    <cellStyle name="Accent2 - 40%" xfId="48"/>
    <cellStyle name="Accent2 - 60%" xfId="49"/>
    <cellStyle name="Accent2 2" xfId="50"/>
    <cellStyle name="Accent2 3" xfId="281"/>
    <cellStyle name="Accent3 - 20%" xfId="51"/>
    <cellStyle name="Accent3 - 40%" xfId="52"/>
    <cellStyle name="Accent3 - 60%" xfId="53"/>
    <cellStyle name="Accent3 2" xfId="54"/>
    <cellStyle name="Accent3 2 2" xfId="282"/>
    <cellStyle name="Accent3 3" xfId="283"/>
    <cellStyle name="Accent4 - 20%" xfId="55"/>
    <cellStyle name="Accent4 - 40%" xfId="56"/>
    <cellStyle name="Accent4 - 60%" xfId="57"/>
    <cellStyle name="Accent4 2" xfId="58"/>
    <cellStyle name="Accent4 2 2" xfId="284"/>
    <cellStyle name="Accent4 3" xfId="285"/>
    <cellStyle name="Accent5 - 20%" xfId="59"/>
    <cellStyle name="Accent5 - 40%" xfId="60"/>
    <cellStyle name="Accent5 - 60%" xfId="61"/>
    <cellStyle name="Accent5 2" xfId="62"/>
    <cellStyle name="Accent5 3" xfId="286"/>
    <cellStyle name="Accent6 - 20%" xfId="63"/>
    <cellStyle name="Accent6 - 40%" xfId="64"/>
    <cellStyle name="Accent6 - 60%" xfId="65"/>
    <cellStyle name="Accent6 2" xfId="66"/>
    <cellStyle name="Accent6 3" xfId="287"/>
    <cellStyle name="Bad" xfId="9185" builtinId="27"/>
    <cellStyle name="Bad 2" xfId="67"/>
    <cellStyle name="Bad 2 2" xfId="288"/>
    <cellStyle name="Bad 3" xfId="289"/>
    <cellStyle name="Calculation 2" xfId="68"/>
    <cellStyle name="Calculation 2 2" xfId="290"/>
    <cellStyle name="Calculation 2 2 2" xfId="8222"/>
    <cellStyle name="Calculation 2 2 3" xfId="9171"/>
    <cellStyle name="Calculation 2 3" xfId="8219"/>
    <cellStyle name="Calculation 2 4" xfId="9117"/>
    <cellStyle name="Calculation 3" xfId="291"/>
    <cellStyle name="Calculation 3 2" xfId="8223"/>
    <cellStyle name="Calculation 3 3" xfId="9172"/>
    <cellStyle name="Calculation 4" xfId="425"/>
    <cellStyle name="Check Cell 2" xfId="69"/>
    <cellStyle name="Check Cell 3" xfId="292"/>
    <cellStyle name="Comma" xfId="1" builtinId="3"/>
    <cellStyle name="Comma [0] 2" xfId="70"/>
    <cellStyle name="Comma 10" xfId="16"/>
    <cellStyle name="Comma 10 2" xfId="8666"/>
    <cellStyle name="Comma 11" xfId="426"/>
    <cellStyle name="Comma 11 2" xfId="8667"/>
    <cellStyle name="Comma 12" xfId="7"/>
    <cellStyle name="Comma 12 2" xfId="8668"/>
    <cellStyle name="Comma 13" xfId="8159"/>
    <cellStyle name="Comma 14" xfId="8161"/>
    <cellStyle name="Comma 15" xfId="8167"/>
    <cellStyle name="Comma 16" xfId="8163"/>
    <cellStyle name="Comma 17" xfId="8225"/>
    <cellStyle name="Comma 18" xfId="8221"/>
    <cellStyle name="Comma 19" xfId="9107"/>
    <cellStyle name="Comma 2" xfId="71"/>
    <cellStyle name="Comma 2 2" xfId="72"/>
    <cellStyle name="Comma 2 2 2" xfId="73"/>
    <cellStyle name="Comma 2 2 2 2" xfId="8669"/>
    <cellStyle name="Comma 2 2 3" xfId="293"/>
    <cellStyle name="Comma 2 2 3 2" xfId="427"/>
    <cellStyle name="Comma 2 2 3 2 2" xfId="8670"/>
    <cellStyle name="Comma 2 2 3 2 2 2" xfId="8671"/>
    <cellStyle name="Comma 2 2 3 2 3" xfId="8672"/>
    <cellStyle name="Comma 2 2 3 2 3 2" xfId="8673"/>
    <cellStyle name="Comma 2 2 3 2 4" xfId="8674"/>
    <cellStyle name="Comma 2 2 3 3" xfId="8675"/>
    <cellStyle name="Comma 2 2 3 3 2" xfId="8676"/>
    <cellStyle name="Comma 2 2 3 4" xfId="8677"/>
    <cellStyle name="Comma 2 2 3 4 2" xfId="8678"/>
    <cellStyle name="Comma 2 2 3 5" xfId="8679"/>
    <cellStyle name="Comma 2 2 3 6" xfId="8680"/>
    <cellStyle name="Comma 2 2 4" xfId="428"/>
    <cellStyle name="Comma 2 2 4 2" xfId="429"/>
    <cellStyle name="Comma 2 2 4 2 2" xfId="8681"/>
    <cellStyle name="Comma 2 2 4 2 2 2" xfId="8682"/>
    <cellStyle name="Comma 2 2 4 2 3" xfId="8683"/>
    <cellStyle name="Comma 2 2 4 2 3 2" xfId="8684"/>
    <cellStyle name="Comma 2 2 4 2 4" xfId="8685"/>
    <cellStyle name="Comma 2 2 4 3" xfId="8686"/>
    <cellStyle name="Comma 2 2 4 3 2" xfId="8687"/>
    <cellStyle name="Comma 2 2 4 4" xfId="8688"/>
    <cellStyle name="Comma 2 2 4 4 2" xfId="8689"/>
    <cellStyle name="Comma 2 2 4 5" xfId="8690"/>
    <cellStyle name="Comma 2 2 5" xfId="430"/>
    <cellStyle name="Comma 2 2 5 2" xfId="431"/>
    <cellStyle name="Comma 2 2 5 2 2" xfId="8691"/>
    <cellStyle name="Comma 2 2 5 2 2 2" xfId="8692"/>
    <cellStyle name="Comma 2 2 5 2 3" xfId="8693"/>
    <cellStyle name="Comma 2 2 5 2 3 2" xfId="8694"/>
    <cellStyle name="Comma 2 2 5 2 4" xfId="8695"/>
    <cellStyle name="Comma 2 2 5 3" xfId="8696"/>
    <cellStyle name="Comma 2 2 5 3 2" xfId="8697"/>
    <cellStyle name="Comma 2 2 5 4" xfId="8698"/>
    <cellStyle name="Comma 2 2 5 4 2" xfId="8699"/>
    <cellStyle name="Comma 2 2 5 5" xfId="8700"/>
    <cellStyle name="Comma 2 2 6" xfId="432"/>
    <cellStyle name="Comma 2 2 6 2" xfId="433"/>
    <cellStyle name="Comma 2 2 6 2 2" xfId="8701"/>
    <cellStyle name="Comma 2 2 6 2 2 2" xfId="8702"/>
    <cellStyle name="Comma 2 2 6 2 3" xfId="8703"/>
    <cellStyle name="Comma 2 2 6 2 3 2" xfId="8704"/>
    <cellStyle name="Comma 2 2 6 2 4" xfId="8705"/>
    <cellStyle name="Comma 2 2 6 3" xfId="8706"/>
    <cellStyle name="Comma 2 2 6 3 2" xfId="8707"/>
    <cellStyle name="Comma 2 2 6 4" xfId="8708"/>
    <cellStyle name="Comma 2 2 6 4 2" xfId="8709"/>
    <cellStyle name="Comma 2 2 6 5" xfId="8710"/>
    <cellStyle name="Comma 2 2 7" xfId="434"/>
    <cellStyle name="Comma 2 2 7 2" xfId="8711"/>
    <cellStyle name="Comma 2 2 7 2 2" xfId="8712"/>
    <cellStyle name="Comma 2 2 7 3" xfId="8713"/>
    <cellStyle name="Comma 2 2 7 3 2" xfId="8714"/>
    <cellStyle name="Comma 2 2 7 4" xfId="8715"/>
    <cellStyle name="Comma 2 2 8" xfId="435"/>
    <cellStyle name="Comma 2 2 9" xfId="8716"/>
    <cellStyle name="Comma 2 3" xfId="74"/>
    <cellStyle name="Comma 2 3 2" xfId="436"/>
    <cellStyle name="Comma 2 3 2 2" xfId="9165"/>
    <cellStyle name="Comma 2 3 3" xfId="9144"/>
    <cellStyle name="Comma 2 4" xfId="294"/>
    <cellStyle name="Comma 2 4 2" xfId="437"/>
    <cellStyle name="Comma 2 5" xfId="295"/>
    <cellStyle name="Comma 2 5 2" xfId="8199"/>
    <cellStyle name="Comma 20" xfId="8216"/>
    <cellStyle name="Comma 21" xfId="9106"/>
    <cellStyle name="Comma 22" xfId="9105"/>
    <cellStyle name="Comma 23" xfId="9122"/>
    <cellStyle name="Comma 24" xfId="9179"/>
    <cellStyle name="Comma 3" xfId="75"/>
    <cellStyle name="Comma 3 10" xfId="438"/>
    <cellStyle name="Comma 3 11" xfId="8717"/>
    <cellStyle name="Comma 3 2" xfId="76"/>
    <cellStyle name="Comma 3 2 2" xfId="77"/>
    <cellStyle name="Comma 3 2 2 2" xfId="8718"/>
    <cellStyle name="Comma 3 2 3" xfId="296"/>
    <cellStyle name="Comma 3 2 4" xfId="439"/>
    <cellStyle name="Comma 3 3" xfId="78"/>
    <cellStyle name="Comma 3 3 2" xfId="79"/>
    <cellStyle name="Comma 3 3 2 2" xfId="8719"/>
    <cellStyle name="Comma 3 3 2 2 2" xfId="8720"/>
    <cellStyle name="Comma 3 3 2 3" xfId="8721"/>
    <cellStyle name="Comma 3 3 2 3 2" xfId="8722"/>
    <cellStyle name="Comma 3 3 2 4" xfId="8723"/>
    <cellStyle name="Comma 3 3 2 5" xfId="8724"/>
    <cellStyle name="Comma 3 3 2 6" xfId="8201"/>
    <cellStyle name="Comma 3 3 3" xfId="80"/>
    <cellStyle name="Comma 3 3 3 2" xfId="8725"/>
    <cellStyle name="Comma 3 3 3 2 2" xfId="8726"/>
    <cellStyle name="Comma 3 3 3 3" xfId="8727"/>
    <cellStyle name="Comma 3 3 3 3 2" xfId="8728"/>
    <cellStyle name="Comma 3 3 3 4" xfId="8729"/>
    <cellStyle name="Comma 3 3 4" xfId="81"/>
    <cellStyle name="Comma 3 3 5" xfId="8200"/>
    <cellStyle name="Comma 3 4" xfId="297"/>
    <cellStyle name="Comma 3 4 2" xfId="440"/>
    <cellStyle name="Comma 3 4 2 2" xfId="8730"/>
    <cellStyle name="Comma 3 4 2 2 2" xfId="8731"/>
    <cellStyle name="Comma 3 4 2 3" xfId="8732"/>
    <cellStyle name="Comma 3 4 2 3 2" xfId="8733"/>
    <cellStyle name="Comma 3 4 2 4" xfId="8734"/>
    <cellStyle name="Comma 3 4 3" xfId="8735"/>
    <cellStyle name="Comma 3 4 3 2" xfId="8736"/>
    <cellStyle name="Comma 3 4 4" xfId="8737"/>
    <cellStyle name="Comma 3 4 4 2" xfId="8738"/>
    <cellStyle name="Comma 3 4 5" xfId="8739"/>
    <cellStyle name="Comma 3 4 6" xfId="8740"/>
    <cellStyle name="Comma 3 5" xfId="441"/>
    <cellStyle name="Comma 3 5 2" xfId="442"/>
    <cellStyle name="Comma 3 5 2 2" xfId="8741"/>
    <cellStyle name="Comma 3 5 2 2 2" xfId="8742"/>
    <cellStyle name="Comma 3 5 2 3" xfId="8743"/>
    <cellStyle name="Comma 3 5 2 3 2" xfId="8744"/>
    <cellStyle name="Comma 3 5 2 4" xfId="8745"/>
    <cellStyle name="Comma 3 5 3" xfId="8746"/>
    <cellStyle name="Comma 3 5 3 2" xfId="8747"/>
    <cellStyle name="Comma 3 5 4" xfId="8748"/>
    <cellStyle name="Comma 3 5 4 2" xfId="8749"/>
    <cellStyle name="Comma 3 5 5" xfId="8750"/>
    <cellStyle name="Comma 3 6" xfId="443"/>
    <cellStyle name="Comma 3 6 2" xfId="444"/>
    <cellStyle name="Comma 3 6 2 2" xfId="8751"/>
    <cellStyle name="Comma 3 6 2 2 2" xfId="8752"/>
    <cellStyle name="Comma 3 6 2 3" xfId="8753"/>
    <cellStyle name="Comma 3 6 2 3 2" xfId="8754"/>
    <cellStyle name="Comma 3 6 2 4" xfId="8755"/>
    <cellStyle name="Comma 3 6 3" xfId="8756"/>
    <cellStyle name="Comma 3 6 3 2" xfId="8757"/>
    <cellStyle name="Comma 3 6 4" xfId="8758"/>
    <cellStyle name="Comma 3 6 4 2" xfId="8759"/>
    <cellStyle name="Comma 3 6 5" xfId="8760"/>
    <cellStyle name="Comma 3 7" xfId="445"/>
    <cellStyle name="Comma 3 8" xfId="446"/>
    <cellStyle name="Comma 3 8 2" xfId="8761"/>
    <cellStyle name="Comma 3 8 2 2" xfId="8762"/>
    <cellStyle name="Comma 3 8 3" xfId="8763"/>
    <cellStyle name="Comma 3 8 3 2" xfId="8764"/>
    <cellStyle name="Comma 3 8 4" xfId="8765"/>
    <cellStyle name="Comma 3 9" xfId="447"/>
    <cellStyle name="Comma 4" xfId="82"/>
    <cellStyle name="Comma 4 2" xfId="83"/>
    <cellStyle name="Comma 4 2 2" xfId="84"/>
    <cellStyle name="Comma 4 3" xfId="85"/>
    <cellStyle name="Comma 5" xfId="86"/>
    <cellStyle name="Comma 5 2" xfId="87"/>
    <cellStyle name="Comma 5 3" xfId="88"/>
    <cellStyle name="Comma 6" xfId="89"/>
    <cellStyle name="Comma 6 2" xfId="8202"/>
    <cellStyle name="Comma 7" xfId="90"/>
    <cellStyle name="Comma 7 2" xfId="8203"/>
    <cellStyle name="Comma 8" xfId="91"/>
    <cellStyle name="Comma 8 2" xfId="8204"/>
    <cellStyle name="Comma 9" xfId="448"/>
    <cellStyle name="Currency 2" xfId="17"/>
    <cellStyle name="Currency 2 2" xfId="92"/>
    <cellStyle name="Currency 2 2 2" xfId="93"/>
    <cellStyle name="Currency 2 2 2 2" xfId="8766"/>
    <cellStyle name="Currency 2 2 3" xfId="298"/>
    <cellStyle name="Currency 2 2 4" xfId="449"/>
    <cellStyle name="Currency 2 3" xfId="94"/>
    <cellStyle name="Currency 2 3 2" xfId="450"/>
    <cellStyle name="Currency 2 3 2 2" xfId="8767"/>
    <cellStyle name="Currency 2 4" xfId="299"/>
    <cellStyle name="Currency 2 5" xfId="300"/>
    <cellStyle name="Currency 2 5 2" xfId="8205"/>
    <cellStyle name="Currency 2 6" xfId="451"/>
    <cellStyle name="Currency 2 7" xfId="9128"/>
    <cellStyle name="Currency 20" xfId="9113"/>
    <cellStyle name="Currency 3" xfId="95"/>
    <cellStyle name="Currency 3 2" xfId="96"/>
    <cellStyle name="Currency 3 2 2" xfId="97"/>
    <cellStyle name="Currency 3 2 2 2" xfId="8768"/>
    <cellStyle name="Currency 3 2 3" xfId="301"/>
    <cellStyle name="Currency 3 2 4" xfId="452"/>
    <cellStyle name="Currency 3 3" xfId="98"/>
    <cellStyle name="Currency 3 3 2" xfId="8769"/>
    <cellStyle name="Currency 3 4" xfId="302"/>
    <cellStyle name="Currency 3 4 2" xfId="453"/>
    <cellStyle name="Currency 3 5" xfId="454"/>
    <cellStyle name="Currency 3 6" xfId="8770"/>
    <cellStyle name="Currency 4" xfId="99"/>
    <cellStyle name="Currency 4 2" xfId="455"/>
    <cellStyle name="Currency 4 3" xfId="456"/>
    <cellStyle name="Currency 5" xfId="100"/>
    <cellStyle name="Currency 5 2" xfId="101"/>
    <cellStyle name="Currency 5 2 2" xfId="102"/>
    <cellStyle name="Currency 5 2 2 2" xfId="8771"/>
    <cellStyle name="Currency 5 2 3" xfId="8772"/>
    <cellStyle name="Currency 5 2 3 2" xfId="8773"/>
    <cellStyle name="Currency 5 2 4" xfId="8774"/>
    <cellStyle name="Currency 5 2 5" xfId="8775"/>
    <cellStyle name="Currency 5 3" xfId="103"/>
    <cellStyle name="Currency 5 3 2" xfId="8776"/>
    <cellStyle name="Currency 5 4" xfId="8777"/>
    <cellStyle name="Currency 5 4 2" xfId="8778"/>
    <cellStyle name="Currency 5 5" xfId="8779"/>
    <cellStyle name="Currency 5 6" xfId="8780"/>
    <cellStyle name="Currency 6" xfId="104"/>
    <cellStyle name="Currency 6 2" xfId="105"/>
    <cellStyle name="Currency 6 3" xfId="8206"/>
    <cellStyle name="Currency 7" xfId="106"/>
    <cellStyle name="Currency 7 2" xfId="107"/>
    <cellStyle name="Currency 7 3" xfId="8207"/>
    <cellStyle name="Currency 8" xfId="108"/>
    <cellStyle name="Current_Gen" xfId="9110"/>
    <cellStyle name="CurrentYrInput" xfId="8164"/>
    <cellStyle name="Data Field" xfId="18"/>
    <cellStyle name="Data Field 2" xfId="109"/>
    <cellStyle name="Data Field 2 2" xfId="110"/>
    <cellStyle name="Data Field 2 2 2" xfId="8781"/>
    <cellStyle name="Data Field 2 3" xfId="303"/>
    <cellStyle name="Data Field 2 4" xfId="457"/>
    <cellStyle name="Data Field 3" xfId="111"/>
    <cellStyle name="Data Field 3 2" xfId="8782"/>
    <cellStyle name="Data Field 4" xfId="304"/>
    <cellStyle name="Data Field 4 2" xfId="458"/>
    <cellStyle name="Data Field 5" xfId="459"/>
    <cellStyle name="Data Field 6" xfId="8783"/>
    <cellStyle name="Data Name" xfId="19"/>
    <cellStyle name="Data Name 2" xfId="460"/>
    <cellStyle name="Data Name 2 2" xfId="461"/>
    <cellStyle name="Data Name 2 3" xfId="462"/>
    <cellStyle name="Data Name 3" xfId="463"/>
    <cellStyle name="Data Name 4" xfId="464"/>
    <cellStyle name="Date/Time" xfId="20"/>
    <cellStyle name="Emphasis 1" xfId="112"/>
    <cellStyle name="Emphasis 2" xfId="113"/>
    <cellStyle name="Emphasis 3" xfId="114"/>
    <cellStyle name="Explanatory Text 2" xfId="115"/>
    <cellStyle name="Explanatory Text 3" xfId="305"/>
    <cellStyle name="Good" xfId="4" builtinId="26"/>
    <cellStyle name="Good 2" xfId="116"/>
    <cellStyle name="Good 3" xfId="306"/>
    <cellStyle name="Heading" xfId="21"/>
    <cellStyle name="Heading 1" xfId="9184" builtinId="16"/>
    <cellStyle name="Heading 1 2" xfId="117"/>
    <cellStyle name="Heading 1 2 2" xfId="307"/>
    <cellStyle name="Heading 1 3" xfId="308"/>
    <cellStyle name="Heading 2" xfId="3" builtinId="17"/>
    <cellStyle name="Heading 2 2" xfId="118"/>
    <cellStyle name="Heading 2 2 2" xfId="465"/>
    <cellStyle name="Heading 2 2 2 2" xfId="8784"/>
    <cellStyle name="Heading 2 2 2 3" xfId="9180"/>
    <cellStyle name="Heading 2 2 3" xfId="8208"/>
    <cellStyle name="Heading 2 2 4" xfId="9114"/>
    <cellStyle name="Heading 2 3" xfId="119"/>
    <cellStyle name="Heading 2 3 2" xfId="8785"/>
    <cellStyle name="Heading 2 4" xfId="466"/>
    <cellStyle name="Heading 3 2" xfId="120"/>
    <cellStyle name="Heading 3 2 2" xfId="309"/>
    <cellStyle name="Heading 3 3" xfId="310"/>
    <cellStyle name="Heading 4 2" xfId="121"/>
    <cellStyle name="Heading 4 2 2" xfId="311"/>
    <cellStyle name="Heading 4 3" xfId="312"/>
    <cellStyle name="Hyperlink" xfId="9112" builtinId="8"/>
    <cellStyle name="Hyperlink 10" xfId="8160"/>
    <cellStyle name="Hyperlink 11" xfId="9123"/>
    <cellStyle name="Hyperlink 2" xfId="122"/>
    <cellStyle name="Hyperlink 2 2" xfId="123"/>
    <cellStyle name="Hyperlink 2 2 2" xfId="124"/>
    <cellStyle name="Hyperlink 2 2 2 2" xfId="8209"/>
    <cellStyle name="Hyperlink 2 2 3" xfId="9129"/>
    <cellStyle name="Hyperlink 2 3" xfId="467"/>
    <cellStyle name="Hyperlink 2 3 2" xfId="9143"/>
    <cellStyle name="Hyperlink 2 4" xfId="9125"/>
    <cellStyle name="Hyperlink 2_ResWXMF_FY10v2_0" xfId="125"/>
    <cellStyle name="Hyperlink 3" xfId="126"/>
    <cellStyle name="Hyperlink 3 2" xfId="127"/>
    <cellStyle name="Hyperlink 3 2 2" xfId="128"/>
    <cellStyle name="Hyperlink 3 3" xfId="8786"/>
    <cellStyle name="Hyperlink 4" xfId="129"/>
    <cellStyle name="Hyperlink 4 2" xfId="8787"/>
    <cellStyle name="Hyperlink 4 2 2" xfId="8788"/>
    <cellStyle name="Hyperlink 4 3" xfId="8789"/>
    <cellStyle name="Hyperlink 4 4" xfId="8790"/>
    <cellStyle name="Hyperlink 4 5" xfId="9104"/>
    <cellStyle name="Hyperlink 5" xfId="130"/>
    <cellStyle name="Hyperlink 6" xfId="131"/>
    <cellStyle name="Hyperlink 7" xfId="132"/>
    <cellStyle name="Hyperlink 8" xfId="133"/>
    <cellStyle name="Hyperlink 9" xfId="247"/>
    <cellStyle name="Input 2" xfId="134"/>
    <cellStyle name="Input 2 2" xfId="8220"/>
    <cellStyle name="Input 2 3" xfId="9118"/>
    <cellStyle name="Input 3" xfId="313"/>
    <cellStyle name="Input 3 2" xfId="8224"/>
    <cellStyle name="Input 3 3" xfId="9145"/>
    <cellStyle name="Input 3 4" xfId="9173"/>
    <cellStyle name="Linked Cell" xfId="9109" builtinId="24"/>
    <cellStyle name="Linked Cell 2" xfId="135"/>
    <cellStyle name="Linked Cell 3" xfId="314"/>
    <cellStyle name="Neutral 2" xfId="136"/>
    <cellStyle name="Neutral 3" xfId="315"/>
    <cellStyle name="Next_Gen" xfId="9111"/>
    <cellStyle name="Normal" xfId="0" builtinId="0"/>
    <cellStyle name="Normal 10" xfId="137"/>
    <cellStyle name="Normal 10 2" xfId="138"/>
    <cellStyle name="Normal 10 2 2" xfId="8791"/>
    <cellStyle name="Normal 10 2 3" xfId="8210"/>
    <cellStyle name="Normal 10 2 4" xfId="9160"/>
    <cellStyle name="Normal 10 3" xfId="468"/>
    <cellStyle name="Normal 10 3 2" xfId="469"/>
    <cellStyle name="Normal 10 4" xfId="470"/>
    <cellStyle name="Normal 10 5" xfId="471"/>
    <cellStyle name="Normal 10 6" xfId="9138"/>
    <cellStyle name="Normal 11" xfId="139"/>
    <cellStyle name="Normal 11 2" xfId="472"/>
    <cellStyle name="Normal 11 2 2" xfId="9163"/>
    <cellStyle name="Normal 11 3" xfId="9141"/>
    <cellStyle name="Normal 12" xfId="140"/>
    <cellStyle name="Normal 12 2" xfId="473"/>
    <cellStyle name="Normal 12 2 2" xfId="9164"/>
    <cellStyle name="Normal 12 3" xfId="9142"/>
    <cellStyle name="Normal 13" xfId="13"/>
    <cellStyle name="Normal 13 2" xfId="141"/>
    <cellStyle name="Normal 13 2 2" xfId="8792"/>
    <cellStyle name="Normal 13 2 2 2" xfId="8793"/>
    <cellStyle name="Normal 13 2 3" xfId="8211"/>
    <cellStyle name="Normal 13 3" xfId="142"/>
    <cellStyle name="Normal 13 3 2" xfId="8794"/>
    <cellStyle name="Normal 14" xfId="143"/>
    <cellStyle name="Normal 14 2" xfId="23"/>
    <cellStyle name="Normal 14 2 2" xfId="144"/>
    <cellStyle name="Normal 14 2 2 2" xfId="8795"/>
    <cellStyle name="Normal 14 2 3" xfId="8796"/>
    <cellStyle name="Normal 14 2 3 2" xfId="8797"/>
    <cellStyle name="Normal 14 2 4" xfId="8798"/>
    <cellStyle name="Normal 14 2 5" xfId="8799"/>
    <cellStyle name="Normal 14 2 6" xfId="9167"/>
    <cellStyle name="Normal 14 3" xfId="5"/>
    <cellStyle name="Normal 14 3 2" xfId="246"/>
    <cellStyle name="Normal 14 3 3" xfId="9169"/>
    <cellStyle name="Normal 14 4" xfId="316"/>
    <cellStyle name="Normal 14 4 2" xfId="9103"/>
    <cellStyle name="Normal 14 5" xfId="474"/>
    <cellStyle name="Normal 14 5 2" xfId="8173"/>
    <cellStyle name="Normal 15" xfId="145"/>
    <cellStyle name="Normal 15 2" xfId="24"/>
    <cellStyle name="Normal 15 2 2" xfId="245"/>
    <cellStyle name="Normal 15 2 2 2" xfId="8800"/>
    <cellStyle name="Normal 15 2 3" xfId="8801"/>
    <cellStyle name="Normal 15 2 3 2" xfId="8802"/>
    <cellStyle name="Normal 15 2 4" xfId="8803"/>
    <cellStyle name="Normal 15 2 5" xfId="8804"/>
    <cellStyle name="Normal 15 2 6" xfId="9168"/>
    <cellStyle name="Normal 15 3" xfId="146"/>
    <cellStyle name="Normal 15 3 2" xfId="8805"/>
    <cellStyle name="Normal 15 4" xfId="147"/>
    <cellStyle name="Normal 15 4 2" xfId="8806"/>
    <cellStyle name="Normal 15 5" xfId="475"/>
    <cellStyle name="Normal 15 5 2" xfId="8807"/>
    <cellStyle name="Normal 15 6" xfId="8808"/>
    <cellStyle name="Normal 15 7" xfId="8809"/>
    <cellStyle name="Normal 15 8" xfId="8182"/>
    <cellStyle name="Normal 16" xfId="148"/>
    <cellStyle name="Normal 16 2" xfId="149"/>
    <cellStyle name="Normal 16 2 2" xfId="8810"/>
    <cellStyle name="Normal 16 3" xfId="150"/>
    <cellStyle name="Normal 16 4" xfId="476"/>
    <cellStyle name="Normal 17" xfId="151"/>
    <cellStyle name="Normal 17 2" xfId="152"/>
    <cellStyle name="Normal 17 3" xfId="477"/>
    <cellStyle name="Normal 17 3 2" xfId="8811"/>
    <cellStyle name="Normal 17 4" xfId="8812"/>
    <cellStyle name="Normal 18" xfId="153"/>
    <cellStyle name="Normal 18 2" xfId="478"/>
    <cellStyle name="Normal 18 2 2" xfId="8813"/>
    <cellStyle name="Normal 18 3" xfId="8212"/>
    <cellStyle name="Normal 19" xfId="15"/>
    <cellStyle name="Normal 19 2" xfId="479"/>
    <cellStyle name="Normal 2" xfId="154"/>
    <cellStyle name="Normal 2 10" xfId="480"/>
    <cellStyle name="Normal 2 10 10" xfId="481"/>
    <cellStyle name="Normal 2 10 10 2" xfId="482"/>
    <cellStyle name="Normal 2 10 10 2 2" xfId="483"/>
    <cellStyle name="Normal 2 10 10 3" xfId="484"/>
    <cellStyle name="Normal 2 10 11" xfId="485"/>
    <cellStyle name="Normal 2 10 11 2" xfId="486"/>
    <cellStyle name="Normal 2 10 11 2 2" xfId="487"/>
    <cellStyle name="Normal 2 10 11 3" xfId="488"/>
    <cellStyle name="Normal 2 10 12" xfId="489"/>
    <cellStyle name="Normal 2 10 12 2" xfId="490"/>
    <cellStyle name="Normal 2 10 12 2 2" xfId="491"/>
    <cellStyle name="Normal 2 10 12 3" xfId="492"/>
    <cellStyle name="Normal 2 10 13" xfId="493"/>
    <cellStyle name="Normal 2 10 13 2" xfId="494"/>
    <cellStyle name="Normal 2 10 13 2 2" xfId="495"/>
    <cellStyle name="Normal 2 10 13 3" xfId="496"/>
    <cellStyle name="Normal 2 10 14" xfId="497"/>
    <cellStyle name="Normal 2 10 14 2" xfId="498"/>
    <cellStyle name="Normal 2 10 14 2 2" xfId="499"/>
    <cellStyle name="Normal 2 10 14 3" xfId="500"/>
    <cellStyle name="Normal 2 10 15" xfId="501"/>
    <cellStyle name="Normal 2 10 15 2" xfId="502"/>
    <cellStyle name="Normal 2 10 15 2 2" xfId="503"/>
    <cellStyle name="Normal 2 10 15 3" xfId="504"/>
    <cellStyle name="Normal 2 10 16" xfId="505"/>
    <cellStyle name="Normal 2 10 16 2" xfId="506"/>
    <cellStyle name="Normal 2 10 16 2 2" xfId="507"/>
    <cellStyle name="Normal 2 10 16 3" xfId="508"/>
    <cellStyle name="Normal 2 10 17" xfId="509"/>
    <cellStyle name="Normal 2 10 17 2" xfId="510"/>
    <cellStyle name="Normal 2 10 17 2 2" xfId="511"/>
    <cellStyle name="Normal 2 10 17 3" xfId="512"/>
    <cellStyle name="Normal 2 10 18" xfId="513"/>
    <cellStyle name="Normal 2 10 18 2" xfId="514"/>
    <cellStyle name="Normal 2 10 18 2 2" xfId="515"/>
    <cellStyle name="Normal 2 10 18 3" xfId="516"/>
    <cellStyle name="Normal 2 10 19" xfId="517"/>
    <cellStyle name="Normal 2 10 19 2" xfId="518"/>
    <cellStyle name="Normal 2 10 19 2 2" xfId="519"/>
    <cellStyle name="Normal 2 10 19 3" xfId="520"/>
    <cellStyle name="Normal 2 10 2" xfId="521"/>
    <cellStyle name="Normal 2 10 2 2" xfId="522"/>
    <cellStyle name="Normal 2 10 2 2 2" xfId="523"/>
    <cellStyle name="Normal 2 10 2 2 3" xfId="8815"/>
    <cellStyle name="Normal 2 10 2 3" xfId="524"/>
    <cellStyle name="Normal 2 10 2 4" xfId="8814"/>
    <cellStyle name="Normal 2 10 20" xfId="525"/>
    <cellStyle name="Normal 2 10 20 2" xfId="526"/>
    <cellStyle name="Normal 2 10 20 2 2" xfId="527"/>
    <cellStyle name="Normal 2 10 20 3" xfId="528"/>
    <cellStyle name="Normal 2 10 21" xfId="529"/>
    <cellStyle name="Normal 2 10 21 2" xfId="530"/>
    <cellStyle name="Normal 2 10 21 2 2" xfId="531"/>
    <cellStyle name="Normal 2 10 21 3" xfId="532"/>
    <cellStyle name="Normal 2 10 22" xfId="533"/>
    <cellStyle name="Normal 2 10 22 2" xfId="534"/>
    <cellStyle name="Normal 2 10 22 2 2" xfId="535"/>
    <cellStyle name="Normal 2 10 22 3" xfId="536"/>
    <cellStyle name="Normal 2 10 23" xfId="537"/>
    <cellStyle name="Normal 2 10 23 2" xfId="538"/>
    <cellStyle name="Normal 2 10 23 2 2" xfId="539"/>
    <cellStyle name="Normal 2 10 23 3" xfId="540"/>
    <cellStyle name="Normal 2 10 24" xfId="541"/>
    <cellStyle name="Normal 2 10 24 2" xfId="542"/>
    <cellStyle name="Normal 2 10 25" xfId="543"/>
    <cellStyle name="Normal 2 10 3" xfId="544"/>
    <cellStyle name="Normal 2 10 3 2" xfId="545"/>
    <cellStyle name="Normal 2 10 3 2 2" xfId="546"/>
    <cellStyle name="Normal 2 10 3 2 3" xfId="8817"/>
    <cellStyle name="Normal 2 10 3 3" xfId="547"/>
    <cellStyle name="Normal 2 10 3 4" xfId="8816"/>
    <cellStyle name="Normal 2 10 4" xfId="548"/>
    <cellStyle name="Normal 2 10 4 2" xfId="549"/>
    <cellStyle name="Normal 2 10 4 2 2" xfId="550"/>
    <cellStyle name="Normal 2 10 4 3" xfId="551"/>
    <cellStyle name="Normal 2 10 4 4" xfId="8818"/>
    <cellStyle name="Normal 2 10 5" xfId="552"/>
    <cellStyle name="Normal 2 10 5 2" xfId="553"/>
    <cellStyle name="Normal 2 10 5 2 2" xfId="554"/>
    <cellStyle name="Normal 2 10 5 3" xfId="555"/>
    <cellStyle name="Normal 2 10 6" xfId="556"/>
    <cellStyle name="Normal 2 10 6 2" xfId="557"/>
    <cellStyle name="Normal 2 10 6 2 2" xfId="558"/>
    <cellStyle name="Normal 2 10 6 3" xfId="559"/>
    <cellStyle name="Normal 2 10 7" xfId="560"/>
    <cellStyle name="Normal 2 10 7 2" xfId="561"/>
    <cellStyle name="Normal 2 10 7 2 2" xfId="562"/>
    <cellStyle name="Normal 2 10 7 3" xfId="563"/>
    <cellStyle name="Normal 2 10 8" xfId="564"/>
    <cellStyle name="Normal 2 10 8 2" xfId="565"/>
    <cellStyle name="Normal 2 10 8 2 2" xfId="566"/>
    <cellStyle name="Normal 2 10 8 3" xfId="567"/>
    <cellStyle name="Normal 2 10 9" xfId="568"/>
    <cellStyle name="Normal 2 10 9 2" xfId="569"/>
    <cellStyle name="Normal 2 10 9 2 2" xfId="570"/>
    <cellStyle name="Normal 2 10 9 3" xfId="571"/>
    <cellStyle name="Normal 2 100" xfId="572"/>
    <cellStyle name="Normal 2 100 2" xfId="573"/>
    <cellStyle name="Normal 2 100 3" xfId="574"/>
    <cellStyle name="Normal 2 101" xfId="575"/>
    <cellStyle name="Normal 2 101 2" xfId="576"/>
    <cellStyle name="Normal 2 101 3" xfId="577"/>
    <cellStyle name="Normal 2 102" xfId="578"/>
    <cellStyle name="Normal 2 103" xfId="579"/>
    <cellStyle name="Normal 2 104" xfId="580"/>
    <cellStyle name="Normal 2 105" xfId="581"/>
    <cellStyle name="Normal 2 106" xfId="582"/>
    <cellStyle name="Normal 2 107" xfId="583"/>
    <cellStyle name="Normal 2 108" xfId="584"/>
    <cellStyle name="Normal 2 109" xfId="585"/>
    <cellStyle name="Normal 2 11" xfId="586"/>
    <cellStyle name="Normal 2 11 10" xfId="587"/>
    <cellStyle name="Normal 2 11 10 2" xfId="588"/>
    <cellStyle name="Normal 2 11 10 2 2" xfId="589"/>
    <cellStyle name="Normal 2 11 10 3" xfId="590"/>
    <cellStyle name="Normal 2 11 11" xfId="591"/>
    <cellStyle name="Normal 2 11 11 2" xfId="592"/>
    <cellStyle name="Normal 2 11 11 2 2" xfId="593"/>
    <cellStyle name="Normal 2 11 11 3" xfId="594"/>
    <cellStyle name="Normal 2 11 12" xfId="595"/>
    <cellStyle name="Normal 2 11 12 2" xfId="596"/>
    <cellStyle name="Normal 2 11 12 2 2" xfId="597"/>
    <cellStyle name="Normal 2 11 12 3" xfId="598"/>
    <cellStyle name="Normal 2 11 13" xfId="599"/>
    <cellStyle name="Normal 2 11 13 2" xfId="600"/>
    <cellStyle name="Normal 2 11 13 2 2" xfId="601"/>
    <cellStyle name="Normal 2 11 13 3" xfId="602"/>
    <cellStyle name="Normal 2 11 14" xfId="603"/>
    <cellStyle name="Normal 2 11 14 2" xfId="604"/>
    <cellStyle name="Normal 2 11 14 2 2" xfId="605"/>
    <cellStyle name="Normal 2 11 14 3" xfId="606"/>
    <cellStyle name="Normal 2 11 15" xfId="607"/>
    <cellStyle name="Normal 2 11 15 2" xfId="608"/>
    <cellStyle name="Normal 2 11 15 2 2" xfId="609"/>
    <cellStyle name="Normal 2 11 15 3" xfId="610"/>
    <cellStyle name="Normal 2 11 16" xfId="611"/>
    <cellStyle name="Normal 2 11 16 2" xfId="612"/>
    <cellStyle name="Normal 2 11 16 2 2" xfId="613"/>
    <cellStyle name="Normal 2 11 16 3" xfId="614"/>
    <cellStyle name="Normal 2 11 17" xfId="615"/>
    <cellStyle name="Normal 2 11 17 2" xfId="616"/>
    <cellStyle name="Normal 2 11 17 2 2" xfId="617"/>
    <cellStyle name="Normal 2 11 17 3" xfId="618"/>
    <cellStyle name="Normal 2 11 18" xfId="619"/>
    <cellStyle name="Normal 2 11 18 2" xfId="620"/>
    <cellStyle name="Normal 2 11 18 2 2" xfId="621"/>
    <cellStyle name="Normal 2 11 18 3" xfId="622"/>
    <cellStyle name="Normal 2 11 19" xfId="623"/>
    <cellStyle name="Normal 2 11 19 2" xfId="624"/>
    <cellStyle name="Normal 2 11 19 2 2" xfId="625"/>
    <cellStyle name="Normal 2 11 19 3" xfId="626"/>
    <cellStyle name="Normal 2 11 2" xfId="627"/>
    <cellStyle name="Normal 2 11 2 2" xfId="628"/>
    <cellStyle name="Normal 2 11 2 2 2" xfId="629"/>
    <cellStyle name="Normal 2 11 2 3" xfId="630"/>
    <cellStyle name="Normal 2 11 20" xfId="631"/>
    <cellStyle name="Normal 2 11 20 2" xfId="632"/>
    <cellStyle name="Normal 2 11 20 2 2" xfId="633"/>
    <cellStyle name="Normal 2 11 20 3" xfId="634"/>
    <cellStyle name="Normal 2 11 21" xfId="635"/>
    <cellStyle name="Normal 2 11 21 2" xfId="636"/>
    <cellStyle name="Normal 2 11 21 2 2" xfId="637"/>
    <cellStyle name="Normal 2 11 21 3" xfId="638"/>
    <cellStyle name="Normal 2 11 22" xfId="639"/>
    <cellStyle name="Normal 2 11 22 2" xfId="640"/>
    <cellStyle name="Normal 2 11 22 2 2" xfId="641"/>
    <cellStyle name="Normal 2 11 22 3" xfId="642"/>
    <cellStyle name="Normal 2 11 23" xfId="643"/>
    <cellStyle name="Normal 2 11 23 2" xfId="644"/>
    <cellStyle name="Normal 2 11 23 2 2" xfId="645"/>
    <cellStyle name="Normal 2 11 23 3" xfId="646"/>
    <cellStyle name="Normal 2 11 24" xfId="647"/>
    <cellStyle name="Normal 2 11 24 2" xfId="648"/>
    <cellStyle name="Normal 2 11 25" xfId="649"/>
    <cellStyle name="Normal 2 11 3" xfId="650"/>
    <cellStyle name="Normal 2 11 3 2" xfId="651"/>
    <cellStyle name="Normal 2 11 3 2 2" xfId="652"/>
    <cellStyle name="Normal 2 11 3 3" xfId="653"/>
    <cellStyle name="Normal 2 11 4" xfId="654"/>
    <cellStyle name="Normal 2 11 4 2" xfId="655"/>
    <cellStyle name="Normal 2 11 4 2 2" xfId="656"/>
    <cellStyle name="Normal 2 11 4 3" xfId="657"/>
    <cellStyle name="Normal 2 11 5" xfId="658"/>
    <cellStyle name="Normal 2 11 5 2" xfId="659"/>
    <cellStyle name="Normal 2 11 5 2 2" xfId="660"/>
    <cellStyle name="Normal 2 11 5 3" xfId="661"/>
    <cellStyle name="Normal 2 11 6" xfId="662"/>
    <cellStyle name="Normal 2 11 6 2" xfId="663"/>
    <cellStyle name="Normal 2 11 6 2 2" xfId="664"/>
    <cellStyle name="Normal 2 11 6 3" xfId="665"/>
    <cellStyle name="Normal 2 11 7" xfId="666"/>
    <cellStyle name="Normal 2 11 7 2" xfId="667"/>
    <cellStyle name="Normal 2 11 7 2 2" xfId="668"/>
    <cellStyle name="Normal 2 11 7 3" xfId="669"/>
    <cellStyle name="Normal 2 11 8" xfId="670"/>
    <cellStyle name="Normal 2 11 8 2" xfId="671"/>
    <cellStyle name="Normal 2 11 8 2 2" xfId="672"/>
    <cellStyle name="Normal 2 11 8 3" xfId="673"/>
    <cellStyle name="Normal 2 11 9" xfId="674"/>
    <cellStyle name="Normal 2 11 9 2" xfId="675"/>
    <cellStyle name="Normal 2 11 9 2 2" xfId="676"/>
    <cellStyle name="Normal 2 11 9 3" xfId="677"/>
    <cellStyle name="Normal 2 110" xfId="9124"/>
    <cellStyle name="Normal 2 12" xfId="678"/>
    <cellStyle name="Normal 2 12 10" xfId="679"/>
    <cellStyle name="Normal 2 12 10 2" xfId="680"/>
    <cellStyle name="Normal 2 12 10 2 2" xfId="681"/>
    <cellStyle name="Normal 2 12 10 3" xfId="682"/>
    <cellStyle name="Normal 2 12 11" xfId="683"/>
    <cellStyle name="Normal 2 12 11 2" xfId="684"/>
    <cellStyle name="Normal 2 12 11 2 2" xfId="685"/>
    <cellStyle name="Normal 2 12 11 3" xfId="686"/>
    <cellStyle name="Normal 2 12 12" xfId="687"/>
    <cellStyle name="Normal 2 12 12 2" xfId="688"/>
    <cellStyle name="Normal 2 12 12 2 2" xfId="689"/>
    <cellStyle name="Normal 2 12 12 3" xfId="690"/>
    <cellStyle name="Normal 2 12 13" xfId="691"/>
    <cellStyle name="Normal 2 12 13 2" xfId="692"/>
    <cellStyle name="Normal 2 12 13 2 2" xfId="693"/>
    <cellStyle name="Normal 2 12 13 3" xfId="694"/>
    <cellStyle name="Normal 2 12 14" xfId="695"/>
    <cellStyle name="Normal 2 12 14 2" xfId="696"/>
    <cellStyle name="Normal 2 12 14 2 2" xfId="697"/>
    <cellStyle name="Normal 2 12 14 3" xfId="698"/>
    <cellStyle name="Normal 2 12 15" xfId="699"/>
    <cellStyle name="Normal 2 12 15 2" xfId="700"/>
    <cellStyle name="Normal 2 12 15 2 2" xfId="701"/>
    <cellStyle name="Normal 2 12 15 3" xfId="702"/>
    <cellStyle name="Normal 2 12 16" xfId="703"/>
    <cellStyle name="Normal 2 12 16 2" xfId="704"/>
    <cellStyle name="Normal 2 12 16 2 2" xfId="705"/>
    <cellStyle name="Normal 2 12 16 3" xfId="706"/>
    <cellStyle name="Normal 2 12 17" xfId="707"/>
    <cellStyle name="Normal 2 12 17 2" xfId="708"/>
    <cellStyle name="Normal 2 12 17 2 2" xfId="709"/>
    <cellStyle name="Normal 2 12 17 3" xfId="710"/>
    <cellStyle name="Normal 2 12 18" xfId="711"/>
    <cellStyle name="Normal 2 12 18 2" xfId="712"/>
    <cellStyle name="Normal 2 12 18 2 2" xfId="713"/>
    <cellStyle name="Normal 2 12 18 3" xfId="714"/>
    <cellStyle name="Normal 2 12 19" xfId="715"/>
    <cellStyle name="Normal 2 12 19 2" xfId="716"/>
    <cellStyle name="Normal 2 12 19 2 2" xfId="717"/>
    <cellStyle name="Normal 2 12 19 3" xfId="718"/>
    <cellStyle name="Normal 2 12 2" xfId="719"/>
    <cellStyle name="Normal 2 12 2 2" xfId="720"/>
    <cellStyle name="Normal 2 12 2 2 2" xfId="721"/>
    <cellStyle name="Normal 2 12 2 2 3" xfId="8820"/>
    <cellStyle name="Normal 2 12 2 3" xfId="722"/>
    <cellStyle name="Normal 2 12 2 4" xfId="8819"/>
    <cellStyle name="Normal 2 12 20" xfId="723"/>
    <cellStyle name="Normal 2 12 20 2" xfId="724"/>
    <cellStyle name="Normal 2 12 20 2 2" xfId="725"/>
    <cellStyle name="Normal 2 12 20 3" xfId="726"/>
    <cellStyle name="Normal 2 12 21" xfId="727"/>
    <cellStyle name="Normal 2 12 21 2" xfId="728"/>
    <cellStyle name="Normal 2 12 21 2 2" xfId="729"/>
    <cellStyle name="Normal 2 12 21 3" xfId="730"/>
    <cellStyle name="Normal 2 12 22" xfId="731"/>
    <cellStyle name="Normal 2 12 22 2" xfId="732"/>
    <cellStyle name="Normal 2 12 22 2 2" xfId="733"/>
    <cellStyle name="Normal 2 12 22 3" xfId="734"/>
    <cellStyle name="Normal 2 12 23" xfId="735"/>
    <cellStyle name="Normal 2 12 23 2" xfId="736"/>
    <cellStyle name="Normal 2 12 23 2 2" xfId="737"/>
    <cellStyle name="Normal 2 12 23 3" xfId="738"/>
    <cellStyle name="Normal 2 12 24" xfId="739"/>
    <cellStyle name="Normal 2 12 24 2" xfId="740"/>
    <cellStyle name="Normal 2 12 25" xfId="741"/>
    <cellStyle name="Normal 2 12 3" xfId="742"/>
    <cellStyle name="Normal 2 12 3 2" xfId="743"/>
    <cellStyle name="Normal 2 12 3 2 2" xfId="744"/>
    <cellStyle name="Normal 2 12 3 2 3" xfId="8822"/>
    <cellStyle name="Normal 2 12 3 3" xfId="745"/>
    <cellStyle name="Normal 2 12 3 4" xfId="8821"/>
    <cellStyle name="Normal 2 12 4" xfId="746"/>
    <cellStyle name="Normal 2 12 4 2" xfId="747"/>
    <cellStyle name="Normal 2 12 4 2 2" xfId="748"/>
    <cellStyle name="Normal 2 12 4 3" xfId="749"/>
    <cellStyle name="Normal 2 12 4 4" xfId="8823"/>
    <cellStyle name="Normal 2 12 5" xfId="750"/>
    <cellStyle name="Normal 2 12 5 2" xfId="751"/>
    <cellStyle name="Normal 2 12 5 2 2" xfId="752"/>
    <cellStyle name="Normal 2 12 5 3" xfId="753"/>
    <cellStyle name="Normal 2 12 6" xfId="754"/>
    <cellStyle name="Normal 2 12 6 2" xfId="755"/>
    <cellStyle name="Normal 2 12 6 2 2" xfId="756"/>
    <cellStyle name="Normal 2 12 6 3" xfId="757"/>
    <cellStyle name="Normal 2 12 7" xfId="758"/>
    <cellStyle name="Normal 2 12 7 2" xfId="759"/>
    <cellStyle name="Normal 2 12 7 2 2" xfId="760"/>
    <cellStyle name="Normal 2 12 7 3" xfId="761"/>
    <cellStyle name="Normal 2 12 8" xfId="762"/>
    <cellStyle name="Normal 2 12 8 2" xfId="763"/>
    <cellStyle name="Normal 2 12 8 2 2" xfId="764"/>
    <cellStyle name="Normal 2 12 8 3" xfId="765"/>
    <cellStyle name="Normal 2 12 9" xfId="766"/>
    <cellStyle name="Normal 2 12 9 2" xfId="767"/>
    <cellStyle name="Normal 2 12 9 2 2" xfId="768"/>
    <cellStyle name="Normal 2 12 9 3" xfId="769"/>
    <cellStyle name="Normal 2 13" xfId="770"/>
    <cellStyle name="Normal 2 13 10" xfId="771"/>
    <cellStyle name="Normal 2 13 10 2" xfId="772"/>
    <cellStyle name="Normal 2 13 10 2 2" xfId="773"/>
    <cellStyle name="Normal 2 13 10 3" xfId="774"/>
    <cellStyle name="Normal 2 13 11" xfId="775"/>
    <cellStyle name="Normal 2 13 11 2" xfId="776"/>
    <cellStyle name="Normal 2 13 11 2 2" xfId="777"/>
    <cellStyle name="Normal 2 13 11 3" xfId="778"/>
    <cellStyle name="Normal 2 13 12" xfId="779"/>
    <cellStyle name="Normal 2 13 12 2" xfId="780"/>
    <cellStyle name="Normal 2 13 12 2 2" xfId="781"/>
    <cellStyle name="Normal 2 13 12 3" xfId="782"/>
    <cellStyle name="Normal 2 13 13" xfId="783"/>
    <cellStyle name="Normal 2 13 13 2" xfId="784"/>
    <cellStyle name="Normal 2 13 13 2 2" xfId="785"/>
    <cellStyle name="Normal 2 13 13 3" xfId="786"/>
    <cellStyle name="Normal 2 13 14" xfId="787"/>
    <cellStyle name="Normal 2 13 14 2" xfId="788"/>
    <cellStyle name="Normal 2 13 14 2 2" xfId="789"/>
    <cellStyle name="Normal 2 13 14 3" xfId="790"/>
    <cellStyle name="Normal 2 13 15" xfId="791"/>
    <cellStyle name="Normal 2 13 15 2" xfId="792"/>
    <cellStyle name="Normal 2 13 15 2 2" xfId="793"/>
    <cellStyle name="Normal 2 13 15 3" xfId="794"/>
    <cellStyle name="Normal 2 13 16" xfId="795"/>
    <cellStyle name="Normal 2 13 16 2" xfId="796"/>
    <cellStyle name="Normal 2 13 16 2 2" xfId="797"/>
    <cellStyle name="Normal 2 13 16 3" xfId="798"/>
    <cellStyle name="Normal 2 13 17" xfId="799"/>
    <cellStyle name="Normal 2 13 17 2" xfId="800"/>
    <cellStyle name="Normal 2 13 17 2 2" xfId="801"/>
    <cellStyle name="Normal 2 13 17 3" xfId="802"/>
    <cellStyle name="Normal 2 13 18" xfId="803"/>
    <cellStyle name="Normal 2 13 18 2" xfId="804"/>
    <cellStyle name="Normal 2 13 18 2 2" xfId="805"/>
    <cellStyle name="Normal 2 13 18 3" xfId="806"/>
    <cellStyle name="Normal 2 13 19" xfId="807"/>
    <cellStyle name="Normal 2 13 19 2" xfId="808"/>
    <cellStyle name="Normal 2 13 19 2 2" xfId="809"/>
    <cellStyle name="Normal 2 13 19 3" xfId="810"/>
    <cellStyle name="Normal 2 13 2" xfId="811"/>
    <cellStyle name="Normal 2 13 2 2" xfId="812"/>
    <cellStyle name="Normal 2 13 2 2 2" xfId="813"/>
    <cellStyle name="Normal 2 13 2 3" xfId="814"/>
    <cellStyle name="Normal 2 13 20" xfId="815"/>
    <cellStyle name="Normal 2 13 20 2" xfId="816"/>
    <cellStyle name="Normal 2 13 20 2 2" xfId="817"/>
    <cellStyle name="Normal 2 13 20 3" xfId="818"/>
    <cellStyle name="Normal 2 13 21" xfId="819"/>
    <cellStyle name="Normal 2 13 21 2" xfId="820"/>
    <cellStyle name="Normal 2 13 21 2 2" xfId="821"/>
    <cellStyle name="Normal 2 13 21 3" xfId="822"/>
    <cellStyle name="Normal 2 13 22" xfId="823"/>
    <cellStyle name="Normal 2 13 22 2" xfId="824"/>
    <cellStyle name="Normal 2 13 22 2 2" xfId="825"/>
    <cellStyle name="Normal 2 13 22 3" xfId="826"/>
    <cellStyle name="Normal 2 13 23" xfId="827"/>
    <cellStyle name="Normal 2 13 23 2" xfId="828"/>
    <cellStyle name="Normal 2 13 23 2 2" xfId="829"/>
    <cellStyle name="Normal 2 13 23 3" xfId="830"/>
    <cellStyle name="Normal 2 13 24" xfId="831"/>
    <cellStyle name="Normal 2 13 24 2" xfId="832"/>
    <cellStyle name="Normal 2 13 25" xfId="833"/>
    <cellStyle name="Normal 2 13 3" xfId="834"/>
    <cellStyle name="Normal 2 13 3 2" xfId="835"/>
    <cellStyle name="Normal 2 13 3 2 2" xfId="836"/>
    <cellStyle name="Normal 2 13 3 3" xfId="837"/>
    <cellStyle name="Normal 2 13 4" xfId="838"/>
    <cellStyle name="Normal 2 13 4 2" xfId="839"/>
    <cellStyle name="Normal 2 13 4 2 2" xfId="840"/>
    <cellStyle name="Normal 2 13 4 3" xfId="841"/>
    <cellStyle name="Normal 2 13 5" xfId="842"/>
    <cellStyle name="Normal 2 13 5 2" xfId="843"/>
    <cellStyle name="Normal 2 13 5 2 2" xfId="844"/>
    <cellStyle name="Normal 2 13 5 3" xfId="845"/>
    <cellStyle name="Normal 2 13 6" xfId="846"/>
    <cellStyle name="Normal 2 13 6 2" xfId="847"/>
    <cellStyle name="Normal 2 13 6 2 2" xfId="848"/>
    <cellStyle name="Normal 2 13 6 3" xfId="849"/>
    <cellStyle name="Normal 2 13 7" xfId="850"/>
    <cellStyle name="Normal 2 13 7 2" xfId="851"/>
    <cellStyle name="Normal 2 13 7 2 2" xfId="852"/>
    <cellStyle name="Normal 2 13 7 3" xfId="853"/>
    <cellStyle name="Normal 2 13 8" xfId="854"/>
    <cellStyle name="Normal 2 13 8 2" xfId="855"/>
    <cellStyle name="Normal 2 13 8 2 2" xfId="856"/>
    <cellStyle name="Normal 2 13 8 3" xfId="857"/>
    <cellStyle name="Normal 2 13 9" xfId="858"/>
    <cellStyle name="Normal 2 13 9 2" xfId="859"/>
    <cellStyle name="Normal 2 13 9 2 2" xfId="860"/>
    <cellStyle name="Normal 2 13 9 3" xfId="861"/>
    <cellStyle name="Normal 2 14" xfId="862"/>
    <cellStyle name="Normal 2 14 10" xfId="863"/>
    <cellStyle name="Normal 2 14 10 2" xfId="864"/>
    <cellStyle name="Normal 2 14 10 2 2" xfId="865"/>
    <cellStyle name="Normal 2 14 10 3" xfId="866"/>
    <cellStyle name="Normal 2 14 11" xfId="867"/>
    <cellStyle name="Normal 2 14 11 2" xfId="868"/>
    <cellStyle name="Normal 2 14 11 2 2" xfId="869"/>
    <cellStyle name="Normal 2 14 11 3" xfId="870"/>
    <cellStyle name="Normal 2 14 12" xfId="871"/>
    <cellStyle name="Normal 2 14 12 2" xfId="872"/>
    <cellStyle name="Normal 2 14 12 2 2" xfId="873"/>
    <cellStyle name="Normal 2 14 12 3" xfId="874"/>
    <cellStyle name="Normal 2 14 13" xfId="875"/>
    <cellStyle name="Normal 2 14 13 2" xfId="876"/>
    <cellStyle name="Normal 2 14 13 2 2" xfId="877"/>
    <cellStyle name="Normal 2 14 13 3" xfId="878"/>
    <cellStyle name="Normal 2 14 14" xfId="879"/>
    <cellStyle name="Normal 2 14 14 2" xfId="880"/>
    <cellStyle name="Normal 2 14 14 2 2" xfId="881"/>
    <cellStyle name="Normal 2 14 14 3" xfId="882"/>
    <cellStyle name="Normal 2 14 15" xfId="883"/>
    <cellStyle name="Normal 2 14 15 2" xfId="884"/>
    <cellStyle name="Normal 2 14 15 2 2" xfId="885"/>
    <cellStyle name="Normal 2 14 15 3" xfId="886"/>
    <cellStyle name="Normal 2 14 16" xfId="887"/>
    <cellStyle name="Normal 2 14 16 2" xfId="888"/>
    <cellStyle name="Normal 2 14 16 2 2" xfId="889"/>
    <cellStyle name="Normal 2 14 16 3" xfId="890"/>
    <cellStyle name="Normal 2 14 17" xfId="891"/>
    <cellStyle name="Normal 2 14 17 2" xfId="892"/>
    <cellStyle name="Normal 2 14 17 2 2" xfId="893"/>
    <cellStyle name="Normal 2 14 17 3" xfId="894"/>
    <cellStyle name="Normal 2 14 18" xfId="895"/>
    <cellStyle name="Normal 2 14 18 2" xfId="896"/>
    <cellStyle name="Normal 2 14 18 2 2" xfId="897"/>
    <cellStyle name="Normal 2 14 18 3" xfId="898"/>
    <cellStyle name="Normal 2 14 19" xfId="899"/>
    <cellStyle name="Normal 2 14 19 2" xfId="900"/>
    <cellStyle name="Normal 2 14 19 2 2" xfId="901"/>
    <cellStyle name="Normal 2 14 19 3" xfId="902"/>
    <cellStyle name="Normal 2 14 2" xfId="903"/>
    <cellStyle name="Normal 2 14 2 2" xfId="904"/>
    <cellStyle name="Normal 2 14 2 2 2" xfId="905"/>
    <cellStyle name="Normal 2 14 2 3" xfId="906"/>
    <cellStyle name="Normal 2 14 20" xfId="907"/>
    <cellStyle name="Normal 2 14 20 2" xfId="908"/>
    <cellStyle name="Normal 2 14 20 2 2" xfId="909"/>
    <cellStyle name="Normal 2 14 20 3" xfId="910"/>
    <cellStyle name="Normal 2 14 21" xfId="911"/>
    <cellStyle name="Normal 2 14 21 2" xfId="912"/>
    <cellStyle name="Normal 2 14 21 2 2" xfId="913"/>
    <cellStyle name="Normal 2 14 21 3" xfId="914"/>
    <cellStyle name="Normal 2 14 22" xfId="915"/>
    <cellStyle name="Normal 2 14 22 2" xfId="916"/>
    <cellStyle name="Normal 2 14 22 2 2" xfId="917"/>
    <cellStyle name="Normal 2 14 22 3" xfId="918"/>
    <cellStyle name="Normal 2 14 23" xfId="919"/>
    <cellStyle name="Normal 2 14 23 2" xfId="920"/>
    <cellStyle name="Normal 2 14 23 2 2" xfId="921"/>
    <cellStyle name="Normal 2 14 23 3" xfId="922"/>
    <cellStyle name="Normal 2 14 24" xfId="923"/>
    <cellStyle name="Normal 2 14 24 2" xfId="924"/>
    <cellStyle name="Normal 2 14 25" xfId="925"/>
    <cellStyle name="Normal 2 14 3" xfId="926"/>
    <cellStyle name="Normal 2 14 3 2" xfId="927"/>
    <cellStyle name="Normal 2 14 3 2 2" xfId="928"/>
    <cellStyle name="Normal 2 14 3 3" xfId="929"/>
    <cellStyle name="Normal 2 14 4" xfId="930"/>
    <cellStyle name="Normal 2 14 4 2" xfId="931"/>
    <cellStyle name="Normal 2 14 4 2 2" xfId="932"/>
    <cellStyle name="Normal 2 14 4 3" xfId="933"/>
    <cellStyle name="Normal 2 14 5" xfId="934"/>
    <cellStyle name="Normal 2 14 5 2" xfId="935"/>
    <cellStyle name="Normal 2 14 5 2 2" xfId="936"/>
    <cellStyle name="Normal 2 14 5 3" xfId="937"/>
    <cellStyle name="Normal 2 14 6" xfId="938"/>
    <cellStyle name="Normal 2 14 6 2" xfId="939"/>
    <cellStyle name="Normal 2 14 6 2 2" xfId="940"/>
    <cellStyle name="Normal 2 14 6 3" xfId="941"/>
    <cellStyle name="Normal 2 14 7" xfId="942"/>
    <cellStyle name="Normal 2 14 7 2" xfId="943"/>
    <cellStyle name="Normal 2 14 7 2 2" xfId="944"/>
    <cellStyle name="Normal 2 14 7 3" xfId="945"/>
    <cellStyle name="Normal 2 14 8" xfId="946"/>
    <cellStyle name="Normal 2 14 8 2" xfId="947"/>
    <cellStyle name="Normal 2 14 8 2 2" xfId="948"/>
    <cellStyle name="Normal 2 14 8 3" xfId="949"/>
    <cellStyle name="Normal 2 14 9" xfId="950"/>
    <cellStyle name="Normal 2 14 9 2" xfId="951"/>
    <cellStyle name="Normal 2 14 9 2 2" xfId="952"/>
    <cellStyle name="Normal 2 14 9 3" xfId="953"/>
    <cellStyle name="Normal 2 15" xfId="954"/>
    <cellStyle name="Normal 2 15 10" xfId="955"/>
    <cellStyle name="Normal 2 15 10 2" xfId="956"/>
    <cellStyle name="Normal 2 15 10 2 2" xfId="957"/>
    <cellStyle name="Normal 2 15 10 3" xfId="958"/>
    <cellStyle name="Normal 2 15 11" xfId="959"/>
    <cellStyle name="Normal 2 15 11 2" xfId="960"/>
    <cellStyle name="Normal 2 15 11 2 2" xfId="961"/>
    <cellStyle name="Normal 2 15 11 3" xfId="962"/>
    <cellStyle name="Normal 2 15 12" xfId="963"/>
    <cellStyle name="Normal 2 15 12 2" xfId="964"/>
    <cellStyle name="Normal 2 15 12 2 2" xfId="965"/>
    <cellStyle name="Normal 2 15 12 3" xfId="966"/>
    <cellStyle name="Normal 2 15 13" xfId="967"/>
    <cellStyle name="Normal 2 15 13 2" xfId="968"/>
    <cellStyle name="Normal 2 15 13 2 2" xfId="969"/>
    <cellStyle name="Normal 2 15 13 3" xfId="970"/>
    <cellStyle name="Normal 2 15 14" xfId="971"/>
    <cellStyle name="Normal 2 15 14 2" xfId="972"/>
    <cellStyle name="Normal 2 15 14 2 2" xfId="973"/>
    <cellStyle name="Normal 2 15 14 3" xfId="974"/>
    <cellStyle name="Normal 2 15 15" xfId="975"/>
    <cellStyle name="Normal 2 15 15 2" xfId="976"/>
    <cellStyle name="Normal 2 15 15 2 2" xfId="977"/>
    <cellStyle name="Normal 2 15 15 3" xfId="978"/>
    <cellStyle name="Normal 2 15 16" xfId="979"/>
    <cellStyle name="Normal 2 15 16 2" xfId="980"/>
    <cellStyle name="Normal 2 15 16 2 2" xfId="981"/>
    <cellStyle name="Normal 2 15 16 3" xfId="982"/>
    <cellStyle name="Normal 2 15 17" xfId="983"/>
    <cellStyle name="Normal 2 15 17 2" xfId="984"/>
    <cellStyle name="Normal 2 15 17 2 2" xfId="985"/>
    <cellStyle name="Normal 2 15 17 3" xfId="986"/>
    <cellStyle name="Normal 2 15 18" xfId="987"/>
    <cellStyle name="Normal 2 15 18 2" xfId="988"/>
    <cellStyle name="Normal 2 15 18 2 2" xfId="989"/>
    <cellStyle name="Normal 2 15 18 3" xfId="990"/>
    <cellStyle name="Normal 2 15 19" xfId="991"/>
    <cellStyle name="Normal 2 15 19 2" xfId="992"/>
    <cellStyle name="Normal 2 15 19 2 2" xfId="993"/>
    <cellStyle name="Normal 2 15 19 3" xfId="994"/>
    <cellStyle name="Normal 2 15 2" xfId="995"/>
    <cellStyle name="Normal 2 15 2 2" xfId="996"/>
    <cellStyle name="Normal 2 15 2 2 2" xfId="997"/>
    <cellStyle name="Normal 2 15 2 3" xfId="998"/>
    <cellStyle name="Normal 2 15 20" xfId="999"/>
    <cellStyle name="Normal 2 15 20 2" xfId="1000"/>
    <cellStyle name="Normal 2 15 20 2 2" xfId="1001"/>
    <cellStyle name="Normal 2 15 20 3" xfId="1002"/>
    <cellStyle name="Normal 2 15 21" xfId="1003"/>
    <cellStyle name="Normal 2 15 21 2" xfId="1004"/>
    <cellStyle name="Normal 2 15 21 2 2" xfId="1005"/>
    <cellStyle name="Normal 2 15 21 3" xfId="1006"/>
    <cellStyle name="Normal 2 15 22" xfId="1007"/>
    <cellStyle name="Normal 2 15 22 2" xfId="1008"/>
    <cellStyle name="Normal 2 15 22 2 2" xfId="1009"/>
    <cellStyle name="Normal 2 15 22 3" xfId="1010"/>
    <cellStyle name="Normal 2 15 23" xfId="1011"/>
    <cellStyle name="Normal 2 15 23 2" xfId="1012"/>
    <cellStyle name="Normal 2 15 23 2 2" xfId="1013"/>
    <cellStyle name="Normal 2 15 23 3" xfId="1014"/>
    <cellStyle name="Normal 2 15 24" xfId="1015"/>
    <cellStyle name="Normal 2 15 24 2" xfId="1016"/>
    <cellStyle name="Normal 2 15 25" xfId="1017"/>
    <cellStyle name="Normal 2 15 3" xfId="1018"/>
    <cellStyle name="Normal 2 15 3 2" xfId="1019"/>
    <cellStyle name="Normal 2 15 3 2 2" xfId="1020"/>
    <cellStyle name="Normal 2 15 3 3" xfId="1021"/>
    <cellStyle name="Normal 2 15 4" xfId="1022"/>
    <cellStyle name="Normal 2 15 4 2" xfId="1023"/>
    <cellStyle name="Normal 2 15 4 2 2" xfId="1024"/>
    <cellStyle name="Normal 2 15 4 3" xfId="1025"/>
    <cellStyle name="Normal 2 15 5" xfId="1026"/>
    <cellStyle name="Normal 2 15 5 2" xfId="1027"/>
    <cellStyle name="Normal 2 15 5 2 2" xfId="1028"/>
    <cellStyle name="Normal 2 15 5 3" xfId="1029"/>
    <cellStyle name="Normal 2 15 6" xfId="1030"/>
    <cellStyle name="Normal 2 15 6 2" xfId="1031"/>
    <cellStyle name="Normal 2 15 6 2 2" xfId="1032"/>
    <cellStyle name="Normal 2 15 6 3" xfId="1033"/>
    <cellStyle name="Normal 2 15 7" xfId="1034"/>
    <cellStyle name="Normal 2 15 7 2" xfId="1035"/>
    <cellStyle name="Normal 2 15 7 2 2" xfId="1036"/>
    <cellStyle name="Normal 2 15 7 3" xfId="1037"/>
    <cellStyle name="Normal 2 15 8" xfId="1038"/>
    <cellStyle name="Normal 2 15 8 2" xfId="1039"/>
    <cellStyle name="Normal 2 15 8 2 2" xfId="1040"/>
    <cellStyle name="Normal 2 15 8 3" xfId="1041"/>
    <cellStyle name="Normal 2 15 9" xfId="1042"/>
    <cellStyle name="Normal 2 15 9 2" xfId="1043"/>
    <cellStyle name="Normal 2 15 9 2 2" xfId="1044"/>
    <cellStyle name="Normal 2 15 9 3" xfId="1045"/>
    <cellStyle name="Normal 2 16" xfId="1046"/>
    <cellStyle name="Normal 2 16 10" xfId="1047"/>
    <cellStyle name="Normal 2 16 10 2" xfId="1048"/>
    <cellStyle name="Normal 2 16 10 2 2" xfId="1049"/>
    <cellStyle name="Normal 2 16 10 3" xfId="1050"/>
    <cellStyle name="Normal 2 16 11" xfId="1051"/>
    <cellStyle name="Normal 2 16 11 2" xfId="1052"/>
    <cellStyle name="Normal 2 16 11 2 2" xfId="1053"/>
    <cellStyle name="Normal 2 16 11 3" xfId="1054"/>
    <cellStyle name="Normal 2 16 12" xfId="1055"/>
    <cellStyle name="Normal 2 16 12 2" xfId="1056"/>
    <cellStyle name="Normal 2 16 12 2 2" xfId="1057"/>
    <cellStyle name="Normal 2 16 12 3" xfId="1058"/>
    <cellStyle name="Normal 2 16 13" xfId="1059"/>
    <cellStyle name="Normal 2 16 13 2" xfId="1060"/>
    <cellStyle name="Normal 2 16 13 2 2" xfId="1061"/>
    <cellStyle name="Normal 2 16 13 3" xfId="1062"/>
    <cellStyle name="Normal 2 16 14" xfId="1063"/>
    <cellStyle name="Normal 2 16 14 2" xfId="1064"/>
    <cellStyle name="Normal 2 16 14 2 2" xfId="1065"/>
    <cellStyle name="Normal 2 16 14 3" xfId="1066"/>
    <cellStyle name="Normal 2 16 15" xfId="1067"/>
    <cellStyle name="Normal 2 16 15 2" xfId="1068"/>
    <cellStyle name="Normal 2 16 15 2 2" xfId="1069"/>
    <cellStyle name="Normal 2 16 15 3" xfId="1070"/>
    <cellStyle name="Normal 2 16 16" xfId="1071"/>
    <cellStyle name="Normal 2 16 16 2" xfId="1072"/>
    <cellStyle name="Normal 2 16 16 2 2" xfId="1073"/>
    <cellStyle name="Normal 2 16 16 3" xfId="1074"/>
    <cellStyle name="Normal 2 16 17" xfId="1075"/>
    <cellStyle name="Normal 2 16 17 2" xfId="1076"/>
    <cellStyle name="Normal 2 16 17 2 2" xfId="1077"/>
    <cellStyle name="Normal 2 16 17 3" xfId="1078"/>
    <cellStyle name="Normal 2 16 18" xfId="1079"/>
    <cellStyle name="Normal 2 16 18 2" xfId="1080"/>
    <cellStyle name="Normal 2 16 18 2 2" xfId="1081"/>
    <cellStyle name="Normal 2 16 18 3" xfId="1082"/>
    <cellStyle name="Normal 2 16 19" xfId="1083"/>
    <cellStyle name="Normal 2 16 19 2" xfId="1084"/>
    <cellStyle name="Normal 2 16 19 2 2" xfId="1085"/>
    <cellStyle name="Normal 2 16 19 3" xfId="1086"/>
    <cellStyle name="Normal 2 16 2" xfId="1087"/>
    <cellStyle name="Normal 2 16 2 2" xfId="1088"/>
    <cellStyle name="Normal 2 16 2 2 2" xfId="1089"/>
    <cellStyle name="Normal 2 16 2 3" xfId="1090"/>
    <cellStyle name="Normal 2 16 20" xfId="1091"/>
    <cellStyle name="Normal 2 16 20 2" xfId="1092"/>
    <cellStyle name="Normal 2 16 20 2 2" xfId="1093"/>
    <cellStyle name="Normal 2 16 20 3" xfId="1094"/>
    <cellStyle name="Normal 2 16 21" xfId="1095"/>
    <cellStyle name="Normal 2 16 21 2" xfId="1096"/>
    <cellStyle name="Normal 2 16 21 2 2" xfId="1097"/>
    <cellStyle name="Normal 2 16 21 3" xfId="1098"/>
    <cellStyle name="Normal 2 16 22" xfId="1099"/>
    <cellStyle name="Normal 2 16 22 2" xfId="1100"/>
    <cellStyle name="Normal 2 16 22 2 2" xfId="1101"/>
    <cellStyle name="Normal 2 16 22 3" xfId="1102"/>
    <cellStyle name="Normal 2 16 23" xfId="1103"/>
    <cellStyle name="Normal 2 16 23 2" xfId="1104"/>
    <cellStyle name="Normal 2 16 23 2 2" xfId="1105"/>
    <cellStyle name="Normal 2 16 23 3" xfId="1106"/>
    <cellStyle name="Normal 2 16 24" xfId="1107"/>
    <cellStyle name="Normal 2 16 24 2" xfId="1108"/>
    <cellStyle name="Normal 2 16 25" xfId="1109"/>
    <cellStyle name="Normal 2 16 3" xfId="1110"/>
    <cellStyle name="Normal 2 16 3 2" xfId="1111"/>
    <cellStyle name="Normal 2 16 3 2 2" xfId="1112"/>
    <cellStyle name="Normal 2 16 3 3" xfId="1113"/>
    <cellStyle name="Normal 2 16 4" xfId="1114"/>
    <cellStyle name="Normal 2 16 4 2" xfId="1115"/>
    <cellStyle name="Normal 2 16 4 2 2" xfId="1116"/>
    <cellStyle name="Normal 2 16 4 3" xfId="1117"/>
    <cellStyle name="Normal 2 16 5" xfId="1118"/>
    <cellStyle name="Normal 2 16 5 2" xfId="1119"/>
    <cellStyle name="Normal 2 16 5 2 2" xfId="1120"/>
    <cellStyle name="Normal 2 16 5 3" xfId="1121"/>
    <cellStyle name="Normal 2 16 6" xfId="1122"/>
    <cellStyle name="Normal 2 16 6 2" xfId="1123"/>
    <cellStyle name="Normal 2 16 6 2 2" xfId="1124"/>
    <cellStyle name="Normal 2 16 6 3" xfId="1125"/>
    <cellStyle name="Normal 2 16 7" xfId="1126"/>
    <cellStyle name="Normal 2 16 7 2" xfId="1127"/>
    <cellStyle name="Normal 2 16 7 2 2" xfId="1128"/>
    <cellStyle name="Normal 2 16 7 3" xfId="1129"/>
    <cellStyle name="Normal 2 16 8" xfId="1130"/>
    <cellStyle name="Normal 2 16 8 2" xfId="1131"/>
    <cellStyle name="Normal 2 16 8 2 2" xfId="1132"/>
    <cellStyle name="Normal 2 16 8 3" xfId="1133"/>
    <cellStyle name="Normal 2 16 9" xfId="1134"/>
    <cellStyle name="Normal 2 16 9 2" xfId="1135"/>
    <cellStyle name="Normal 2 16 9 2 2" xfId="1136"/>
    <cellStyle name="Normal 2 16 9 3" xfId="1137"/>
    <cellStyle name="Normal 2 17" xfId="1138"/>
    <cellStyle name="Normal 2 17 10" xfId="1139"/>
    <cellStyle name="Normal 2 17 10 2" xfId="1140"/>
    <cellStyle name="Normal 2 17 10 2 2" xfId="1141"/>
    <cellStyle name="Normal 2 17 10 3" xfId="1142"/>
    <cellStyle name="Normal 2 17 11" xfId="1143"/>
    <cellStyle name="Normal 2 17 11 2" xfId="1144"/>
    <cellStyle name="Normal 2 17 11 2 2" xfId="1145"/>
    <cellStyle name="Normal 2 17 11 3" xfId="1146"/>
    <cellStyle name="Normal 2 17 12" xfId="1147"/>
    <cellStyle name="Normal 2 17 12 2" xfId="1148"/>
    <cellStyle name="Normal 2 17 12 2 2" xfId="1149"/>
    <cellStyle name="Normal 2 17 12 3" xfId="1150"/>
    <cellStyle name="Normal 2 17 13" xfId="1151"/>
    <cellStyle name="Normal 2 17 13 2" xfId="1152"/>
    <cellStyle name="Normal 2 17 13 2 2" xfId="1153"/>
    <cellStyle name="Normal 2 17 13 3" xfId="1154"/>
    <cellStyle name="Normal 2 17 14" xfId="1155"/>
    <cellStyle name="Normal 2 17 14 2" xfId="1156"/>
    <cellStyle name="Normal 2 17 14 2 2" xfId="1157"/>
    <cellStyle name="Normal 2 17 14 3" xfId="1158"/>
    <cellStyle name="Normal 2 17 15" xfId="1159"/>
    <cellStyle name="Normal 2 17 15 2" xfId="1160"/>
    <cellStyle name="Normal 2 17 15 2 2" xfId="1161"/>
    <cellStyle name="Normal 2 17 15 3" xfId="1162"/>
    <cellStyle name="Normal 2 17 16" xfId="1163"/>
    <cellStyle name="Normal 2 17 16 2" xfId="1164"/>
    <cellStyle name="Normal 2 17 16 2 2" xfId="1165"/>
    <cellStyle name="Normal 2 17 16 3" xfId="1166"/>
    <cellStyle name="Normal 2 17 17" xfId="1167"/>
    <cellStyle name="Normal 2 17 17 2" xfId="1168"/>
    <cellStyle name="Normal 2 17 17 2 2" xfId="1169"/>
    <cellStyle name="Normal 2 17 17 3" xfId="1170"/>
    <cellStyle name="Normal 2 17 18" xfId="1171"/>
    <cellStyle name="Normal 2 17 18 2" xfId="1172"/>
    <cellStyle name="Normal 2 17 18 2 2" xfId="1173"/>
    <cellStyle name="Normal 2 17 18 3" xfId="1174"/>
    <cellStyle name="Normal 2 17 19" xfId="1175"/>
    <cellStyle name="Normal 2 17 19 2" xfId="1176"/>
    <cellStyle name="Normal 2 17 19 2 2" xfId="1177"/>
    <cellStyle name="Normal 2 17 19 3" xfId="1178"/>
    <cellStyle name="Normal 2 17 2" xfId="1179"/>
    <cellStyle name="Normal 2 17 2 2" xfId="1180"/>
    <cellStyle name="Normal 2 17 2 2 2" xfId="1181"/>
    <cellStyle name="Normal 2 17 2 3" xfId="1182"/>
    <cellStyle name="Normal 2 17 20" xfId="1183"/>
    <cellStyle name="Normal 2 17 20 2" xfId="1184"/>
    <cellStyle name="Normal 2 17 20 2 2" xfId="1185"/>
    <cellStyle name="Normal 2 17 20 3" xfId="1186"/>
    <cellStyle name="Normal 2 17 21" xfId="1187"/>
    <cellStyle name="Normal 2 17 21 2" xfId="1188"/>
    <cellStyle name="Normal 2 17 21 2 2" xfId="1189"/>
    <cellStyle name="Normal 2 17 21 3" xfId="1190"/>
    <cellStyle name="Normal 2 17 22" xfId="1191"/>
    <cellStyle name="Normal 2 17 22 2" xfId="1192"/>
    <cellStyle name="Normal 2 17 22 2 2" xfId="1193"/>
    <cellStyle name="Normal 2 17 22 3" xfId="1194"/>
    <cellStyle name="Normal 2 17 23" xfId="1195"/>
    <cellStyle name="Normal 2 17 23 2" xfId="1196"/>
    <cellStyle name="Normal 2 17 23 2 2" xfId="1197"/>
    <cellStyle name="Normal 2 17 23 3" xfId="1198"/>
    <cellStyle name="Normal 2 17 24" xfId="1199"/>
    <cellStyle name="Normal 2 17 24 2" xfId="1200"/>
    <cellStyle name="Normal 2 17 25" xfId="1201"/>
    <cellStyle name="Normal 2 17 3" xfId="1202"/>
    <cellStyle name="Normal 2 17 3 2" xfId="1203"/>
    <cellStyle name="Normal 2 17 3 2 2" xfId="1204"/>
    <cellStyle name="Normal 2 17 3 3" xfId="1205"/>
    <cellStyle name="Normal 2 17 4" xfId="1206"/>
    <cellStyle name="Normal 2 17 4 2" xfId="1207"/>
    <cellStyle name="Normal 2 17 4 2 2" xfId="1208"/>
    <cellStyle name="Normal 2 17 4 3" xfId="1209"/>
    <cellStyle name="Normal 2 17 5" xfId="1210"/>
    <cellStyle name="Normal 2 17 5 2" xfId="1211"/>
    <cellStyle name="Normal 2 17 5 2 2" xfId="1212"/>
    <cellStyle name="Normal 2 17 5 3" xfId="1213"/>
    <cellStyle name="Normal 2 17 6" xfId="1214"/>
    <cellStyle name="Normal 2 17 6 2" xfId="1215"/>
    <cellStyle name="Normal 2 17 6 2 2" xfId="1216"/>
    <cellStyle name="Normal 2 17 6 3" xfId="1217"/>
    <cellStyle name="Normal 2 17 7" xfId="1218"/>
    <cellStyle name="Normal 2 17 7 2" xfId="1219"/>
    <cellStyle name="Normal 2 17 7 2 2" xfId="1220"/>
    <cellStyle name="Normal 2 17 7 3" xfId="1221"/>
    <cellStyle name="Normal 2 17 8" xfId="1222"/>
    <cellStyle name="Normal 2 17 8 2" xfId="1223"/>
    <cellStyle name="Normal 2 17 8 2 2" xfId="1224"/>
    <cellStyle name="Normal 2 17 8 3" xfId="1225"/>
    <cellStyle name="Normal 2 17 9" xfId="1226"/>
    <cellStyle name="Normal 2 17 9 2" xfId="1227"/>
    <cellStyle name="Normal 2 17 9 2 2" xfId="1228"/>
    <cellStyle name="Normal 2 17 9 3" xfId="1229"/>
    <cellStyle name="Normal 2 18" xfId="1230"/>
    <cellStyle name="Normal 2 18 10" xfId="1231"/>
    <cellStyle name="Normal 2 18 10 2" xfId="1232"/>
    <cellStyle name="Normal 2 18 10 2 2" xfId="1233"/>
    <cellStyle name="Normal 2 18 10 3" xfId="1234"/>
    <cellStyle name="Normal 2 18 11" xfId="1235"/>
    <cellStyle name="Normal 2 18 11 2" xfId="1236"/>
    <cellStyle name="Normal 2 18 11 2 2" xfId="1237"/>
    <cellStyle name="Normal 2 18 11 3" xfId="1238"/>
    <cellStyle name="Normal 2 18 12" xfId="1239"/>
    <cellStyle name="Normal 2 18 12 2" xfId="1240"/>
    <cellStyle name="Normal 2 18 12 2 2" xfId="1241"/>
    <cellStyle name="Normal 2 18 12 3" xfId="1242"/>
    <cellStyle name="Normal 2 18 13" xfId="1243"/>
    <cellStyle name="Normal 2 18 13 2" xfId="1244"/>
    <cellStyle name="Normal 2 18 13 2 2" xfId="1245"/>
    <cellStyle name="Normal 2 18 13 3" xfId="1246"/>
    <cellStyle name="Normal 2 18 14" xfId="1247"/>
    <cellStyle name="Normal 2 18 14 2" xfId="1248"/>
    <cellStyle name="Normal 2 18 14 2 2" xfId="1249"/>
    <cellStyle name="Normal 2 18 14 3" xfId="1250"/>
    <cellStyle name="Normal 2 18 15" xfId="1251"/>
    <cellStyle name="Normal 2 18 15 2" xfId="1252"/>
    <cellStyle name="Normal 2 18 15 2 2" xfId="1253"/>
    <cellStyle name="Normal 2 18 15 3" xfId="1254"/>
    <cellStyle name="Normal 2 18 16" xfId="1255"/>
    <cellStyle name="Normal 2 18 16 2" xfId="1256"/>
    <cellStyle name="Normal 2 18 16 2 2" xfId="1257"/>
    <cellStyle name="Normal 2 18 16 3" xfId="1258"/>
    <cellStyle name="Normal 2 18 17" xfId="1259"/>
    <cellStyle name="Normal 2 18 17 2" xfId="1260"/>
    <cellStyle name="Normal 2 18 17 2 2" xfId="1261"/>
    <cellStyle name="Normal 2 18 17 3" xfId="1262"/>
    <cellStyle name="Normal 2 18 18" xfId="1263"/>
    <cellStyle name="Normal 2 18 18 2" xfId="1264"/>
    <cellStyle name="Normal 2 18 18 2 2" xfId="1265"/>
    <cellStyle name="Normal 2 18 18 3" xfId="1266"/>
    <cellStyle name="Normal 2 18 19" xfId="1267"/>
    <cellStyle name="Normal 2 18 19 2" xfId="1268"/>
    <cellStyle name="Normal 2 18 19 2 2" xfId="1269"/>
    <cellStyle name="Normal 2 18 19 3" xfId="1270"/>
    <cellStyle name="Normal 2 18 2" xfId="1271"/>
    <cellStyle name="Normal 2 18 2 2" xfId="1272"/>
    <cellStyle name="Normal 2 18 2 2 2" xfId="1273"/>
    <cellStyle name="Normal 2 18 2 3" xfId="1274"/>
    <cellStyle name="Normal 2 18 20" xfId="1275"/>
    <cellStyle name="Normal 2 18 20 2" xfId="1276"/>
    <cellStyle name="Normal 2 18 20 2 2" xfId="1277"/>
    <cellStyle name="Normal 2 18 20 3" xfId="1278"/>
    <cellStyle name="Normal 2 18 21" xfId="1279"/>
    <cellStyle name="Normal 2 18 21 2" xfId="1280"/>
    <cellStyle name="Normal 2 18 21 2 2" xfId="1281"/>
    <cellStyle name="Normal 2 18 21 3" xfId="1282"/>
    <cellStyle name="Normal 2 18 22" xfId="1283"/>
    <cellStyle name="Normal 2 18 22 2" xfId="1284"/>
    <cellStyle name="Normal 2 18 22 2 2" xfId="1285"/>
    <cellStyle name="Normal 2 18 22 3" xfId="1286"/>
    <cellStyle name="Normal 2 18 23" xfId="1287"/>
    <cellStyle name="Normal 2 18 23 2" xfId="1288"/>
    <cellStyle name="Normal 2 18 23 2 2" xfId="1289"/>
    <cellStyle name="Normal 2 18 23 3" xfId="1290"/>
    <cellStyle name="Normal 2 18 24" xfId="1291"/>
    <cellStyle name="Normal 2 18 24 2" xfId="1292"/>
    <cellStyle name="Normal 2 18 25" xfId="1293"/>
    <cellStyle name="Normal 2 18 3" xfId="1294"/>
    <cellStyle name="Normal 2 18 3 2" xfId="1295"/>
    <cellStyle name="Normal 2 18 3 2 2" xfId="1296"/>
    <cellStyle name="Normal 2 18 3 3" xfId="1297"/>
    <cellStyle name="Normal 2 18 4" xfId="1298"/>
    <cellStyle name="Normal 2 18 4 2" xfId="1299"/>
    <cellStyle name="Normal 2 18 4 2 2" xfId="1300"/>
    <cellStyle name="Normal 2 18 4 3" xfId="1301"/>
    <cellStyle name="Normal 2 18 5" xfId="1302"/>
    <cellStyle name="Normal 2 18 5 2" xfId="1303"/>
    <cellStyle name="Normal 2 18 5 2 2" xfId="1304"/>
    <cellStyle name="Normal 2 18 5 3" xfId="1305"/>
    <cellStyle name="Normal 2 18 6" xfId="1306"/>
    <cellStyle name="Normal 2 18 6 2" xfId="1307"/>
    <cellStyle name="Normal 2 18 6 2 2" xfId="1308"/>
    <cellStyle name="Normal 2 18 6 3" xfId="1309"/>
    <cellStyle name="Normal 2 18 7" xfId="1310"/>
    <cellStyle name="Normal 2 18 7 2" xfId="1311"/>
    <cellStyle name="Normal 2 18 7 2 2" xfId="1312"/>
    <cellStyle name="Normal 2 18 7 3" xfId="1313"/>
    <cellStyle name="Normal 2 18 8" xfId="1314"/>
    <cellStyle name="Normal 2 18 8 2" xfId="1315"/>
    <cellStyle name="Normal 2 18 8 2 2" xfId="1316"/>
    <cellStyle name="Normal 2 18 8 3" xfId="1317"/>
    <cellStyle name="Normal 2 18 9" xfId="1318"/>
    <cellStyle name="Normal 2 18 9 2" xfId="1319"/>
    <cellStyle name="Normal 2 18 9 2 2" xfId="1320"/>
    <cellStyle name="Normal 2 18 9 3" xfId="1321"/>
    <cellStyle name="Normal 2 19" xfId="1322"/>
    <cellStyle name="Normal 2 19 10" xfId="1323"/>
    <cellStyle name="Normal 2 19 10 2" xfId="1324"/>
    <cellStyle name="Normal 2 19 10 2 2" xfId="1325"/>
    <cellStyle name="Normal 2 19 10 3" xfId="1326"/>
    <cellStyle name="Normal 2 19 11" xfId="1327"/>
    <cellStyle name="Normal 2 19 11 2" xfId="1328"/>
    <cellStyle name="Normal 2 19 11 2 2" xfId="1329"/>
    <cellStyle name="Normal 2 19 11 3" xfId="1330"/>
    <cellStyle name="Normal 2 19 12" xfId="1331"/>
    <cellStyle name="Normal 2 19 12 2" xfId="1332"/>
    <cellStyle name="Normal 2 19 12 2 2" xfId="1333"/>
    <cellStyle name="Normal 2 19 12 3" xfId="1334"/>
    <cellStyle name="Normal 2 19 13" xfId="1335"/>
    <cellStyle name="Normal 2 19 13 2" xfId="1336"/>
    <cellStyle name="Normal 2 19 13 2 2" xfId="1337"/>
    <cellStyle name="Normal 2 19 13 3" xfId="1338"/>
    <cellStyle name="Normal 2 19 14" xfId="1339"/>
    <cellStyle name="Normal 2 19 14 2" xfId="1340"/>
    <cellStyle name="Normal 2 19 14 2 2" xfId="1341"/>
    <cellStyle name="Normal 2 19 14 3" xfId="1342"/>
    <cellStyle name="Normal 2 19 15" xfId="1343"/>
    <cellStyle name="Normal 2 19 15 2" xfId="1344"/>
    <cellStyle name="Normal 2 19 15 2 2" xfId="1345"/>
    <cellStyle name="Normal 2 19 15 3" xfId="1346"/>
    <cellStyle name="Normal 2 19 16" xfId="1347"/>
    <cellStyle name="Normal 2 19 16 2" xfId="1348"/>
    <cellStyle name="Normal 2 19 16 2 2" xfId="1349"/>
    <cellStyle name="Normal 2 19 16 3" xfId="1350"/>
    <cellStyle name="Normal 2 19 17" xfId="1351"/>
    <cellStyle name="Normal 2 19 17 2" xfId="1352"/>
    <cellStyle name="Normal 2 19 17 2 2" xfId="1353"/>
    <cellStyle name="Normal 2 19 17 3" xfId="1354"/>
    <cellStyle name="Normal 2 19 18" xfId="1355"/>
    <cellStyle name="Normal 2 19 18 2" xfId="1356"/>
    <cellStyle name="Normal 2 19 18 2 2" xfId="1357"/>
    <cellStyle name="Normal 2 19 18 3" xfId="1358"/>
    <cellStyle name="Normal 2 19 19" xfId="1359"/>
    <cellStyle name="Normal 2 19 19 2" xfId="1360"/>
    <cellStyle name="Normal 2 19 19 2 2" xfId="1361"/>
    <cellStyle name="Normal 2 19 19 3" xfId="1362"/>
    <cellStyle name="Normal 2 19 2" xfId="1363"/>
    <cellStyle name="Normal 2 19 2 2" xfId="1364"/>
    <cellStyle name="Normal 2 19 2 2 2" xfId="1365"/>
    <cellStyle name="Normal 2 19 2 3" xfId="1366"/>
    <cellStyle name="Normal 2 19 20" xfId="1367"/>
    <cellStyle name="Normal 2 19 20 2" xfId="1368"/>
    <cellStyle name="Normal 2 19 20 2 2" xfId="1369"/>
    <cellStyle name="Normal 2 19 20 3" xfId="1370"/>
    <cellStyle name="Normal 2 19 21" xfId="1371"/>
    <cellStyle name="Normal 2 19 21 2" xfId="1372"/>
    <cellStyle name="Normal 2 19 21 2 2" xfId="1373"/>
    <cellStyle name="Normal 2 19 21 3" xfId="1374"/>
    <cellStyle name="Normal 2 19 22" xfId="1375"/>
    <cellStyle name="Normal 2 19 22 2" xfId="1376"/>
    <cellStyle name="Normal 2 19 22 2 2" xfId="1377"/>
    <cellStyle name="Normal 2 19 22 3" xfId="1378"/>
    <cellStyle name="Normal 2 19 23" xfId="1379"/>
    <cellStyle name="Normal 2 19 23 2" xfId="1380"/>
    <cellStyle name="Normal 2 19 23 2 2" xfId="1381"/>
    <cellStyle name="Normal 2 19 23 3" xfId="1382"/>
    <cellStyle name="Normal 2 19 24" xfId="1383"/>
    <cellStyle name="Normal 2 19 24 2" xfId="1384"/>
    <cellStyle name="Normal 2 19 25" xfId="1385"/>
    <cellStyle name="Normal 2 19 3" xfId="1386"/>
    <cellStyle name="Normal 2 19 3 2" xfId="1387"/>
    <cellStyle name="Normal 2 19 3 2 2" xfId="1388"/>
    <cellStyle name="Normal 2 19 3 3" xfId="1389"/>
    <cellStyle name="Normal 2 19 4" xfId="1390"/>
    <cellStyle name="Normal 2 19 4 2" xfId="1391"/>
    <cellStyle name="Normal 2 19 4 2 2" xfId="1392"/>
    <cellStyle name="Normal 2 19 4 3" xfId="1393"/>
    <cellStyle name="Normal 2 19 5" xfId="1394"/>
    <cellStyle name="Normal 2 19 5 2" xfId="1395"/>
    <cellStyle name="Normal 2 19 5 2 2" xfId="1396"/>
    <cellStyle name="Normal 2 19 5 3" xfId="1397"/>
    <cellStyle name="Normal 2 19 6" xfId="1398"/>
    <cellStyle name="Normal 2 19 6 2" xfId="1399"/>
    <cellStyle name="Normal 2 19 6 2 2" xfId="1400"/>
    <cellStyle name="Normal 2 19 6 3" xfId="1401"/>
    <cellStyle name="Normal 2 19 7" xfId="1402"/>
    <cellStyle name="Normal 2 19 7 2" xfId="1403"/>
    <cellStyle name="Normal 2 19 7 2 2" xfId="1404"/>
    <cellStyle name="Normal 2 19 7 3" xfId="1405"/>
    <cellStyle name="Normal 2 19 8" xfId="1406"/>
    <cellStyle name="Normal 2 19 8 2" xfId="1407"/>
    <cellStyle name="Normal 2 19 8 2 2" xfId="1408"/>
    <cellStyle name="Normal 2 19 8 3" xfId="1409"/>
    <cellStyle name="Normal 2 19 9" xfId="1410"/>
    <cellStyle name="Normal 2 19 9 2" xfId="1411"/>
    <cellStyle name="Normal 2 19 9 2 2" xfId="1412"/>
    <cellStyle name="Normal 2 19 9 3" xfId="1413"/>
    <cellStyle name="Normal 2 2" xfId="155"/>
    <cellStyle name="Normal 2 2 2" xfId="156"/>
    <cellStyle name="Normal 2 2 2 2" xfId="157"/>
    <cellStyle name="Normal 2 2 2 2 2" xfId="8824"/>
    <cellStyle name="Normal 2 2 2 3" xfId="317"/>
    <cellStyle name="Normal 2 2 2 4" xfId="1414"/>
    <cellStyle name="Normal 2 2 3" xfId="158"/>
    <cellStyle name="Normal 2 2 3 2" xfId="159"/>
    <cellStyle name="Normal 2 2 3 2 2" xfId="8825"/>
    <cellStyle name="Normal 2 2 3 2 3" xfId="8213"/>
    <cellStyle name="Normal 2 2 3 3" xfId="160"/>
    <cellStyle name="Normal 2 2 3 4" xfId="9146"/>
    <cellStyle name="Normal 2 2 4" xfId="318"/>
    <cellStyle name="Normal 2 2 4 2" xfId="1415"/>
    <cellStyle name="Normal 2 2 4 3" xfId="9147"/>
    <cellStyle name="Normal 2 2 5" xfId="1416"/>
    <cellStyle name="Normal 2 2 5 2" xfId="9148"/>
    <cellStyle name="Normal 2 2 6" xfId="1417"/>
    <cellStyle name="Normal 2 2 6 2" xfId="8174"/>
    <cellStyle name="Normal 2 2 7" xfId="1418"/>
    <cellStyle name="Normal 2 2 8" xfId="1419"/>
    <cellStyle name="Normal 2 20" xfId="1420"/>
    <cellStyle name="Normal 2 20 10" xfId="1421"/>
    <cellStyle name="Normal 2 20 10 2" xfId="1422"/>
    <cellStyle name="Normal 2 20 10 2 2" xfId="1423"/>
    <cellStyle name="Normal 2 20 10 3" xfId="1424"/>
    <cellStyle name="Normal 2 20 11" xfId="1425"/>
    <cellStyle name="Normal 2 20 11 2" xfId="1426"/>
    <cellStyle name="Normal 2 20 11 2 2" xfId="1427"/>
    <cellStyle name="Normal 2 20 11 3" xfId="1428"/>
    <cellStyle name="Normal 2 20 12" xfId="1429"/>
    <cellStyle name="Normal 2 20 12 2" xfId="1430"/>
    <cellStyle name="Normal 2 20 12 2 2" xfId="1431"/>
    <cellStyle name="Normal 2 20 12 3" xfId="1432"/>
    <cellStyle name="Normal 2 20 13" xfId="1433"/>
    <cellStyle name="Normal 2 20 13 2" xfId="1434"/>
    <cellStyle name="Normal 2 20 13 2 2" xfId="1435"/>
    <cellStyle name="Normal 2 20 13 3" xfId="1436"/>
    <cellStyle name="Normal 2 20 14" xfId="1437"/>
    <cellStyle name="Normal 2 20 14 2" xfId="1438"/>
    <cellStyle name="Normal 2 20 14 2 2" xfId="1439"/>
    <cellStyle name="Normal 2 20 14 3" xfId="1440"/>
    <cellStyle name="Normal 2 20 15" xfId="1441"/>
    <cellStyle name="Normal 2 20 15 2" xfId="1442"/>
    <cellStyle name="Normal 2 20 15 2 2" xfId="1443"/>
    <cellStyle name="Normal 2 20 15 3" xfId="1444"/>
    <cellStyle name="Normal 2 20 16" xfId="1445"/>
    <cellStyle name="Normal 2 20 16 2" xfId="1446"/>
    <cellStyle name="Normal 2 20 16 2 2" xfId="1447"/>
    <cellStyle name="Normal 2 20 16 3" xfId="1448"/>
    <cellStyle name="Normal 2 20 17" xfId="1449"/>
    <cellStyle name="Normal 2 20 17 2" xfId="1450"/>
    <cellStyle name="Normal 2 20 17 2 2" xfId="1451"/>
    <cellStyle name="Normal 2 20 17 3" xfId="1452"/>
    <cellStyle name="Normal 2 20 18" xfId="1453"/>
    <cellStyle name="Normal 2 20 18 2" xfId="1454"/>
    <cellStyle name="Normal 2 20 18 2 2" xfId="1455"/>
    <cellStyle name="Normal 2 20 18 3" xfId="1456"/>
    <cellStyle name="Normal 2 20 19" xfId="1457"/>
    <cellStyle name="Normal 2 20 19 2" xfId="1458"/>
    <cellStyle name="Normal 2 20 19 2 2" xfId="1459"/>
    <cellStyle name="Normal 2 20 19 3" xfId="1460"/>
    <cellStyle name="Normal 2 20 2" xfId="1461"/>
    <cellStyle name="Normal 2 20 2 2" xfId="1462"/>
    <cellStyle name="Normal 2 20 2 2 2" xfId="1463"/>
    <cellStyle name="Normal 2 20 2 3" xfId="1464"/>
    <cellStyle name="Normal 2 20 20" xfId="1465"/>
    <cellStyle name="Normal 2 20 20 2" xfId="1466"/>
    <cellStyle name="Normal 2 20 20 2 2" xfId="1467"/>
    <cellStyle name="Normal 2 20 20 3" xfId="1468"/>
    <cellStyle name="Normal 2 20 21" xfId="1469"/>
    <cellStyle name="Normal 2 20 21 2" xfId="1470"/>
    <cellStyle name="Normal 2 20 21 2 2" xfId="1471"/>
    <cellStyle name="Normal 2 20 21 3" xfId="1472"/>
    <cellStyle name="Normal 2 20 22" xfId="1473"/>
    <cellStyle name="Normal 2 20 22 2" xfId="1474"/>
    <cellStyle name="Normal 2 20 22 2 2" xfId="1475"/>
    <cellStyle name="Normal 2 20 22 3" xfId="1476"/>
    <cellStyle name="Normal 2 20 23" xfId="1477"/>
    <cellStyle name="Normal 2 20 23 2" xfId="1478"/>
    <cellStyle name="Normal 2 20 23 2 2" xfId="1479"/>
    <cellStyle name="Normal 2 20 23 3" xfId="1480"/>
    <cellStyle name="Normal 2 20 24" xfId="1481"/>
    <cellStyle name="Normal 2 20 24 2" xfId="1482"/>
    <cellStyle name="Normal 2 20 25" xfId="1483"/>
    <cellStyle name="Normal 2 20 3" xfId="1484"/>
    <cellStyle name="Normal 2 20 3 2" xfId="1485"/>
    <cellStyle name="Normal 2 20 3 2 2" xfId="1486"/>
    <cellStyle name="Normal 2 20 3 3" xfId="1487"/>
    <cellStyle name="Normal 2 20 4" xfId="1488"/>
    <cellStyle name="Normal 2 20 4 2" xfId="1489"/>
    <cellStyle name="Normal 2 20 4 2 2" xfId="1490"/>
    <cellStyle name="Normal 2 20 4 3" xfId="1491"/>
    <cellStyle name="Normal 2 20 5" xfId="1492"/>
    <cellStyle name="Normal 2 20 5 2" xfId="1493"/>
    <cellStyle name="Normal 2 20 5 2 2" xfId="1494"/>
    <cellStyle name="Normal 2 20 5 3" xfId="1495"/>
    <cellStyle name="Normal 2 20 6" xfId="1496"/>
    <cellStyle name="Normal 2 20 6 2" xfId="1497"/>
    <cellStyle name="Normal 2 20 6 2 2" xfId="1498"/>
    <cellStyle name="Normal 2 20 6 3" xfId="1499"/>
    <cellStyle name="Normal 2 20 7" xfId="1500"/>
    <cellStyle name="Normal 2 20 7 2" xfId="1501"/>
    <cellStyle name="Normal 2 20 7 2 2" xfId="1502"/>
    <cellStyle name="Normal 2 20 7 3" xfId="1503"/>
    <cellStyle name="Normal 2 20 8" xfId="1504"/>
    <cellStyle name="Normal 2 20 8 2" xfId="1505"/>
    <cellStyle name="Normal 2 20 8 2 2" xfId="1506"/>
    <cellStyle name="Normal 2 20 8 3" xfId="1507"/>
    <cellStyle name="Normal 2 20 9" xfId="1508"/>
    <cellStyle name="Normal 2 20 9 2" xfId="1509"/>
    <cellStyle name="Normal 2 20 9 2 2" xfId="1510"/>
    <cellStyle name="Normal 2 20 9 3" xfId="1511"/>
    <cellStyle name="Normal 2 21" xfId="1512"/>
    <cellStyle name="Normal 2 21 10" xfId="1513"/>
    <cellStyle name="Normal 2 21 10 2" xfId="1514"/>
    <cellStyle name="Normal 2 21 10 2 2" xfId="1515"/>
    <cellStyle name="Normal 2 21 10 3" xfId="1516"/>
    <cellStyle name="Normal 2 21 11" xfId="1517"/>
    <cellStyle name="Normal 2 21 11 2" xfId="1518"/>
    <cellStyle name="Normal 2 21 11 2 2" xfId="1519"/>
    <cellStyle name="Normal 2 21 11 3" xfId="1520"/>
    <cellStyle name="Normal 2 21 12" xfId="1521"/>
    <cellStyle name="Normal 2 21 12 2" xfId="1522"/>
    <cellStyle name="Normal 2 21 12 2 2" xfId="1523"/>
    <cellStyle name="Normal 2 21 12 3" xfId="1524"/>
    <cellStyle name="Normal 2 21 13" xfId="1525"/>
    <cellStyle name="Normal 2 21 13 2" xfId="1526"/>
    <cellStyle name="Normal 2 21 13 2 2" xfId="1527"/>
    <cellStyle name="Normal 2 21 13 3" xfId="1528"/>
    <cellStyle name="Normal 2 21 14" xfId="1529"/>
    <cellStyle name="Normal 2 21 14 2" xfId="1530"/>
    <cellStyle name="Normal 2 21 14 2 2" xfId="1531"/>
    <cellStyle name="Normal 2 21 14 3" xfId="1532"/>
    <cellStyle name="Normal 2 21 15" xfId="1533"/>
    <cellStyle name="Normal 2 21 15 2" xfId="1534"/>
    <cellStyle name="Normal 2 21 15 2 2" xfId="1535"/>
    <cellStyle name="Normal 2 21 15 3" xfId="1536"/>
    <cellStyle name="Normal 2 21 16" xfId="1537"/>
    <cellStyle name="Normal 2 21 16 2" xfId="1538"/>
    <cellStyle name="Normal 2 21 16 2 2" xfId="1539"/>
    <cellStyle name="Normal 2 21 16 3" xfId="1540"/>
    <cellStyle name="Normal 2 21 17" xfId="1541"/>
    <cellStyle name="Normal 2 21 17 2" xfId="1542"/>
    <cellStyle name="Normal 2 21 17 2 2" xfId="1543"/>
    <cellStyle name="Normal 2 21 17 3" xfId="1544"/>
    <cellStyle name="Normal 2 21 18" xfId="1545"/>
    <cellStyle name="Normal 2 21 18 2" xfId="1546"/>
    <cellStyle name="Normal 2 21 18 2 2" xfId="1547"/>
    <cellStyle name="Normal 2 21 18 3" xfId="1548"/>
    <cellStyle name="Normal 2 21 19" xfId="1549"/>
    <cellStyle name="Normal 2 21 19 2" xfId="1550"/>
    <cellStyle name="Normal 2 21 19 2 2" xfId="1551"/>
    <cellStyle name="Normal 2 21 19 3" xfId="1552"/>
    <cellStyle name="Normal 2 21 2" xfId="1553"/>
    <cellStyle name="Normal 2 21 2 2" xfId="1554"/>
    <cellStyle name="Normal 2 21 2 2 2" xfId="1555"/>
    <cellStyle name="Normal 2 21 2 3" xfId="1556"/>
    <cellStyle name="Normal 2 21 20" xfId="1557"/>
    <cellStyle name="Normal 2 21 20 2" xfId="1558"/>
    <cellStyle name="Normal 2 21 20 2 2" xfId="1559"/>
    <cellStyle name="Normal 2 21 20 3" xfId="1560"/>
    <cellStyle name="Normal 2 21 21" xfId="1561"/>
    <cellStyle name="Normal 2 21 21 2" xfId="1562"/>
    <cellStyle name="Normal 2 21 21 2 2" xfId="1563"/>
    <cellStyle name="Normal 2 21 21 3" xfId="1564"/>
    <cellStyle name="Normal 2 21 22" xfId="1565"/>
    <cellStyle name="Normal 2 21 22 2" xfId="1566"/>
    <cellStyle name="Normal 2 21 22 2 2" xfId="1567"/>
    <cellStyle name="Normal 2 21 22 3" xfId="1568"/>
    <cellStyle name="Normal 2 21 23" xfId="1569"/>
    <cellStyle name="Normal 2 21 23 2" xfId="1570"/>
    <cellStyle name="Normal 2 21 23 2 2" xfId="1571"/>
    <cellStyle name="Normal 2 21 23 3" xfId="1572"/>
    <cellStyle name="Normal 2 21 24" xfId="1573"/>
    <cellStyle name="Normal 2 21 24 2" xfId="1574"/>
    <cellStyle name="Normal 2 21 25" xfId="1575"/>
    <cellStyle name="Normal 2 21 3" xfId="1576"/>
    <cellStyle name="Normal 2 21 3 2" xfId="1577"/>
    <cellStyle name="Normal 2 21 3 2 2" xfId="1578"/>
    <cellStyle name="Normal 2 21 3 3" xfId="1579"/>
    <cellStyle name="Normal 2 21 4" xfId="1580"/>
    <cellStyle name="Normal 2 21 4 2" xfId="1581"/>
    <cellStyle name="Normal 2 21 4 2 2" xfId="1582"/>
    <cellStyle name="Normal 2 21 4 3" xfId="1583"/>
    <cellStyle name="Normal 2 21 5" xfId="1584"/>
    <cellStyle name="Normal 2 21 5 2" xfId="1585"/>
    <cellStyle name="Normal 2 21 5 2 2" xfId="1586"/>
    <cellStyle name="Normal 2 21 5 3" xfId="1587"/>
    <cellStyle name="Normal 2 21 6" xfId="1588"/>
    <cellStyle name="Normal 2 21 6 2" xfId="1589"/>
    <cellStyle name="Normal 2 21 6 2 2" xfId="1590"/>
    <cellStyle name="Normal 2 21 6 3" xfId="1591"/>
    <cellStyle name="Normal 2 21 7" xfId="1592"/>
    <cellStyle name="Normal 2 21 7 2" xfId="1593"/>
    <cellStyle name="Normal 2 21 7 2 2" xfId="1594"/>
    <cellStyle name="Normal 2 21 7 3" xfId="1595"/>
    <cellStyle name="Normal 2 21 8" xfId="1596"/>
    <cellStyle name="Normal 2 21 8 2" xfId="1597"/>
    <cellStyle name="Normal 2 21 8 2 2" xfId="1598"/>
    <cellStyle name="Normal 2 21 8 3" xfId="1599"/>
    <cellStyle name="Normal 2 21 9" xfId="1600"/>
    <cellStyle name="Normal 2 21 9 2" xfId="1601"/>
    <cellStyle name="Normal 2 21 9 2 2" xfId="1602"/>
    <cellStyle name="Normal 2 21 9 3" xfId="1603"/>
    <cellStyle name="Normal 2 22" xfId="1604"/>
    <cellStyle name="Normal 2 22 10" xfId="1605"/>
    <cellStyle name="Normal 2 22 10 2" xfId="1606"/>
    <cellStyle name="Normal 2 22 10 2 2" xfId="1607"/>
    <cellStyle name="Normal 2 22 10 3" xfId="1608"/>
    <cellStyle name="Normal 2 22 11" xfId="1609"/>
    <cellStyle name="Normal 2 22 11 2" xfId="1610"/>
    <cellStyle name="Normal 2 22 11 2 2" xfId="1611"/>
    <cellStyle name="Normal 2 22 11 3" xfId="1612"/>
    <cellStyle name="Normal 2 22 12" xfId="1613"/>
    <cellStyle name="Normal 2 22 12 2" xfId="1614"/>
    <cellStyle name="Normal 2 22 12 2 2" xfId="1615"/>
    <cellStyle name="Normal 2 22 12 3" xfId="1616"/>
    <cellStyle name="Normal 2 22 13" xfId="1617"/>
    <cellStyle name="Normal 2 22 13 2" xfId="1618"/>
    <cellStyle name="Normal 2 22 13 2 2" xfId="1619"/>
    <cellStyle name="Normal 2 22 13 3" xfId="1620"/>
    <cellStyle name="Normal 2 22 14" xfId="1621"/>
    <cellStyle name="Normal 2 22 14 2" xfId="1622"/>
    <cellStyle name="Normal 2 22 14 2 2" xfId="1623"/>
    <cellStyle name="Normal 2 22 14 3" xfId="1624"/>
    <cellStyle name="Normal 2 22 15" xfId="1625"/>
    <cellStyle name="Normal 2 22 15 2" xfId="1626"/>
    <cellStyle name="Normal 2 22 15 2 2" xfId="1627"/>
    <cellStyle name="Normal 2 22 15 3" xfId="1628"/>
    <cellStyle name="Normal 2 22 16" xfId="1629"/>
    <cellStyle name="Normal 2 22 16 2" xfId="1630"/>
    <cellStyle name="Normal 2 22 16 2 2" xfId="1631"/>
    <cellStyle name="Normal 2 22 16 3" xfId="1632"/>
    <cellStyle name="Normal 2 22 17" xfId="1633"/>
    <cellStyle name="Normal 2 22 17 2" xfId="1634"/>
    <cellStyle name="Normal 2 22 17 2 2" xfId="1635"/>
    <cellStyle name="Normal 2 22 17 3" xfId="1636"/>
    <cellStyle name="Normal 2 22 18" xfId="1637"/>
    <cellStyle name="Normal 2 22 18 2" xfId="1638"/>
    <cellStyle name="Normal 2 22 18 2 2" xfId="1639"/>
    <cellStyle name="Normal 2 22 18 3" xfId="1640"/>
    <cellStyle name="Normal 2 22 19" xfId="1641"/>
    <cellStyle name="Normal 2 22 19 2" xfId="1642"/>
    <cellStyle name="Normal 2 22 19 2 2" xfId="1643"/>
    <cellStyle name="Normal 2 22 19 3" xfId="1644"/>
    <cellStyle name="Normal 2 22 2" xfId="1645"/>
    <cellStyle name="Normal 2 22 2 2" xfId="1646"/>
    <cellStyle name="Normal 2 22 2 2 2" xfId="1647"/>
    <cellStyle name="Normal 2 22 2 3" xfId="1648"/>
    <cellStyle name="Normal 2 22 20" xfId="1649"/>
    <cellStyle name="Normal 2 22 20 2" xfId="1650"/>
    <cellStyle name="Normal 2 22 20 2 2" xfId="1651"/>
    <cellStyle name="Normal 2 22 20 3" xfId="1652"/>
    <cellStyle name="Normal 2 22 21" xfId="1653"/>
    <cellStyle name="Normal 2 22 21 2" xfId="1654"/>
    <cellStyle name="Normal 2 22 21 2 2" xfId="1655"/>
    <cellStyle name="Normal 2 22 21 3" xfId="1656"/>
    <cellStyle name="Normal 2 22 22" xfId="1657"/>
    <cellStyle name="Normal 2 22 22 2" xfId="1658"/>
    <cellStyle name="Normal 2 22 22 2 2" xfId="1659"/>
    <cellStyle name="Normal 2 22 22 3" xfId="1660"/>
    <cellStyle name="Normal 2 22 23" xfId="1661"/>
    <cellStyle name="Normal 2 22 23 2" xfId="1662"/>
    <cellStyle name="Normal 2 22 23 2 2" xfId="1663"/>
    <cellStyle name="Normal 2 22 23 3" xfId="1664"/>
    <cellStyle name="Normal 2 22 24" xfId="1665"/>
    <cellStyle name="Normal 2 22 24 2" xfId="1666"/>
    <cellStyle name="Normal 2 22 25" xfId="1667"/>
    <cellStyle name="Normal 2 22 3" xfId="1668"/>
    <cellStyle name="Normal 2 22 3 2" xfId="1669"/>
    <cellStyle name="Normal 2 22 3 2 2" xfId="1670"/>
    <cellStyle name="Normal 2 22 3 3" xfId="1671"/>
    <cellStyle name="Normal 2 22 4" xfId="1672"/>
    <cellStyle name="Normal 2 22 4 2" xfId="1673"/>
    <cellStyle name="Normal 2 22 4 2 2" xfId="1674"/>
    <cellStyle name="Normal 2 22 4 3" xfId="1675"/>
    <cellStyle name="Normal 2 22 5" xfId="1676"/>
    <cellStyle name="Normal 2 22 5 2" xfId="1677"/>
    <cellStyle name="Normal 2 22 5 2 2" xfId="1678"/>
    <cellStyle name="Normal 2 22 5 3" xfId="1679"/>
    <cellStyle name="Normal 2 22 6" xfId="1680"/>
    <cellStyle name="Normal 2 22 6 2" xfId="1681"/>
    <cellStyle name="Normal 2 22 6 2 2" xfId="1682"/>
    <cellStyle name="Normal 2 22 6 3" xfId="1683"/>
    <cellStyle name="Normal 2 22 7" xfId="1684"/>
    <cellStyle name="Normal 2 22 7 2" xfId="1685"/>
    <cellStyle name="Normal 2 22 7 2 2" xfId="1686"/>
    <cellStyle name="Normal 2 22 7 3" xfId="1687"/>
    <cellStyle name="Normal 2 22 8" xfId="1688"/>
    <cellStyle name="Normal 2 22 8 2" xfId="1689"/>
    <cellStyle name="Normal 2 22 8 2 2" xfId="1690"/>
    <cellStyle name="Normal 2 22 8 3" xfId="1691"/>
    <cellStyle name="Normal 2 22 9" xfId="1692"/>
    <cellStyle name="Normal 2 22 9 2" xfId="1693"/>
    <cellStyle name="Normal 2 22 9 2 2" xfId="1694"/>
    <cellStyle name="Normal 2 22 9 3" xfId="1695"/>
    <cellStyle name="Normal 2 23" xfId="1696"/>
    <cellStyle name="Normal 2 23 10" xfId="1697"/>
    <cellStyle name="Normal 2 23 10 2" xfId="1698"/>
    <cellStyle name="Normal 2 23 10 2 2" xfId="1699"/>
    <cellStyle name="Normal 2 23 10 3" xfId="1700"/>
    <cellStyle name="Normal 2 23 11" xfId="1701"/>
    <cellStyle name="Normal 2 23 11 2" xfId="1702"/>
    <cellStyle name="Normal 2 23 11 2 2" xfId="1703"/>
    <cellStyle name="Normal 2 23 11 3" xfId="1704"/>
    <cellStyle name="Normal 2 23 12" xfId="1705"/>
    <cellStyle name="Normal 2 23 12 2" xfId="1706"/>
    <cellStyle name="Normal 2 23 12 2 2" xfId="1707"/>
    <cellStyle name="Normal 2 23 12 3" xfId="1708"/>
    <cellStyle name="Normal 2 23 13" xfId="1709"/>
    <cellStyle name="Normal 2 23 13 2" xfId="1710"/>
    <cellStyle name="Normal 2 23 13 2 2" xfId="1711"/>
    <cellStyle name="Normal 2 23 13 3" xfId="1712"/>
    <cellStyle name="Normal 2 23 14" xfId="1713"/>
    <cellStyle name="Normal 2 23 14 2" xfId="1714"/>
    <cellStyle name="Normal 2 23 14 2 2" xfId="1715"/>
    <cellStyle name="Normal 2 23 14 3" xfId="1716"/>
    <cellStyle name="Normal 2 23 15" xfId="1717"/>
    <cellStyle name="Normal 2 23 15 2" xfId="1718"/>
    <cellStyle name="Normal 2 23 15 2 2" xfId="1719"/>
    <cellStyle name="Normal 2 23 15 3" xfId="1720"/>
    <cellStyle name="Normal 2 23 16" xfId="1721"/>
    <cellStyle name="Normal 2 23 16 2" xfId="1722"/>
    <cellStyle name="Normal 2 23 16 2 2" xfId="1723"/>
    <cellStyle name="Normal 2 23 16 3" xfId="1724"/>
    <cellStyle name="Normal 2 23 17" xfId="1725"/>
    <cellStyle name="Normal 2 23 17 2" xfId="1726"/>
    <cellStyle name="Normal 2 23 17 2 2" xfId="1727"/>
    <cellStyle name="Normal 2 23 17 3" xfId="1728"/>
    <cellStyle name="Normal 2 23 18" xfId="1729"/>
    <cellStyle name="Normal 2 23 18 2" xfId="1730"/>
    <cellStyle name="Normal 2 23 18 2 2" xfId="1731"/>
    <cellStyle name="Normal 2 23 18 3" xfId="1732"/>
    <cellStyle name="Normal 2 23 19" xfId="1733"/>
    <cellStyle name="Normal 2 23 19 2" xfId="1734"/>
    <cellStyle name="Normal 2 23 19 2 2" xfId="1735"/>
    <cellStyle name="Normal 2 23 19 3" xfId="1736"/>
    <cellStyle name="Normal 2 23 2" xfId="1737"/>
    <cellStyle name="Normal 2 23 2 2" xfId="1738"/>
    <cellStyle name="Normal 2 23 2 2 2" xfId="1739"/>
    <cellStyle name="Normal 2 23 2 3" xfId="1740"/>
    <cellStyle name="Normal 2 23 20" xfId="1741"/>
    <cellStyle name="Normal 2 23 20 2" xfId="1742"/>
    <cellStyle name="Normal 2 23 20 2 2" xfId="1743"/>
    <cellStyle name="Normal 2 23 20 3" xfId="1744"/>
    <cellStyle name="Normal 2 23 21" xfId="1745"/>
    <cellStyle name="Normal 2 23 21 2" xfId="1746"/>
    <cellStyle name="Normal 2 23 21 2 2" xfId="1747"/>
    <cellStyle name="Normal 2 23 21 3" xfId="1748"/>
    <cellStyle name="Normal 2 23 22" xfId="1749"/>
    <cellStyle name="Normal 2 23 22 2" xfId="1750"/>
    <cellStyle name="Normal 2 23 22 2 2" xfId="1751"/>
    <cellStyle name="Normal 2 23 22 3" xfId="1752"/>
    <cellStyle name="Normal 2 23 23" xfId="1753"/>
    <cellStyle name="Normal 2 23 23 2" xfId="1754"/>
    <cellStyle name="Normal 2 23 23 2 2" xfId="1755"/>
    <cellStyle name="Normal 2 23 23 3" xfId="1756"/>
    <cellStyle name="Normal 2 23 24" xfId="1757"/>
    <cellStyle name="Normal 2 23 24 2" xfId="1758"/>
    <cellStyle name="Normal 2 23 25" xfId="1759"/>
    <cellStyle name="Normal 2 23 3" xfId="1760"/>
    <cellStyle name="Normal 2 23 3 2" xfId="1761"/>
    <cellStyle name="Normal 2 23 3 2 2" xfId="1762"/>
    <cellStyle name="Normal 2 23 3 3" xfId="1763"/>
    <cellStyle name="Normal 2 23 4" xfId="1764"/>
    <cellStyle name="Normal 2 23 4 2" xfId="1765"/>
    <cellStyle name="Normal 2 23 4 2 2" xfId="1766"/>
    <cellStyle name="Normal 2 23 4 3" xfId="1767"/>
    <cellStyle name="Normal 2 23 5" xfId="1768"/>
    <cellStyle name="Normal 2 23 5 2" xfId="1769"/>
    <cellStyle name="Normal 2 23 5 2 2" xfId="1770"/>
    <cellStyle name="Normal 2 23 5 3" xfId="1771"/>
    <cellStyle name="Normal 2 23 6" xfId="1772"/>
    <cellStyle name="Normal 2 23 6 2" xfId="1773"/>
    <cellStyle name="Normal 2 23 6 2 2" xfId="1774"/>
    <cellStyle name="Normal 2 23 6 3" xfId="1775"/>
    <cellStyle name="Normal 2 23 7" xfId="1776"/>
    <cellStyle name="Normal 2 23 7 2" xfId="1777"/>
    <cellStyle name="Normal 2 23 7 2 2" xfId="1778"/>
    <cellStyle name="Normal 2 23 7 3" xfId="1779"/>
    <cellStyle name="Normal 2 23 8" xfId="1780"/>
    <cellStyle name="Normal 2 23 8 2" xfId="1781"/>
    <cellStyle name="Normal 2 23 8 2 2" xfId="1782"/>
    <cellStyle name="Normal 2 23 8 3" xfId="1783"/>
    <cellStyle name="Normal 2 23 9" xfId="1784"/>
    <cellStyle name="Normal 2 23 9 2" xfId="1785"/>
    <cellStyle name="Normal 2 23 9 2 2" xfId="1786"/>
    <cellStyle name="Normal 2 23 9 3" xfId="1787"/>
    <cellStyle name="Normal 2 24" xfId="1788"/>
    <cellStyle name="Normal 2 24 10" xfId="1789"/>
    <cellStyle name="Normal 2 24 10 2" xfId="1790"/>
    <cellStyle name="Normal 2 24 10 2 2" xfId="1791"/>
    <cellStyle name="Normal 2 24 10 3" xfId="1792"/>
    <cellStyle name="Normal 2 24 11" xfId="1793"/>
    <cellStyle name="Normal 2 24 11 2" xfId="1794"/>
    <cellStyle name="Normal 2 24 11 2 2" xfId="1795"/>
    <cellStyle name="Normal 2 24 11 3" xfId="1796"/>
    <cellStyle name="Normal 2 24 12" xfId="1797"/>
    <cellStyle name="Normal 2 24 12 2" xfId="1798"/>
    <cellStyle name="Normal 2 24 12 2 2" xfId="1799"/>
    <cellStyle name="Normal 2 24 12 3" xfId="1800"/>
    <cellStyle name="Normal 2 24 13" xfId="1801"/>
    <cellStyle name="Normal 2 24 13 2" xfId="1802"/>
    <cellStyle name="Normal 2 24 13 2 2" xfId="1803"/>
    <cellStyle name="Normal 2 24 13 3" xfId="1804"/>
    <cellStyle name="Normal 2 24 14" xfId="1805"/>
    <cellStyle name="Normal 2 24 14 2" xfId="1806"/>
    <cellStyle name="Normal 2 24 14 2 2" xfId="1807"/>
    <cellStyle name="Normal 2 24 14 3" xfId="1808"/>
    <cellStyle name="Normal 2 24 15" xfId="1809"/>
    <cellStyle name="Normal 2 24 15 2" xfId="1810"/>
    <cellStyle name="Normal 2 24 15 2 2" xfId="1811"/>
    <cellStyle name="Normal 2 24 15 3" xfId="1812"/>
    <cellStyle name="Normal 2 24 16" xfId="1813"/>
    <cellStyle name="Normal 2 24 16 2" xfId="1814"/>
    <cellStyle name="Normal 2 24 16 2 2" xfId="1815"/>
    <cellStyle name="Normal 2 24 16 3" xfId="1816"/>
    <cellStyle name="Normal 2 24 17" xfId="1817"/>
    <cellStyle name="Normal 2 24 17 2" xfId="1818"/>
    <cellStyle name="Normal 2 24 17 2 2" xfId="1819"/>
    <cellStyle name="Normal 2 24 17 3" xfId="1820"/>
    <cellStyle name="Normal 2 24 18" xfId="1821"/>
    <cellStyle name="Normal 2 24 18 2" xfId="1822"/>
    <cellStyle name="Normal 2 24 18 2 2" xfId="1823"/>
    <cellStyle name="Normal 2 24 18 3" xfId="1824"/>
    <cellStyle name="Normal 2 24 19" xfId="1825"/>
    <cellStyle name="Normal 2 24 19 2" xfId="1826"/>
    <cellStyle name="Normal 2 24 19 2 2" xfId="1827"/>
    <cellStyle name="Normal 2 24 19 3" xfId="1828"/>
    <cellStyle name="Normal 2 24 2" xfId="1829"/>
    <cellStyle name="Normal 2 24 2 2" xfId="1830"/>
    <cellStyle name="Normal 2 24 2 2 2" xfId="1831"/>
    <cellStyle name="Normal 2 24 2 3" xfId="1832"/>
    <cellStyle name="Normal 2 24 20" xfId="1833"/>
    <cellStyle name="Normal 2 24 20 2" xfId="1834"/>
    <cellStyle name="Normal 2 24 20 2 2" xfId="1835"/>
    <cellStyle name="Normal 2 24 20 3" xfId="1836"/>
    <cellStyle name="Normal 2 24 21" xfId="1837"/>
    <cellStyle name="Normal 2 24 21 2" xfId="1838"/>
    <cellStyle name="Normal 2 24 21 2 2" xfId="1839"/>
    <cellStyle name="Normal 2 24 21 3" xfId="1840"/>
    <cellStyle name="Normal 2 24 22" xfId="1841"/>
    <cellStyle name="Normal 2 24 22 2" xfId="1842"/>
    <cellStyle name="Normal 2 24 22 2 2" xfId="1843"/>
    <cellStyle name="Normal 2 24 22 3" xfId="1844"/>
    <cellStyle name="Normal 2 24 23" xfId="1845"/>
    <cellStyle name="Normal 2 24 23 2" xfId="1846"/>
    <cellStyle name="Normal 2 24 23 2 2" xfId="1847"/>
    <cellStyle name="Normal 2 24 23 3" xfId="1848"/>
    <cellStyle name="Normal 2 24 24" xfId="1849"/>
    <cellStyle name="Normal 2 24 24 2" xfId="1850"/>
    <cellStyle name="Normal 2 24 25" xfId="1851"/>
    <cellStyle name="Normal 2 24 3" xfId="1852"/>
    <cellStyle name="Normal 2 24 3 2" xfId="1853"/>
    <cellStyle name="Normal 2 24 3 2 2" xfId="1854"/>
    <cellStyle name="Normal 2 24 3 3" xfId="1855"/>
    <cellStyle name="Normal 2 24 4" xfId="1856"/>
    <cellStyle name="Normal 2 24 4 2" xfId="1857"/>
    <cellStyle name="Normal 2 24 4 2 2" xfId="1858"/>
    <cellStyle name="Normal 2 24 4 3" xfId="1859"/>
    <cellStyle name="Normal 2 24 5" xfId="1860"/>
    <cellStyle name="Normal 2 24 5 2" xfId="1861"/>
    <cellStyle name="Normal 2 24 5 2 2" xfId="1862"/>
    <cellStyle name="Normal 2 24 5 3" xfId="1863"/>
    <cellStyle name="Normal 2 24 6" xfId="1864"/>
    <cellStyle name="Normal 2 24 6 2" xfId="1865"/>
    <cellStyle name="Normal 2 24 6 2 2" xfId="1866"/>
    <cellStyle name="Normal 2 24 6 3" xfId="1867"/>
    <cellStyle name="Normal 2 24 7" xfId="1868"/>
    <cellStyle name="Normal 2 24 7 2" xfId="1869"/>
    <cellStyle name="Normal 2 24 7 2 2" xfId="1870"/>
    <cellStyle name="Normal 2 24 7 3" xfId="1871"/>
    <cellStyle name="Normal 2 24 8" xfId="1872"/>
    <cellStyle name="Normal 2 24 8 2" xfId="1873"/>
    <cellStyle name="Normal 2 24 8 2 2" xfId="1874"/>
    <cellStyle name="Normal 2 24 8 3" xfId="1875"/>
    <cellStyle name="Normal 2 24 9" xfId="1876"/>
    <cellStyle name="Normal 2 24 9 2" xfId="1877"/>
    <cellStyle name="Normal 2 24 9 2 2" xfId="1878"/>
    <cellStyle name="Normal 2 24 9 3" xfId="1879"/>
    <cellStyle name="Normal 2 25" xfId="1880"/>
    <cellStyle name="Normal 2 25 10" xfId="1881"/>
    <cellStyle name="Normal 2 25 10 2" xfId="1882"/>
    <cellStyle name="Normal 2 25 10 2 2" xfId="1883"/>
    <cellStyle name="Normal 2 25 10 3" xfId="1884"/>
    <cellStyle name="Normal 2 25 11" xfId="1885"/>
    <cellStyle name="Normal 2 25 11 2" xfId="1886"/>
    <cellStyle name="Normal 2 25 11 2 2" xfId="1887"/>
    <cellStyle name="Normal 2 25 11 3" xfId="1888"/>
    <cellStyle name="Normal 2 25 12" xfId="1889"/>
    <cellStyle name="Normal 2 25 12 2" xfId="1890"/>
    <cellStyle name="Normal 2 25 12 2 2" xfId="1891"/>
    <cellStyle name="Normal 2 25 12 3" xfId="1892"/>
    <cellStyle name="Normal 2 25 13" xfId="1893"/>
    <cellStyle name="Normal 2 25 13 2" xfId="1894"/>
    <cellStyle name="Normal 2 25 13 2 2" xfId="1895"/>
    <cellStyle name="Normal 2 25 13 3" xfId="1896"/>
    <cellStyle name="Normal 2 25 14" xfId="1897"/>
    <cellStyle name="Normal 2 25 14 2" xfId="1898"/>
    <cellStyle name="Normal 2 25 14 2 2" xfId="1899"/>
    <cellStyle name="Normal 2 25 14 3" xfId="1900"/>
    <cellStyle name="Normal 2 25 15" xfId="1901"/>
    <cellStyle name="Normal 2 25 15 2" xfId="1902"/>
    <cellStyle name="Normal 2 25 15 2 2" xfId="1903"/>
    <cellStyle name="Normal 2 25 15 3" xfId="1904"/>
    <cellStyle name="Normal 2 25 16" xfId="1905"/>
    <cellStyle name="Normal 2 25 16 2" xfId="1906"/>
    <cellStyle name="Normal 2 25 16 2 2" xfId="1907"/>
    <cellStyle name="Normal 2 25 16 3" xfId="1908"/>
    <cellStyle name="Normal 2 25 17" xfId="1909"/>
    <cellStyle name="Normal 2 25 17 2" xfId="1910"/>
    <cellStyle name="Normal 2 25 17 2 2" xfId="1911"/>
    <cellStyle name="Normal 2 25 17 3" xfId="1912"/>
    <cellStyle name="Normal 2 25 18" xfId="1913"/>
    <cellStyle name="Normal 2 25 18 2" xfId="1914"/>
    <cellStyle name="Normal 2 25 18 2 2" xfId="1915"/>
    <cellStyle name="Normal 2 25 18 3" xfId="1916"/>
    <cellStyle name="Normal 2 25 19" xfId="1917"/>
    <cellStyle name="Normal 2 25 19 2" xfId="1918"/>
    <cellStyle name="Normal 2 25 19 2 2" xfId="1919"/>
    <cellStyle name="Normal 2 25 19 3" xfId="1920"/>
    <cellStyle name="Normal 2 25 2" xfId="1921"/>
    <cellStyle name="Normal 2 25 2 2" xfId="1922"/>
    <cellStyle name="Normal 2 25 2 2 2" xfId="1923"/>
    <cellStyle name="Normal 2 25 2 3" xfId="1924"/>
    <cellStyle name="Normal 2 25 20" xfId="1925"/>
    <cellStyle name="Normal 2 25 20 2" xfId="1926"/>
    <cellStyle name="Normal 2 25 20 2 2" xfId="1927"/>
    <cellStyle name="Normal 2 25 20 3" xfId="1928"/>
    <cellStyle name="Normal 2 25 21" xfId="1929"/>
    <cellStyle name="Normal 2 25 21 2" xfId="1930"/>
    <cellStyle name="Normal 2 25 21 2 2" xfId="1931"/>
    <cellStyle name="Normal 2 25 21 3" xfId="1932"/>
    <cellStyle name="Normal 2 25 22" xfId="1933"/>
    <cellStyle name="Normal 2 25 22 2" xfId="1934"/>
    <cellStyle name="Normal 2 25 22 2 2" xfId="1935"/>
    <cellStyle name="Normal 2 25 22 3" xfId="1936"/>
    <cellStyle name="Normal 2 25 23" xfId="1937"/>
    <cellStyle name="Normal 2 25 23 2" xfId="1938"/>
    <cellStyle name="Normal 2 25 23 2 2" xfId="1939"/>
    <cellStyle name="Normal 2 25 23 3" xfId="1940"/>
    <cellStyle name="Normal 2 25 24" xfId="1941"/>
    <cellStyle name="Normal 2 25 24 2" xfId="1942"/>
    <cellStyle name="Normal 2 25 25" xfId="1943"/>
    <cellStyle name="Normal 2 25 3" xfId="1944"/>
    <cellStyle name="Normal 2 25 3 2" xfId="1945"/>
    <cellStyle name="Normal 2 25 3 2 2" xfId="1946"/>
    <cellStyle name="Normal 2 25 3 3" xfId="1947"/>
    <cellStyle name="Normal 2 25 4" xfId="1948"/>
    <cellStyle name="Normal 2 25 4 2" xfId="1949"/>
    <cellStyle name="Normal 2 25 4 2 2" xfId="1950"/>
    <cellStyle name="Normal 2 25 4 3" xfId="1951"/>
    <cellStyle name="Normal 2 25 5" xfId="1952"/>
    <cellStyle name="Normal 2 25 5 2" xfId="1953"/>
    <cellStyle name="Normal 2 25 5 2 2" xfId="1954"/>
    <cellStyle name="Normal 2 25 5 3" xfId="1955"/>
    <cellStyle name="Normal 2 25 6" xfId="1956"/>
    <cellStyle name="Normal 2 25 6 2" xfId="1957"/>
    <cellStyle name="Normal 2 25 6 2 2" xfId="1958"/>
    <cellStyle name="Normal 2 25 6 3" xfId="1959"/>
    <cellStyle name="Normal 2 25 7" xfId="1960"/>
    <cellStyle name="Normal 2 25 7 2" xfId="1961"/>
    <cellStyle name="Normal 2 25 7 2 2" xfId="1962"/>
    <cellStyle name="Normal 2 25 7 3" xfId="1963"/>
    <cellStyle name="Normal 2 25 8" xfId="1964"/>
    <cellStyle name="Normal 2 25 8 2" xfId="1965"/>
    <cellStyle name="Normal 2 25 8 2 2" xfId="1966"/>
    <cellStyle name="Normal 2 25 8 3" xfId="1967"/>
    <cellStyle name="Normal 2 25 9" xfId="1968"/>
    <cellStyle name="Normal 2 25 9 2" xfId="1969"/>
    <cellStyle name="Normal 2 25 9 2 2" xfId="1970"/>
    <cellStyle name="Normal 2 25 9 3" xfId="1971"/>
    <cellStyle name="Normal 2 26" xfId="1972"/>
    <cellStyle name="Normal 2 26 10" xfId="1973"/>
    <cellStyle name="Normal 2 26 10 2" xfId="1974"/>
    <cellStyle name="Normal 2 26 10 2 2" xfId="1975"/>
    <cellStyle name="Normal 2 26 10 3" xfId="1976"/>
    <cellStyle name="Normal 2 26 11" xfId="1977"/>
    <cellStyle name="Normal 2 26 11 2" xfId="1978"/>
    <cellStyle name="Normal 2 26 11 2 2" xfId="1979"/>
    <cellStyle name="Normal 2 26 11 3" xfId="1980"/>
    <cellStyle name="Normal 2 26 12" xfId="1981"/>
    <cellStyle name="Normal 2 26 12 2" xfId="1982"/>
    <cellStyle name="Normal 2 26 12 2 2" xfId="1983"/>
    <cellStyle name="Normal 2 26 12 3" xfId="1984"/>
    <cellStyle name="Normal 2 26 13" xfId="1985"/>
    <cellStyle name="Normal 2 26 13 2" xfId="1986"/>
    <cellStyle name="Normal 2 26 13 2 2" xfId="1987"/>
    <cellStyle name="Normal 2 26 13 3" xfId="1988"/>
    <cellStyle name="Normal 2 26 14" xfId="1989"/>
    <cellStyle name="Normal 2 26 14 2" xfId="1990"/>
    <cellStyle name="Normal 2 26 14 2 2" xfId="1991"/>
    <cellStyle name="Normal 2 26 14 3" xfId="1992"/>
    <cellStyle name="Normal 2 26 15" xfId="1993"/>
    <cellStyle name="Normal 2 26 15 2" xfId="1994"/>
    <cellStyle name="Normal 2 26 15 2 2" xfId="1995"/>
    <cellStyle name="Normal 2 26 15 3" xfId="1996"/>
    <cellStyle name="Normal 2 26 16" xfId="1997"/>
    <cellStyle name="Normal 2 26 16 2" xfId="1998"/>
    <cellStyle name="Normal 2 26 16 2 2" xfId="1999"/>
    <cellStyle name="Normal 2 26 16 3" xfId="2000"/>
    <cellStyle name="Normal 2 26 17" xfId="2001"/>
    <cellStyle name="Normal 2 26 17 2" xfId="2002"/>
    <cellStyle name="Normal 2 26 17 2 2" xfId="2003"/>
    <cellStyle name="Normal 2 26 17 3" xfId="2004"/>
    <cellStyle name="Normal 2 26 18" xfId="2005"/>
    <cellStyle name="Normal 2 26 18 2" xfId="2006"/>
    <cellStyle name="Normal 2 26 18 2 2" xfId="2007"/>
    <cellStyle name="Normal 2 26 18 3" xfId="2008"/>
    <cellStyle name="Normal 2 26 19" xfId="2009"/>
    <cellStyle name="Normal 2 26 19 2" xfId="2010"/>
    <cellStyle name="Normal 2 26 19 2 2" xfId="2011"/>
    <cellStyle name="Normal 2 26 19 3" xfId="2012"/>
    <cellStyle name="Normal 2 26 2" xfId="2013"/>
    <cellStyle name="Normal 2 26 2 2" xfId="2014"/>
    <cellStyle name="Normal 2 26 2 2 2" xfId="2015"/>
    <cellStyle name="Normal 2 26 2 3" xfId="2016"/>
    <cellStyle name="Normal 2 26 20" xfId="2017"/>
    <cellStyle name="Normal 2 26 20 2" xfId="2018"/>
    <cellStyle name="Normal 2 26 20 2 2" xfId="2019"/>
    <cellStyle name="Normal 2 26 20 3" xfId="2020"/>
    <cellStyle name="Normal 2 26 21" xfId="2021"/>
    <cellStyle name="Normal 2 26 21 2" xfId="2022"/>
    <cellStyle name="Normal 2 26 21 2 2" xfId="2023"/>
    <cellStyle name="Normal 2 26 21 3" xfId="2024"/>
    <cellStyle name="Normal 2 26 22" xfId="2025"/>
    <cellStyle name="Normal 2 26 22 2" xfId="2026"/>
    <cellStyle name="Normal 2 26 22 2 2" xfId="2027"/>
    <cellStyle name="Normal 2 26 22 3" xfId="2028"/>
    <cellStyle name="Normal 2 26 23" xfId="2029"/>
    <cellStyle name="Normal 2 26 23 2" xfId="2030"/>
    <cellStyle name="Normal 2 26 23 2 2" xfId="2031"/>
    <cellStyle name="Normal 2 26 23 3" xfId="2032"/>
    <cellStyle name="Normal 2 26 24" xfId="2033"/>
    <cellStyle name="Normal 2 26 24 2" xfId="2034"/>
    <cellStyle name="Normal 2 26 25" xfId="2035"/>
    <cellStyle name="Normal 2 26 3" xfId="2036"/>
    <cellStyle name="Normal 2 26 3 2" xfId="2037"/>
    <cellStyle name="Normal 2 26 3 2 2" xfId="2038"/>
    <cellStyle name="Normal 2 26 3 3" xfId="2039"/>
    <cellStyle name="Normal 2 26 4" xfId="2040"/>
    <cellStyle name="Normal 2 26 4 2" xfId="2041"/>
    <cellStyle name="Normal 2 26 4 2 2" xfId="2042"/>
    <cellStyle name="Normal 2 26 4 3" xfId="2043"/>
    <cellStyle name="Normal 2 26 5" xfId="2044"/>
    <cellStyle name="Normal 2 26 5 2" xfId="2045"/>
    <cellStyle name="Normal 2 26 5 2 2" xfId="2046"/>
    <cellStyle name="Normal 2 26 5 3" xfId="2047"/>
    <cellStyle name="Normal 2 26 6" xfId="2048"/>
    <cellStyle name="Normal 2 26 6 2" xfId="2049"/>
    <cellStyle name="Normal 2 26 6 2 2" xfId="2050"/>
    <cellStyle name="Normal 2 26 6 3" xfId="2051"/>
    <cellStyle name="Normal 2 26 7" xfId="2052"/>
    <cellStyle name="Normal 2 26 7 2" xfId="2053"/>
    <cellStyle name="Normal 2 26 7 2 2" xfId="2054"/>
    <cellStyle name="Normal 2 26 7 3" xfId="2055"/>
    <cellStyle name="Normal 2 26 8" xfId="2056"/>
    <cellStyle name="Normal 2 26 8 2" xfId="2057"/>
    <cellStyle name="Normal 2 26 8 2 2" xfId="2058"/>
    <cellStyle name="Normal 2 26 8 3" xfId="2059"/>
    <cellStyle name="Normal 2 26 9" xfId="2060"/>
    <cellStyle name="Normal 2 26 9 2" xfId="2061"/>
    <cellStyle name="Normal 2 26 9 2 2" xfId="2062"/>
    <cellStyle name="Normal 2 26 9 3" xfId="2063"/>
    <cellStyle name="Normal 2 27" xfId="2064"/>
    <cellStyle name="Normal 2 27 10" xfId="2065"/>
    <cellStyle name="Normal 2 27 10 2" xfId="2066"/>
    <cellStyle name="Normal 2 27 10 2 2" xfId="2067"/>
    <cellStyle name="Normal 2 27 10 3" xfId="2068"/>
    <cellStyle name="Normal 2 27 11" xfId="2069"/>
    <cellStyle name="Normal 2 27 11 2" xfId="2070"/>
    <cellStyle name="Normal 2 27 11 2 2" xfId="2071"/>
    <cellStyle name="Normal 2 27 11 3" xfId="2072"/>
    <cellStyle name="Normal 2 27 12" xfId="2073"/>
    <cellStyle name="Normal 2 27 12 2" xfId="2074"/>
    <cellStyle name="Normal 2 27 12 2 2" xfId="2075"/>
    <cellStyle name="Normal 2 27 12 3" xfId="2076"/>
    <cellStyle name="Normal 2 27 13" xfId="2077"/>
    <cellStyle name="Normal 2 27 13 2" xfId="2078"/>
    <cellStyle name="Normal 2 27 13 2 2" xfId="2079"/>
    <cellStyle name="Normal 2 27 13 3" xfId="2080"/>
    <cellStyle name="Normal 2 27 14" xfId="2081"/>
    <cellStyle name="Normal 2 27 14 2" xfId="2082"/>
    <cellStyle name="Normal 2 27 14 2 2" xfId="2083"/>
    <cellStyle name="Normal 2 27 14 3" xfId="2084"/>
    <cellStyle name="Normal 2 27 15" xfId="2085"/>
    <cellStyle name="Normal 2 27 15 2" xfId="2086"/>
    <cellStyle name="Normal 2 27 15 2 2" xfId="2087"/>
    <cellStyle name="Normal 2 27 15 3" xfId="2088"/>
    <cellStyle name="Normal 2 27 16" xfId="2089"/>
    <cellStyle name="Normal 2 27 16 2" xfId="2090"/>
    <cellStyle name="Normal 2 27 16 2 2" xfId="2091"/>
    <cellStyle name="Normal 2 27 16 3" xfId="2092"/>
    <cellStyle name="Normal 2 27 17" xfId="2093"/>
    <cellStyle name="Normal 2 27 17 2" xfId="2094"/>
    <cellStyle name="Normal 2 27 17 2 2" xfId="2095"/>
    <cellStyle name="Normal 2 27 17 3" xfId="2096"/>
    <cellStyle name="Normal 2 27 18" xfId="2097"/>
    <cellStyle name="Normal 2 27 18 2" xfId="2098"/>
    <cellStyle name="Normal 2 27 18 2 2" xfId="2099"/>
    <cellStyle name="Normal 2 27 18 3" xfId="2100"/>
    <cellStyle name="Normal 2 27 19" xfId="2101"/>
    <cellStyle name="Normal 2 27 19 2" xfId="2102"/>
    <cellStyle name="Normal 2 27 19 2 2" xfId="2103"/>
    <cellStyle name="Normal 2 27 19 3" xfId="2104"/>
    <cellStyle name="Normal 2 27 2" xfId="2105"/>
    <cellStyle name="Normal 2 27 2 2" xfId="2106"/>
    <cellStyle name="Normal 2 27 2 2 2" xfId="2107"/>
    <cellStyle name="Normal 2 27 2 3" xfId="2108"/>
    <cellStyle name="Normal 2 27 20" xfId="2109"/>
    <cellStyle name="Normal 2 27 20 2" xfId="2110"/>
    <cellStyle name="Normal 2 27 20 2 2" xfId="2111"/>
    <cellStyle name="Normal 2 27 20 3" xfId="2112"/>
    <cellStyle name="Normal 2 27 21" xfId="2113"/>
    <cellStyle name="Normal 2 27 21 2" xfId="2114"/>
    <cellStyle name="Normal 2 27 21 2 2" xfId="2115"/>
    <cellStyle name="Normal 2 27 21 3" xfId="2116"/>
    <cellStyle name="Normal 2 27 22" xfId="2117"/>
    <cellStyle name="Normal 2 27 22 2" xfId="2118"/>
    <cellStyle name="Normal 2 27 22 2 2" xfId="2119"/>
    <cellStyle name="Normal 2 27 22 3" xfId="2120"/>
    <cellStyle name="Normal 2 27 23" xfId="2121"/>
    <cellStyle name="Normal 2 27 23 2" xfId="2122"/>
    <cellStyle name="Normal 2 27 23 2 2" xfId="2123"/>
    <cellStyle name="Normal 2 27 23 3" xfId="2124"/>
    <cellStyle name="Normal 2 27 24" xfId="2125"/>
    <cellStyle name="Normal 2 27 24 2" xfId="2126"/>
    <cellStyle name="Normal 2 27 25" xfId="2127"/>
    <cellStyle name="Normal 2 27 3" xfId="2128"/>
    <cellStyle name="Normal 2 27 3 2" xfId="2129"/>
    <cellStyle name="Normal 2 27 3 2 2" xfId="2130"/>
    <cellStyle name="Normal 2 27 3 3" xfId="2131"/>
    <cellStyle name="Normal 2 27 4" xfId="2132"/>
    <cellStyle name="Normal 2 27 4 2" xfId="2133"/>
    <cellStyle name="Normal 2 27 4 2 2" xfId="2134"/>
    <cellStyle name="Normal 2 27 4 3" xfId="2135"/>
    <cellStyle name="Normal 2 27 5" xfId="2136"/>
    <cellStyle name="Normal 2 27 5 2" xfId="2137"/>
    <cellStyle name="Normal 2 27 5 2 2" xfId="2138"/>
    <cellStyle name="Normal 2 27 5 3" xfId="2139"/>
    <cellStyle name="Normal 2 27 6" xfId="2140"/>
    <cellStyle name="Normal 2 27 6 2" xfId="2141"/>
    <cellStyle name="Normal 2 27 6 2 2" xfId="2142"/>
    <cellStyle name="Normal 2 27 6 3" xfId="2143"/>
    <cellStyle name="Normal 2 27 7" xfId="2144"/>
    <cellStyle name="Normal 2 27 7 2" xfId="2145"/>
    <cellStyle name="Normal 2 27 7 2 2" xfId="2146"/>
    <cellStyle name="Normal 2 27 7 3" xfId="2147"/>
    <cellStyle name="Normal 2 27 8" xfId="2148"/>
    <cellStyle name="Normal 2 27 8 2" xfId="2149"/>
    <cellStyle name="Normal 2 27 8 2 2" xfId="2150"/>
    <cellStyle name="Normal 2 27 8 3" xfId="2151"/>
    <cellStyle name="Normal 2 27 9" xfId="2152"/>
    <cellStyle name="Normal 2 27 9 2" xfId="2153"/>
    <cellStyle name="Normal 2 27 9 2 2" xfId="2154"/>
    <cellStyle name="Normal 2 27 9 3" xfId="2155"/>
    <cellStyle name="Normal 2 28" xfId="2156"/>
    <cellStyle name="Normal 2 28 10" xfId="2157"/>
    <cellStyle name="Normal 2 28 10 2" xfId="2158"/>
    <cellStyle name="Normal 2 28 10 2 2" xfId="2159"/>
    <cellStyle name="Normal 2 28 10 3" xfId="2160"/>
    <cellStyle name="Normal 2 28 11" xfId="2161"/>
    <cellStyle name="Normal 2 28 11 2" xfId="2162"/>
    <cellStyle name="Normal 2 28 11 2 2" xfId="2163"/>
    <cellStyle name="Normal 2 28 11 3" xfId="2164"/>
    <cellStyle name="Normal 2 28 12" xfId="2165"/>
    <cellStyle name="Normal 2 28 12 2" xfId="2166"/>
    <cellStyle name="Normal 2 28 12 2 2" xfId="2167"/>
    <cellStyle name="Normal 2 28 12 3" xfId="2168"/>
    <cellStyle name="Normal 2 28 13" xfId="2169"/>
    <cellStyle name="Normal 2 28 13 2" xfId="2170"/>
    <cellStyle name="Normal 2 28 13 2 2" xfId="2171"/>
    <cellStyle name="Normal 2 28 13 3" xfId="2172"/>
    <cellStyle name="Normal 2 28 14" xfId="2173"/>
    <cellStyle name="Normal 2 28 14 2" xfId="2174"/>
    <cellStyle name="Normal 2 28 14 2 2" xfId="2175"/>
    <cellStyle name="Normal 2 28 14 3" xfId="2176"/>
    <cellStyle name="Normal 2 28 15" xfId="2177"/>
    <cellStyle name="Normal 2 28 15 2" xfId="2178"/>
    <cellStyle name="Normal 2 28 15 2 2" xfId="2179"/>
    <cellStyle name="Normal 2 28 15 3" xfId="2180"/>
    <cellStyle name="Normal 2 28 16" xfId="2181"/>
    <cellStyle name="Normal 2 28 16 2" xfId="2182"/>
    <cellStyle name="Normal 2 28 16 2 2" xfId="2183"/>
    <cellStyle name="Normal 2 28 16 3" xfId="2184"/>
    <cellStyle name="Normal 2 28 17" xfId="2185"/>
    <cellStyle name="Normal 2 28 17 2" xfId="2186"/>
    <cellStyle name="Normal 2 28 17 2 2" xfId="2187"/>
    <cellStyle name="Normal 2 28 17 3" xfId="2188"/>
    <cellStyle name="Normal 2 28 18" xfId="2189"/>
    <cellStyle name="Normal 2 28 18 2" xfId="2190"/>
    <cellStyle name="Normal 2 28 18 2 2" xfId="2191"/>
    <cellStyle name="Normal 2 28 18 3" xfId="2192"/>
    <cellStyle name="Normal 2 28 19" xfId="2193"/>
    <cellStyle name="Normal 2 28 19 2" xfId="2194"/>
    <cellStyle name="Normal 2 28 19 2 2" xfId="2195"/>
    <cellStyle name="Normal 2 28 19 3" xfId="2196"/>
    <cellStyle name="Normal 2 28 2" xfId="2197"/>
    <cellStyle name="Normal 2 28 2 2" xfId="2198"/>
    <cellStyle name="Normal 2 28 2 2 2" xfId="2199"/>
    <cellStyle name="Normal 2 28 2 3" xfId="2200"/>
    <cellStyle name="Normal 2 28 20" xfId="2201"/>
    <cellStyle name="Normal 2 28 20 2" xfId="2202"/>
    <cellStyle name="Normal 2 28 20 2 2" xfId="2203"/>
    <cellStyle name="Normal 2 28 20 3" xfId="2204"/>
    <cellStyle name="Normal 2 28 21" xfId="2205"/>
    <cellStyle name="Normal 2 28 21 2" xfId="2206"/>
    <cellStyle name="Normal 2 28 21 2 2" xfId="2207"/>
    <cellStyle name="Normal 2 28 21 3" xfId="2208"/>
    <cellStyle name="Normal 2 28 22" xfId="2209"/>
    <cellStyle name="Normal 2 28 22 2" xfId="2210"/>
    <cellStyle name="Normal 2 28 22 2 2" xfId="2211"/>
    <cellStyle name="Normal 2 28 22 3" xfId="2212"/>
    <cellStyle name="Normal 2 28 23" xfId="2213"/>
    <cellStyle name="Normal 2 28 23 2" xfId="2214"/>
    <cellStyle name="Normal 2 28 23 2 2" xfId="2215"/>
    <cellStyle name="Normal 2 28 23 3" xfId="2216"/>
    <cellStyle name="Normal 2 28 24" xfId="2217"/>
    <cellStyle name="Normal 2 28 24 2" xfId="2218"/>
    <cellStyle name="Normal 2 28 25" xfId="2219"/>
    <cellStyle name="Normal 2 28 3" xfId="2220"/>
    <cellStyle name="Normal 2 28 3 2" xfId="2221"/>
    <cellStyle name="Normal 2 28 3 2 2" xfId="2222"/>
    <cellStyle name="Normal 2 28 3 3" xfId="2223"/>
    <cellStyle name="Normal 2 28 4" xfId="2224"/>
    <cellStyle name="Normal 2 28 4 2" xfId="2225"/>
    <cellStyle name="Normal 2 28 4 2 2" xfId="2226"/>
    <cellStyle name="Normal 2 28 4 3" xfId="2227"/>
    <cellStyle name="Normal 2 28 5" xfId="2228"/>
    <cellStyle name="Normal 2 28 5 2" xfId="2229"/>
    <cellStyle name="Normal 2 28 5 2 2" xfId="2230"/>
    <cellStyle name="Normal 2 28 5 3" xfId="2231"/>
    <cellStyle name="Normal 2 28 6" xfId="2232"/>
    <cellStyle name="Normal 2 28 6 2" xfId="2233"/>
    <cellStyle name="Normal 2 28 6 2 2" xfId="2234"/>
    <cellStyle name="Normal 2 28 6 3" xfId="2235"/>
    <cellStyle name="Normal 2 28 7" xfId="2236"/>
    <cellStyle name="Normal 2 28 7 2" xfId="2237"/>
    <cellStyle name="Normal 2 28 7 2 2" xfId="2238"/>
    <cellStyle name="Normal 2 28 7 3" xfId="2239"/>
    <cellStyle name="Normal 2 28 8" xfId="2240"/>
    <cellStyle name="Normal 2 28 8 2" xfId="2241"/>
    <cellStyle name="Normal 2 28 8 2 2" xfId="2242"/>
    <cellStyle name="Normal 2 28 8 3" xfId="2243"/>
    <cellStyle name="Normal 2 28 9" xfId="2244"/>
    <cellStyle name="Normal 2 28 9 2" xfId="2245"/>
    <cellStyle name="Normal 2 28 9 2 2" xfId="2246"/>
    <cellStyle name="Normal 2 28 9 3" xfId="2247"/>
    <cellStyle name="Normal 2 29" xfId="2248"/>
    <cellStyle name="Normal 2 29 10" xfId="2249"/>
    <cellStyle name="Normal 2 29 10 2" xfId="2250"/>
    <cellStyle name="Normal 2 29 10 2 2" xfId="2251"/>
    <cellStyle name="Normal 2 29 10 3" xfId="2252"/>
    <cellStyle name="Normal 2 29 11" xfId="2253"/>
    <cellStyle name="Normal 2 29 11 2" xfId="2254"/>
    <cellStyle name="Normal 2 29 11 2 2" xfId="2255"/>
    <cellStyle name="Normal 2 29 11 3" xfId="2256"/>
    <cellStyle name="Normal 2 29 12" xfId="2257"/>
    <cellStyle name="Normal 2 29 12 2" xfId="2258"/>
    <cellStyle name="Normal 2 29 12 2 2" xfId="2259"/>
    <cellStyle name="Normal 2 29 12 3" xfId="2260"/>
    <cellStyle name="Normal 2 29 13" xfId="2261"/>
    <cellStyle name="Normal 2 29 13 2" xfId="2262"/>
    <cellStyle name="Normal 2 29 13 2 2" xfId="2263"/>
    <cellStyle name="Normal 2 29 13 3" xfId="2264"/>
    <cellStyle name="Normal 2 29 14" xfId="2265"/>
    <cellStyle name="Normal 2 29 14 2" xfId="2266"/>
    <cellStyle name="Normal 2 29 14 2 2" xfId="2267"/>
    <cellStyle name="Normal 2 29 14 3" xfId="2268"/>
    <cellStyle name="Normal 2 29 15" xfId="2269"/>
    <cellStyle name="Normal 2 29 15 2" xfId="2270"/>
    <cellStyle name="Normal 2 29 15 2 2" xfId="2271"/>
    <cellStyle name="Normal 2 29 15 3" xfId="2272"/>
    <cellStyle name="Normal 2 29 16" xfId="2273"/>
    <cellStyle name="Normal 2 29 16 2" xfId="2274"/>
    <cellStyle name="Normal 2 29 16 2 2" xfId="2275"/>
    <cellStyle name="Normal 2 29 16 3" xfId="2276"/>
    <cellStyle name="Normal 2 29 17" xfId="2277"/>
    <cellStyle name="Normal 2 29 17 2" xfId="2278"/>
    <cellStyle name="Normal 2 29 17 2 2" xfId="2279"/>
    <cellStyle name="Normal 2 29 17 3" xfId="2280"/>
    <cellStyle name="Normal 2 29 18" xfId="2281"/>
    <cellStyle name="Normal 2 29 18 2" xfId="2282"/>
    <cellStyle name="Normal 2 29 18 2 2" xfId="2283"/>
    <cellStyle name="Normal 2 29 18 3" xfId="2284"/>
    <cellStyle name="Normal 2 29 19" xfId="2285"/>
    <cellStyle name="Normal 2 29 19 2" xfId="2286"/>
    <cellStyle name="Normal 2 29 19 2 2" xfId="2287"/>
    <cellStyle name="Normal 2 29 19 3" xfId="2288"/>
    <cellStyle name="Normal 2 29 2" xfId="2289"/>
    <cellStyle name="Normal 2 29 2 2" xfId="2290"/>
    <cellStyle name="Normal 2 29 2 2 2" xfId="2291"/>
    <cellStyle name="Normal 2 29 2 3" xfId="2292"/>
    <cellStyle name="Normal 2 29 20" xfId="2293"/>
    <cellStyle name="Normal 2 29 20 2" xfId="2294"/>
    <cellStyle name="Normal 2 29 20 2 2" xfId="2295"/>
    <cellStyle name="Normal 2 29 20 3" xfId="2296"/>
    <cellStyle name="Normal 2 29 21" xfId="2297"/>
    <cellStyle name="Normal 2 29 21 2" xfId="2298"/>
    <cellStyle name="Normal 2 29 21 2 2" xfId="2299"/>
    <cellStyle name="Normal 2 29 21 3" xfId="2300"/>
    <cellStyle name="Normal 2 29 22" xfId="2301"/>
    <cellStyle name="Normal 2 29 22 2" xfId="2302"/>
    <cellStyle name="Normal 2 29 22 2 2" xfId="2303"/>
    <cellStyle name="Normal 2 29 22 3" xfId="2304"/>
    <cellStyle name="Normal 2 29 23" xfId="2305"/>
    <cellStyle name="Normal 2 29 23 2" xfId="2306"/>
    <cellStyle name="Normal 2 29 23 2 2" xfId="2307"/>
    <cellStyle name="Normal 2 29 23 3" xfId="2308"/>
    <cellStyle name="Normal 2 29 24" xfId="2309"/>
    <cellStyle name="Normal 2 29 24 2" xfId="2310"/>
    <cellStyle name="Normal 2 29 25" xfId="2311"/>
    <cellStyle name="Normal 2 29 3" xfId="2312"/>
    <cellStyle name="Normal 2 29 3 2" xfId="2313"/>
    <cellStyle name="Normal 2 29 3 2 2" xfId="2314"/>
    <cellStyle name="Normal 2 29 3 3" xfId="2315"/>
    <cellStyle name="Normal 2 29 4" xfId="2316"/>
    <cellStyle name="Normal 2 29 4 2" xfId="2317"/>
    <cellStyle name="Normal 2 29 4 2 2" xfId="2318"/>
    <cellStyle name="Normal 2 29 4 3" xfId="2319"/>
    <cellStyle name="Normal 2 29 5" xfId="2320"/>
    <cellStyle name="Normal 2 29 5 2" xfId="2321"/>
    <cellStyle name="Normal 2 29 5 2 2" xfId="2322"/>
    <cellStyle name="Normal 2 29 5 3" xfId="2323"/>
    <cellStyle name="Normal 2 29 6" xfId="2324"/>
    <cellStyle name="Normal 2 29 6 2" xfId="2325"/>
    <cellStyle name="Normal 2 29 6 2 2" xfId="2326"/>
    <cellStyle name="Normal 2 29 6 3" xfId="2327"/>
    <cellStyle name="Normal 2 29 7" xfId="2328"/>
    <cellStyle name="Normal 2 29 7 2" xfId="2329"/>
    <cellStyle name="Normal 2 29 7 2 2" xfId="2330"/>
    <cellStyle name="Normal 2 29 7 3" xfId="2331"/>
    <cellStyle name="Normal 2 29 8" xfId="2332"/>
    <cellStyle name="Normal 2 29 8 2" xfId="2333"/>
    <cellStyle name="Normal 2 29 8 2 2" xfId="2334"/>
    <cellStyle name="Normal 2 29 8 3" xfId="2335"/>
    <cellStyle name="Normal 2 29 9" xfId="2336"/>
    <cellStyle name="Normal 2 29 9 2" xfId="2337"/>
    <cellStyle name="Normal 2 29 9 2 2" xfId="2338"/>
    <cellStyle name="Normal 2 29 9 3" xfId="2339"/>
    <cellStyle name="Normal 2 3" xfId="161"/>
    <cellStyle name="Normal 2 3 2" xfId="162"/>
    <cellStyle name="Normal 2 3 2 2" xfId="163"/>
    <cellStyle name="Normal 2 3 2 2 2" xfId="164"/>
    <cellStyle name="Normal 2 3 2 2 3" xfId="8214"/>
    <cellStyle name="Normal 2 3 2 3" xfId="2340"/>
    <cellStyle name="Normal 2 3 3" xfId="165"/>
    <cellStyle name="Normal 2 3 3 2" xfId="166"/>
    <cellStyle name="Normal 2 3 3 3" xfId="8826"/>
    <cellStyle name="Normal 2 3 3 4" xfId="8215"/>
    <cellStyle name="Normal 2 3 4" xfId="2341"/>
    <cellStyle name="Normal 2 3 4 2" xfId="2342"/>
    <cellStyle name="Normal 2 3 4 3" xfId="8175"/>
    <cellStyle name="Normal 2 3 5" xfId="2343"/>
    <cellStyle name="Normal 2 30" xfId="2344"/>
    <cellStyle name="Normal 2 30 10" xfId="2345"/>
    <cellStyle name="Normal 2 30 10 2" xfId="2346"/>
    <cellStyle name="Normal 2 30 10 2 2" xfId="2347"/>
    <cellStyle name="Normal 2 30 10 3" xfId="2348"/>
    <cellStyle name="Normal 2 30 11" xfId="2349"/>
    <cellStyle name="Normal 2 30 11 2" xfId="2350"/>
    <cellStyle name="Normal 2 30 11 2 2" xfId="2351"/>
    <cellStyle name="Normal 2 30 11 3" xfId="2352"/>
    <cellStyle name="Normal 2 30 12" xfId="2353"/>
    <cellStyle name="Normal 2 30 12 2" xfId="2354"/>
    <cellStyle name="Normal 2 30 12 2 2" xfId="2355"/>
    <cellStyle name="Normal 2 30 12 3" xfId="2356"/>
    <cellStyle name="Normal 2 30 13" xfId="2357"/>
    <cellStyle name="Normal 2 30 13 2" xfId="2358"/>
    <cellStyle name="Normal 2 30 13 2 2" xfId="2359"/>
    <cellStyle name="Normal 2 30 13 3" xfId="2360"/>
    <cellStyle name="Normal 2 30 14" xfId="2361"/>
    <cellStyle name="Normal 2 30 14 2" xfId="2362"/>
    <cellStyle name="Normal 2 30 14 2 2" xfId="2363"/>
    <cellStyle name="Normal 2 30 14 3" xfId="2364"/>
    <cellStyle name="Normal 2 30 15" xfId="2365"/>
    <cellStyle name="Normal 2 30 15 2" xfId="2366"/>
    <cellStyle name="Normal 2 30 15 2 2" xfId="2367"/>
    <cellStyle name="Normal 2 30 15 3" xfId="2368"/>
    <cellStyle name="Normal 2 30 16" xfId="2369"/>
    <cellStyle name="Normal 2 30 16 2" xfId="2370"/>
    <cellStyle name="Normal 2 30 16 2 2" xfId="2371"/>
    <cellStyle name="Normal 2 30 16 3" xfId="2372"/>
    <cellStyle name="Normal 2 30 17" xfId="2373"/>
    <cellStyle name="Normal 2 30 17 2" xfId="2374"/>
    <cellStyle name="Normal 2 30 17 2 2" xfId="2375"/>
    <cellStyle name="Normal 2 30 17 3" xfId="2376"/>
    <cellStyle name="Normal 2 30 18" xfId="2377"/>
    <cellStyle name="Normal 2 30 18 2" xfId="2378"/>
    <cellStyle name="Normal 2 30 18 2 2" xfId="2379"/>
    <cellStyle name="Normal 2 30 18 3" xfId="2380"/>
    <cellStyle name="Normal 2 30 19" xfId="2381"/>
    <cellStyle name="Normal 2 30 19 2" xfId="2382"/>
    <cellStyle name="Normal 2 30 19 2 2" xfId="2383"/>
    <cellStyle name="Normal 2 30 19 3" xfId="2384"/>
    <cellStyle name="Normal 2 30 2" xfId="2385"/>
    <cellStyle name="Normal 2 30 2 2" xfId="2386"/>
    <cellStyle name="Normal 2 30 2 2 2" xfId="2387"/>
    <cellStyle name="Normal 2 30 2 3" xfId="2388"/>
    <cellStyle name="Normal 2 30 20" xfId="2389"/>
    <cellStyle name="Normal 2 30 20 2" xfId="2390"/>
    <cellStyle name="Normal 2 30 20 2 2" xfId="2391"/>
    <cellStyle name="Normal 2 30 20 3" xfId="2392"/>
    <cellStyle name="Normal 2 30 21" xfId="2393"/>
    <cellStyle name="Normal 2 30 21 2" xfId="2394"/>
    <cellStyle name="Normal 2 30 21 2 2" xfId="2395"/>
    <cellStyle name="Normal 2 30 21 3" xfId="2396"/>
    <cellStyle name="Normal 2 30 22" xfId="2397"/>
    <cellStyle name="Normal 2 30 22 2" xfId="2398"/>
    <cellStyle name="Normal 2 30 22 2 2" xfId="2399"/>
    <cellStyle name="Normal 2 30 22 3" xfId="2400"/>
    <cellStyle name="Normal 2 30 23" xfId="2401"/>
    <cellStyle name="Normal 2 30 23 2" xfId="2402"/>
    <cellStyle name="Normal 2 30 23 2 2" xfId="2403"/>
    <cellStyle name="Normal 2 30 23 3" xfId="2404"/>
    <cellStyle name="Normal 2 30 24" xfId="2405"/>
    <cellStyle name="Normal 2 30 24 2" xfId="2406"/>
    <cellStyle name="Normal 2 30 25" xfId="2407"/>
    <cellStyle name="Normal 2 30 3" xfId="2408"/>
    <cellStyle name="Normal 2 30 3 2" xfId="2409"/>
    <cellStyle name="Normal 2 30 3 2 2" xfId="2410"/>
    <cellStyle name="Normal 2 30 3 3" xfId="2411"/>
    <cellStyle name="Normal 2 30 4" xfId="2412"/>
    <cellStyle name="Normal 2 30 4 2" xfId="2413"/>
    <cellStyle name="Normal 2 30 4 2 2" xfId="2414"/>
    <cellStyle name="Normal 2 30 4 3" xfId="2415"/>
    <cellStyle name="Normal 2 30 5" xfId="2416"/>
    <cellStyle name="Normal 2 30 5 2" xfId="2417"/>
    <cellStyle name="Normal 2 30 5 2 2" xfId="2418"/>
    <cellStyle name="Normal 2 30 5 3" xfId="2419"/>
    <cellStyle name="Normal 2 30 6" xfId="2420"/>
    <cellStyle name="Normal 2 30 6 2" xfId="2421"/>
    <cellStyle name="Normal 2 30 6 2 2" xfId="2422"/>
    <cellStyle name="Normal 2 30 6 3" xfId="2423"/>
    <cellStyle name="Normal 2 30 7" xfId="2424"/>
    <cellStyle name="Normal 2 30 7 2" xfId="2425"/>
    <cellStyle name="Normal 2 30 7 2 2" xfId="2426"/>
    <cellStyle name="Normal 2 30 7 3" xfId="2427"/>
    <cellStyle name="Normal 2 30 8" xfId="2428"/>
    <cellStyle name="Normal 2 30 8 2" xfId="2429"/>
    <cellStyle name="Normal 2 30 8 2 2" xfId="2430"/>
    <cellStyle name="Normal 2 30 8 3" xfId="2431"/>
    <cellStyle name="Normal 2 30 9" xfId="2432"/>
    <cellStyle name="Normal 2 30 9 2" xfId="2433"/>
    <cellStyle name="Normal 2 30 9 2 2" xfId="2434"/>
    <cellStyle name="Normal 2 30 9 3" xfId="2435"/>
    <cellStyle name="Normal 2 31" xfId="2436"/>
    <cellStyle name="Normal 2 31 10" xfId="2437"/>
    <cellStyle name="Normal 2 31 10 2" xfId="2438"/>
    <cellStyle name="Normal 2 31 10 2 2" xfId="2439"/>
    <cellStyle name="Normal 2 31 10 3" xfId="2440"/>
    <cellStyle name="Normal 2 31 11" xfId="2441"/>
    <cellStyle name="Normal 2 31 11 2" xfId="2442"/>
    <cellStyle name="Normal 2 31 11 2 2" xfId="2443"/>
    <cellStyle name="Normal 2 31 11 3" xfId="2444"/>
    <cellStyle name="Normal 2 31 12" xfId="2445"/>
    <cellStyle name="Normal 2 31 12 2" xfId="2446"/>
    <cellStyle name="Normal 2 31 12 2 2" xfId="2447"/>
    <cellStyle name="Normal 2 31 12 3" xfId="2448"/>
    <cellStyle name="Normal 2 31 13" xfId="2449"/>
    <cellStyle name="Normal 2 31 13 2" xfId="2450"/>
    <cellStyle name="Normal 2 31 13 2 2" xfId="2451"/>
    <cellStyle name="Normal 2 31 13 3" xfId="2452"/>
    <cellStyle name="Normal 2 31 14" xfId="2453"/>
    <cellStyle name="Normal 2 31 14 2" xfId="2454"/>
    <cellStyle name="Normal 2 31 14 2 2" xfId="2455"/>
    <cellStyle name="Normal 2 31 14 3" xfId="2456"/>
    <cellStyle name="Normal 2 31 15" xfId="2457"/>
    <cellStyle name="Normal 2 31 15 2" xfId="2458"/>
    <cellStyle name="Normal 2 31 15 2 2" xfId="2459"/>
    <cellStyle name="Normal 2 31 15 3" xfId="2460"/>
    <cellStyle name="Normal 2 31 16" xfId="2461"/>
    <cellStyle name="Normal 2 31 16 2" xfId="2462"/>
    <cellStyle name="Normal 2 31 16 2 2" xfId="2463"/>
    <cellStyle name="Normal 2 31 16 3" xfId="2464"/>
    <cellStyle name="Normal 2 31 17" xfId="2465"/>
    <cellStyle name="Normal 2 31 17 2" xfId="2466"/>
    <cellStyle name="Normal 2 31 17 2 2" xfId="2467"/>
    <cellStyle name="Normal 2 31 17 3" xfId="2468"/>
    <cellStyle name="Normal 2 31 18" xfId="2469"/>
    <cellStyle name="Normal 2 31 18 2" xfId="2470"/>
    <cellStyle name="Normal 2 31 18 2 2" xfId="2471"/>
    <cellStyle name="Normal 2 31 18 3" xfId="2472"/>
    <cellStyle name="Normal 2 31 19" xfId="2473"/>
    <cellStyle name="Normal 2 31 19 2" xfId="2474"/>
    <cellStyle name="Normal 2 31 19 2 2" xfId="2475"/>
    <cellStyle name="Normal 2 31 19 3" xfId="2476"/>
    <cellStyle name="Normal 2 31 2" xfId="2477"/>
    <cellStyle name="Normal 2 31 2 2" xfId="2478"/>
    <cellStyle name="Normal 2 31 2 2 2" xfId="2479"/>
    <cellStyle name="Normal 2 31 2 3" xfId="2480"/>
    <cellStyle name="Normal 2 31 20" xfId="2481"/>
    <cellStyle name="Normal 2 31 20 2" xfId="2482"/>
    <cellStyle name="Normal 2 31 20 2 2" xfId="2483"/>
    <cellStyle name="Normal 2 31 20 3" xfId="2484"/>
    <cellStyle name="Normal 2 31 21" xfId="2485"/>
    <cellStyle name="Normal 2 31 21 2" xfId="2486"/>
    <cellStyle name="Normal 2 31 21 2 2" xfId="2487"/>
    <cellStyle name="Normal 2 31 21 3" xfId="2488"/>
    <cellStyle name="Normal 2 31 22" xfId="2489"/>
    <cellStyle name="Normal 2 31 22 2" xfId="2490"/>
    <cellStyle name="Normal 2 31 22 2 2" xfId="2491"/>
    <cellStyle name="Normal 2 31 22 3" xfId="2492"/>
    <cellStyle name="Normal 2 31 23" xfId="2493"/>
    <cellStyle name="Normal 2 31 23 2" xfId="2494"/>
    <cellStyle name="Normal 2 31 23 2 2" xfId="2495"/>
    <cellStyle name="Normal 2 31 23 3" xfId="2496"/>
    <cellStyle name="Normal 2 31 24" xfId="2497"/>
    <cellStyle name="Normal 2 31 24 2" xfId="2498"/>
    <cellStyle name="Normal 2 31 25" xfId="2499"/>
    <cellStyle name="Normal 2 31 3" xfId="2500"/>
    <cellStyle name="Normal 2 31 3 2" xfId="2501"/>
    <cellStyle name="Normal 2 31 3 2 2" xfId="2502"/>
    <cellStyle name="Normal 2 31 3 3" xfId="2503"/>
    <cellStyle name="Normal 2 31 4" xfId="2504"/>
    <cellStyle name="Normal 2 31 4 2" xfId="2505"/>
    <cellStyle name="Normal 2 31 4 2 2" xfId="2506"/>
    <cellStyle name="Normal 2 31 4 3" xfId="2507"/>
    <cellStyle name="Normal 2 31 5" xfId="2508"/>
    <cellStyle name="Normal 2 31 5 2" xfId="2509"/>
    <cellStyle name="Normal 2 31 5 2 2" xfId="2510"/>
    <cellStyle name="Normal 2 31 5 3" xfId="2511"/>
    <cellStyle name="Normal 2 31 6" xfId="2512"/>
    <cellStyle name="Normal 2 31 6 2" xfId="2513"/>
    <cellStyle name="Normal 2 31 6 2 2" xfId="2514"/>
    <cellStyle name="Normal 2 31 6 3" xfId="2515"/>
    <cellStyle name="Normal 2 31 7" xfId="2516"/>
    <cellStyle name="Normal 2 31 7 2" xfId="2517"/>
    <cellStyle name="Normal 2 31 7 2 2" xfId="2518"/>
    <cellStyle name="Normal 2 31 7 3" xfId="2519"/>
    <cellStyle name="Normal 2 31 8" xfId="2520"/>
    <cellStyle name="Normal 2 31 8 2" xfId="2521"/>
    <cellStyle name="Normal 2 31 8 2 2" xfId="2522"/>
    <cellStyle name="Normal 2 31 8 3" xfId="2523"/>
    <cellStyle name="Normal 2 31 9" xfId="2524"/>
    <cellStyle name="Normal 2 31 9 2" xfId="2525"/>
    <cellStyle name="Normal 2 31 9 2 2" xfId="2526"/>
    <cellStyle name="Normal 2 31 9 3" xfId="2527"/>
    <cellStyle name="Normal 2 32" xfId="2528"/>
    <cellStyle name="Normal 2 32 10" xfId="2529"/>
    <cellStyle name="Normal 2 32 10 2" xfId="2530"/>
    <cellStyle name="Normal 2 32 10 2 2" xfId="2531"/>
    <cellStyle name="Normal 2 32 10 3" xfId="2532"/>
    <cellStyle name="Normal 2 32 11" xfId="2533"/>
    <cellStyle name="Normal 2 32 11 2" xfId="2534"/>
    <cellStyle name="Normal 2 32 11 2 2" xfId="2535"/>
    <cellStyle name="Normal 2 32 11 3" xfId="2536"/>
    <cellStyle name="Normal 2 32 12" xfId="2537"/>
    <cellStyle name="Normal 2 32 12 2" xfId="2538"/>
    <cellStyle name="Normal 2 32 12 2 2" xfId="2539"/>
    <cellStyle name="Normal 2 32 12 3" xfId="2540"/>
    <cellStyle name="Normal 2 32 13" xfId="2541"/>
    <cellStyle name="Normal 2 32 13 2" xfId="2542"/>
    <cellStyle name="Normal 2 32 13 2 2" xfId="2543"/>
    <cellStyle name="Normal 2 32 13 3" xfId="2544"/>
    <cellStyle name="Normal 2 32 14" xfId="2545"/>
    <cellStyle name="Normal 2 32 14 2" xfId="2546"/>
    <cellStyle name="Normal 2 32 14 2 2" xfId="2547"/>
    <cellStyle name="Normal 2 32 14 3" xfId="2548"/>
    <cellStyle name="Normal 2 32 15" xfId="2549"/>
    <cellStyle name="Normal 2 32 15 2" xfId="2550"/>
    <cellStyle name="Normal 2 32 15 2 2" xfId="2551"/>
    <cellStyle name="Normal 2 32 15 3" xfId="2552"/>
    <cellStyle name="Normal 2 32 16" xfId="2553"/>
    <cellStyle name="Normal 2 32 16 2" xfId="2554"/>
    <cellStyle name="Normal 2 32 16 2 2" xfId="2555"/>
    <cellStyle name="Normal 2 32 16 3" xfId="2556"/>
    <cellStyle name="Normal 2 32 17" xfId="2557"/>
    <cellStyle name="Normal 2 32 17 2" xfId="2558"/>
    <cellStyle name="Normal 2 32 17 2 2" xfId="2559"/>
    <cellStyle name="Normal 2 32 17 3" xfId="2560"/>
    <cellStyle name="Normal 2 32 18" xfId="2561"/>
    <cellStyle name="Normal 2 32 18 2" xfId="2562"/>
    <cellStyle name="Normal 2 32 18 2 2" xfId="2563"/>
    <cellStyle name="Normal 2 32 18 3" xfId="2564"/>
    <cellStyle name="Normal 2 32 19" xfId="2565"/>
    <cellStyle name="Normal 2 32 19 2" xfId="2566"/>
    <cellStyle name="Normal 2 32 19 2 2" xfId="2567"/>
    <cellStyle name="Normal 2 32 19 3" xfId="2568"/>
    <cellStyle name="Normal 2 32 2" xfId="2569"/>
    <cellStyle name="Normal 2 32 2 2" xfId="2570"/>
    <cellStyle name="Normal 2 32 2 2 2" xfId="2571"/>
    <cellStyle name="Normal 2 32 2 3" xfId="2572"/>
    <cellStyle name="Normal 2 32 20" xfId="2573"/>
    <cellStyle name="Normal 2 32 20 2" xfId="2574"/>
    <cellStyle name="Normal 2 32 20 2 2" xfId="2575"/>
    <cellStyle name="Normal 2 32 20 3" xfId="2576"/>
    <cellStyle name="Normal 2 32 21" xfId="2577"/>
    <cellStyle name="Normal 2 32 21 2" xfId="2578"/>
    <cellStyle name="Normal 2 32 21 2 2" xfId="2579"/>
    <cellStyle name="Normal 2 32 21 3" xfId="2580"/>
    <cellStyle name="Normal 2 32 22" xfId="2581"/>
    <cellStyle name="Normal 2 32 22 2" xfId="2582"/>
    <cellStyle name="Normal 2 32 22 2 2" xfId="2583"/>
    <cellStyle name="Normal 2 32 22 3" xfId="2584"/>
    <cellStyle name="Normal 2 32 23" xfId="2585"/>
    <cellStyle name="Normal 2 32 23 2" xfId="2586"/>
    <cellStyle name="Normal 2 32 23 2 2" xfId="2587"/>
    <cellStyle name="Normal 2 32 23 3" xfId="2588"/>
    <cellStyle name="Normal 2 32 24" xfId="2589"/>
    <cellStyle name="Normal 2 32 24 2" xfId="2590"/>
    <cellStyle name="Normal 2 32 25" xfId="2591"/>
    <cellStyle name="Normal 2 32 3" xfId="2592"/>
    <cellStyle name="Normal 2 32 3 2" xfId="2593"/>
    <cellStyle name="Normal 2 32 3 2 2" xfId="2594"/>
    <cellStyle name="Normal 2 32 3 3" xfId="2595"/>
    <cellStyle name="Normal 2 32 4" xfId="2596"/>
    <cellStyle name="Normal 2 32 4 2" xfId="2597"/>
    <cellStyle name="Normal 2 32 4 2 2" xfId="2598"/>
    <cellStyle name="Normal 2 32 4 3" xfId="2599"/>
    <cellStyle name="Normal 2 32 5" xfId="2600"/>
    <cellStyle name="Normal 2 32 5 2" xfId="2601"/>
    <cellStyle name="Normal 2 32 5 2 2" xfId="2602"/>
    <cellStyle name="Normal 2 32 5 3" xfId="2603"/>
    <cellStyle name="Normal 2 32 6" xfId="2604"/>
    <cellStyle name="Normal 2 32 6 2" xfId="2605"/>
    <cellStyle name="Normal 2 32 6 2 2" xfId="2606"/>
    <cellStyle name="Normal 2 32 6 3" xfId="2607"/>
    <cellStyle name="Normal 2 32 7" xfId="2608"/>
    <cellStyle name="Normal 2 32 7 2" xfId="2609"/>
    <cellStyle name="Normal 2 32 7 2 2" xfId="2610"/>
    <cellStyle name="Normal 2 32 7 3" xfId="2611"/>
    <cellStyle name="Normal 2 32 8" xfId="2612"/>
    <cellStyle name="Normal 2 32 8 2" xfId="2613"/>
    <cellStyle name="Normal 2 32 8 2 2" xfId="2614"/>
    <cellStyle name="Normal 2 32 8 3" xfId="2615"/>
    <cellStyle name="Normal 2 32 9" xfId="2616"/>
    <cellStyle name="Normal 2 32 9 2" xfId="2617"/>
    <cellStyle name="Normal 2 32 9 2 2" xfId="2618"/>
    <cellStyle name="Normal 2 32 9 3" xfId="2619"/>
    <cellStyle name="Normal 2 33" xfId="2620"/>
    <cellStyle name="Normal 2 33 10" xfId="2621"/>
    <cellStyle name="Normal 2 33 10 2" xfId="2622"/>
    <cellStyle name="Normal 2 33 10 2 2" xfId="2623"/>
    <cellStyle name="Normal 2 33 10 3" xfId="2624"/>
    <cellStyle name="Normal 2 33 11" xfId="2625"/>
    <cellStyle name="Normal 2 33 11 2" xfId="2626"/>
    <cellStyle name="Normal 2 33 11 2 2" xfId="2627"/>
    <cellStyle name="Normal 2 33 11 3" xfId="2628"/>
    <cellStyle name="Normal 2 33 12" xfId="2629"/>
    <cellStyle name="Normal 2 33 12 2" xfId="2630"/>
    <cellStyle name="Normal 2 33 12 2 2" xfId="2631"/>
    <cellStyle name="Normal 2 33 12 3" xfId="2632"/>
    <cellStyle name="Normal 2 33 13" xfId="2633"/>
    <cellStyle name="Normal 2 33 13 2" xfId="2634"/>
    <cellStyle name="Normal 2 33 13 2 2" xfId="2635"/>
    <cellStyle name="Normal 2 33 13 3" xfId="2636"/>
    <cellStyle name="Normal 2 33 14" xfId="2637"/>
    <cellStyle name="Normal 2 33 14 2" xfId="2638"/>
    <cellStyle name="Normal 2 33 14 2 2" xfId="2639"/>
    <cellStyle name="Normal 2 33 14 3" xfId="2640"/>
    <cellStyle name="Normal 2 33 15" xfId="2641"/>
    <cellStyle name="Normal 2 33 15 2" xfId="2642"/>
    <cellStyle name="Normal 2 33 15 2 2" xfId="2643"/>
    <cellStyle name="Normal 2 33 15 3" xfId="2644"/>
    <cellStyle name="Normal 2 33 16" xfId="2645"/>
    <cellStyle name="Normal 2 33 16 2" xfId="2646"/>
    <cellStyle name="Normal 2 33 16 2 2" xfId="2647"/>
    <cellStyle name="Normal 2 33 16 3" xfId="2648"/>
    <cellStyle name="Normal 2 33 17" xfId="2649"/>
    <cellStyle name="Normal 2 33 17 2" xfId="2650"/>
    <cellStyle name="Normal 2 33 17 2 2" xfId="2651"/>
    <cellStyle name="Normal 2 33 17 3" xfId="2652"/>
    <cellStyle name="Normal 2 33 18" xfId="2653"/>
    <cellStyle name="Normal 2 33 18 2" xfId="2654"/>
    <cellStyle name="Normal 2 33 18 2 2" xfId="2655"/>
    <cellStyle name="Normal 2 33 18 3" xfId="2656"/>
    <cellStyle name="Normal 2 33 19" xfId="2657"/>
    <cellStyle name="Normal 2 33 19 2" xfId="2658"/>
    <cellStyle name="Normal 2 33 19 2 2" xfId="2659"/>
    <cellStyle name="Normal 2 33 19 3" xfId="2660"/>
    <cellStyle name="Normal 2 33 2" xfId="2661"/>
    <cellStyle name="Normal 2 33 2 2" xfId="2662"/>
    <cellStyle name="Normal 2 33 2 2 2" xfId="2663"/>
    <cellStyle name="Normal 2 33 2 3" xfId="2664"/>
    <cellStyle name="Normal 2 33 20" xfId="2665"/>
    <cellStyle name="Normal 2 33 20 2" xfId="2666"/>
    <cellStyle name="Normal 2 33 20 2 2" xfId="2667"/>
    <cellStyle name="Normal 2 33 20 3" xfId="2668"/>
    <cellStyle name="Normal 2 33 21" xfId="2669"/>
    <cellStyle name="Normal 2 33 21 2" xfId="2670"/>
    <cellStyle name="Normal 2 33 21 2 2" xfId="2671"/>
    <cellStyle name="Normal 2 33 21 3" xfId="2672"/>
    <cellStyle name="Normal 2 33 22" xfId="2673"/>
    <cellStyle name="Normal 2 33 22 2" xfId="2674"/>
    <cellStyle name="Normal 2 33 22 2 2" xfId="2675"/>
    <cellStyle name="Normal 2 33 22 3" xfId="2676"/>
    <cellStyle name="Normal 2 33 23" xfId="2677"/>
    <cellStyle name="Normal 2 33 23 2" xfId="2678"/>
    <cellStyle name="Normal 2 33 23 2 2" xfId="2679"/>
    <cellStyle name="Normal 2 33 23 3" xfId="2680"/>
    <cellStyle name="Normal 2 33 24" xfId="2681"/>
    <cellStyle name="Normal 2 33 24 2" xfId="2682"/>
    <cellStyle name="Normal 2 33 25" xfId="2683"/>
    <cellStyle name="Normal 2 33 3" xfId="2684"/>
    <cellStyle name="Normal 2 33 3 2" xfId="2685"/>
    <cellStyle name="Normal 2 33 3 2 2" xfId="2686"/>
    <cellStyle name="Normal 2 33 3 3" xfId="2687"/>
    <cellStyle name="Normal 2 33 4" xfId="2688"/>
    <cellStyle name="Normal 2 33 4 2" xfId="2689"/>
    <cellStyle name="Normal 2 33 4 2 2" xfId="2690"/>
    <cellStyle name="Normal 2 33 4 3" xfId="2691"/>
    <cellStyle name="Normal 2 33 5" xfId="2692"/>
    <cellStyle name="Normal 2 33 5 2" xfId="2693"/>
    <cellStyle name="Normal 2 33 5 2 2" xfId="2694"/>
    <cellStyle name="Normal 2 33 5 3" xfId="2695"/>
    <cellStyle name="Normal 2 33 6" xfId="2696"/>
    <cellStyle name="Normal 2 33 6 2" xfId="2697"/>
    <cellStyle name="Normal 2 33 6 2 2" xfId="2698"/>
    <cellStyle name="Normal 2 33 6 3" xfId="2699"/>
    <cellStyle name="Normal 2 33 7" xfId="2700"/>
    <cellStyle name="Normal 2 33 7 2" xfId="2701"/>
    <cellStyle name="Normal 2 33 7 2 2" xfId="2702"/>
    <cellStyle name="Normal 2 33 7 3" xfId="2703"/>
    <cellStyle name="Normal 2 33 8" xfId="2704"/>
    <cellStyle name="Normal 2 33 8 2" xfId="2705"/>
    <cellStyle name="Normal 2 33 8 2 2" xfId="2706"/>
    <cellStyle name="Normal 2 33 8 3" xfId="2707"/>
    <cellStyle name="Normal 2 33 9" xfId="2708"/>
    <cellStyle name="Normal 2 33 9 2" xfId="2709"/>
    <cellStyle name="Normal 2 33 9 2 2" xfId="2710"/>
    <cellStyle name="Normal 2 33 9 3" xfId="2711"/>
    <cellStyle name="Normal 2 34" xfId="2712"/>
    <cellStyle name="Normal 2 34 10" xfId="2713"/>
    <cellStyle name="Normal 2 34 10 2" xfId="2714"/>
    <cellStyle name="Normal 2 34 10 2 2" xfId="2715"/>
    <cellStyle name="Normal 2 34 10 3" xfId="2716"/>
    <cellStyle name="Normal 2 34 11" xfId="2717"/>
    <cellStyle name="Normal 2 34 11 2" xfId="2718"/>
    <cellStyle name="Normal 2 34 11 2 2" xfId="2719"/>
    <cellStyle name="Normal 2 34 11 3" xfId="2720"/>
    <cellStyle name="Normal 2 34 12" xfId="2721"/>
    <cellStyle name="Normal 2 34 12 2" xfId="2722"/>
    <cellStyle name="Normal 2 34 12 2 2" xfId="2723"/>
    <cellStyle name="Normal 2 34 12 3" xfId="2724"/>
    <cellStyle name="Normal 2 34 13" xfId="2725"/>
    <cellStyle name="Normal 2 34 13 2" xfId="2726"/>
    <cellStyle name="Normal 2 34 13 2 2" xfId="2727"/>
    <cellStyle name="Normal 2 34 13 3" xfId="2728"/>
    <cellStyle name="Normal 2 34 14" xfId="2729"/>
    <cellStyle name="Normal 2 34 14 2" xfId="2730"/>
    <cellStyle name="Normal 2 34 14 2 2" xfId="2731"/>
    <cellStyle name="Normal 2 34 14 3" xfId="2732"/>
    <cellStyle name="Normal 2 34 15" xfId="2733"/>
    <cellStyle name="Normal 2 34 15 2" xfId="2734"/>
    <cellStyle name="Normal 2 34 15 2 2" xfId="2735"/>
    <cellStyle name="Normal 2 34 15 3" xfId="2736"/>
    <cellStyle name="Normal 2 34 16" xfId="2737"/>
    <cellStyle name="Normal 2 34 16 2" xfId="2738"/>
    <cellStyle name="Normal 2 34 16 2 2" xfId="2739"/>
    <cellStyle name="Normal 2 34 16 3" xfId="2740"/>
    <cellStyle name="Normal 2 34 17" xfId="2741"/>
    <cellStyle name="Normal 2 34 17 2" xfId="2742"/>
    <cellStyle name="Normal 2 34 17 2 2" xfId="2743"/>
    <cellStyle name="Normal 2 34 17 3" xfId="2744"/>
    <cellStyle name="Normal 2 34 18" xfId="2745"/>
    <cellStyle name="Normal 2 34 18 2" xfId="2746"/>
    <cellStyle name="Normal 2 34 18 2 2" xfId="2747"/>
    <cellStyle name="Normal 2 34 18 3" xfId="2748"/>
    <cellStyle name="Normal 2 34 19" xfId="2749"/>
    <cellStyle name="Normal 2 34 19 2" xfId="2750"/>
    <cellStyle name="Normal 2 34 19 2 2" xfId="2751"/>
    <cellStyle name="Normal 2 34 19 3" xfId="2752"/>
    <cellStyle name="Normal 2 34 2" xfId="2753"/>
    <cellStyle name="Normal 2 34 2 2" xfId="2754"/>
    <cellStyle name="Normal 2 34 2 2 2" xfId="2755"/>
    <cellStyle name="Normal 2 34 2 3" xfId="2756"/>
    <cellStyle name="Normal 2 34 20" xfId="2757"/>
    <cellStyle name="Normal 2 34 20 2" xfId="2758"/>
    <cellStyle name="Normal 2 34 20 2 2" xfId="2759"/>
    <cellStyle name="Normal 2 34 20 3" xfId="2760"/>
    <cellStyle name="Normal 2 34 21" xfId="2761"/>
    <cellStyle name="Normal 2 34 21 2" xfId="2762"/>
    <cellStyle name="Normal 2 34 21 2 2" xfId="2763"/>
    <cellStyle name="Normal 2 34 21 3" xfId="2764"/>
    <cellStyle name="Normal 2 34 22" xfId="2765"/>
    <cellStyle name="Normal 2 34 22 2" xfId="2766"/>
    <cellStyle name="Normal 2 34 22 2 2" xfId="2767"/>
    <cellStyle name="Normal 2 34 22 3" xfId="2768"/>
    <cellStyle name="Normal 2 34 23" xfId="2769"/>
    <cellStyle name="Normal 2 34 23 2" xfId="2770"/>
    <cellStyle name="Normal 2 34 23 2 2" xfId="2771"/>
    <cellStyle name="Normal 2 34 23 3" xfId="2772"/>
    <cellStyle name="Normal 2 34 24" xfId="2773"/>
    <cellStyle name="Normal 2 34 24 2" xfId="2774"/>
    <cellStyle name="Normal 2 34 25" xfId="2775"/>
    <cellStyle name="Normal 2 34 3" xfId="2776"/>
    <cellStyle name="Normal 2 34 3 2" xfId="2777"/>
    <cellStyle name="Normal 2 34 3 2 2" xfId="2778"/>
    <cellStyle name="Normal 2 34 3 3" xfId="2779"/>
    <cellStyle name="Normal 2 34 4" xfId="2780"/>
    <cellStyle name="Normal 2 34 4 2" xfId="2781"/>
    <cellStyle name="Normal 2 34 4 2 2" xfId="2782"/>
    <cellStyle name="Normal 2 34 4 3" xfId="2783"/>
    <cellStyle name="Normal 2 34 5" xfId="2784"/>
    <cellStyle name="Normal 2 34 5 2" xfId="2785"/>
    <cellStyle name="Normal 2 34 5 2 2" xfId="2786"/>
    <cellStyle name="Normal 2 34 5 3" xfId="2787"/>
    <cellStyle name="Normal 2 34 6" xfId="2788"/>
    <cellStyle name="Normal 2 34 6 2" xfId="2789"/>
    <cellStyle name="Normal 2 34 6 2 2" xfId="2790"/>
    <cellStyle name="Normal 2 34 6 3" xfId="2791"/>
    <cellStyle name="Normal 2 34 7" xfId="2792"/>
    <cellStyle name="Normal 2 34 7 2" xfId="2793"/>
    <cellStyle name="Normal 2 34 7 2 2" xfId="2794"/>
    <cellStyle name="Normal 2 34 7 3" xfId="2795"/>
    <cellStyle name="Normal 2 34 8" xfId="2796"/>
    <cellStyle name="Normal 2 34 8 2" xfId="2797"/>
    <cellStyle name="Normal 2 34 8 2 2" xfId="2798"/>
    <cellStyle name="Normal 2 34 8 3" xfId="2799"/>
    <cellStyle name="Normal 2 34 9" xfId="2800"/>
    <cellStyle name="Normal 2 34 9 2" xfId="2801"/>
    <cellStyle name="Normal 2 34 9 2 2" xfId="2802"/>
    <cellStyle name="Normal 2 34 9 3" xfId="2803"/>
    <cellStyle name="Normal 2 35" xfId="2804"/>
    <cellStyle name="Normal 2 35 10" xfId="2805"/>
    <cellStyle name="Normal 2 35 10 2" xfId="2806"/>
    <cellStyle name="Normal 2 35 10 2 2" xfId="2807"/>
    <cellStyle name="Normal 2 35 10 3" xfId="2808"/>
    <cellStyle name="Normal 2 35 11" xfId="2809"/>
    <cellStyle name="Normal 2 35 11 2" xfId="2810"/>
    <cellStyle name="Normal 2 35 11 2 2" xfId="2811"/>
    <cellStyle name="Normal 2 35 11 3" xfId="2812"/>
    <cellStyle name="Normal 2 35 12" xfId="2813"/>
    <cellStyle name="Normal 2 35 12 2" xfId="2814"/>
    <cellStyle name="Normal 2 35 12 2 2" xfId="2815"/>
    <cellStyle name="Normal 2 35 12 3" xfId="2816"/>
    <cellStyle name="Normal 2 35 13" xfId="2817"/>
    <cellStyle name="Normal 2 35 13 2" xfId="2818"/>
    <cellStyle name="Normal 2 35 13 2 2" xfId="2819"/>
    <cellStyle name="Normal 2 35 13 3" xfId="2820"/>
    <cellStyle name="Normal 2 35 14" xfId="2821"/>
    <cellStyle name="Normal 2 35 14 2" xfId="2822"/>
    <cellStyle name="Normal 2 35 14 2 2" xfId="2823"/>
    <cellStyle name="Normal 2 35 14 3" xfId="2824"/>
    <cellStyle name="Normal 2 35 15" xfId="2825"/>
    <cellStyle name="Normal 2 35 15 2" xfId="2826"/>
    <cellStyle name="Normal 2 35 15 2 2" xfId="2827"/>
    <cellStyle name="Normal 2 35 15 3" xfId="2828"/>
    <cellStyle name="Normal 2 35 16" xfId="2829"/>
    <cellStyle name="Normal 2 35 16 2" xfId="2830"/>
    <cellStyle name="Normal 2 35 16 2 2" xfId="2831"/>
    <cellStyle name="Normal 2 35 16 3" xfId="2832"/>
    <cellStyle name="Normal 2 35 17" xfId="2833"/>
    <cellStyle name="Normal 2 35 17 2" xfId="2834"/>
    <cellStyle name="Normal 2 35 17 2 2" xfId="2835"/>
    <cellStyle name="Normal 2 35 17 3" xfId="2836"/>
    <cellStyle name="Normal 2 35 18" xfId="2837"/>
    <cellStyle name="Normal 2 35 18 2" xfId="2838"/>
    <cellStyle name="Normal 2 35 18 2 2" xfId="2839"/>
    <cellStyle name="Normal 2 35 18 3" xfId="2840"/>
    <cellStyle name="Normal 2 35 19" xfId="2841"/>
    <cellStyle name="Normal 2 35 19 2" xfId="2842"/>
    <cellStyle name="Normal 2 35 19 2 2" xfId="2843"/>
    <cellStyle name="Normal 2 35 19 3" xfId="2844"/>
    <cellStyle name="Normal 2 35 2" xfId="2845"/>
    <cellStyle name="Normal 2 35 2 2" xfId="2846"/>
    <cellStyle name="Normal 2 35 2 2 2" xfId="2847"/>
    <cellStyle name="Normal 2 35 2 3" xfId="2848"/>
    <cellStyle name="Normal 2 35 20" xfId="2849"/>
    <cellStyle name="Normal 2 35 20 2" xfId="2850"/>
    <cellStyle name="Normal 2 35 20 2 2" xfId="2851"/>
    <cellStyle name="Normal 2 35 20 3" xfId="2852"/>
    <cellStyle name="Normal 2 35 21" xfId="2853"/>
    <cellStyle name="Normal 2 35 21 2" xfId="2854"/>
    <cellStyle name="Normal 2 35 21 2 2" xfId="2855"/>
    <cellStyle name="Normal 2 35 21 3" xfId="2856"/>
    <cellStyle name="Normal 2 35 22" xfId="2857"/>
    <cellStyle name="Normal 2 35 22 2" xfId="2858"/>
    <cellStyle name="Normal 2 35 22 2 2" xfId="2859"/>
    <cellStyle name="Normal 2 35 22 3" xfId="2860"/>
    <cellStyle name="Normal 2 35 23" xfId="2861"/>
    <cellStyle name="Normal 2 35 23 2" xfId="2862"/>
    <cellStyle name="Normal 2 35 23 2 2" xfId="2863"/>
    <cellStyle name="Normal 2 35 23 3" xfId="2864"/>
    <cellStyle name="Normal 2 35 24" xfId="2865"/>
    <cellStyle name="Normal 2 35 24 2" xfId="2866"/>
    <cellStyle name="Normal 2 35 25" xfId="2867"/>
    <cellStyle name="Normal 2 35 3" xfId="2868"/>
    <cellStyle name="Normal 2 35 3 2" xfId="2869"/>
    <cellStyle name="Normal 2 35 3 2 2" xfId="2870"/>
    <cellStyle name="Normal 2 35 3 3" xfId="2871"/>
    <cellStyle name="Normal 2 35 4" xfId="2872"/>
    <cellStyle name="Normal 2 35 4 2" xfId="2873"/>
    <cellStyle name="Normal 2 35 4 2 2" xfId="2874"/>
    <cellStyle name="Normal 2 35 4 3" xfId="2875"/>
    <cellStyle name="Normal 2 35 5" xfId="2876"/>
    <cellStyle name="Normal 2 35 5 2" xfId="2877"/>
    <cellStyle name="Normal 2 35 5 2 2" xfId="2878"/>
    <cellStyle name="Normal 2 35 5 3" xfId="2879"/>
    <cellStyle name="Normal 2 35 6" xfId="2880"/>
    <cellStyle name="Normal 2 35 6 2" xfId="2881"/>
    <cellStyle name="Normal 2 35 6 2 2" xfId="2882"/>
    <cellStyle name="Normal 2 35 6 3" xfId="2883"/>
    <cellStyle name="Normal 2 35 7" xfId="2884"/>
    <cellStyle name="Normal 2 35 7 2" xfId="2885"/>
    <cellStyle name="Normal 2 35 7 2 2" xfId="2886"/>
    <cellStyle name="Normal 2 35 7 3" xfId="2887"/>
    <cellStyle name="Normal 2 35 8" xfId="2888"/>
    <cellStyle name="Normal 2 35 8 2" xfId="2889"/>
    <cellStyle name="Normal 2 35 8 2 2" xfId="2890"/>
    <cellStyle name="Normal 2 35 8 3" xfId="2891"/>
    <cellStyle name="Normal 2 35 9" xfId="2892"/>
    <cellStyle name="Normal 2 35 9 2" xfId="2893"/>
    <cellStyle name="Normal 2 35 9 2 2" xfId="2894"/>
    <cellStyle name="Normal 2 35 9 3" xfId="2895"/>
    <cellStyle name="Normal 2 36" xfId="2896"/>
    <cellStyle name="Normal 2 36 10" xfId="2897"/>
    <cellStyle name="Normal 2 36 10 2" xfId="2898"/>
    <cellStyle name="Normal 2 36 10 2 2" xfId="2899"/>
    <cellStyle name="Normal 2 36 10 3" xfId="2900"/>
    <cellStyle name="Normal 2 36 11" xfId="2901"/>
    <cellStyle name="Normal 2 36 11 2" xfId="2902"/>
    <cellStyle name="Normal 2 36 11 2 2" xfId="2903"/>
    <cellStyle name="Normal 2 36 11 3" xfId="2904"/>
    <cellStyle name="Normal 2 36 12" xfId="2905"/>
    <cellStyle name="Normal 2 36 12 2" xfId="2906"/>
    <cellStyle name="Normal 2 36 12 2 2" xfId="2907"/>
    <cellStyle name="Normal 2 36 12 3" xfId="2908"/>
    <cellStyle name="Normal 2 36 13" xfId="2909"/>
    <cellStyle name="Normal 2 36 13 2" xfId="2910"/>
    <cellStyle name="Normal 2 36 13 2 2" xfId="2911"/>
    <cellStyle name="Normal 2 36 13 3" xfId="2912"/>
    <cellStyle name="Normal 2 36 14" xfId="2913"/>
    <cellStyle name="Normal 2 36 14 2" xfId="2914"/>
    <cellStyle name="Normal 2 36 14 2 2" xfId="2915"/>
    <cellStyle name="Normal 2 36 14 3" xfId="2916"/>
    <cellStyle name="Normal 2 36 15" xfId="2917"/>
    <cellStyle name="Normal 2 36 15 2" xfId="2918"/>
    <cellStyle name="Normal 2 36 15 2 2" xfId="2919"/>
    <cellStyle name="Normal 2 36 15 3" xfId="2920"/>
    <cellStyle name="Normal 2 36 16" xfId="2921"/>
    <cellStyle name="Normal 2 36 16 2" xfId="2922"/>
    <cellStyle name="Normal 2 36 16 2 2" xfId="2923"/>
    <cellStyle name="Normal 2 36 16 3" xfId="2924"/>
    <cellStyle name="Normal 2 36 17" xfId="2925"/>
    <cellStyle name="Normal 2 36 17 2" xfId="2926"/>
    <cellStyle name="Normal 2 36 17 2 2" xfId="2927"/>
    <cellStyle name="Normal 2 36 17 3" xfId="2928"/>
    <cellStyle name="Normal 2 36 18" xfId="2929"/>
    <cellStyle name="Normal 2 36 18 2" xfId="2930"/>
    <cellStyle name="Normal 2 36 18 2 2" xfId="2931"/>
    <cellStyle name="Normal 2 36 18 3" xfId="2932"/>
    <cellStyle name="Normal 2 36 19" xfId="2933"/>
    <cellStyle name="Normal 2 36 19 2" xfId="2934"/>
    <cellStyle name="Normal 2 36 19 2 2" xfId="2935"/>
    <cellStyle name="Normal 2 36 19 3" xfId="2936"/>
    <cellStyle name="Normal 2 36 2" xfId="2937"/>
    <cellStyle name="Normal 2 36 2 2" xfId="2938"/>
    <cellStyle name="Normal 2 36 2 2 2" xfId="2939"/>
    <cellStyle name="Normal 2 36 2 3" xfId="2940"/>
    <cellStyle name="Normal 2 36 20" xfId="2941"/>
    <cellStyle name="Normal 2 36 20 2" xfId="2942"/>
    <cellStyle name="Normal 2 36 20 2 2" xfId="2943"/>
    <cellStyle name="Normal 2 36 20 3" xfId="2944"/>
    <cellStyle name="Normal 2 36 21" xfId="2945"/>
    <cellStyle name="Normal 2 36 21 2" xfId="2946"/>
    <cellStyle name="Normal 2 36 21 2 2" xfId="2947"/>
    <cellStyle name="Normal 2 36 21 3" xfId="2948"/>
    <cellStyle name="Normal 2 36 22" xfId="2949"/>
    <cellStyle name="Normal 2 36 22 2" xfId="2950"/>
    <cellStyle name="Normal 2 36 22 2 2" xfId="2951"/>
    <cellStyle name="Normal 2 36 22 3" xfId="2952"/>
    <cellStyle name="Normal 2 36 23" xfId="2953"/>
    <cellStyle name="Normal 2 36 23 2" xfId="2954"/>
    <cellStyle name="Normal 2 36 23 2 2" xfId="2955"/>
    <cellStyle name="Normal 2 36 23 3" xfId="2956"/>
    <cellStyle name="Normal 2 36 24" xfId="2957"/>
    <cellStyle name="Normal 2 36 24 2" xfId="2958"/>
    <cellStyle name="Normal 2 36 25" xfId="2959"/>
    <cellStyle name="Normal 2 36 3" xfId="2960"/>
    <cellStyle name="Normal 2 36 3 2" xfId="2961"/>
    <cellStyle name="Normal 2 36 3 2 2" xfId="2962"/>
    <cellStyle name="Normal 2 36 3 3" xfId="2963"/>
    <cellStyle name="Normal 2 36 4" xfId="2964"/>
    <cellStyle name="Normal 2 36 4 2" xfId="2965"/>
    <cellStyle name="Normal 2 36 4 2 2" xfId="2966"/>
    <cellStyle name="Normal 2 36 4 3" xfId="2967"/>
    <cellStyle name="Normal 2 36 5" xfId="2968"/>
    <cellStyle name="Normal 2 36 5 2" xfId="2969"/>
    <cellStyle name="Normal 2 36 5 2 2" xfId="2970"/>
    <cellStyle name="Normal 2 36 5 3" xfId="2971"/>
    <cellStyle name="Normal 2 36 6" xfId="2972"/>
    <cellStyle name="Normal 2 36 6 2" xfId="2973"/>
    <cellStyle name="Normal 2 36 6 2 2" xfId="2974"/>
    <cellStyle name="Normal 2 36 6 3" xfId="2975"/>
    <cellStyle name="Normal 2 36 7" xfId="2976"/>
    <cellStyle name="Normal 2 36 7 2" xfId="2977"/>
    <cellStyle name="Normal 2 36 7 2 2" xfId="2978"/>
    <cellStyle name="Normal 2 36 7 3" xfId="2979"/>
    <cellStyle name="Normal 2 36 8" xfId="2980"/>
    <cellStyle name="Normal 2 36 8 2" xfId="2981"/>
    <cellStyle name="Normal 2 36 8 2 2" xfId="2982"/>
    <cellStyle name="Normal 2 36 8 3" xfId="2983"/>
    <cellStyle name="Normal 2 36 9" xfId="2984"/>
    <cellStyle name="Normal 2 36 9 2" xfId="2985"/>
    <cellStyle name="Normal 2 36 9 2 2" xfId="2986"/>
    <cellStyle name="Normal 2 36 9 3" xfId="2987"/>
    <cellStyle name="Normal 2 37" xfId="2988"/>
    <cellStyle name="Normal 2 37 10" xfId="2989"/>
    <cellStyle name="Normal 2 37 10 2" xfId="2990"/>
    <cellStyle name="Normal 2 37 10 2 2" xfId="2991"/>
    <cellStyle name="Normal 2 37 10 3" xfId="2992"/>
    <cellStyle name="Normal 2 37 11" xfId="2993"/>
    <cellStyle name="Normal 2 37 11 2" xfId="2994"/>
    <cellStyle name="Normal 2 37 11 2 2" xfId="2995"/>
    <cellStyle name="Normal 2 37 11 3" xfId="2996"/>
    <cellStyle name="Normal 2 37 12" xfId="2997"/>
    <cellStyle name="Normal 2 37 12 2" xfId="2998"/>
    <cellStyle name="Normal 2 37 12 2 2" xfId="2999"/>
    <cellStyle name="Normal 2 37 12 3" xfId="3000"/>
    <cellStyle name="Normal 2 37 13" xfId="3001"/>
    <cellStyle name="Normal 2 37 13 2" xfId="3002"/>
    <cellStyle name="Normal 2 37 13 2 2" xfId="3003"/>
    <cellStyle name="Normal 2 37 13 3" xfId="3004"/>
    <cellStyle name="Normal 2 37 14" xfId="3005"/>
    <cellStyle name="Normal 2 37 14 2" xfId="3006"/>
    <cellStyle name="Normal 2 37 14 2 2" xfId="3007"/>
    <cellStyle name="Normal 2 37 14 3" xfId="3008"/>
    <cellStyle name="Normal 2 37 15" xfId="3009"/>
    <cellStyle name="Normal 2 37 15 2" xfId="3010"/>
    <cellStyle name="Normal 2 37 15 2 2" xfId="3011"/>
    <cellStyle name="Normal 2 37 15 3" xfId="3012"/>
    <cellStyle name="Normal 2 37 16" xfId="3013"/>
    <cellStyle name="Normal 2 37 16 2" xfId="3014"/>
    <cellStyle name="Normal 2 37 16 2 2" xfId="3015"/>
    <cellStyle name="Normal 2 37 16 3" xfId="3016"/>
    <cellStyle name="Normal 2 37 17" xfId="3017"/>
    <cellStyle name="Normal 2 37 17 2" xfId="3018"/>
    <cellStyle name="Normal 2 37 17 2 2" xfId="3019"/>
    <cellStyle name="Normal 2 37 17 3" xfId="3020"/>
    <cellStyle name="Normal 2 37 18" xfId="3021"/>
    <cellStyle name="Normal 2 37 18 2" xfId="3022"/>
    <cellStyle name="Normal 2 37 18 2 2" xfId="3023"/>
    <cellStyle name="Normal 2 37 18 3" xfId="3024"/>
    <cellStyle name="Normal 2 37 19" xfId="3025"/>
    <cellStyle name="Normal 2 37 19 2" xfId="3026"/>
    <cellStyle name="Normal 2 37 19 2 2" xfId="3027"/>
    <cellStyle name="Normal 2 37 19 3" xfId="3028"/>
    <cellStyle name="Normal 2 37 2" xfId="3029"/>
    <cellStyle name="Normal 2 37 2 2" xfId="3030"/>
    <cellStyle name="Normal 2 37 2 2 2" xfId="3031"/>
    <cellStyle name="Normal 2 37 2 3" xfId="3032"/>
    <cellStyle name="Normal 2 37 20" xfId="3033"/>
    <cellStyle name="Normal 2 37 20 2" xfId="3034"/>
    <cellStyle name="Normal 2 37 20 2 2" xfId="3035"/>
    <cellStyle name="Normal 2 37 20 3" xfId="3036"/>
    <cellStyle name="Normal 2 37 21" xfId="3037"/>
    <cellStyle name="Normal 2 37 21 2" xfId="3038"/>
    <cellStyle name="Normal 2 37 21 2 2" xfId="3039"/>
    <cellStyle name="Normal 2 37 21 3" xfId="3040"/>
    <cellStyle name="Normal 2 37 22" xfId="3041"/>
    <cellStyle name="Normal 2 37 22 2" xfId="3042"/>
    <cellStyle name="Normal 2 37 22 2 2" xfId="3043"/>
    <cellStyle name="Normal 2 37 22 3" xfId="3044"/>
    <cellStyle name="Normal 2 37 23" xfId="3045"/>
    <cellStyle name="Normal 2 37 23 2" xfId="3046"/>
    <cellStyle name="Normal 2 37 23 2 2" xfId="3047"/>
    <cellStyle name="Normal 2 37 23 3" xfId="3048"/>
    <cellStyle name="Normal 2 37 24" xfId="3049"/>
    <cellStyle name="Normal 2 37 24 2" xfId="3050"/>
    <cellStyle name="Normal 2 37 25" xfId="3051"/>
    <cellStyle name="Normal 2 37 3" xfId="3052"/>
    <cellStyle name="Normal 2 37 3 2" xfId="3053"/>
    <cellStyle name="Normal 2 37 3 2 2" xfId="3054"/>
    <cellStyle name="Normal 2 37 3 3" xfId="3055"/>
    <cellStyle name="Normal 2 37 4" xfId="3056"/>
    <cellStyle name="Normal 2 37 4 2" xfId="3057"/>
    <cellStyle name="Normal 2 37 4 2 2" xfId="3058"/>
    <cellStyle name="Normal 2 37 4 3" xfId="3059"/>
    <cellStyle name="Normal 2 37 5" xfId="3060"/>
    <cellStyle name="Normal 2 37 5 2" xfId="3061"/>
    <cellStyle name="Normal 2 37 5 2 2" xfId="3062"/>
    <cellStyle name="Normal 2 37 5 3" xfId="3063"/>
    <cellStyle name="Normal 2 37 6" xfId="3064"/>
    <cellStyle name="Normal 2 37 6 2" xfId="3065"/>
    <cellStyle name="Normal 2 37 6 2 2" xfId="3066"/>
    <cellStyle name="Normal 2 37 6 3" xfId="3067"/>
    <cellStyle name="Normal 2 37 7" xfId="3068"/>
    <cellStyle name="Normal 2 37 7 2" xfId="3069"/>
    <cellStyle name="Normal 2 37 7 2 2" xfId="3070"/>
    <cellStyle name="Normal 2 37 7 3" xfId="3071"/>
    <cellStyle name="Normal 2 37 8" xfId="3072"/>
    <cellStyle name="Normal 2 37 8 2" xfId="3073"/>
    <cellStyle name="Normal 2 37 8 2 2" xfId="3074"/>
    <cellStyle name="Normal 2 37 8 3" xfId="3075"/>
    <cellStyle name="Normal 2 37 9" xfId="3076"/>
    <cellStyle name="Normal 2 37 9 2" xfId="3077"/>
    <cellStyle name="Normal 2 37 9 2 2" xfId="3078"/>
    <cellStyle name="Normal 2 37 9 3" xfId="3079"/>
    <cellStyle name="Normal 2 38" xfId="3080"/>
    <cellStyle name="Normal 2 38 10" xfId="3081"/>
    <cellStyle name="Normal 2 38 10 2" xfId="3082"/>
    <cellStyle name="Normal 2 38 10 2 2" xfId="3083"/>
    <cellStyle name="Normal 2 38 10 3" xfId="3084"/>
    <cellStyle name="Normal 2 38 11" xfId="3085"/>
    <cellStyle name="Normal 2 38 11 2" xfId="3086"/>
    <cellStyle name="Normal 2 38 11 2 2" xfId="3087"/>
    <cellStyle name="Normal 2 38 11 3" xfId="3088"/>
    <cellStyle name="Normal 2 38 12" xfId="3089"/>
    <cellStyle name="Normal 2 38 12 2" xfId="3090"/>
    <cellStyle name="Normal 2 38 12 2 2" xfId="3091"/>
    <cellStyle name="Normal 2 38 12 3" xfId="3092"/>
    <cellStyle name="Normal 2 38 13" xfId="3093"/>
    <cellStyle name="Normal 2 38 13 2" xfId="3094"/>
    <cellStyle name="Normal 2 38 13 2 2" xfId="3095"/>
    <cellStyle name="Normal 2 38 13 3" xfId="3096"/>
    <cellStyle name="Normal 2 38 14" xfId="3097"/>
    <cellStyle name="Normal 2 38 14 2" xfId="3098"/>
    <cellStyle name="Normal 2 38 14 2 2" xfId="3099"/>
    <cellStyle name="Normal 2 38 14 3" xfId="3100"/>
    <cellStyle name="Normal 2 38 15" xfId="3101"/>
    <cellStyle name="Normal 2 38 15 2" xfId="3102"/>
    <cellStyle name="Normal 2 38 15 2 2" xfId="3103"/>
    <cellStyle name="Normal 2 38 15 3" xfId="3104"/>
    <cellStyle name="Normal 2 38 16" xfId="3105"/>
    <cellStyle name="Normal 2 38 16 2" xfId="3106"/>
    <cellStyle name="Normal 2 38 16 2 2" xfId="3107"/>
    <cellStyle name="Normal 2 38 16 3" xfId="3108"/>
    <cellStyle name="Normal 2 38 17" xfId="3109"/>
    <cellStyle name="Normal 2 38 17 2" xfId="3110"/>
    <cellStyle name="Normal 2 38 17 2 2" xfId="3111"/>
    <cellStyle name="Normal 2 38 17 3" xfId="3112"/>
    <cellStyle name="Normal 2 38 18" xfId="3113"/>
    <cellStyle name="Normal 2 38 18 2" xfId="3114"/>
    <cellStyle name="Normal 2 38 18 2 2" xfId="3115"/>
    <cellStyle name="Normal 2 38 18 3" xfId="3116"/>
    <cellStyle name="Normal 2 38 19" xfId="3117"/>
    <cellStyle name="Normal 2 38 19 2" xfId="3118"/>
    <cellStyle name="Normal 2 38 19 2 2" xfId="3119"/>
    <cellStyle name="Normal 2 38 19 3" xfId="3120"/>
    <cellStyle name="Normal 2 38 2" xfId="3121"/>
    <cellStyle name="Normal 2 38 2 2" xfId="3122"/>
    <cellStyle name="Normal 2 38 2 2 2" xfId="3123"/>
    <cellStyle name="Normal 2 38 2 3" xfId="3124"/>
    <cellStyle name="Normal 2 38 20" xfId="3125"/>
    <cellStyle name="Normal 2 38 20 2" xfId="3126"/>
    <cellStyle name="Normal 2 38 20 2 2" xfId="3127"/>
    <cellStyle name="Normal 2 38 20 3" xfId="3128"/>
    <cellStyle name="Normal 2 38 21" xfId="3129"/>
    <cellStyle name="Normal 2 38 21 2" xfId="3130"/>
    <cellStyle name="Normal 2 38 21 2 2" xfId="3131"/>
    <cellStyle name="Normal 2 38 21 3" xfId="3132"/>
    <cellStyle name="Normal 2 38 22" xfId="3133"/>
    <cellStyle name="Normal 2 38 22 2" xfId="3134"/>
    <cellStyle name="Normal 2 38 22 2 2" xfId="3135"/>
    <cellStyle name="Normal 2 38 22 3" xfId="3136"/>
    <cellStyle name="Normal 2 38 23" xfId="3137"/>
    <cellStyle name="Normal 2 38 23 2" xfId="3138"/>
    <cellStyle name="Normal 2 38 23 2 2" xfId="3139"/>
    <cellStyle name="Normal 2 38 23 3" xfId="3140"/>
    <cellStyle name="Normal 2 38 24" xfId="3141"/>
    <cellStyle name="Normal 2 38 24 2" xfId="3142"/>
    <cellStyle name="Normal 2 38 25" xfId="3143"/>
    <cellStyle name="Normal 2 38 3" xfId="3144"/>
    <cellStyle name="Normal 2 38 3 2" xfId="3145"/>
    <cellStyle name="Normal 2 38 3 2 2" xfId="3146"/>
    <cellStyle name="Normal 2 38 3 3" xfId="3147"/>
    <cellStyle name="Normal 2 38 4" xfId="3148"/>
    <cellStyle name="Normal 2 38 4 2" xfId="3149"/>
    <cellStyle name="Normal 2 38 4 2 2" xfId="3150"/>
    <cellStyle name="Normal 2 38 4 3" xfId="3151"/>
    <cellStyle name="Normal 2 38 5" xfId="3152"/>
    <cellStyle name="Normal 2 38 5 2" xfId="3153"/>
    <cellStyle name="Normal 2 38 5 2 2" xfId="3154"/>
    <cellStyle name="Normal 2 38 5 3" xfId="3155"/>
    <cellStyle name="Normal 2 38 6" xfId="3156"/>
    <cellStyle name="Normal 2 38 6 2" xfId="3157"/>
    <cellStyle name="Normal 2 38 6 2 2" xfId="3158"/>
    <cellStyle name="Normal 2 38 6 3" xfId="3159"/>
    <cellStyle name="Normal 2 38 7" xfId="3160"/>
    <cellStyle name="Normal 2 38 7 2" xfId="3161"/>
    <cellStyle name="Normal 2 38 7 2 2" xfId="3162"/>
    <cellStyle name="Normal 2 38 7 3" xfId="3163"/>
    <cellStyle name="Normal 2 38 8" xfId="3164"/>
    <cellStyle name="Normal 2 38 8 2" xfId="3165"/>
    <cellStyle name="Normal 2 38 8 2 2" xfId="3166"/>
    <cellStyle name="Normal 2 38 8 3" xfId="3167"/>
    <cellStyle name="Normal 2 38 9" xfId="3168"/>
    <cellStyle name="Normal 2 38 9 2" xfId="3169"/>
    <cellStyle name="Normal 2 38 9 2 2" xfId="3170"/>
    <cellStyle name="Normal 2 38 9 3" xfId="3171"/>
    <cellStyle name="Normal 2 39" xfId="3172"/>
    <cellStyle name="Normal 2 39 10" xfId="3173"/>
    <cellStyle name="Normal 2 39 10 2" xfId="3174"/>
    <cellStyle name="Normal 2 39 10 2 2" xfId="3175"/>
    <cellStyle name="Normal 2 39 10 3" xfId="3176"/>
    <cellStyle name="Normal 2 39 11" xfId="3177"/>
    <cellStyle name="Normal 2 39 11 2" xfId="3178"/>
    <cellStyle name="Normal 2 39 11 2 2" xfId="3179"/>
    <cellStyle name="Normal 2 39 11 3" xfId="3180"/>
    <cellStyle name="Normal 2 39 12" xfId="3181"/>
    <cellStyle name="Normal 2 39 12 2" xfId="3182"/>
    <cellStyle name="Normal 2 39 12 2 2" xfId="3183"/>
    <cellStyle name="Normal 2 39 12 3" xfId="3184"/>
    <cellStyle name="Normal 2 39 13" xfId="3185"/>
    <cellStyle name="Normal 2 39 13 2" xfId="3186"/>
    <cellStyle name="Normal 2 39 13 2 2" xfId="3187"/>
    <cellStyle name="Normal 2 39 13 3" xfId="3188"/>
    <cellStyle name="Normal 2 39 14" xfId="3189"/>
    <cellStyle name="Normal 2 39 14 2" xfId="3190"/>
    <cellStyle name="Normal 2 39 14 2 2" xfId="3191"/>
    <cellStyle name="Normal 2 39 14 3" xfId="3192"/>
    <cellStyle name="Normal 2 39 15" xfId="3193"/>
    <cellStyle name="Normal 2 39 15 2" xfId="3194"/>
    <cellStyle name="Normal 2 39 15 2 2" xfId="3195"/>
    <cellStyle name="Normal 2 39 15 3" xfId="3196"/>
    <cellStyle name="Normal 2 39 16" xfId="3197"/>
    <cellStyle name="Normal 2 39 16 2" xfId="3198"/>
    <cellStyle name="Normal 2 39 16 2 2" xfId="3199"/>
    <cellStyle name="Normal 2 39 16 3" xfId="3200"/>
    <cellStyle name="Normal 2 39 17" xfId="3201"/>
    <cellStyle name="Normal 2 39 17 2" xfId="3202"/>
    <cellStyle name="Normal 2 39 17 2 2" xfId="3203"/>
    <cellStyle name="Normal 2 39 17 3" xfId="3204"/>
    <cellStyle name="Normal 2 39 18" xfId="3205"/>
    <cellStyle name="Normal 2 39 18 2" xfId="3206"/>
    <cellStyle name="Normal 2 39 18 2 2" xfId="3207"/>
    <cellStyle name="Normal 2 39 18 3" xfId="3208"/>
    <cellStyle name="Normal 2 39 19" xfId="3209"/>
    <cellStyle name="Normal 2 39 19 2" xfId="3210"/>
    <cellStyle name="Normal 2 39 19 2 2" xfId="3211"/>
    <cellStyle name="Normal 2 39 19 3" xfId="3212"/>
    <cellStyle name="Normal 2 39 2" xfId="3213"/>
    <cellStyle name="Normal 2 39 2 2" xfId="3214"/>
    <cellStyle name="Normal 2 39 2 2 2" xfId="3215"/>
    <cellStyle name="Normal 2 39 2 3" xfId="3216"/>
    <cellStyle name="Normal 2 39 20" xfId="3217"/>
    <cellStyle name="Normal 2 39 20 2" xfId="3218"/>
    <cellStyle name="Normal 2 39 20 2 2" xfId="3219"/>
    <cellStyle name="Normal 2 39 20 3" xfId="3220"/>
    <cellStyle name="Normal 2 39 21" xfId="3221"/>
    <cellStyle name="Normal 2 39 21 2" xfId="3222"/>
    <cellStyle name="Normal 2 39 21 2 2" xfId="3223"/>
    <cellStyle name="Normal 2 39 21 3" xfId="3224"/>
    <cellStyle name="Normal 2 39 22" xfId="3225"/>
    <cellStyle name="Normal 2 39 22 2" xfId="3226"/>
    <cellStyle name="Normal 2 39 22 2 2" xfId="3227"/>
    <cellStyle name="Normal 2 39 22 3" xfId="3228"/>
    <cellStyle name="Normal 2 39 23" xfId="3229"/>
    <cellStyle name="Normal 2 39 23 2" xfId="3230"/>
    <cellStyle name="Normal 2 39 23 2 2" xfId="3231"/>
    <cellStyle name="Normal 2 39 23 3" xfId="3232"/>
    <cellStyle name="Normal 2 39 24" xfId="3233"/>
    <cellStyle name="Normal 2 39 24 2" xfId="3234"/>
    <cellStyle name="Normal 2 39 25" xfId="3235"/>
    <cellStyle name="Normal 2 39 3" xfId="3236"/>
    <cellStyle name="Normal 2 39 3 2" xfId="3237"/>
    <cellStyle name="Normal 2 39 3 2 2" xfId="3238"/>
    <cellStyle name="Normal 2 39 3 3" xfId="3239"/>
    <cellStyle name="Normal 2 39 4" xfId="3240"/>
    <cellStyle name="Normal 2 39 4 2" xfId="3241"/>
    <cellStyle name="Normal 2 39 4 2 2" xfId="3242"/>
    <cellStyle name="Normal 2 39 4 3" xfId="3243"/>
    <cellStyle name="Normal 2 39 5" xfId="3244"/>
    <cellStyle name="Normal 2 39 5 2" xfId="3245"/>
    <cellStyle name="Normal 2 39 5 2 2" xfId="3246"/>
    <cellStyle name="Normal 2 39 5 3" xfId="3247"/>
    <cellStyle name="Normal 2 39 6" xfId="3248"/>
    <cellStyle name="Normal 2 39 6 2" xfId="3249"/>
    <cellStyle name="Normal 2 39 6 2 2" xfId="3250"/>
    <cellStyle name="Normal 2 39 6 3" xfId="3251"/>
    <cellStyle name="Normal 2 39 7" xfId="3252"/>
    <cellStyle name="Normal 2 39 7 2" xfId="3253"/>
    <cellStyle name="Normal 2 39 7 2 2" xfId="3254"/>
    <cellStyle name="Normal 2 39 7 3" xfId="3255"/>
    <cellStyle name="Normal 2 39 8" xfId="3256"/>
    <cellStyle name="Normal 2 39 8 2" xfId="3257"/>
    <cellStyle name="Normal 2 39 8 2 2" xfId="3258"/>
    <cellStyle name="Normal 2 39 8 3" xfId="3259"/>
    <cellStyle name="Normal 2 39 9" xfId="3260"/>
    <cellStyle name="Normal 2 39 9 2" xfId="3261"/>
    <cellStyle name="Normal 2 39 9 2 2" xfId="3262"/>
    <cellStyle name="Normal 2 39 9 3" xfId="3263"/>
    <cellStyle name="Normal 2 4" xfId="167"/>
    <cellStyle name="Normal 2 4 2" xfId="168"/>
    <cellStyle name="Normal 2 4 2 2" xfId="169"/>
    <cellStyle name="Normal 2 4 2 3" xfId="170"/>
    <cellStyle name="Normal 2 4 2 4" xfId="171"/>
    <cellStyle name="Normal 2 4 2 5" xfId="9149"/>
    <cellStyle name="Normal 2 4 3" xfId="319"/>
    <cellStyle name="Normal 2 4 3 2" xfId="3264"/>
    <cellStyle name="Normal 2 4 4" xfId="3265"/>
    <cellStyle name="Normal 2 4 5" xfId="3266"/>
    <cellStyle name="Normal 2 4 6" xfId="3267"/>
    <cellStyle name="Normal 2 40" xfId="3268"/>
    <cellStyle name="Normal 2 40 2" xfId="3269"/>
    <cellStyle name="Normal 2 40 2 2" xfId="3270"/>
    <cellStyle name="Normal 2 40 3" xfId="3271"/>
    <cellStyle name="Normal 2 41" xfId="3272"/>
    <cellStyle name="Normal 2 41 2" xfId="3273"/>
    <cellStyle name="Normal 2 41 2 2" xfId="3274"/>
    <cellStyle name="Normal 2 41 3" xfId="3275"/>
    <cellStyle name="Normal 2 42" xfId="3276"/>
    <cellStyle name="Normal 2 42 2" xfId="3277"/>
    <cellStyle name="Normal 2 42 2 2" xfId="3278"/>
    <cellStyle name="Normal 2 42 3" xfId="3279"/>
    <cellStyle name="Normal 2 43" xfId="3280"/>
    <cellStyle name="Normal 2 43 2" xfId="3281"/>
    <cellStyle name="Normal 2 43 2 2" xfId="3282"/>
    <cellStyle name="Normal 2 43 3" xfId="3283"/>
    <cellStyle name="Normal 2 44" xfId="3284"/>
    <cellStyle name="Normal 2 44 2" xfId="3285"/>
    <cellStyle name="Normal 2 44 2 2" xfId="3286"/>
    <cellStyle name="Normal 2 44 3" xfId="3287"/>
    <cellStyle name="Normal 2 45" xfId="3288"/>
    <cellStyle name="Normal 2 45 2" xfId="3289"/>
    <cellStyle name="Normal 2 45 2 2" xfId="3290"/>
    <cellStyle name="Normal 2 45 3" xfId="3291"/>
    <cellStyle name="Normal 2 46" xfId="3292"/>
    <cellStyle name="Normal 2 46 2" xfId="3293"/>
    <cellStyle name="Normal 2 46 2 2" xfId="3294"/>
    <cellStyle name="Normal 2 46 3" xfId="3295"/>
    <cellStyle name="Normal 2 47" xfId="3296"/>
    <cellStyle name="Normal 2 47 2" xfId="3297"/>
    <cellStyle name="Normal 2 47 2 2" xfId="3298"/>
    <cellStyle name="Normal 2 47 3" xfId="3299"/>
    <cellStyle name="Normal 2 48" xfId="3300"/>
    <cellStyle name="Normal 2 48 2" xfId="3301"/>
    <cellStyle name="Normal 2 48 2 2" xfId="3302"/>
    <cellStyle name="Normal 2 48 3" xfId="3303"/>
    <cellStyle name="Normal 2 49" xfId="3304"/>
    <cellStyle name="Normal 2 49 2" xfId="3305"/>
    <cellStyle name="Normal 2 49 2 2" xfId="3306"/>
    <cellStyle name="Normal 2 49 3" xfId="3307"/>
    <cellStyle name="Normal 2 5" xfId="172"/>
    <cellStyle name="Normal 2 5 10" xfId="3308"/>
    <cellStyle name="Normal 2 5 10 2" xfId="3309"/>
    <cellStyle name="Normal 2 5 10 2 2" xfId="3310"/>
    <cellStyle name="Normal 2 5 10 3" xfId="3311"/>
    <cellStyle name="Normal 2 5 11" xfId="3312"/>
    <cellStyle name="Normal 2 5 11 2" xfId="3313"/>
    <cellStyle name="Normal 2 5 11 2 2" xfId="3314"/>
    <cellStyle name="Normal 2 5 11 3" xfId="3315"/>
    <cellStyle name="Normal 2 5 12" xfId="3316"/>
    <cellStyle name="Normal 2 5 12 2" xfId="3317"/>
    <cellStyle name="Normal 2 5 12 2 2" xfId="3318"/>
    <cellStyle name="Normal 2 5 12 3" xfId="3319"/>
    <cellStyle name="Normal 2 5 13" xfId="3320"/>
    <cellStyle name="Normal 2 5 13 2" xfId="3321"/>
    <cellStyle name="Normal 2 5 13 2 2" xfId="3322"/>
    <cellStyle name="Normal 2 5 13 3" xfId="3323"/>
    <cellStyle name="Normal 2 5 14" xfId="3324"/>
    <cellStyle name="Normal 2 5 14 2" xfId="3325"/>
    <cellStyle name="Normal 2 5 14 2 2" xfId="3326"/>
    <cellStyle name="Normal 2 5 14 3" xfId="3327"/>
    <cellStyle name="Normal 2 5 15" xfId="3328"/>
    <cellStyle name="Normal 2 5 15 2" xfId="3329"/>
    <cellStyle name="Normal 2 5 15 2 2" xfId="3330"/>
    <cellStyle name="Normal 2 5 15 3" xfId="3331"/>
    <cellStyle name="Normal 2 5 16" xfId="3332"/>
    <cellStyle name="Normal 2 5 16 2" xfId="3333"/>
    <cellStyle name="Normal 2 5 16 2 2" xfId="3334"/>
    <cellStyle name="Normal 2 5 16 3" xfId="3335"/>
    <cellStyle name="Normal 2 5 17" xfId="3336"/>
    <cellStyle name="Normal 2 5 17 2" xfId="3337"/>
    <cellStyle name="Normal 2 5 17 2 2" xfId="3338"/>
    <cellStyle name="Normal 2 5 17 3" xfId="3339"/>
    <cellStyle name="Normal 2 5 18" xfId="3340"/>
    <cellStyle name="Normal 2 5 18 2" xfId="3341"/>
    <cellStyle name="Normal 2 5 18 2 2" xfId="3342"/>
    <cellStyle name="Normal 2 5 18 3" xfId="3343"/>
    <cellStyle name="Normal 2 5 19" xfId="3344"/>
    <cellStyle name="Normal 2 5 19 2" xfId="3345"/>
    <cellStyle name="Normal 2 5 19 2 2" xfId="3346"/>
    <cellStyle name="Normal 2 5 19 3" xfId="3347"/>
    <cellStyle name="Normal 2 5 2" xfId="3348"/>
    <cellStyle name="Normal 2 5 2 10" xfId="3349"/>
    <cellStyle name="Normal 2 5 2 10 2" xfId="3350"/>
    <cellStyle name="Normal 2 5 2 10 2 2" xfId="3351"/>
    <cellStyle name="Normal 2 5 2 10 3" xfId="3352"/>
    <cellStyle name="Normal 2 5 2 11" xfId="3353"/>
    <cellStyle name="Normal 2 5 2 11 2" xfId="3354"/>
    <cellStyle name="Normal 2 5 2 11 2 2" xfId="3355"/>
    <cellStyle name="Normal 2 5 2 11 3" xfId="3356"/>
    <cellStyle name="Normal 2 5 2 12" xfId="3357"/>
    <cellStyle name="Normal 2 5 2 12 2" xfId="3358"/>
    <cellStyle name="Normal 2 5 2 12 2 2" xfId="3359"/>
    <cellStyle name="Normal 2 5 2 12 3" xfId="3360"/>
    <cellStyle name="Normal 2 5 2 13" xfId="3361"/>
    <cellStyle name="Normal 2 5 2 13 2" xfId="3362"/>
    <cellStyle name="Normal 2 5 2 13 2 2" xfId="3363"/>
    <cellStyle name="Normal 2 5 2 13 3" xfId="3364"/>
    <cellStyle name="Normal 2 5 2 14" xfId="3365"/>
    <cellStyle name="Normal 2 5 2 14 2" xfId="3366"/>
    <cellStyle name="Normal 2 5 2 14 2 2" xfId="3367"/>
    <cellStyle name="Normal 2 5 2 14 3" xfId="3368"/>
    <cellStyle name="Normal 2 5 2 15" xfId="3369"/>
    <cellStyle name="Normal 2 5 2 15 2" xfId="3370"/>
    <cellStyle name="Normal 2 5 2 15 2 2" xfId="3371"/>
    <cellStyle name="Normal 2 5 2 15 3" xfId="3372"/>
    <cellStyle name="Normal 2 5 2 16" xfId="3373"/>
    <cellStyle name="Normal 2 5 2 16 2" xfId="3374"/>
    <cellStyle name="Normal 2 5 2 16 2 2" xfId="3375"/>
    <cellStyle name="Normal 2 5 2 16 3" xfId="3376"/>
    <cellStyle name="Normal 2 5 2 17" xfId="3377"/>
    <cellStyle name="Normal 2 5 2 17 2" xfId="3378"/>
    <cellStyle name="Normal 2 5 2 17 2 2" xfId="3379"/>
    <cellStyle name="Normal 2 5 2 17 3" xfId="3380"/>
    <cellStyle name="Normal 2 5 2 18" xfId="3381"/>
    <cellStyle name="Normal 2 5 2 18 2" xfId="3382"/>
    <cellStyle name="Normal 2 5 2 18 2 2" xfId="3383"/>
    <cellStyle name="Normal 2 5 2 18 3" xfId="3384"/>
    <cellStyle name="Normal 2 5 2 19" xfId="3385"/>
    <cellStyle name="Normal 2 5 2 19 2" xfId="3386"/>
    <cellStyle name="Normal 2 5 2 19 2 2" xfId="3387"/>
    <cellStyle name="Normal 2 5 2 19 3" xfId="3388"/>
    <cellStyle name="Normal 2 5 2 2" xfId="3389"/>
    <cellStyle name="Normal 2 5 2 2 10" xfId="3390"/>
    <cellStyle name="Normal 2 5 2 2 10 2" xfId="3391"/>
    <cellStyle name="Normal 2 5 2 2 10 2 2" xfId="3392"/>
    <cellStyle name="Normal 2 5 2 2 10 3" xfId="3393"/>
    <cellStyle name="Normal 2 5 2 2 11" xfId="3394"/>
    <cellStyle name="Normal 2 5 2 2 11 2" xfId="3395"/>
    <cellStyle name="Normal 2 5 2 2 11 2 2" xfId="3396"/>
    <cellStyle name="Normal 2 5 2 2 11 3" xfId="3397"/>
    <cellStyle name="Normal 2 5 2 2 12" xfId="3398"/>
    <cellStyle name="Normal 2 5 2 2 12 2" xfId="3399"/>
    <cellStyle name="Normal 2 5 2 2 12 2 2" xfId="3400"/>
    <cellStyle name="Normal 2 5 2 2 12 3" xfId="3401"/>
    <cellStyle name="Normal 2 5 2 2 13" xfId="3402"/>
    <cellStyle name="Normal 2 5 2 2 13 2" xfId="3403"/>
    <cellStyle name="Normal 2 5 2 2 13 2 2" xfId="3404"/>
    <cellStyle name="Normal 2 5 2 2 13 3" xfId="3405"/>
    <cellStyle name="Normal 2 5 2 2 14" xfId="3406"/>
    <cellStyle name="Normal 2 5 2 2 14 2" xfId="3407"/>
    <cellStyle name="Normal 2 5 2 2 14 2 2" xfId="3408"/>
    <cellStyle name="Normal 2 5 2 2 14 3" xfId="3409"/>
    <cellStyle name="Normal 2 5 2 2 15" xfId="3410"/>
    <cellStyle name="Normal 2 5 2 2 15 2" xfId="3411"/>
    <cellStyle name="Normal 2 5 2 2 15 2 2" xfId="3412"/>
    <cellStyle name="Normal 2 5 2 2 15 3" xfId="3413"/>
    <cellStyle name="Normal 2 5 2 2 16" xfId="3414"/>
    <cellStyle name="Normal 2 5 2 2 16 2" xfId="3415"/>
    <cellStyle name="Normal 2 5 2 2 16 2 2" xfId="3416"/>
    <cellStyle name="Normal 2 5 2 2 16 3" xfId="3417"/>
    <cellStyle name="Normal 2 5 2 2 17" xfId="3418"/>
    <cellStyle name="Normal 2 5 2 2 17 2" xfId="3419"/>
    <cellStyle name="Normal 2 5 2 2 17 2 2" xfId="3420"/>
    <cellStyle name="Normal 2 5 2 2 17 3" xfId="3421"/>
    <cellStyle name="Normal 2 5 2 2 18" xfId="3422"/>
    <cellStyle name="Normal 2 5 2 2 18 2" xfId="3423"/>
    <cellStyle name="Normal 2 5 2 2 18 2 2" xfId="3424"/>
    <cellStyle name="Normal 2 5 2 2 18 3" xfId="3425"/>
    <cellStyle name="Normal 2 5 2 2 19" xfId="3426"/>
    <cellStyle name="Normal 2 5 2 2 19 2" xfId="3427"/>
    <cellStyle name="Normal 2 5 2 2 19 2 2" xfId="3428"/>
    <cellStyle name="Normal 2 5 2 2 19 3" xfId="3429"/>
    <cellStyle name="Normal 2 5 2 2 2" xfId="3430"/>
    <cellStyle name="Normal 2 5 2 2 2 2" xfId="3431"/>
    <cellStyle name="Normal 2 5 2 2 2 2 2" xfId="3432"/>
    <cellStyle name="Normal 2 5 2 2 2 3" xfId="3433"/>
    <cellStyle name="Normal 2 5 2 2 20" xfId="3434"/>
    <cellStyle name="Normal 2 5 2 2 20 2" xfId="3435"/>
    <cellStyle name="Normal 2 5 2 2 20 2 2" xfId="3436"/>
    <cellStyle name="Normal 2 5 2 2 20 3" xfId="3437"/>
    <cellStyle name="Normal 2 5 2 2 21" xfId="3438"/>
    <cellStyle name="Normal 2 5 2 2 21 2" xfId="3439"/>
    <cellStyle name="Normal 2 5 2 2 21 2 2" xfId="3440"/>
    <cellStyle name="Normal 2 5 2 2 21 3" xfId="3441"/>
    <cellStyle name="Normal 2 5 2 2 22" xfId="3442"/>
    <cellStyle name="Normal 2 5 2 2 22 2" xfId="3443"/>
    <cellStyle name="Normal 2 5 2 2 22 2 2" xfId="3444"/>
    <cellStyle name="Normal 2 5 2 2 22 3" xfId="3445"/>
    <cellStyle name="Normal 2 5 2 2 23" xfId="3446"/>
    <cellStyle name="Normal 2 5 2 2 23 2" xfId="3447"/>
    <cellStyle name="Normal 2 5 2 2 23 2 2" xfId="3448"/>
    <cellStyle name="Normal 2 5 2 2 23 3" xfId="3449"/>
    <cellStyle name="Normal 2 5 2 2 24" xfId="3450"/>
    <cellStyle name="Normal 2 5 2 2 24 2" xfId="3451"/>
    <cellStyle name="Normal 2 5 2 2 24 2 2" xfId="3452"/>
    <cellStyle name="Normal 2 5 2 2 24 3" xfId="3453"/>
    <cellStyle name="Normal 2 5 2 2 25" xfId="3454"/>
    <cellStyle name="Normal 2 5 2 2 25 2" xfId="3455"/>
    <cellStyle name="Normal 2 5 2 2 25 2 2" xfId="3456"/>
    <cellStyle name="Normal 2 5 2 2 25 3" xfId="3457"/>
    <cellStyle name="Normal 2 5 2 2 26" xfId="3458"/>
    <cellStyle name="Normal 2 5 2 2 26 2" xfId="3459"/>
    <cellStyle name="Normal 2 5 2 2 26 2 2" xfId="3460"/>
    <cellStyle name="Normal 2 5 2 2 26 3" xfId="3461"/>
    <cellStyle name="Normal 2 5 2 2 27" xfId="3462"/>
    <cellStyle name="Normal 2 5 2 2 27 2" xfId="3463"/>
    <cellStyle name="Normal 2 5 2 2 27 2 2" xfId="3464"/>
    <cellStyle name="Normal 2 5 2 2 27 3" xfId="3465"/>
    <cellStyle name="Normal 2 5 2 2 28" xfId="3466"/>
    <cellStyle name="Normal 2 5 2 2 28 2" xfId="3467"/>
    <cellStyle name="Normal 2 5 2 2 28 2 2" xfId="3468"/>
    <cellStyle name="Normal 2 5 2 2 28 3" xfId="3469"/>
    <cellStyle name="Normal 2 5 2 2 29" xfId="3470"/>
    <cellStyle name="Normal 2 5 2 2 29 2" xfId="3471"/>
    <cellStyle name="Normal 2 5 2 2 29 2 2" xfId="3472"/>
    <cellStyle name="Normal 2 5 2 2 29 3" xfId="3473"/>
    <cellStyle name="Normal 2 5 2 2 3" xfId="3474"/>
    <cellStyle name="Normal 2 5 2 2 3 2" xfId="3475"/>
    <cellStyle name="Normal 2 5 2 2 3 2 2" xfId="3476"/>
    <cellStyle name="Normal 2 5 2 2 3 3" xfId="3477"/>
    <cellStyle name="Normal 2 5 2 2 30" xfId="3478"/>
    <cellStyle name="Normal 2 5 2 2 30 2" xfId="3479"/>
    <cellStyle name="Normal 2 5 2 2 30 2 2" xfId="3480"/>
    <cellStyle name="Normal 2 5 2 2 30 3" xfId="3481"/>
    <cellStyle name="Normal 2 5 2 2 31" xfId="3482"/>
    <cellStyle name="Normal 2 5 2 2 31 2" xfId="3483"/>
    <cellStyle name="Normal 2 5 2 2 31 2 2" xfId="3484"/>
    <cellStyle name="Normal 2 5 2 2 31 3" xfId="3485"/>
    <cellStyle name="Normal 2 5 2 2 32" xfId="3486"/>
    <cellStyle name="Normal 2 5 2 2 32 2" xfId="3487"/>
    <cellStyle name="Normal 2 5 2 2 32 2 2" xfId="3488"/>
    <cellStyle name="Normal 2 5 2 2 32 3" xfId="3489"/>
    <cellStyle name="Normal 2 5 2 2 33" xfId="3490"/>
    <cellStyle name="Normal 2 5 2 2 33 2" xfId="3491"/>
    <cellStyle name="Normal 2 5 2 2 33 2 2" xfId="3492"/>
    <cellStyle name="Normal 2 5 2 2 33 3" xfId="3493"/>
    <cellStyle name="Normal 2 5 2 2 34" xfId="3494"/>
    <cellStyle name="Normal 2 5 2 2 34 2" xfId="3495"/>
    <cellStyle name="Normal 2 5 2 2 34 2 2" xfId="3496"/>
    <cellStyle name="Normal 2 5 2 2 34 3" xfId="3497"/>
    <cellStyle name="Normal 2 5 2 2 35" xfId="3498"/>
    <cellStyle name="Normal 2 5 2 2 35 2" xfId="3499"/>
    <cellStyle name="Normal 2 5 2 2 35 2 2" xfId="3500"/>
    <cellStyle name="Normal 2 5 2 2 35 3" xfId="3501"/>
    <cellStyle name="Normal 2 5 2 2 36" xfId="3502"/>
    <cellStyle name="Normal 2 5 2 2 36 2" xfId="3503"/>
    <cellStyle name="Normal 2 5 2 2 36 2 2" xfId="3504"/>
    <cellStyle name="Normal 2 5 2 2 36 3" xfId="3505"/>
    <cellStyle name="Normal 2 5 2 2 37" xfId="3506"/>
    <cellStyle name="Normal 2 5 2 2 37 2" xfId="3507"/>
    <cellStyle name="Normal 2 5 2 2 37 2 2" xfId="3508"/>
    <cellStyle name="Normal 2 5 2 2 37 3" xfId="3509"/>
    <cellStyle name="Normal 2 5 2 2 38" xfId="3510"/>
    <cellStyle name="Normal 2 5 2 2 38 2" xfId="3511"/>
    <cellStyle name="Normal 2 5 2 2 38 2 2" xfId="3512"/>
    <cellStyle name="Normal 2 5 2 2 38 3" xfId="3513"/>
    <cellStyle name="Normal 2 5 2 2 39" xfId="3514"/>
    <cellStyle name="Normal 2 5 2 2 39 2" xfId="3515"/>
    <cellStyle name="Normal 2 5 2 2 39 2 2" xfId="3516"/>
    <cellStyle name="Normal 2 5 2 2 39 3" xfId="3517"/>
    <cellStyle name="Normal 2 5 2 2 4" xfId="3518"/>
    <cellStyle name="Normal 2 5 2 2 4 2" xfId="3519"/>
    <cellStyle name="Normal 2 5 2 2 4 2 2" xfId="3520"/>
    <cellStyle name="Normal 2 5 2 2 4 3" xfId="3521"/>
    <cellStyle name="Normal 2 5 2 2 40" xfId="3522"/>
    <cellStyle name="Normal 2 5 2 2 40 2" xfId="3523"/>
    <cellStyle name="Normal 2 5 2 2 40 2 2" xfId="3524"/>
    <cellStyle name="Normal 2 5 2 2 40 3" xfId="3525"/>
    <cellStyle name="Normal 2 5 2 2 41" xfId="3526"/>
    <cellStyle name="Normal 2 5 2 2 41 2" xfId="3527"/>
    <cellStyle name="Normal 2 5 2 2 41 2 2" xfId="3528"/>
    <cellStyle name="Normal 2 5 2 2 41 3" xfId="3529"/>
    <cellStyle name="Normal 2 5 2 2 42" xfId="3530"/>
    <cellStyle name="Normal 2 5 2 2 42 2" xfId="3531"/>
    <cellStyle name="Normal 2 5 2 2 42 2 2" xfId="3532"/>
    <cellStyle name="Normal 2 5 2 2 42 3" xfId="3533"/>
    <cellStyle name="Normal 2 5 2 2 43" xfId="3534"/>
    <cellStyle name="Normal 2 5 2 2 43 2" xfId="3535"/>
    <cellStyle name="Normal 2 5 2 2 43 2 2" xfId="3536"/>
    <cellStyle name="Normal 2 5 2 2 43 3" xfId="3537"/>
    <cellStyle name="Normal 2 5 2 2 44" xfId="3538"/>
    <cellStyle name="Normal 2 5 2 2 44 2" xfId="3539"/>
    <cellStyle name="Normal 2 5 2 2 44 2 2" xfId="3540"/>
    <cellStyle name="Normal 2 5 2 2 44 3" xfId="3541"/>
    <cellStyle name="Normal 2 5 2 2 45" xfId="3542"/>
    <cellStyle name="Normal 2 5 2 2 45 2" xfId="3543"/>
    <cellStyle name="Normal 2 5 2 2 45 2 2" xfId="3544"/>
    <cellStyle name="Normal 2 5 2 2 45 3" xfId="3545"/>
    <cellStyle name="Normal 2 5 2 2 46" xfId="3546"/>
    <cellStyle name="Normal 2 5 2 2 46 2" xfId="3547"/>
    <cellStyle name="Normal 2 5 2 2 46 2 2" xfId="3548"/>
    <cellStyle name="Normal 2 5 2 2 46 3" xfId="3549"/>
    <cellStyle name="Normal 2 5 2 2 47" xfId="3550"/>
    <cellStyle name="Normal 2 5 2 2 47 2" xfId="3551"/>
    <cellStyle name="Normal 2 5 2 2 47 2 2" xfId="3552"/>
    <cellStyle name="Normal 2 5 2 2 47 3" xfId="3553"/>
    <cellStyle name="Normal 2 5 2 2 48" xfId="3554"/>
    <cellStyle name="Normal 2 5 2 2 48 2" xfId="3555"/>
    <cellStyle name="Normal 2 5 2 2 48 2 2" xfId="3556"/>
    <cellStyle name="Normal 2 5 2 2 48 3" xfId="3557"/>
    <cellStyle name="Normal 2 5 2 2 49" xfId="3558"/>
    <cellStyle name="Normal 2 5 2 2 49 2" xfId="3559"/>
    <cellStyle name="Normal 2 5 2 2 49 2 2" xfId="3560"/>
    <cellStyle name="Normal 2 5 2 2 49 3" xfId="3561"/>
    <cellStyle name="Normal 2 5 2 2 5" xfId="3562"/>
    <cellStyle name="Normal 2 5 2 2 5 2" xfId="3563"/>
    <cellStyle name="Normal 2 5 2 2 5 2 2" xfId="3564"/>
    <cellStyle name="Normal 2 5 2 2 5 3" xfId="3565"/>
    <cellStyle name="Normal 2 5 2 2 50" xfId="3566"/>
    <cellStyle name="Normal 2 5 2 2 50 2" xfId="3567"/>
    <cellStyle name="Normal 2 5 2 2 50 2 2" xfId="3568"/>
    <cellStyle name="Normal 2 5 2 2 50 3" xfId="3569"/>
    <cellStyle name="Normal 2 5 2 2 51" xfId="3570"/>
    <cellStyle name="Normal 2 5 2 2 51 2" xfId="3571"/>
    <cellStyle name="Normal 2 5 2 2 51 2 2" xfId="3572"/>
    <cellStyle name="Normal 2 5 2 2 51 3" xfId="3573"/>
    <cellStyle name="Normal 2 5 2 2 52" xfId="3574"/>
    <cellStyle name="Normal 2 5 2 2 52 2" xfId="3575"/>
    <cellStyle name="Normal 2 5 2 2 52 2 2" xfId="3576"/>
    <cellStyle name="Normal 2 5 2 2 52 3" xfId="3577"/>
    <cellStyle name="Normal 2 5 2 2 53" xfId="3578"/>
    <cellStyle name="Normal 2 5 2 2 53 2" xfId="3579"/>
    <cellStyle name="Normal 2 5 2 2 53 2 2" xfId="3580"/>
    <cellStyle name="Normal 2 5 2 2 53 3" xfId="3581"/>
    <cellStyle name="Normal 2 5 2 2 54" xfId="3582"/>
    <cellStyle name="Normal 2 5 2 2 54 2" xfId="3583"/>
    <cellStyle name="Normal 2 5 2 2 54 2 2" xfId="3584"/>
    <cellStyle name="Normal 2 5 2 2 54 3" xfId="3585"/>
    <cellStyle name="Normal 2 5 2 2 55" xfId="3586"/>
    <cellStyle name="Normal 2 5 2 2 55 2" xfId="3587"/>
    <cellStyle name="Normal 2 5 2 2 55 2 2" xfId="3588"/>
    <cellStyle name="Normal 2 5 2 2 55 3" xfId="3589"/>
    <cellStyle name="Normal 2 5 2 2 56" xfId="3590"/>
    <cellStyle name="Normal 2 5 2 2 56 2" xfId="3591"/>
    <cellStyle name="Normal 2 5 2 2 57" xfId="3592"/>
    <cellStyle name="Normal 2 5 2 2 6" xfId="3593"/>
    <cellStyle name="Normal 2 5 2 2 6 2" xfId="3594"/>
    <cellStyle name="Normal 2 5 2 2 6 2 2" xfId="3595"/>
    <cellStyle name="Normal 2 5 2 2 6 3" xfId="3596"/>
    <cellStyle name="Normal 2 5 2 2 7" xfId="3597"/>
    <cellStyle name="Normal 2 5 2 2 7 2" xfId="3598"/>
    <cellStyle name="Normal 2 5 2 2 7 2 2" xfId="3599"/>
    <cellStyle name="Normal 2 5 2 2 7 3" xfId="3600"/>
    <cellStyle name="Normal 2 5 2 2 8" xfId="3601"/>
    <cellStyle name="Normal 2 5 2 2 8 2" xfId="3602"/>
    <cellStyle name="Normal 2 5 2 2 8 2 2" xfId="3603"/>
    <cellStyle name="Normal 2 5 2 2 8 3" xfId="3604"/>
    <cellStyle name="Normal 2 5 2 2 9" xfId="3605"/>
    <cellStyle name="Normal 2 5 2 2 9 2" xfId="3606"/>
    <cellStyle name="Normal 2 5 2 2 9 2 2" xfId="3607"/>
    <cellStyle name="Normal 2 5 2 2 9 3" xfId="3608"/>
    <cellStyle name="Normal 2 5 2 20" xfId="3609"/>
    <cellStyle name="Normal 2 5 2 20 2" xfId="3610"/>
    <cellStyle name="Normal 2 5 2 20 2 2" xfId="3611"/>
    <cellStyle name="Normal 2 5 2 20 3" xfId="3612"/>
    <cellStyle name="Normal 2 5 2 21" xfId="3613"/>
    <cellStyle name="Normal 2 5 2 21 2" xfId="3614"/>
    <cellStyle name="Normal 2 5 2 21 2 2" xfId="3615"/>
    <cellStyle name="Normal 2 5 2 21 3" xfId="3616"/>
    <cellStyle name="Normal 2 5 2 22" xfId="3617"/>
    <cellStyle name="Normal 2 5 2 22 2" xfId="3618"/>
    <cellStyle name="Normal 2 5 2 22 2 2" xfId="3619"/>
    <cellStyle name="Normal 2 5 2 22 3" xfId="3620"/>
    <cellStyle name="Normal 2 5 2 23" xfId="3621"/>
    <cellStyle name="Normal 2 5 2 23 2" xfId="3622"/>
    <cellStyle name="Normal 2 5 2 23 2 2" xfId="3623"/>
    <cellStyle name="Normal 2 5 2 23 3" xfId="3624"/>
    <cellStyle name="Normal 2 5 2 24" xfId="3625"/>
    <cellStyle name="Normal 2 5 2 24 2" xfId="3626"/>
    <cellStyle name="Normal 2 5 2 24 2 2" xfId="3627"/>
    <cellStyle name="Normal 2 5 2 24 3" xfId="3628"/>
    <cellStyle name="Normal 2 5 2 25" xfId="3629"/>
    <cellStyle name="Normal 2 5 2 25 2" xfId="3630"/>
    <cellStyle name="Normal 2 5 2 25 2 2" xfId="3631"/>
    <cellStyle name="Normal 2 5 2 25 3" xfId="3632"/>
    <cellStyle name="Normal 2 5 2 26" xfId="3633"/>
    <cellStyle name="Normal 2 5 2 26 2" xfId="3634"/>
    <cellStyle name="Normal 2 5 2 26 2 2" xfId="3635"/>
    <cellStyle name="Normal 2 5 2 26 3" xfId="3636"/>
    <cellStyle name="Normal 2 5 2 27" xfId="3637"/>
    <cellStyle name="Normal 2 5 2 27 2" xfId="3638"/>
    <cellStyle name="Normal 2 5 2 27 2 2" xfId="3639"/>
    <cellStyle name="Normal 2 5 2 27 3" xfId="3640"/>
    <cellStyle name="Normal 2 5 2 28" xfId="3641"/>
    <cellStyle name="Normal 2 5 2 28 2" xfId="3642"/>
    <cellStyle name="Normal 2 5 2 28 2 2" xfId="3643"/>
    <cellStyle name="Normal 2 5 2 28 3" xfId="3644"/>
    <cellStyle name="Normal 2 5 2 29" xfId="3645"/>
    <cellStyle name="Normal 2 5 2 29 2" xfId="3646"/>
    <cellStyle name="Normal 2 5 2 29 2 2" xfId="3647"/>
    <cellStyle name="Normal 2 5 2 29 3" xfId="3648"/>
    <cellStyle name="Normal 2 5 2 3" xfId="3649"/>
    <cellStyle name="Normal 2 5 2 3 2" xfId="3650"/>
    <cellStyle name="Normal 2 5 2 3 2 2" xfId="3651"/>
    <cellStyle name="Normal 2 5 2 3 3" xfId="3652"/>
    <cellStyle name="Normal 2 5 2 30" xfId="3653"/>
    <cellStyle name="Normal 2 5 2 30 2" xfId="3654"/>
    <cellStyle name="Normal 2 5 2 30 2 2" xfId="3655"/>
    <cellStyle name="Normal 2 5 2 30 3" xfId="3656"/>
    <cellStyle name="Normal 2 5 2 31" xfId="3657"/>
    <cellStyle name="Normal 2 5 2 31 2" xfId="3658"/>
    <cellStyle name="Normal 2 5 2 31 2 2" xfId="3659"/>
    <cellStyle name="Normal 2 5 2 31 3" xfId="3660"/>
    <cellStyle name="Normal 2 5 2 32" xfId="3661"/>
    <cellStyle name="Normal 2 5 2 32 2" xfId="3662"/>
    <cellStyle name="Normal 2 5 2 32 2 2" xfId="3663"/>
    <cellStyle name="Normal 2 5 2 32 3" xfId="3664"/>
    <cellStyle name="Normal 2 5 2 33" xfId="3665"/>
    <cellStyle name="Normal 2 5 2 33 2" xfId="3666"/>
    <cellStyle name="Normal 2 5 2 33 2 2" xfId="3667"/>
    <cellStyle name="Normal 2 5 2 33 3" xfId="3668"/>
    <cellStyle name="Normal 2 5 2 34" xfId="3669"/>
    <cellStyle name="Normal 2 5 2 34 2" xfId="3670"/>
    <cellStyle name="Normal 2 5 2 35" xfId="3671"/>
    <cellStyle name="Normal 2 5 2 36" xfId="9161"/>
    <cellStyle name="Normal 2 5 2 4" xfId="3672"/>
    <cellStyle name="Normal 2 5 2 4 2" xfId="3673"/>
    <cellStyle name="Normal 2 5 2 4 2 2" xfId="3674"/>
    <cellStyle name="Normal 2 5 2 4 3" xfId="3675"/>
    <cellStyle name="Normal 2 5 2 5" xfId="3676"/>
    <cellStyle name="Normal 2 5 2 5 2" xfId="3677"/>
    <cellStyle name="Normal 2 5 2 5 2 2" xfId="3678"/>
    <cellStyle name="Normal 2 5 2 5 3" xfId="3679"/>
    <cellStyle name="Normal 2 5 2 6" xfId="3680"/>
    <cellStyle name="Normal 2 5 2 6 2" xfId="3681"/>
    <cellStyle name="Normal 2 5 2 6 2 2" xfId="3682"/>
    <cellStyle name="Normal 2 5 2 6 3" xfId="3683"/>
    <cellStyle name="Normal 2 5 2 7" xfId="3684"/>
    <cellStyle name="Normal 2 5 2 7 2" xfId="3685"/>
    <cellStyle name="Normal 2 5 2 7 2 2" xfId="3686"/>
    <cellStyle name="Normal 2 5 2 7 3" xfId="3687"/>
    <cellStyle name="Normal 2 5 2 8" xfId="3688"/>
    <cellStyle name="Normal 2 5 2 8 2" xfId="3689"/>
    <cellStyle name="Normal 2 5 2 8 2 2" xfId="3690"/>
    <cellStyle name="Normal 2 5 2 8 3" xfId="3691"/>
    <cellStyle name="Normal 2 5 2 9" xfId="3692"/>
    <cellStyle name="Normal 2 5 2 9 2" xfId="3693"/>
    <cellStyle name="Normal 2 5 2 9 2 2" xfId="3694"/>
    <cellStyle name="Normal 2 5 2 9 3" xfId="3695"/>
    <cellStyle name="Normal 2 5 20" xfId="3696"/>
    <cellStyle name="Normal 2 5 20 2" xfId="3697"/>
    <cellStyle name="Normal 2 5 20 2 2" xfId="3698"/>
    <cellStyle name="Normal 2 5 20 3" xfId="3699"/>
    <cellStyle name="Normal 2 5 21" xfId="3700"/>
    <cellStyle name="Normal 2 5 21 2" xfId="3701"/>
    <cellStyle name="Normal 2 5 21 2 2" xfId="3702"/>
    <cellStyle name="Normal 2 5 21 3" xfId="3703"/>
    <cellStyle name="Normal 2 5 22" xfId="3704"/>
    <cellStyle name="Normal 2 5 22 2" xfId="3705"/>
    <cellStyle name="Normal 2 5 22 2 2" xfId="3706"/>
    <cellStyle name="Normal 2 5 22 3" xfId="3707"/>
    <cellStyle name="Normal 2 5 23" xfId="3708"/>
    <cellStyle name="Normal 2 5 23 2" xfId="3709"/>
    <cellStyle name="Normal 2 5 23 2 2" xfId="3710"/>
    <cellStyle name="Normal 2 5 23 3" xfId="3711"/>
    <cellStyle name="Normal 2 5 24" xfId="3712"/>
    <cellStyle name="Normal 2 5 24 2" xfId="3713"/>
    <cellStyle name="Normal 2 5 24 2 2" xfId="3714"/>
    <cellStyle name="Normal 2 5 24 3" xfId="3715"/>
    <cellStyle name="Normal 2 5 25" xfId="3716"/>
    <cellStyle name="Normal 2 5 25 2" xfId="3717"/>
    <cellStyle name="Normal 2 5 25 2 2" xfId="3718"/>
    <cellStyle name="Normal 2 5 25 3" xfId="3719"/>
    <cellStyle name="Normal 2 5 26" xfId="3720"/>
    <cellStyle name="Normal 2 5 26 2" xfId="3721"/>
    <cellStyle name="Normal 2 5 26 2 2" xfId="3722"/>
    <cellStyle name="Normal 2 5 26 3" xfId="3723"/>
    <cellStyle name="Normal 2 5 27" xfId="3724"/>
    <cellStyle name="Normal 2 5 27 2" xfId="3725"/>
    <cellStyle name="Normal 2 5 27 2 2" xfId="3726"/>
    <cellStyle name="Normal 2 5 27 3" xfId="3727"/>
    <cellStyle name="Normal 2 5 28" xfId="3728"/>
    <cellStyle name="Normal 2 5 28 2" xfId="3729"/>
    <cellStyle name="Normal 2 5 28 2 2" xfId="3730"/>
    <cellStyle name="Normal 2 5 28 3" xfId="3731"/>
    <cellStyle name="Normal 2 5 29" xfId="3732"/>
    <cellStyle name="Normal 2 5 29 2" xfId="3733"/>
    <cellStyle name="Normal 2 5 29 2 2" xfId="3734"/>
    <cellStyle name="Normal 2 5 29 3" xfId="3735"/>
    <cellStyle name="Normal 2 5 3" xfId="3736"/>
    <cellStyle name="Normal 2 5 3 2" xfId="3737"/>
    <cellStyle name="Normal 2 5 3 2 2" xfId="3738"/>
    <cellStyle name="Normal 2 5 3 3" xfId="3739"/>
    <cellStyle name="Normal 2 5 30" xfId="3740"/>
    <cellStyle name="Normal 2 5 30 2" xfId="3741"/>
    <cellStyle name="Normal 2 5 30 2 2" xfId="3742"/>
    <cellStyle name="Normal 2 5 30 3" xfId="3743"/>
    <cellStyle name="Normal 2 5 31" xfId="3744"/>
    <cellStyle name="Normal 2 5 31 2" xfId="3745"/>
    <cellStyle name="Normal 2 5 31 2 2" xfId="3746"/>
    <cellStyle name="Normal 2 5 31 3" xfId="3747"/>
    <cellStyle name="Normal 2 5 32" xfId="3748"/>
    <cellStyle name="Normal 2 5 32 2" xfId="3749"/>
    <cellStyle name="Normal 2 5 32 2 2" xfId="3750"/>
    <cellStyle name="Normal 2 5 32 3" xfId="3751"/>
    <cellStyle name="Normal 2 5 33" xfId="3752"/>
    <cellStyle name="Normal 2 5 33 2" xfId="3753"/>
    <cellStyle name="Normal 2 5 33 2 2" xfId="3754"/>
    <cellStyle name="Normal 2 5 33 3" xfId="3755"/>
    <cellStyle name="Normal 2 5 34" xfId="3756"/>
    <cellStyle name="Normal 2 5 34 2" xfId="3757"/>
    <cellStyle name="Normal 2 5 34 2 2" xfId="3758"/>
    <cellStyle name="Normal 2 5 34 3" xfId="3759"/>
    <cellStyle name="Normal 2 5 35" xfId="3760"/>
    <cellStyle name="Normal 2 5 35 2" xfId="3761"/>
    <cellStyle name="Normal 2 5 35 2 2" xfId="3762"/>
    <cellStyle name="Normal 2 5 35 3" xfId="3763"/>
    <cellStyle name="Normal 2 5 36" xfId="3764"/>
    <cellStyle name="Normal 2 5 36 2" xfId="3765"/>
    <cellStyle name="Normal 2 5 36 2 2" xfId="3766"/>
    <cellStyle name="Normal 2 5 36 3" xfId="3767"/>
    <cellStyle name="Normal 2 5 37" xfId="3768"/>
    <cellStyle name="Normal 2 5 37 2" xfId="3769"/>
    <cellStyle name="Normal 2 5 37 2 2" xfId="3770"/>
    <cellStyle name="Normal 2 5 37 3" xfId="3771"/>
    <cellStyle name="Normal 2 5 38" xfId="3772"/>
    <cellStyle name="Normal 2 5 38 2" xfId="3773"/>
    <cellStyle name="Normal 2 5 38 2 2" xfId="3774"/>
    <cellStyle name="Normal 2 5 38 3" xfId="3775"/>
    <cellStyle name="Normal 2 5 39" xfId="3776"/>
    <cellStyle name="Normal 2 5 39 2" xfId="3777"/>
    <cellStyle name="Normal 2 5 39 2 2" xfId="3778"/>
    <cellStyle name="Normal 2 5 39 3" xfId="3779"/>
    <cellStyle name="Normal 2 5 4" xfId="3780"/>
    <cellStyle name="Normal 2 5 4 2" xfId="3781"/>
    <cellStyle name="Normal 2 5 4 2 2" xfId="3782"/>
    <cellStyle name="Normal 2 5 4 3" xfId="3783"/>
    <cellStyle name="Normal 2 5 40" xfId="3784"/>
    <cellStyle name="Normal 2 5 40 2" xfId="3785"/>
    <cellStyle name="Normal 2 5 40 2 2" xfId="3786"/>
    <cellStyle name="Normal 2 5 40 3" xfId="3787"/>
    <cellStyle name="Normal 2 5 41" xfId="3788"/>
    <cellStyle name="Normal 2 5 41 2" xfId="3789"/>
    <cellStyle name="Normal 2 5 41 2 2" xfId="3790"/>
    <cellStyle name="Normal 2 5 41 3" xfId="3791"/>
    <cellStyle name="Normal 2 5 42" xfId="3792"/>
    <cellStyle name="Normal 2 5 42 2" xfId="3793"/>
    <cellStyle name="Normal 2 5 42 2 2" xfId="3794"/>
    <cellStyle name="Normal 2 5 42 3" xfId="3795"/>
    <cellStyle name="Normal 2 5 43" xfId="3796"/>
    <cellStyle name="Normal 2 5 43 2" xfId="3797"/>
    <cellStyle name="Normal 2 5 43 2 2" xfId="3798"/>
    <cellStyle name="Normal 2 5 43 3" xfId="3799"/>
    <cellStyle name="Normal 2 5 44" xfId="3800"/>
    <cellStyle name="Normal 2 5 44 2" xfId="3801"/>
    <cellStyle name="Normal 2 5 44 2 2" xfId="3802"/>
    <cellStyle name="Normal 2 5 44 3" xfId="3803"/>
    <cellStyle name="Normal 2 5 45" xfId="3804"/>
    <cellStyle name="Normal 2 5 45 2" xfId="3805"/>
    <cellStyle name="Normal 2 5 45 2 2" xfId="3806"/>
    <cellStyle name="Normal 2 5 45 3" xfId="3807"/>
    <cellStyle name="Normal 2 5 46" xfId="3808"/>
    <cellStyle name="Normal 2 5 46 2" xfId="3809"/>
    <cellStyle name="Normal 2 5 46 2 2" xfId="3810"/>
    <cellStyle name="Normal 2 5 46 3" xfId="3811"/>
    <cellStyle name="Normal 2 5 47" xfId="3812"/>
    <cellStyle name="Normal 2 5 47 2" xfId="3813"/>
    <cellStyle name="Normal 2 5 47 2 2" xfId="3814"/>
    <cellStyle name="Normal 2 5 47 3" xfId="3815"/>
    <cellStyle name="Normal 2 5 48" xfId="3816"/>
    <cellStyle name="Normal 2 5 48 2" xfId="3817"/>
    <cellStyle name="Normal 2 5 48 2 2" xfId="3818"/>
    <cellStyle name="Normal 2 5 48 3" xfId="3819"/>
    <cellStyle name="Normal 2 5 49" xfId="3820"/>
    <cellStyle name="Normal 2 5 49 2" xfId="3821"/>
    <cellStyle name="Normal 2 5 49 2 2" xfId="3822"/>
    <cellStyle name="Normal 2 5 49 3" xfId="3823"/>
    <cellStyle name="Normal 2 5 5" xfId="3824"/>
    <cellStyle name="Normal 2 5 5 2" xfId="3825"/>
    <cellStyle name="Normal 2 5 5 2 2" xfId="3826"/>
    <cellStyle name="Normal 2 5 5 3" xfId="3827"/>
    <cellStyle name="Normal 2 5 50" xfId="3828"/>
    <cellStyle name="Normal 2 5 50 2" xfId="3829"/>
    <cellStyle name="Normal 2 5 50 2 2" xfId="3830"/>
    <cellStyle name="Normal 2 5 50 3" xfId="3831"/>
    <cellStyle name="Normal 2 5 51" xfId="3832"/>
    <cellStyle name="Normal 2 5 51 2" xfId="3833"/>
    <cellStyle name="Normal 2 5 51 2 2" xfId="3834"/>
    <cellStyle name="Normal 2 5 51 3" xfId="3835"/>
    <cellStyle name="Normal 2 5 52" xfId="3836"/>
    <cellStyle name="Normal 2 5 52 2" xfId="3837"/>
    <cellStyle name="Normal 2 5 52 2 2" xfId="3838"/>
    <cellStyle name="Normal 2 5 52 3" xfId="3839"/>
    <cellStyle name="Normal 2 5 53" xfId="3840"/>
    <cellStyle name="Normal 2 5 53 2" xfId="3841"/>
    <cellStyle name="Normal 2 5 53 2 2" xfId="3842"/>
    <cellStyle name="Normal 2 5 53 3" xfId="3843"/>
    <cellStyle name="Normal 2 5 54" xfId="3844"/>
    <cellStyle name="Normal 2 5 54 2" xfId="3845"/>
    <cellStyle name="Normal 2 5 54 2 2" xfId="3846"/>
    <cellStyle name="Normal 2 5 54 3" xfId="3847"/>
    <cellStyle name="Normal 2 5 55" xfId="3848"/>
    <cellStyle name="Normal 2 5 55 2" xfId="3849"/>
    <cellStyle name="Normal 2 5 55 2 2" xfId="3850"/>
    <cellStyle name="Normal 2 5 55 3" xfId="3851"/>
    <cellStyle name="Normal 2 5 56" xfId="3852"/>
    <cellStyle name="Normal 2 5 56 2" xfId="3853"/>
    <cellStyle name="Normal 2 5 56 2 2" xfId="3854"/>
    <cellStyle name="Normal 2 5 56 3" xfId="3855"/>
    <cellStyle name="Normal 2 5 57" xfId="3856"/>
    <cellStyle name="Normal 2 5 57 2" xfId="3857"/>
    <cellStyle name="Normal 2 5 57 2 2" xfId="3858"/>
    <cellStyle name="Normal 2 5 57 3" xfId="3859"/>
    <cellStyle name="Normal 2 5 58" xfId="3860"/>
    <cellStyle name="Normal 2 5 58 2" xfId="3861"/>
    <cellStyle name="Normal 2 5 58 2 2" xfId="3862"/>
    <cellStyle name="Normal 2 5 58 3" xfId="3863"/>
    <cellStyle name="Normal 2 5 59" xfId="3864"/>
    <cellStyle name="Normal 2 5 59 2" xfId="3865"/>
    <cellStyle name="Normal 2 5 59 2 2" xfId="3866"/>
    <cellStyle name="Normal 2 5 59 3" xfId="3867"/>
    <cellStyle name="Normal 2 5 6" xfId="3868"/>
    <cellStyle name="Normal 2 5 6 2" xfId="3869"/>
    <cellStyle name="Normal 2 5 6 2 2" xfId="3870"/>
    <cellStyle name="Normal 2 5 6 3" xfId="3871"/>
    <cellStyle name="Normal 2 5 60" xfId="3872"/>
    <cellStyle name="Normal 2 5 60 2" xfId="3873"/>
    <cellStyle name="Normal 2 5 60 2 2" xfId="3874"/>
    <cellStyle name="Normal 2 5 60 3" xfId="3875"/>
    <cellStyle name="Normal 2 5 61" xfId="3876"/>
    <cellStyle name="Normal 2 5 61 2" xfId="3877"/>
    <cellStyle name="Normal 2 5 61 2 2" xfId="3878"/>
    <cellStyle name="Normal 2 5 61 3" xfId="3879"/>
    <cellStyle name="Normal 2 5 62" xfId="3880"/>
    <cellStyle name="Normal 2 5 62 2" xfId="3881"/>
    <cellStyle name="Normal 2 5 62 2 2" xfId="3882"/>
    <cellStyle name="Normal 2 5 62 3" xfId="3883"/>
    <cellStyle name="Normal 2 5 63" xfId="3884"/>
    <cellStyle name="Normal 2 5 63 2" xfId="3885"/>
    <cellStyle name="Normal 2 5 63 2 2" xfId="3886"/>
    <cellStyle name="Normal 2 5 63 3" xfId="3887"/>
    <cellStyle name="Normal 2 5 64" xfId="3888"/>
    <cellStyle name="Normal 2 5 64 2" xfId="3889"/>
    <cellStyle name="Normal 2 5 64 2 2" xfId="3890"/>
    <cellStyle name="Normal 2 5 64 3" xfId="3891"/>
    <cellStyle name="Normal 2 5 65" xfId="3892"/>
    <cellStyle name="Normal 2 5 65 2" xfId="3893"/>
    <cellStyle name="Normal 2 5 65 2 2" xfId="3894"/>
    <cellStyle name="Normal 2 5 65 3" xfId="3895"/>
    <cellStyle name="Normal 2 5 66" xfId="3896"/>
    <cellStyle name="Normal 2 5 66 2" xfId="3897"/>
    <cellStyle name="Normal 2 5 66 2 2" xfId="3898"/>
    <cellStyle name="Normal 2 5 66 3" xfId="3899"/>
    <cellStyle name="Normal 2 5 67" xfId="3900"/>
    <cellStyle name="Normal 2 5 67 2" xfId="3901"/>
    <cellStyle name="Normal 2 5 67 2 2" xfId="3902"/>
    <cellStyle name="Normal 2 5 67 3" xfId="3903"/>
    <cellStyle name="Normal 2 5 68" xfId="3904"/>
    <cellStyle name="Normal 2 5 68 2" xfId="3905"/>
    <cellStyle name="Normal 2 5 68 2 2" xfId="3906"/>
    <cellStyle name="Normal 2 5 68 3" xfId="3907"/>
    <cellStyle name="Normal 2 5 69" xfId="3908"/>
    <cellStyle name="Normal 2 5 69 2" xfId="3909"/>
    <cellStyle name="Normal 2 5 69 2 2" xfId="3910"/>
    <cellStyle name="Normal 2 5 69 3" xfId="3911"/>
    <cellStyle name="Normal 2 5 7" xfId="3912"/>
    <cellStyle name="Normal 2 5 7 2" xfId="3913"/>
    <cellStyle name="Normal 2 5 7 2 2" xfId="3914"/>
    <cellStyle name="Normal 2 5 7 3" xfId="3915"/>
    <cellStyle name="Normal 2 5 70" xfId="3916"/>
    <cellStyle name="Normal 2 5 70 2" xfId="3917"/>
    <cellStyle name="Normal 2 5 70 2 2" xfId="3918"/>
    <cellStyle name="Normal 2 5 70 3" xfId="3919"/>
    <cellStyle name="Normal 2 5 71" xfId="3920"/>
    <cellStyle name="Normal 2 5 71 2" xfId="3921"/>
    <cellStyle name="Normal 2 5 71 2 2" xfId="3922"/>
    <cellStyle name="Normal 2 5 71 3" xfId="3923"/>
    <cellStyle name="Normal 2 5 72" xfId="3924"/>
    <cellStyle name="Normal 2 5 72 2" xfId="3925"/>
    <cellStyle name="Normal 2 5 72 2 2" xfId="3926"/>
    <cellStyle name="Normal 2 5 72 3" xfId="3927"/>
    <cellStyle name="Normal 2 5 73" xfId="3928"/>
    <cellStyle name="Normal 2 5 73 2" xfId="3929"/>
    <cellStyle name="Normal 2 5 73 2 2" xfId="3930"/>
    <cellStyle name="Normal 2 5 73 3" xfId="3931"/>
    <cellStyle name="Normal 2 5 74" xfId="3932"/>
    <cellStyle name="Normal 2 5 74 2" xfId="3933"/>
    <cellStyle name="Normal 2 5 74 2 2" xfId="3934"/>
    <cellStyle name="Normal 2 5 74 3" xfId="3935"/>
    <cellStyle name="Normal 2 5 75" xfId="3936"/>
    <cellStyle name="Normal 2 5 75 2" xfId="3937"/>
    <cellStyle name="Normal 2 5 75 2 2" xfId="3938"/>
    <cellStyle name="Normal 2 5 75 3" xfId="3939"/>
    <cellStyle name="Normal 2 5 76" xfId="3940"/>
    <cellStyle name="Normal 2 5 76 2" xfId="3941"/>
    <cellStyle name="Normal 2 5 76 2 2" xfId="3942"/>
    <cellStyle name="Normal 2 5 76 3" xfId="3943"/>
    <cellStyle name="Normal 2 5 77" xfId="3944"/>
    <cellStyle name="Normal 2 5 77 2" xfId="3945"/>
    <cellStyle name="Normal 2 5 77 2 2" xfId="3946"/>
    <cellStyle name="Normal 2 5 77 3" xfId="3947"/>
    <cellStyle name="Normal 2 5 78" xfId="3948"/>
    <cellStyle name="Normal 2 5 78 2" xfId="3949"/>
    <cellStyle name="Normal 2 5 78 2 2" xfId="3950"/>
    <cellStyle name="Normal 2 5 78 3" xfId="3951"/>
    <cellStyle name="Normal 2 5 79" xfId="3952"/>
    <cellStyle name="Normal 2 5 79 2" xfId="3953"/>
    <cellStyle name="Normal 2 5 79 2 2" xfId="3954"/>
    <cellStyle name="Normal 2 5 79 3" xfId="3955"/>
    <cellStyle name="Normal 2 5 8" xfId="3956"/>
    <cellStyle name="Normal 2 5 8 2" xfId="3957"/>
    <cellStyle name="Normal 2 5 8 2 2" xfId="3958"/>
    <cellStyle name="Normal 2 5 8 3" xfId="3959"/>
    <cellStyle name="Normal 2 5 80" xfId="3960"/>
    <cellStyle name="Normal 2 5 80 2" xfId="3961"/>
    <cellStyle name="Normal 2 5 80 2 2" xfId="3962"/>
    <cellStyle name="Normal 2 5 80 3" xfId="3963"/>
    <cellStyle name="Normal 2 5 81" xfId="3964"/>
    <cellStyle name="Normal 2 5 81 2" xfId="3965"/>
    <cellStyle name="Normal 2 5 81 2 2" xfId="3966"/>
    <cellStyle name="Normal 2 5 81 3" xfId="3967"/>
    <cellStyle name="Normal 2 5 82" xfId="3968"/>
    <cellStyle name="Normal 2 5 82 2" xfId="3969"/>
    <cellStyle name="Normal 2 5 82 2 2" xfId="3970"/>
    <cellStyle name="Normal 2 5 82 3" xfId="3971"/>
    <cellStyle name="Normal 2 5 83" xfId="3972"/>
    <cellStyle name="Normal 2 5 83 2" xfId="3973"/>
    <cellStyle name="Normal 2 5 83 2 2" xfId="3974"/>
    <cellStyle name="Normal 2 5 83 3" xfId="3975"/>
    <cellStyle name="Normal 2 5 84" xfId="3976"/>
    <cellStyle name="Normal 2 5 84 2" xfId="3977"/>
    <cellStyle name="Normal 2 5 84 2 2" xfId="3978"/>
    <cellStyle name="Normal 2 5 84 3" xfId="3979"/>
    <cellStyle name="Normal 2 5 85" xfId="3980"/>
    <cellStyle name="Normal 2 5 85 2" xfId="3981"/>
    <cellStyle name="Normal 2 5 85 2 2" xfId="3982"/>
    <cellStyle name="Normal 2 5 85 3" xfId="3983"/>
    <cellStyle name="Normal 2 5 86" xfId="3984"/>
    <cellStyle name="Normal 2 5 86 2" xfId="3985"/>
    <cellStyle name="Normal 2 5 86 2 2" xfId="3986"/>
    <cellStyle name="Normal 2 5 86 3" xfId="3987"/>
    <cellStyle name="Normal 2 5 87" xfId="3988"/>
    <cellStyle name="Normal 2 5 87 2" xfId="3989"/>
    <cellStyle name="Normal 2 5 87 2 2" xfId="3990"/>
    <cellStyle name="Normal 2 5 87 3" xfId="3991"/>
    <cellStyle name="Normal 2 5 88" xfId="3992"/>
    <cellStyle name="Normal 2 5 89" xfId="3993"/>
    <cellStyle name="Normal 2 5 89 2" xfId="3994"/>
    <cellStyle name="Normal 2 5 9" xfId="3995"/>
    <cellStyle name="Normal 2 5 9 2" xfId="3996"/>
    <cellStyle name="Normal 2 5 9 2 2" xfId="3997"/>
    <cellStyle name="Normal 2 5 9 3" xfId="3998"/>
    <cellStyle name="Normal 2 5 90" xfId="3999"/>
    <cellStyle name="Normal 2 5 91" xfId="9139"/>
    <cellStyle name="Normal 2 5_DEER 032008 Cost Summary Delivery - Rev 4 (2)" xfId="4000"/>
    <cellStyle name="Normal 2 50" xfId="4001"/>
    <cellStyle name="Normal 2 50 2" xfId="4002"/>
    <cellStyle name="Normal 2 50 2 2" xfId="4003"/>
    <cellStyle name="Normal 2 50 3" xfId="4004"/>
    <cellStyle name="Normal 2 51" xfId="4005"/>
    <cellStyle name="Normal 2 51 2" xfId="4006"/>
    <cellStyle name="Normal 2 51 2 2" xfId="4007"/>
    <cellStyle name="Normal 2 51 3" xfId="4008"/>
    <cellStyle name="Normal 2 52" xfId="4009"/>
    <cellStyle name="Normal 2 52 2" xfId="4010"/>
    <cellStyle name="Normal 2 52 2 2" xfId="4011"/>
    <cellStyle name="Normal 2 52 3" xfId="4012"/>
    <cellStyle name="Normal 2 53" xfId="4013"/>
    <cellStyle name="Normal 2 53 2" xfId="4014"/>
    <cellStyle name="Normal 2 53 2 2" xfId="4015"/>
    <cellStyle name="Normal 2 53 3" xfId="4016"/>
    <cellStyle name="Normal 2 54" xfId="4017"/>
    <cellStyle name="Normal 2 54 2" xfId="4018"/>
    <cellStyle name="Normal 2 54 2 2" xfId="4019"/>
    <cellStyle name="Normal 2 54 3" xfId="4020"/>
    <cellStyle name="Normal 2 55" xfId="4021"/>
    <cellStyle name="Normal 2 55 2" xfId="4022"/>
    <cellStyle name="Normal 2 55 2 2" xfId="4023"/>
    <cellStyle name="Normal 2 55 3" xfId="4024"/>
    <cellStyle name="Normal 2 56" xfId="4025"/>
    <cellStyle name="Normal 2 56 2" xfId="4026"/>
    <cellStyle name="Normal 2 56 2 2" xfId="4027"/>
    <cellStyle name="Normal 2 56 3" xfId="4028"/>
    <cellStyle name="Normal 2 57" xfId="4029"/>
    <cellStyle name="Normal 2 57 2" xfId="4030"/>
    <cellStyle name="Normal 2 57 2 2" xfId="4031"/>
    <cellStyle name="Normal 2 57 3" xfId="4032"/>
    <cellStyle name="Normal 2 58" xfId="4033"/>
    <cellStyle name="Normal 2 58 2" xfId="4034"/>
    <cellStyle name="Normal 2 58 2 2" xfId="4035"/>
    <cellStyle name="Normal 2 58 3" xfId="4036"/>
    <cellStyle name="Normal 2 59" xfId="4037"/>
    <cellStyle name="Normal 2 59 2" xfId="4038"/>
    <cellStyle name="Normal 2 59 2 2" xfId="4039"/>
    <cellStyle name="Normal 2 59 3" xfId="4040"/>
    <cellStyle name="Normal 2 6" xfId="173"/>
    <cellStyle name="Normal 2 6 2" xfId="22"/>
    <cellStyle name="Normal 2 6 2 2" xfId="174"/>
    <cellStyle name="Normal 2 6 2 2 2" xfId="8827"/>
    <cellStyle name="Normal 2 6 2 2 3" xfId="8828"/>
    <cellStyle name="Normal 2 6 2 3" xfId="175"/>
    <cellStyle name="Normal 2 6 2 3 2" xfId="8829"/>
    <cellStyle name="Normal 2 6 2 4" xfId="8830"/>
    <cellStyle name="Normal 2 6 2 5" xfId="8831"/>
    <cellStyle name="Normal 2 6 3" xfId="176"/>
    <cellStyle name="Normal 2 6 3 2" xfId="177"/>
    <cellStyle name="Normal 2 6 3 2 2" xfId="8832"/>
    <cellStyle name="Normal 2 6 3 3" xfId="8833"/>
    <cellStyle name="Normal 2 6 3 3 2" xfId="8834"/>
    <cellStyle name="Normal 2 6 3 4" xfId="8835"/>
    <cellStyle name="Normal 2 6 4" xfId="178"/>
    <cellStyle name="Normal 2 6 4 2" xfId="179"/>
    <cellStyle name="Normal 2 6 5" xfId="180"/>
    <cellStyle name="Normal 2 6 6" xfId="181"/>
    <cellStyle name="Normal 2 60" xfId="4041"/>
    <cellStyle name="Normal 2 60 2" xfId="4042"/>
    <cellStyle name="Normal 2 60 2 2" xfId="4043"/>
    <cellStyle name="Normal 2 60 3" xfId="4044"/>
    <cellStyle name="Normal 2 61" xfId="4045"/>
    <cellStyle name="Normal 2 61 2" xfId="4046"/>
    <cellStyle name="Normal 2 61 2 2" xfId="4047"/>
    <cellStyle name="Normal 2 61 3" xfId="4048"/>
    <cellStyle name="Normal 2 62" xfId="4049"/>
    <cellStyle name="Normal 2 62 2" xfId="4050"/>
    <cellStyle name="Normal 2 62 2 2" xfId="4051"/>
    <cellStyle name="Normal 2 62 3" xfId="4052"/>
    <cellStyle name="Normal 2 63" xfId="4053"/>
    <cellStyle name="Normal 2 63 2" xfId="4054"/>
    <cellStyle name="Normal 2 63 2 2" xfId="4055"/>
    <cellStyle name="Normal 2 63 3" xfId="4056"/>
    <cellStyle name="Normal 2 64" xfId="4057"/>
    <cellStyle name="Normal 2 64 2" xfId="4058"/>
    <cellStyle name="Normal 2 64 2 2" xfId="4059"/>
    <cellStyle name="Normal 2 64 3" xfId="4060"/>
    <cellStyle name="Normal 2 65" xfId="4061"/>
    <cellStyle name="Normal 2 65 2" xfId="4062"/>
    <cellStyle name="Normal 2 65 2 2" xfId="4063"/>
    <cellStyle name="Normal 2 65 3" xfId="4064"/>
    <cellStyle name="Normal 2 66" xfId="4065"/>
    <cellStyle name="Normal 2 66 2" xfId="4066"/>
    <cellStyle name="Normal 2 66 2 2" xfId="4067"/>
    <cellStyle name="Normal 2 66 3" xfId="4068"/>
    <cellStyle name="Normal 2 67" xfId="4069"/>
    <cellStyle name="Normal 2 67 2" xfId="4070"/>
    <cellStyle name="Normal 2 67 2 2" xfId="4071"/>
    <cellStyle name="Normal 2 67 3" xfId="4072"/>
    <cellStyle name="Normal 2 68" xfId="4073"/>
    <cellStyle name="Normal 2 68 2" xfId="4074"/>
    <cellStyle name="Normal 2 68 2 2" xfId="4075"/>
    <cellStyle name="Normal 2 68 3" xfId="4076"/>
    <cellStyle name="Normal 2 69" xfId="4077"/>
    <cellStyle name="Normal 2 69 2" xfId="4078"/>
    <cellStyle name="Normal 2 69 2 2" xfId="4079"/>
    <cellStyle name="Normal 2 69 3" xfId="4080"/>
    <cellStyle name="Normal 2 7" xfId="182"/>
    <cellStyle name="Normal 2 7 2" xfId="183"/>
    <cellStyle name="Normal 2 7 2 2" xfId="184"/>
    <cellStyle name="Normal 2 7 2 2 2" xfId="8836"/>
    <cellStyle name="Normal 2 7 2 3" xfId="8837"/>
    <cellStyle name="Normal 2 7 2 3 2" xfId="8838"/>
    <cellStyle name="Normal 2 7 2 4" xfId="8839"/>
    <cellStyle name="Normal 2 7 3" xfId="185"/>
    <cellStyle name="Normal 2 7 4" xfId="4081"/>
    <cellStyle name="Normal 2 7 5" xfId="4082"/>
    <cellStyle name="Normal 2 70" xfId="4083"/>
    <cellStyle name="Normal 2 70 2" xfId="4084"/>
    <cellStyle name="Normal 2 70 2 2" xfId="4085"/>
    <cellStyle name="Normal 2 70 3" xfId="4086"/>
    <cellStyle name="Normal 2 71" xfId="4087"/>
    <cellStyle name="Normal 2 71 2" xfId="4088"/>
    <cellStyle name="Normal 2 71 2 2" xfId="4089"/>
    <cellStyle name="Normal 2 71 3" xfId="4090"/>
    <cellStyle name="Normal 2 72" xfId="4091"/>
    <cellStyle name="Normal 2 72 2" xfId="4092"/>
    <cellStyle name="Normal 2 72 2 2" xfId="4093"/>
    <cellStyle name="Normal 2 72 3" xfId="4094"/>
    <cellStyle name="Normal 2 73" xfId="4095"/>
    <cellStyle name="Normal 2 73 2" xfId="4096"/>
    <cellStyle name="Normal 2 73 2 2" xfId="4097"/>
    <cellStyle name="Normal 2 73 3" xfId="4098"/>
    <cellStyle name="Normal 2 74" xfId="4099"/>
    <cellStyle name="Normal 2 74 2" xfId="4100"/>
    <cellStyle name="Normal 2 74 2 2" xfId="4101"/>
    <cellStyle name="Normal 2 74 3" xfId="4102"/>
    <cellStyle name="Normal 2 75" xfId="4103"/>
    <cellStyle name="Normal 2 75 2" xfId="4104"/>
    <cellStyle name="Normal 2 75 2 2" xfId="4105"/>
    <cellStyle name="Normal 2 75 3" xfId="4106"/>
    <cellStyle name="Normal 2 76" xfId="4107"/>
    <cellStyle name="Normal 2 76 2" xfId="4108"/>
    <cellStyle name="Normal 2 76 2 2" xfId="4109"/>
    <cellStyle name="Normal 2 76 3" xfId="4110"/>
    <cellStyle name="Normal 2 77" xfId="4111"/>
    <cellStyle name="Normal 2 77 2" xfId="4112"/>
    <cellStyle name="Normal 2 77 2 2" xfId="4113"/>
    <cellStyle name="Normal 2 77 3" xfId="4114"/>
    <cellStyle name="Normal 2 78" xfId="4115"/>
    <cellStyle name="Normal 2 78 2" xfId="4116"/>
    <cellStyle name="Normal 2 78 2 2" xfId="4117"/>
    <cellStyle name="Normal 2 78 3" xfId="4118"/>
    <cellStyle name="Normal 2 79" xfId="4119"/>
    <cellStyle name="Normal 2 79 2" xfId="4120"/>
    <cellStyle name="Normal 2 79 2 2" xfId="4121"/>
    <cellStyle name="Normal 2 79 3" xfId="4122"/>
    <cellStyle name="Normal 2 8" xfId="186"/>
    <cellStyle name="Normal 2 8 10" xfId="4123"/>
    <cellStyle name="Normal 2 8 10 2" xfId="4124"/>
    <cellStyle name="Normal 2 8 10 2 2" xfId="4125"/>
    <cellStyle name="Normal 2 8 10 3" xfId="4126"/>
    <cellStyle name="Normal 2 8 11" xfId="4127"/>
    <cellStyle name="Normal 2 8 11 2" xfId="4128"/>
    <cellStyle name="Normal 2 8 11 2 2" xfId="4129"/>
    <cellStyle name="Normal 2 8 11 3" xfId="4130"/>
    <cellStyle name="Normal 2 8 12" xfId="4131"/>
    <cellStyle name="Normal 2 8 12 2" xfId="4132"/>
    <cellStyle name="Normal 2 8 12 2 2" xfId="4133"/>
    <cellStyle name="Normal 2 8 12 3" xfId="4134"/>
    <cellStyle name="Normal 2 8 13" xfId="4135"/>
    <cellStyle name="Normal 2 8 13 2" xfId="4136"/>
    <cellStyle name="Normal 2 8 13 2 2" xfId="4137"/>
    <cellStyle name="Normal 2 8 13 3" xfId="4138"/>
    <cellStyle name="Normal 2 8 14" xfId="4139"/>
    <cellStyle name="Normal 2 8 14 2" xfId="4140"/>
    <cellStyle name="Normal 2 8 14 2 2" xfId="4141"/>
    <cellStyle name="Normal 2 8 14 3" xfId="4142"/>
    <cellStyle name="Normal 2 8 15" xfId="4143"/>
    <cellStyle name="Normal 2 8 15 2" xfId="4144"/>
    <cellStyle name="Normal 2 8 15 2 2" xfId="4145"/>
    <cellStyle name="Normal 2 8 15 3" xfId="4146"/>
    <cellStyle name="Normal 2 8 16" xfId="4147"/>
    <cellStyle name="Normal 2 8 16 2" xfId="4148"/>
    <cellStyle name="Normal 2 8 16 2 2" xfId="4149"/>
    <cellStyle name="Normal 2 8 16 3" xfId="4150"/>
    <cellStyle name="Normal 2 8 17" xfId="4151"/>
    <cellStyle name="Normal 2 8 17 2" xfId="4152"/>
    <cellStyle name="Normal 2 8 17 2 2" xfId="4153"/>
    <cellStyle name="Normal 2 8 17 3" xfId="4154"/>
    <cellStyle name="Normal 2 8 18" xfId="4155"/>
    <cellStyle name="Normal 2 8 18 2" xfId="4156"/>
    <cellStyle name="Normal 2 8 18 2 2" xfId="4157"/>
    <cellStyle name="Normal 2 8 18 3" xfId="4158"/>
    <cellStyle name="Normal 2 8 19" xfId="4159"/>
    <cellStyle name="Normal 2 8 19 2" xfId="4160"/>
    <cellStyle name="Normal 2 8 19 2 2" xfId="4161"/>
    <cellStyle name="Normal 2 8 19 3" xfId="4162"/>
    <cellStyle name="Normal 2 8 2" xfId="4163"/>
    <cellStyle name="Normal 2 8 2 2" xfId="4164"/>
    <cellStyle name="Normal 2 8 2 2 2" xfId="4165"/>
    <cellStyle name="Normal 2 8 2 2 2 2" xfId="8841"/>
    <cellStyle name="Normal 2 8 2 2 3" xfId="8840"/>
    <cellStyle name="Normal 2 8 2 3" xfId="4166"/>
    <cellStyle name="Normal 2 8 2 3 2" xfId="8843"/>
    <cellStyle name="Normal 2 8 2 3 3" xfId="8842"/>
    <cellStyle name="Normal 2 8 2 4" xfId="8844"/>
    <cellStyle name="Normal 2 8 20" xfId="4167"/>
    <cellStyle name="Normal 2 8 20 2" xfId="4168"/>
    <cellStyle name="Normal 2 8 20 2 2" xfId="4169"/>
    <cellStyle name="Normal 2 8 20 3" xfId="4170"/>
    <cellStyle name="Normal 2 8 21" xfId="4171"/>
    <cellStyle name="Normal 2 8 21 2" xfId="4172"/>
    <cellStyle name="Normal 2 8 21 2 2" xfId="4173"/>
    <cellStyle name="Normal 2 8 21 3" xfId="4174"/>
    <cellStyle name="Normal 2 8 22" xfId="4175"/>
    <cellStyle name="Normal 2 8 22 2" xfId="4176"/>
    <cellStyle name="Normal 2 8 22 2 2" xfId="4177"/>
    <cellStyle name="Normal 2 8 22 3" xfId="4178"/>
    <cellStyle name="Normal 2 8 23" xfId="4179"/>
    <cellStyle name="Normal 2 8 23 2" xfId="4180"/>
    <cellStyle name="Normal 2 8 23 2 2" xfId="4181"/>
    <cellStyle name="Normal 2 8 23 3" xfId="4182"/>
    <cellStyle name="Normal 2 8 24" xfId="4183"/>
    <cellStyle name="Normal 2 8 24 2" xfId="4184"/>
    <cellStyle name="Normal 2 8 25" xfId="4185"/>
    <cellStyle name="Normal 2 8 3" xfId="4186"/>
    <cellStyle name="Normal 2 8 3 2" xfId="4187"/>
    <cellStyle name="Normal 2 8 3 2 2" xfId="4188"/>
    <cellStyle name="Normal 2 8 3 2 3" xfId="8846"/>
    <cellStyle name="Normal 2 8 3 3" xfId="4189"/>
    <cellStyle name="Normal 2 8 3 4" xfId="8845"/>
    <cellStyle name="Normal 2 8 4" xfId="4190"/>
    <cellStyle name="Normal 2 8 4 2" xfId="4191"/>
    <cellStyle name="Normal 2 8 4 2 2" xfId="4192"/>
    <cellStyle name="Normal 2 8 4 2 3" xfId="8848"/>
    <cellStyle name="Normal 2 8 4 3" xfId="4193"/>
    <cellStyle name="Normal 2 8 4 4" xfId="8847"/>
    <cellStyle name="Normal 2 8 5" xfId="4194"/>
    <cellStyle name="Normal 2 8 5 2" xfId="4195"/>
    <cellStyle name="Normal 2 8 5 2 2" xfId="4196"/>
    <cellStyle name="Normal 2 8 5 3" xfId="4197"/>
    <cellStyle name="Normal 2 8 5 4" xfId="8849"/>
    <cellStyle name="Normal 2 8 6" xfId="4198"/>
    <cellStyle name="Normal 2 8 6 2" xfId="4199"/>
    <cellStyle name="Normal 2 8 6 2 2" xfId="4200"/>
    <cellStyle name="Normal 2 8 6 3" xfId="4201"/>
    <cellStyle name="Normal 2 8 6 4" xfId="8850"/>
    <cellStyle name="Normal 2 8 7" xfId="4202"/>
    <cellStyle name="Normal 2 8 7 2" xfId="4203"/>
    <cellStyle name="Normal 2 8 7 2 2" xfId="4204"/>
    <cellStyle name="Normal 2 8 7 3" xfId="4205"/>
    <cellStyle name="Normal 2 8 8" xfId="4206"/>
    <cellStyle name="Normal 2 8 8 2" xfId="4207"/>
    <cellStyle name="Normal 2 8 8 2 2" xfId="4208"/>
    <cellStyle name="Normal 2 8 8 3" xfId="4209"/>
    <cellStyle name="Normal 2 8 9" xfId="4210"/>
    <cellStyle name="Normal 2 8 9 2" xfId="4211"/>
    <cellStyle name="Normal 2 8 9 2 2" xfId="4212"/>
    <cellStyle name="Normal 2 8 9 3" xfId="4213"/>
    <cellStyle name="Normal 2 80" xfId="4214"/>
    <cellStyle name="Normal 2 80 2" xfId="4215"/>
    <cellStyle name="Normal 2 80 2 2" xfId="4216"/>
    <cellStyle name="Normal 2 80 3" xfId="4217"/>
    <cellStyle name="Normal 2 81" xfId="4218"/>
    <cellStyle name="Normal 2 81 2" xfId="4219"/>
    <cellStyle name="Normal 2 81 2 2" xfId="4220"/>
    <cellStyle name="Normal 2 81 3" xfId="4221"/>
    <cellStyle name="Normal 2 82" xfId="4222"/>
    <cellStyle name="Normal 2 82 2" xfId="4223"/>
    <cellStyle name="Normal 2 82 2 2" xfId="4224"/>
    <cellStyle name="Normal 2 82 3" xfId="4225"/>
    <cellStyle name="Normal 2 83" xfId="4226"/>
    <cellStyle name="Normal 2 83 2" xfId="4227"/>
    <cellStyle name="Normal 2 83 2 2" xfId="4228"/>
    <cellStyle name="Normal 2 83 3" xfId="4229"/>
    <cellStyle name="Normal 2 84" xfId="4230"/>
    <cellStyle name="Normal 2 84 2" xfId="4231"/>
    <cellStyle name="Normal 2 84 2 2" xfId="4232"/>
    <cellStyle name="Normal 2 84 3" xfId="4233"/>
    <cellStyle name="Normal 2 85" xfId="4234"/>
    <cellStyle name="Normal 2 85 2" xfId="4235"/>
    <cellStyle name="Normal 2 85 2 2" xfId="4236"/>
    <cellStyle name="Normal 2 85 3" xfId="4237"/>
    <cellStyle name="Normal 2 86" xfId="4238"/>
    <cellStyle name="Normal 2 86 2" xfId="4239"/>
    <cellStyle name="Normal 2 86 2 2" xfId="4240"/>
    <cellStyle name="Normal 2 86 3" xfId="4241"/>
    <cellStyle name="Normal 2 87" xfId="4242"/>
    <cellStyle name="Normal 2 87 2" xfId="4243"/>
    <cellStyle name="Normal 2 87 2 2" xfId="4244"/>
    <cellStyle name="Normal 2 87 3" xfId="4245"/>
    <cellStyle name="Normal 2 88" xfId="4246"/>
    <cellStyle name="Normal 2 88 2" xfId="4247"/>
    <cellStyle name="Normal 2 88 2 2" xfId="4248"/>
    <cellStyle name="Normal 2 88 3" xfId="4249"/>
    <cellStyle name="Normal 2 89" xfId="4250"/>
    <cellStyle name="Normal 2 89 2" xfId="4251"/>
    <cellStyle name="Normal 2 89 2 2" xfId="4252"/>
    <cellStyle name="Normal 2 89 3" xfId="4253"/>
    <cellStyle name="Normal 2 9" xfId="187"/>
    <cellStyle name="Normal 2 9 10" xfId="4254"/>
    <cellStyle name="Normal 2 9 10 2" xfId="4255"/>
    <cellStyle name="Normal 2 9 10 2 2" xfId="4256"/>
    <cellStyle name="Normal 2 9 10 3" xfId="4257"/>
    <cellStyle name="Normal 2 9 11" xfId="4258"/>
    <cellStyle name="Normal 2 9 11 2" xfId="4259"/>
    <cellStyle name="Normal 2 9 11 2 2" xfId="4260"/>
    <cellStyle name="Normal 2 9 11 3" xfId="4261"/>
    <cellStyle name="Normal 2 9 12" xfId="4262"/>
    <cellStyle name="Normal 2 9 12 2" xfId="4263"/>
    <cellStyle name="Normal 2 9 12 2 2" xfId="4264"/>
    <cellStyle name="Normal 2 9 12 3" xfId="4265"/>
    <cellStyle name="Normal 2 9 13" xfId="4266"/>
    <cellStyle name="Normal 2 9 13 2" xfId="4267"/>
    <cellStyle name="Normal 2 9 13 2 2" xfId="4268"/>
    <cellStyle name="Normal 2 9 13 3" xfId="4269"/>
    <cellStyle name="Normal 2 9 14" xfId="4270"/>
    <cellStyle name="Normal 2 9 14 2" xfId="4271"/>
    <cellStyle name="Normal 2 9 14 2 2" xfId="4272"/>
    <cellStyle name="Normal 2 9 14 3" xfId="4273"/>
    <cellStyle name="Normal 2 9 15" xfId="4274"/>
    <cellStyle name="Normal 2 9 15 2" xfId="4275"/>
    <cellStyle name="Normal 2 9 15 2 2" xfId="4276"/>
    <cellStyle name="Normal 2 9 15 3" xfId="4277"/>
    <cellStyle name="Normal 2 9 16" xfId="4278"/>
    <cellStyle name="Normal 2 9 16 2" xfId="4279"/>
    <cellStyle name="Normal 2 9 16 2 2" xfId="4280"/>
    <cellStyle name="Normal 2 9 16 3" xfId="4281"/>
    <cellStyle name="Normal 2 9 17" xfId="4282"/>
    <cellStyle name="Normal 2 9 17 2" xfId="4283"/>
    <cellStyle name="Normal 2 9 17 2 2" xfId="4284"/>
    <cellStyle name="Normal 2 9 17 3" xfId="4285"/>
    <cellStyle name="Normal 2 9 18" xfId="4286"/>
    <cellStyle name="Normal 2 9 18 2" xfId="4287"/>
    <cellStyle name="Normal 2 9 18 2 2" xfId="4288"/>
    <cellStyle name="Normal 2 9 18 3" xfId="4289"/>
    <cellStyle name="Normal 2 9 19" xfId="4290"/>
    <cellStyle name="Normal 2 9 19 2" xfId="4291"/>
    <cellStyle name="Normal 2 9 19 2 2" xfId="4292"/>
    <cellStyle name="Normal 2 9 19 3" xfId="4293"/>
    <cellStyle name="Normal 2 9 2" xfId="4294"/>
    <cellStyle name="Normal 2 9 2 2" xfId="4295"/>
    <cellStyle name="Normal 2 9 2 2 2" xfId="4296"/>
    <cellStyle name="Normal 2 9 2 2 2 2" xfId="8852"/>
    <cellStyle name="Normal 2 9 2 2 3" xfId="8851"/>
    <cellStyle name="Normal 2 9 2 3" xfId="4297"/>
    <cellStyle name="Normal 2 9 2 3 2" xfId="8854"/>
    <cellStyle name="Normal 2 9 2 3 3" xfId="8853"/>
    <cellStyle name="Normal 2 9 2 4" xfId="8855"/>
    <cellStyle name="Normal 2 9 20" xfId="4298"/>
    <cellStyle name="Normal 2 9 20 2" xfId="4299"/>
    <cellStyle name="Normal 2 9 20 2 2" xfId="4300"/>
    <cellStyle name="Normal 2 9 20 3" xfId="4301"/>
    <cellStyle name="Normal 2 9 21" xfId="4302"/>
    <cellStyle name="Normal 2 9 21 2" xfId="4303"/>
    <cellStyle name="Normal 2 9 21 2 2" xfId="4304"/>
    <cellStyle name="Normal 2 9 21 3" xfId="4305"/>
    <cellStyle name="Normal 2 9 22" xfId="4306"/>
    <cellStyle name="Normal 2 9 22 2" xfId="4307"/>
    <cellStyle name="Normal 2 9 22 2 2" xfId="4308"/>
    <cellStyle name="Normal 2 9 22 3" xfId="4309"/>
    <cellStyle name="Normal 2 9 23" xfId="4310"/>
    <cellStyle name="Normal 2 9 23 2" xfId="4311"/>
    <cellStyle name="Normal 2 9 23 2 2" xfId="4312"/>
    <cellStyle name="Normal 2 9 23 3" xfId="4313"/>
    <cellStyle name="Normal 2 9 24" xfId="4314"/>
    <cellStyle name="Normal 2 9 24 2" xfId="4315"/>
    <cellStyle name="Normal 2 9 25" xfId="4316"/>
    <cellStyle name="Normal 2 9 3" xfId="4317"/>
    <cellStyle name="Normal 2 9 3 2" xfId="4318"/>
    <cellStyle name="Normal 2 9 3 2 2" xfId="4319"/>
    <cellStyle name="Normal 2 9 3 2 3" xfId="8857"/>
    <cellStyle name="Normal 2 9 3 3" xfId="4320"/>
    <cellStyle name="Normal 2 9 3 4" xfId="8856"/>
    <cellStyle name="Normal 2 9 4" xfId="4321"/>
    <cellStyle name="Normal 2 9 4 2" xfId="4322"/>
    <cellStyle name="Normal 2 9 4 2 2" xfId="4323"/>
    <cellStyle name="Normal 2 9 4 2 3" xfId="8859"/>
    <cellStyle name="Normal 2 9 4 3" xfId="4324"/>
    <cellStyle name="Normal 2 9 4 4" xfId="8858"/>
    <cellStyle name="Normal 2 9 5" xfId="4325"/>
    <cellStyle name="Normal 2 9 5 2" xfId="4326"/>
    <cellStyle name="Normal 2 9 5 2 2" xfId="4327"/>
    <cellStyle name="Normal 2 9 5 3" xfId="4328"/>
    <cellStyle name="Normal 2 9 5 4" xfId="8860"/>
    <cellStyle name="Normal 2 9 6" xfId="4329"/>
    <cellStyle name="Normal 2 9 6 2" xfId="4330"/>
    <cellStyle name="Normal 2 9 6 2 2" xfId="4331"/>
    <cellStyle name="Normal 2 9 6 3" xfId="4332"/>
    <cellStyle name="Normal 2 9 7" xfId="4333"/>
    <cellStyle name="Normal 2 9 7 2" xfId="4334"/>
    <cellStyle name="Normal 2 9 7 2 2" xfId="4335"/>
    <cellStyle name="Normal 2 9 7 3" xfId="4336"/>
    <cellStyle name="Normal 2 9 8" xfId="4337"/>
    <cellStyle name="Normal 2 9 8 2" xfId="4338"/>
    <cellStyle name="Normal 2 9 8 2 2" xfId="4339"/>
    <cellStyle name="Normal 2 9 8 3" xfId="4340"/>
    <cellStyle name="Normal 2 9 9" xfId="4341"/>
    <cellStyle name="Normal 2 9 9 2" xfId="4342"/>
    <cellStyle name="Normal 2 9 9 2 2" xfId="4343"/>
    <cellStyle name="Normal 2 9 9 3" xfId="4344"/>
    <cellStyle name="Normal 2 90" xfId="4345"/>
    <cellStyle name="Normal 2 90 2" xfId="4346"/>
    <cellStyle name="Normal 2 90 2 2" xfId="4347"/>
    <cellStyle name="Normal 2 90 3" xfId="4348"/>
    <cellStyle name="Normal 2 91" xfId="4349"/>
    <cellStyle name="Normal 2 91 2" xfId="4350"/>
    <cellStyle name="Normal 2 91 2 2" xfId="4351"/>
    <cellStyle name="Normal 2 91 3" xfId="4352"/>
    <cellStyle name="Normal 2 92" xfId="4353"/>
    <cellStyle name="Normal 2 92 2" xfId="4354"/>
    <cellStyle name="Normal 2 92 2 2" xfId="4355"/>
    <cellStyle name="Normal 2 92 3" xfId="4356"/>
    <cellStyle name="Normal 2 93" xfId="4357"/>
    <cellStyle name="Normal 2 93 2" xfId="4358"/>
    <cellStyle name="Normal 2 93 2 2" xfId="4359"/>
    <cellStyle name="Normal 2 93 3" xfId="4360"/>
    <cellStyle name="Normal 2 94" xfId="4361"/>
    <cellStyle name="Normal 2 94 2" xfId="4362"/>
    <cellStyle name="Normal 2 94 3" xfId="4363"/>
    <cellStyle name="Normal 2 95" xfId="4364"/>
    <cellStyle name="Normal 2 95 2" xfId="4365"/>
    <cellStyle name="Normal 2 95 3" xfId="4366"/>
    <cellStyle name="Normal 2 96" xfId="4367"/>
    <cellStyle name="Normal 2 96 2" xfId="4368"/>
    <cellStyle name="Normal 2 96 3" xfId="4369"/>
    <cellStyle name="Normal 2 97" xfId="4370"/>
    <cellStyle name="Normal 2 97 2" xfId="4371"/>
    <cellStyle name="Normal 2 97 3" xfId="4372"/>
    <cellStyle name="Normal 2 98" xfId="4373"/>
    <cellStyle name="Normal 2 98 2" xfId="4374"/>
    <cellStyle name="Normal 2 98 3" xfId="4375"/>
    <cellStyle name="Normal 2 99" xfId="4376"/>
    <cellStyle name="Normal 2 99 2" xfId="4377"/>
    <cellStyle name="Normal 2 99 3" xfId="4378"/>
    <cellStyle name="Normal 2_DEER 032008 Cost Summary Delivery - Rev 4 (2)" xfId="4379"/>
    <cellStyle name="Normal 20" xfId="320"/>
    <cellStyle name="Normal 21" xfId="321"/>
    <cellStyle name="Normal 22" xfId="322"/>
    <cellStyle name="Normal 23" xfId="323"/>
    <cellStyle name="Normal 24" xfId="324"/>
    <cellStyle name="Normal 24 2" xfId="4380"/>
    <cellStyle name="Normal 25" xfId="325"/>
    <cellStyle name="Normal 26" xfId="326"/>
    <cellStyle name="Normal 27" xfId="327"/>
    <cellStyle name="Normal 28" xfId="328"/>
    <cellStyle name="Normal 29" xfId="329"/>
    <cellStyle name="Normal 3" xfId="188"/>
    <cellStyle name="Normal 3 10" xfId="4381"/>
    <cellStyle name="Normal 3 10 10" xfId="4382"/>
    <cellStyle name="Normal 3 10 10 2" xfId="4383"/>
    <cellStyle name="Normal 3 10 10 2 2" xfId="4384"/>
    <cellStyle name="Normal 3 10 10 3" xfId="4385"/>
    <cellStyle name="Normal 3 10 11" xfId="4386"/>
    <cellStyle name="Normal 3 10 11 2" xfId="4387"/>
    <cellStyle name="Normal 3 10 11 2 2" xfId="4388"/>
    <cellStyle name="Normal 3 10 11 3" xfId="4389"/>
    <cellStyle name="Normal 3 10 12" xfId="4390"/>
    <cellStyle name="Normal 3 10 12 2" xfId="4391"/>
    <cellStyle name="Normal 3 10 12 2 2" xfId="4392"/>
    <cellStyle name="Normal 3 10 12 3" xfId="4393"/>
    <cellStyle name="Normal 3 10 13" xfId="4394"/>
    <cellStyle name="Normal 3 10 13 2" xfId="4395"/>
    <cellStyle name="Normal 3 10 13 2 2" xfId="4396"/>
    <cellStyle name="Normal 3 10 13 3" xfId="4397"/>
    <cellStyle name="Normal 3 10 14" xfId="4398"/>
    <cellStyle name="Normal 3 10 14 2" xfId="4399"/>
    <cellStyle name="Normal 3 10 14 2 2" xfId="4400"/>
    <cellStyle name="Normal 3 10 14 3" xfId="4401"/>
    <cellStyle name="Normal 3 10 15" xfId="4402"/>
    <cellStyle name="Normal 3 10 15 2" xfId="4403"/>
    <cellStyle name="Normal 3 10 15 2 2" xfId="4404"/>
    <cellStyle name="Normal 3 10 15 3" xfId="4405"/>
    <cellStyle name="Normal 3 10 16" xfId="4406"/>
    <cellStyle name="Normal 3 10 16 2" xfId="4407"/>
    <cellStyle name="Normal 3 10 16 2 2" xfId="4408"/>
    <cellStyle name="Normal 3 10 16 3" xfId="4409"/>
    <cellStyle name="Normal 3 10 17" xfId="4410"/>
    <cellStyle name="Normal 3 10 17 2" xfId="4411"/>
    <cellStyle name="Normal 3 10 17 2 2" xfId="4412"/>
    <cellStyle name="Normal 3 10 17 3" xfId="4413"/>
    <cellStyle name="Normal 3 10 18" xfId="4414"/>
    <cellStyle name="Normal 3 10 18 2" xfId="4415"/>
    <cellStyle name="Normal 3 10 18 2 2" xfId="4416"/>
    <cellStyle name="Normal 3 10 18 3" xfId="4417"/>
    <cellStyle name="Normal 3 10 19" xfId="4418"/>
    <cellStyle name="Normal 3 10 19 2" xfId="4419"/>
    <cellStyle name="Normal 3 10 19 2 2" xfId="4420"/>
    <cellStyle name="Normal 3 10 19 3" xfId="4421"/>
    <cellStyle name="Normal 3 10 2" xfId="4422"/>
    <cellStyle name="Normal 3 10 2 2" xfId="4423"/>
    <cellStyle name="Normal 3 10 2 2 2" xfId="4424"/>
    <cellStyle name="Normal 3 10 2 3" xfId="4425"/>
    <cellStyle name="Normal 3 10 20" xfId="4426"/>
    <cellStyle name="Normal 3 10 20 2" xfId="4427"/>
    <cellStyle name="Normal 3 10 20 2 2" xfId="4428"/>
    <cellStyle name="Normal 3 10 20 3" xfId="4429"/>
    <cellStyle name="Normal 3 10 21" xfId="4430"/>
    <cellStyle name="Normal 3 10 21 2" xfId="4431"/>
    <cellStyle name="Normal 3 10 21 2 2" xfId="4432"/>
    <cellStyle name="Normal 3 10 21 3" xfId="4433"/>
    <cellStyle name="Normal 3 10 22" xfId="4434"/>
    <cellStyle name="Normal 3 10 22 2" xfId="4435"/>
    <cellStyle name="Normal 3 10 22 2 2" xfId="4436"/>
    <cellStyle name="Normal 3 10 22 3" xfId="4437"/>
    <cellStyle name="Normal 3 10 23" xfId="4438"/>
    <cellStyle name="Normal 3 10 23 2" xfId="4439"/>
    <cellStyle name="Normal 3 10 23 2 2" xfId="4440"/>
    <cellStyle name="Normal 3 10 23 3" xfId="4441"/>
    <cellStyle name="Normal 3 10 24" xfId="4442"/>
    <cellStyle name="Normal 3 10 24 2" xfId="4443"/>
    <cellStyle name="Normal 3 10 25" xfId="4444"/>
    <cellStyle name="Normal 3 10 3" xfId="4445"/>
    <cellStyle name="Normal 3 10 3 2" xfId="4446"/>
    <cellStyle name="Normal 3 10 3 2 2" xfId="4447"/>
    <cellStyle name="Normal 3 10 3 3" xfId="4448"/>
    <cellStyle name="Normal 3 10 4" xfId="4449"/>
    <cellStyle name="Normal 3 10 4 2" xfId="4450"/>
    <cellStyle name="Normal 3 10 4 2 2" xfId="4451"/>
    <cellStyle name="Normal 3 10 4 3" xfId="4452"/>
    <cellStyle name="Normal 3 10 5" xfId="4453"/>
    <cellStyle name="Normal 3 10 5 2" xfId="4454"/>
    <cellStyle name="Normal 3 10 5 2 2" xfId="4455"/>
    <cellStyle name="Normal 3 10 5 3" xfId="4456"/>
    <cellStyle name="Normal 3 10 6" xfId="4457"/>
    <cellStyle name="Normal 3 10 6 2" xfId="4458"/>
    <cellStyle name="Normal 3 10 6 2 2" xfId="4459"/>
    <cellStyle name="Normal 3 10 6 3" xfId="4460"/>
    <cellStyle name="Normal 3 10 7" xfId="4461"/>
    <cellStyle name="Normal 3 10 7 2" xfId="4462"/>
    <cellStyle name="Normal 3 10 7 2 2" xfId="4463"/>
    <cellStyle name="Normal 3 10 7 3" xfId="4464"/>
    <cellStyle name="Normal 3 10 8" xfId="4465"/>
    <cellStyle name="Normal 3 10 8 2" xfId="4466"/>
    <cellStyle name="Normal 3 10 8 2 2" xfId="4467"/>
    <cellStyle name="Normal 3 10 8 3" xfId="4468"/>
    <cellStyle name="Normal 3 10 9" xfId="4469"/>
    <cellStyle name="Normal 3 10 9 2" xfId="4470"/>
    <cellStyle name="Normal 3 10 9 2 2" xfId="4471"/>
    <cellStyle name="Normal 3 10 9 3" xfId="4472"/>
    <cellStyle name="Normal 3 11" xfId="4473"/>
    <cellStyle name="Normal 3 11 10" xfId="4474"/>
    <cellStyle name="Normal 3 11 10 2" xfId="4475"/>
    <cellStyle name="Normal 3 11 10 2 2" xfId="4476"/>
    <cellStyle name="Normal 3 11 10 3" xfId="4477"/>
    <cellStyle name="Normal 3 11 11" xfId="4478"/>
    <cellStyle name="Normal 3 11 11 2" xfId="4479"/>
    <cellStyle name="Normal 3 11 11 2 2" xfId="4480"/>
    <cellStyle name="Normal 3 11 11 3" xfId="4481"/>
    <cellStyle name="Normal 3 11 12" xfId="4482"/>
    <cellStyle name="Normal 3 11 12 2" xfId="4483"/>
    <cellStyle name="Normal 3 11 12 2 2" xfId="4484"/>
    <cellStyle name="Normal 3 11 12 3" xfId="4485"/>
    <cellStyle name="Normal 3 11 13" xfId="4486"/>
    <cellStyle name="Normal 3 11 13 2" xfId="4487"/>
    <cellStyle name="Normal 3 11 13 2 2" xfId="4488"/>
    <cellStyle name="Normal 3 11 13 3" xfId="4489"/>
    <cellStyle name="Normal 3 11 14" xfId="4490"/>
    <cellStyle name="Normal 3 11 14 2" xfId="4491"/>
    <cellStyle name="Normal 3 11 14 2 2" xfId="4492"/>
    <cellStyle name="Normal 3 11 14 3" xfId="4493"/>
    <cellStyle name="Normal 3 11 15" xfId="4494"/>
    <cellStyle name="Normal 3 11 15 2" xfId="4495"/>
    <cellStyle name="Normal 3 11 15 2 2" xfId="4496"/>
    <cellStyle name="Normal 3 11 15 3" xfId="4497"/>
    <cellStyle name="Normal 3 11 16" xfId="4498"/>
    <cellStyle name="Normal 3 11 16 2" xfId="4499"/>
    <cellStyle name="Normal 3 11 16 2 2" xfId="4500"/>
    <cellStyle name="Normal 3 11 16 3" xfId="4501"/>
    <cellStyle name="Normal 3 11 17" xfId="4502"/>
    <cellStyle name="Normal 3 11 17 2" xfId="4503"/>
    <cellStyle name="Normal 3 11 17 2 2" xfId="4504"/>
    <cellStyle name="Normal 3 11 17 3" xfId="4505"/>
    <cellStyle name="Normal 3 11 18" xfId="4506"/>
    <cellStyle name="Normal 3 11 18 2" xfId="4507"/>
    <cellStyle name="Normal 3 11 18 2 2" xfId="4508"/>
    <cellStyle name="Normal 3 11 18 3" xfId="4509"/>
    <cellStyle name="Normal 3 11 19" xfId="4510"/>
    <cellStyle name="Normal 3 11 19 2" xfId="4511"/>
    <cellStyle name="Normal 3 11 19 2 2" xfId="4512"/>
    <cellStyle name="Normal 3 11 19 3" xfId="4513"/>
    <cellStyle name="Normal 3 11 2" xfId="4514"/>
    <cellStyle name="Normal 3 11 2 2" xfId="4515"/>
    <cellStyle name="Normal 3 11 2 2 2" xfId="4516"/>
    <cellStyle name="Normal 3 11 2 3" xfId="4517"/>
    <cellStyle name="Normal 3 11 20" xfId="4518"/>
    <cellStyle name="Normal 3 11 20 2" xfId="4519"/>
    <cellStyle name="Normal 3 11 20 2 2" xfId="4520"/>
    <cellStyle name="Normal 3 11 20 3" xfId="4521"/>
    <cellStyle name="Normal 3 11 21" xfId="4522"/>
    <cellStyle name="Normal 3 11 21 2" xfId="4523"/>
    <cellStyle name="Normal 3 11 21 2 2" xfId="4524"/>
    <cellStyle name="Normal 3 11 21 3" xfId="4525"/>
    <cellStyle name="Normal 3 11 22" xfId="4526"/>
    <cellStyle name="Normal 3 11 22 2" xfId="4527"/>
    <cellStyle name="Normal 3 11 22 2 2" xfId="4528"/>
    <cellStyle name="Normal 3 11 22 3" xfId="4529"/>
    <cellStyle name="Normal 3 11 23" xfId="4530"/>
    <cellStyle name="Normal 3 11 23 2" xfId="4531"/>
    <cellStyle name="Normal 3 11 23 2 2" xfId="4532"/>
    <cellStyle name="Normal 3 11 23 3" xfId="4533"/>
    <cellStyle name="Normal 3 11 24" xfId="4534"/>
    <cellStyle name="Normal 3 11 24 2" xfId="4535"/>
    <cellStyle name="Normal 3 11 25" xfId="4536"/>
    <cellStyle name="Normal 3 11 3" xfId="4537"/>
    <cellStyle name="Normal 3 11 3 2" xfId="4538"/>
    <cellStyle name="Normal 3 11 3 2 2" xfId="4539"/>
    <cellStyle name="Normal 3 11 3 3" xfId="4540"/>
    <cellStyle name="Normal 3 11 4" xfId="4541"/>
    <cellStyle name="Normal 3 11 4 2" xfId="4542"/>
    <cellStyle name="Normal 3 11 4 2 2" xfId="4543"/>
    <cellStyle name="Normal 3 11 4 3" xfId="4544"/>
    <cellStyle name="Normal 3 11 5" xfId="4545"/>
    <cellStyle name="Normal 3 11 5 2" xfId="4546"/>
    <cellStyle name="Normal 3 11 5 2 2" xfId="4547"/>
    <cellStyle name="Normal 3 11 5 3" xfId="4548"/>
    <cellStyle name="Normal 3 11 6" xfId="4549"/>
    <cellStyle name="Normal 3 11 6 2" xfId="4550"/>
    <cellStyle name="Normal 3 11 6 2 2" xfId="4551"/>
    <cellStyle name="Normal 3 11 6 3" xfId="4552"/>
    <cellStyle name="Normal 3 11 7" xfId="4553"/>
    <cellStyle name="Normal 3 11 7 2" xfId="4554"/>
    <cellStyle name="Normal 3 11 7 2 2" xfId="4555"/>
    <cellStyle name="Normal 3 11 7 3" xfId="4556"/>
    <cellStyle name="Normal 3 11 8" xfId="4557"/>
    <cellStyle name="Normal 3 11 8 2" xfId="4558"/>
    <cellStyle name="Normal 3 11 8 2 2" xfId="4559"/>
    <cellStyle name="Normal 3 11 8 3" xfId="4560"/>
    <cellStyle name="Normal 3 11 9" xfId="4561"/>
    <cellStyle name="Normal 3 11 9 2" xfId="4562"/>
    <cellStyle name="Normal 3 11 9 2 2" xfId="4563"/>
    <cellStyle name="Normal 3 11 9 3" xfId="4564"/>
    <cellStyle name="Normal 3 12" xfId="4565"/>
    <cellStyle name="Normal 3 12 10" xfId="4566"/>
    <cellStyle name="Normal 3 12 10 2" xfId="4567"/>
    <cellStyle name="Normal 3 12 10 2 2" xfId="4568"/>
    <cellStyle name="Normal 3 12 10 3" xfId="4569"/>
    <cellStyle name="Normal 3 12 11" xfId="4570"/>
    <cellStyle name="Normal 3 12 11 2" xfId="4571"/>
    <cellStyle name="Normal 3 12 11 2 2" xfId="4572"/>
    <cellStyle name="Normal 3 12 11 3" xfId="4573"/>
    <cellStyle name="Normal 3 12 12" xfId="4574"/>
    <cellStyle name="Normal 3 12 12 2" xfId="4575"/>
    <cellStyle name="Normal 3 12 12 2 2" xfId="4576"/>
    <cellStyle name="Normal 3 12 12 3" xfId="4577"/>
    <cellStyle name="Normal 3 12 13" xfId="4578"/>
    <cellStyle name="Normal 3 12 13 2" xfId="4579"/>
    <cellStyle name="Normal 3 12 13 2 2" xfId="4580"/>
    <cellStyle name="Normal 3 12 13 3" xfId="4581"/>
    <cellStyle name="Normal 3 12 14" xfId="4582"/>
    <cellStyle name="Normal 3 12 14 2" xfId="4583"/>
    <cellStyle name="Normal 3 12 14 2 2" xfId="4584"/>
    <cellStyle name="Normal 3 12 14 3" xfId="4585"/>
    <cellStyle name="Normal 3 12 15" xfId="4586"/>
    <cellStyle name="Normal 3 12 15 2" xfId="4587"/>
    <cellStyle name="Normal 3 12 15 2 2" xfId="4588"/>
    <cellStyle name="Normal 3 12 15 3" xfId="4589"/>
    <cellStyle name="Normal 3 12 16" xfId="4590"/>
    <cellStyle name="Normal 3 12 16 2" xfId="4591"/>
    <cellStyle name="Normal 3 12 16 2 2" xfId="4592"/>
    <cellStyle name="Normal 3 12 16 3" xfId="4593"/>
    <cellStyle name="Normal 3 12 17" xfId="4594"/>
    <cellStyle name="Normal 3 12 17 2" xfId="4595"/>
    <cellStyle name="Normal 3 12 17 2 2" xfId="4596"/>
    <cellStyle name="Normal 3 12 17 3" xfId="4597"/>
    <cellStyle name="Normal 3 12 18" xfId="4598"/>
    <cellStyle name="Normal 3 12 18 2" xfId="4599"/>
    <cellStyle name="Normal 3 12 18 2 2" xfId="4600"/>
    <cellStyle name="Normal 3 12 18 3" xfId="4601"/>
    <cellStyle name="Normal 3 12 19" xfId="4602"/>
    <cellStyle name="Normal 3 12 19 2" xfId="4603"/>
    <cellStyle name="Normal 3 12 19 2 2" xfId="4604"/>
    <cellStyle name="Normal 3 12 19 3" xfId="4605"/>
    <cellStyle name="Normal 3 12 2" xfId="4606"/>
    <cellStyle name="Normal 3 12 2 2" xfId="4607"/>
    <cellStyle name="Normal 3 12 2 2 2" xfId="4608"/>
    <cellStyle name="Normal 3 12 2 3" xfId="4609"/>
    <cellStyle name="Normal 3 12 20" xfId="4610"/>
    <cellStyle name="Normal 3 12 20 2" xfId="4611"/>
    <cellStyle name="Normal 3 12 20 2 2" xfId="4612"/>
    <cellStyle name="Normal 3 12 20 3" xfId="4613"/>
    <cellStyle name="Normal 3 12 21" xfId="4614"/>
    <cellStyle name="Normal 3 12 21 2" xfId="4615"/>
    <cellStyle name="Normal 3 12 21 2 2" xfId="4616"/>
    <cellStyle name="Normal 3 12 21 3" xfId="4617"/>
    <cellStyle name="Normal 3 12 22" xfId="4618"/>
    <cellStyle name="Normal 3 12 22 2" xfId="4619"/>
    <cellStyle name="Normal 3 12 22 2 2" xfId="4620"/>
    <cellStyle name="Normal 3 12 22 3" xfId="4621"/>
    <cellStyle name="Normal 3 12 23" xfId="4622"/>
    <cellStyle name="Normal 3 12 23 2" xfId="4623"/>
    <cellStyle name="Normal 3 12 23 2 2" xfId="4624"/>
    <cellStyle name="Normal 3 12 23 3" xfId="4625"/>
    <cellStyle name="Normal 3 12 24" xfId="4626"/>
    <cellStyle name="Normal 3 12 24 2" xfId="4627"/>
    <cellStyle name="Normal 3 12 25" xfId="4628"/>
    <cellStyle name="Normal 3 12 3" xfId="4629"/>
    <cellStyle name="Normal 3 12 3 2" xfId="4630"/>
    <cellStyle name="Normal 3 12 3 2 2" xfId="4631"/>
    <cellStyle name="Normal 3 12 3 3" xfId="4632"/>
    <cellStyle name="Normal 3 12 4" xfId="4633"/>
    <cellStyle name="Normal 3 12 4 2" xfId="4634"/>
    <cellStyle name="Normal 3 12 4 2 2" xfId="4635"/>
    <cellStyle name="Normal 3 12 4 3" xfId="4636"/>
    <cellStyle name="Normal 3 12 5" xfId="4637"/>
    <cellStyle name="Normal 3 12 5 2" xfId="4638"/>
    <cellStyle name="Normal 3 12 5 2 2" xfId="4639"/>
    <cellStyle name="Normal 3 12 5 3" xfId="4640"/>
    <cellStyle name="Normal 3 12 6" xfId="4641"/>
    <cellStyle name="Normal 3 12 6 2" xfId="4642"/>
    <cellStyle name="Normal 3 12 6 2 2" xfId="4643"/>
    <cellStyle name="Normal 3 12 6 3" xfId="4644"/>
    <cellStyle name="Normal 3 12 7" xfId="4645"/>
    <cellStyle name="Normal 3 12 7 2" xfId="4646"/>
    <cellStyle name="Normal 3 12 7 2 2" xfId="4647"/>
    <cellStyle name="Normal 3 12 7 3" xfId="4648"/>
    <cellStyle name="Normal 3 12 8" xfId="4649"/>
    <cellStyle name="Normal 3 12 8 2" xfId="4650"/>
    <cellStyle name="Normal 3 12 8 2 2" xfId="4651"/>
    <cellStyle name="Normal 3 12 8 3" xfId="4652"/>
    <cellStyle name="Normal 3 12 9" xfId="4653"/>
    <cellStyle name="Normal 3 12 9 2" xfId="4654"/>
    <cellStyle name="Normal 3 12 9 2 2" xfId="4655"/>
    <cellStyle name="Normal 3 12 9 3" xfId="4656"/>
    <cellStyle name="Normal 3 13" xfId="4657"/>
    <cellStyle name="Normal 3 13 10" xfId="4658"/>
    <cellStyle name="Normal 3 13 10 2" xfId="4659"/>
    <cellStyle name="Normal 3 13 10 2 2" xfId="4660"/>
    <cellStyle name="Normal 3 13 10 3" xfId="4661"/>
    <cellStyle name="Normal 3 13 11" xfId="4662"/>
    <cellStyle name="Normal 3 13 11 2" xfId="4663"/>
    <cellStyle name="Normal 3 13 11 2 2" xfId="4664"/>
    <cellStyle name="Normal 3 13 11 3" xfId="4665"/>
    <cellStyle name="Normal 3 13 12" xfId="4666"/>
    <cellStyle name="Normal 3 13 12 2" xfId="4667"/>
    <cellStyle name="Normal 3 13 12 2 2" xfId="4668"/>
    <cellStyle name="Normal 3 13 12 3" xfId="4669"/>
    <cellStyle name="Normal 3 13 13" xfId="4670"/>
    <cellStyle name="Normal 3 13 13 2" xfId="4671"/>
    <cellStyle name="Normal 3 13 13 2 2" xfId="4672"/>
    <cellStyle name="Normal 3 13 13 3" xfId="4673"/>
    <cellStyle name="Normal 3 13 14" xfId="4674"/>
    <cellStyle name="Normal 3 13 14 2" xfId="4675"/>
    <cellStyle name="Normal 3 13 14 2 2" xfId="4676"/>
    <cellStyle name="Normal 3 13 14 3" xfId="4677"/>
    <cellStyle name="Normal 3 13 15" xfId="4678"/>
    <cellStyle name="Normal 3 13 15 2" xfId="4679"/>
    <cellStyle name="Normal 3 13 15 2 2" xfId="4680"/>
    <cellStyle name="Normal 3 13 15 3" xfId="4681"/>
    <cellStyle name="Normal 3 13 16" xfId="4682"/>
    <cellStyle name="Normal 3 13 16 2" xfId="4683"/>
    <cellStyle name="Normal 3 13 16 2 2" xfId="4684"/>
    <cellStyle name="Normal 3 13 16 3" xfId="4685"/>
    <cellStyle name="Normal 3 13 17" xfId="4686"/>
    <cellStyle name="Normal 3 13 17 2" xfId="4687"/>
    <cellStyle name="Normal 3 13 17 2 2" xfId="4688"/>
    <cellStyle name="Normal 3 13 17 3" xfId="4689"/>
    <cellStyle name="Normal 3 13 18" xfId="4690"/>
    <cellStyle name="Normal 3 13 18 2" xfId="4691"/>
    <cellStyle name="Normal 3 13 18 2 2" xfId="4692"/>
    <cellStyle name="Normal 3 13 18 3" xfId="4693"/>
    <cellStyle name="Normal 3 13 19" xfId="4694"/>
    <cellStyle name="Normal 3 13 19 2" xfId="4695"/>
    <cellStyle name="Normal 3 13 19 2 2" xfId="4696"/>
    <cellStyle name="Normal 3 13 19 3" xfId="4697"/>
    <cellStyle name="Normal 3 13 2" xfId="4698"/>
    <cellStyle name="Normal 3 13 2 2" xfId="4699"/>
    <cellStyle name="Normal 3 13 2 2 2" xfId="4700"/>
    <cellStyle name="Normal 3 13 2 3" xfId="4701"/>
    <cellStyle name="Normal 3 13 20" xfId="4702"/>
    <cellStyle name="Normal 3 13 20 2" xfId="4703"/>
    <cellStyle name="Normal 3 13 20 2 2" xfId="4704"/>
    <cellStyle name="Normal 3 13 20 3" xfId="4705"/>
    <cellStyle name="Normal 3 13 21" xfId="4706"/>
    <cellStyle name="Normal 3 13 21 2" xfId="4707"/>
    <cellStyle name="Normal 3 13 21 2 2" xfId="4708"/>
    <cellStyle name="Normal 3 13 21 3" xfId="4709"/>
    <cellStyle name="Normal 3 13 22" xfId="4710"/>
    <cellStyle name="Normal 3 13 22 2" xfId="4711"/>
    <cellStyle name="Normal 3 13 22 2 2" xfId="4712"/>
    <cellStyle name="Normal 3 13 22 3" xfId="4713"/>
    <cellStyle name="Normal 3 13 23" xfId="4714"/>
    <cellStyle name="Normal 3 13 23 2" xfId="4715"/>
    <cellStyle name="Normal 3 13 23 2 2" xfId="4716"/>
    <cellStyle name="Normal 3 13 23 3" xfId="4717"/>
    <cellStyle name="Normal 3 13 24" xfId="4718"/>
    <cellStyle name="Normal 3 13 24 2" xfId="4719"/>
    <cellStyle name="Normal 3 13 25" xfId="4720"/>
    <cellStyle name="Normal 3 13 3" xfId="4721"/>
    <cellStyle name="Normal 3 13 3 2" xfId="4722"/>
    <cellStyle name="Normal 3 13 3 2 2" xfId="4723"/>
    <cellStyle name="Normal 3 13 3 3" xfId="4724"/>
    <cellStyle name="Normal 3 13 4" xfId="4725"/>
    <cellStyle name="Normal 3 13 4 2" xfId="4726"/>
    <cellStyle name="Normal 3 13 4 2 2" xfId="4727"/>
    <cellStyle name="Normal 3 13 4 3" xfId="4728"/>
    <cellStyle name="Normal 3 13 5" xfId="4729"/>
    <cellStyle name="Normal 3 13 5 2" xfId="4730"/>
    <cellStyle name="Normal 3 13 5 2 2" xfId="4731"/>
    <cellStyle name="Normal 3 13 5 3" xfId="4732"/>
    <cellStyle name="Normal 3 13 6" xfId="4733"/>
    <cellStyle name="Normal 3 13 6 2" xfId="4734"/>
    <cellStyle name="Normal 3 13 6 2 2" xfId="4735"/>
    <cellStyle name="Normal 3 13 6 3" xfId="4736"/>
    <cellStyle name="Normal 3 13 7" xfId="4737"/>
    <cellStyle name="Normal 3 13 7 2" xfId="4738"/>
    <cellStyle name="Normal 3 13 7 2 2" xfId="4739"/>
    <cellStyle name="Normal 3 13 7 3" xfId="4740"/>
    <cellStyle name="Normal 3 13 8" xfId="4741"/>
    <cellStyle name="Normal 3 13 8 2" xfId="4742"/>
    <cellStyle name="Normal 3 13 8 2 2" xfId="4743"/>
    <cellStyle name="Normal 3 13 8 3" xfId="4744"/>
    <cellStyle name="Normal 3 13 9" xfId="4745"/>
    <cellStyle name="Normal 3 13 9 2" xfId="4746"/>
    <cellStyle name="Normal 3 13 9 2 2" xfId="4747"/>
    <cellStyle name="Normal 3 13 9 3" xfId="4748"/>
    <cellStyle name="Normal 3 14" xfId="4749"/>
    <cellStyle name="Normal 3 14 10" xfId="4750"/>
    <cellStyle name="Normal 3 14 10 2" xfId="4751"/>
    <cellStyle name="Normal 3 14 10 2 2" xfId="4752"/>
    <cellStyle name="Normal 3 14 10 3" xfId="4753"/>
    <cellStyle name="Normal 3 14 11" xfId="4754"/>
    <cellStyle name="Normal 3 14 11 2" xfId="4755"/>
    <cellStyle name="Normal 3 14 11 2 2" xfId="4756"/>
    <cellStyle name="Normal 3 14 11 3" xfId="4757"/>
    <cellStyle name="Normal 3 14 12" xfId="4758"/>
    <cellStyle name="Normal 3 14 12 2" xfId="4759"/>
    <cellStyle name="Normal 3 14 12 2 2" xfId="4760"/>
    <cellStyle name="Normal 3 14 12 3" xfId="4761"/>
    <cellStyle name="Normal 3 14 13" xfId="4762"/>
    <cellStyle name="Normal 3 14 13 2" xfId="4763"/>
    <cellStyle name="Normal 3 14 13 2 2" xfId="4764"/>
    <cellStyle name="Normal 3 14 13 3" xfId="4765"/>
    <cellStyle name="Normal 3 14 14" xfId="4766"/>
    <cellStyle name="Normal 3 14 14 2" xfId="4767"/>
    <cellStyle name="Normal 3 14 14 2 2" xfId="4768"/>
    <cellStyle name="Normal 3 14 14 3" xfId="4769"/>
    <cellStyle name="Normal 3 14 15" xfId="4770"/>
    <cellStyle name="Normal 3 14 15 2" xfId="4771"/>
    <cellStyle name="Normal 3 14 15 2 2" xfId="4772"/>
    <cellStyle name="Normal 3 14 15 3" xfId="4773"/>
    <cellStyle name="Normal 3 14 16" xfId="4774"/>
    <cellStyle name="Normal 3 14 16 2" xfId="4775"/>
    <cellStyle name="Normal 3 14 16 2 2" xfId="4776"/>
    <cellStyle name="Normal 3 14 16 3" xfId="4777"/>
    <cellStyle name="Normal 3 14 17" xfId="4778"/>
    <cellStyle name="Normal 3 14 17 2" xfId="4779"/>
    <cellStyle name="Normal 3 14 17 2 2" xfId="4780"/>
    <cellStyle name="Normal 3 14 17 3" xfId="4781"/>
    <cellStyle name="Normal 3 14 18" xfId="4782"/>
    <cellStyle name="Normal 3 14 18 2" xfId="4783"/>
    <cellStyle name="Normal 3 14 18 2 2" xfId="4784"/>
    <cellStyle name="Normal 3 14 18 3" xfId="4785"/>
    <cellStyle name="Normal 3 14 19" xfId="4786"/>
    <cellStyle name="Normal 3 14 19 2" xfId="4787"/>
    <cellStyle name="Normal 3 14 19 2 2" xfId="4788"/>
    <cellStyle name="Normal 3 14 19 3" xfId="4789"/>
    <cellStyle name="Normal 3 14 2" xfId="4790"/>
    <cellStyle name="Normal 3 14 2 2" xfId="4791"/>
    <cellStyle name="Normal 3 14 2 2 2" xfId="4792"/>
    <cellStyle name="Normal 3 14 2 3" xfId="4793"/>
    <cellStyle name="Normal 3 14 20" xfId="4794"/>
    <cellStyle name="Normal 3 14 20 2" xfId="4795"/>
    <cellStyle name="Normal 3 14 20 2 2" xfId="4796"/>
    <cellStyle name="Normal 3 14 20 3" xfId="4797"/>
    <cellStyle name="Normal 3 14 21" xfId="4798"/>
    <cellStyle name="Normal 3 14 21 2" xfId="4799"/>
    <cellStyle name="Normal 3 14 21 2 2" xfId="4800"/>
    <cellStyle name="Normal 3 14 21 3" xfId="4801"/>
    <cellStyle name="Normal 3 14 22" xfId="4802"/>
    <cellStyle name="Normal 3 14 22 2" xfId="4803"/>
    <cellStyle name="Normal 3 14 22 2 2" xfId="4804"/>
    <cellStyle name="Normal 3 14 22 3" xfId="4805"/>
    <cellStyle name="Normal 3 14 23" xfId="4806"/>
    <cellStyle name="Normal 3 14 23 2" xfId="4807"/>
    <cellStyle name="Normal 3 14 23 2 2" xfId="4808"/>
    <cellStyle name="Normal 3 14 23 3" xfId="4809"/>
    <cellStyle name="Normal 3 14 24" xfId="4810"/>
    <cellStyle name="Normal 3 14 24 2" xfId="4811"/>
    <cellStyle name="Normal 3 14 25" xfId="4812"/>
    <cellStyle name="Normal 3 14 3" xfId="4813"/>
    <cellStyle name="Normal 3 14 3 2" xfId="4814"/>
    <cellStyle name="Normal 3 14 3 2 2" xfId="4815"/>
    <cellStyle name="Normal 3 14 3 3" xfId="4816"/>
    <cellStyle name="Normal 3 14 4" xfId="4817"/>
    <cellStyle name="Normal 3 14 4 2" xfId="4818"/>
    <cellStyle name="Normal 3 14 4 2 2" xfId="4819"/>
    <cellStyle name="Normal 3 14 4 3" xfId="4820"/>
    <cellStyle name="Normal 3 14 5" xfId="4821"/>
    <cellStyle name="Normal 3 14 5 2" xfId="4822"/>
    <cellStyle name="Normal 3 14 5 2 2" xfId="4823"/>
    <cellStyle name="Normal 3 14 5 3" xfId="4824"/>
    <cellStyle name="Normal 3 14 6" xfId="4825"/>
    <cellStyle name="Normal 3 14 6 2" xfId="4826"/>
    <cellStyle name="Normal 3 14 6 2 2" xfId="4827"/>
    <cellStyle name="Normal 3 14 6 3" xfId="4828"/>
    <cellStyle name="Normal 3 14 7" xfId="4829"/>
    <cellStyle name="Normal 3 14 7 2" xfId="4830"/>
    <cellStyle name="Normal 3 14 7 2 2" xfId="4831"/>
    <cellStyle name="Normal 3 14 7 3" xfId="4832"/>
    <cellStyle name="Normal 3 14 8" xfId="4833"/>
    <cellStyle name="Normal 3 14 8 2" xfId="4834"/>
    <cellStyle name="Normal 3 14 8 2 2" xfId="4835"/>
    <cellStyle name="Normal 3 14 8 3" xfId="4836"/>
    <cellStyle name="Normal 3 14 9" xfId="4837"/>
    <cellStyle name="Normal 3 14 9 2" xfId="4838"/>
    <cellStyle name="Normal 3 14 9 2 2" xfId="4839"/>
    <cellStyle name="Normal 3 14 9 3" xfId="4840"/>
    <cellStyle name="Normal 3 15" xfId="4841"/>
    <cellStyle name="Normal 3 15 10" xfId="4842"/>
    <cellStyle name="Normal 3 15 10 2" xfId="4843"/>
    <cellStyle name="Normal 3 15 10 2 2" xfId="4844"/>
    <cellStyle name="Normal 3 15 10 3" xfId="4845"/>
    <cellStyle name="Normal 3 15 11" xfId="4846"/>
    <cellStyle name="Normal 3 15 11 2" xfId="4847"/>
    <cellStyle name="Normal 3 15 11 2 2" xfId="4848"/>
    <cellStyle name="Normal 3 15 11 3" xfId="4849"/>
    <cellStyle name="Normal 3 15 12" xfId="4850"/>
    <cellStyle name="Normal 3 15 12 2" xfId="4851"/>
    <cellStyle name="Normal 3 15 12 2 2" xfId="4852"/>
    <cellStyle name="Normal 3 15 12 3" xfId="4853"/>
    <cellStyle name="Normal 3 15 13" xfId="4854"/>
    <cellStyle name="Normal 3 15 13 2" xfId="4855"/>
    <cellStyle name="Normal 3 15 13 2 2" xfId="4856"/>
    <cellStyle name="Normal 3 15 13 3" xfId="4857"/>
    <cellStyle name="Normal 3 15 14" xfId="4858"/>
    <cellStyle name="Normal 3 15 14 2" xfId="4859"/>
    <cellStyle name="Normal 3 15 14 2 2" xfId="4860"/>
    <cellStyle name="Normal 3 15 14 3" xfId="4861"/>
    <cellStyle name="Normal 3 15 15" xfId="4862"/>
    <cellStyle name="Normal 3 15 15 2" xfId="4863"/>
    <cellStyle name="Normal 3 15 15 2 2" xfId="4864"/>
    <cellStyle name="Normal 3 15 15 3" xfId="4865"/>
    <cellStyle name="Normal 3 15 16" xfId="4866"/>
    <cellStyle name="Normal 3 15 16 2" xfId="4867"/>
    <cellStyle name="Normal 3 15 16 2 2" xfId="4868"/>
    <cellStyle name="Normal 3 15 16 3" xfId="4869"/>
    <cellStyle name="Normal 3 15 17" xfId="4870"/>
    <cellStyle name="Normal 3 15 17 2" xfId="4871"/>
    <cellStyle name="Normal 3 15 17 2 2" xfId="4872"/>
    <cellStyle name="Normal 3 15 17 3" xfId="4873"/>
    <cellStyle name="Normal 3 15 18" xfId="4874"/>
    <cellStyle name="Normal 3 15 18 2" xfId="4875"/>
    <cellStyle name="Normal 3 15 18 2 2" xfId="4876"/>
    <cellStyle name="Normal 3 15 18 3" xfId="4877"/>
    <cellStyle name="Normal 3 15 19" xfId="4878"/>
    <cellStyle name="Normal 3 15 19 2" xfId="4879"/>
    <cellStyle name="Normal 3 15 19 2 2" xfId="4880"/>
    <cellStyle name="Normal 3 15 19 3" xfId="4881"/>
    <cellStyle name="Normal 3 15 2" xfId="4882"/>
    <cellStyle name="Normal 3 15 2 2" xfId="4883"/>
    <cellStyle name="Normal 3 15 2 2 2" xfId="4884"/>
    <cellStyle name="Normal 3 15 2 3" xfId="4885"/>
    <cellStyle name="Normal 3 15 20" xfId="4886"/>
    <cellStyle name="Normal 3 15 20 2" xfId="4887"/>
    <cellStyle name="Normal 3 15 20 2 2" xfId="4888"/>
    <cellStyle name="Normal 3 15 20 3" xfId="4889"/>
    <cellStyle name="Normal 3 15 21" xfId="4890"/>
    <cellStyle name="Normal 3 15 21 2" xfId="4891"/>
    <cellStyle name="Normal 3 15 21 2 2" xfId="4892"/>
    <cellStyle name="Normal 3 15 21 3" xfId="4893"/>
    <cellStyle name="Normal 3 15 22" xfId="4894"/>
    <cellStyle name="Normal 3 15 22 2" xfId="4895"/>
    <cellStyle name="Normal 3 15 22 2 2" xfId="4896"/>
    <cellStyle name="Normal 3 15 22 3" xfId="4897"/>
    <cellStyle name="Normal 3 15 23" xfId="4898"/>
    <cellStyle name="Normal 3 15 23 2" xfId="4899"/>
    <cellStyle name="Normal 3 15 23 2 2" xfId="4900"/>
    <cellStyle name="Normal 3 15 23 3" xfId="4901"/>
    <cellStyle name="Normal 3 15 24" xfId="4902"/>
    <cellStyle name="Normal 3 15 24 2" xfId="4903"/>
    <cellStyle name="Normal 3 15 25" xfId="4904"/>
    <cellStyle name="Normal 3 15 3" xfId="4905"/>
    <cellStyle name="Normal 3 15 3 2" xfId="4906"/>
    <cellStyle name="Normal 3 15 3 2 2" xfId="4907"/>
    <cellStyle name="Normal 3 15 3 3" xfId="4908"/>
    <cellStyle name="Normal 3 15 4" xfId="4909"/>
    <cellStyle name="Normal 3 15 4 2" xfId="4910"/>
    <cellStyle name="Normal 3 15 4 2 2" xfId="4911"/>
    <cellStyle name="Normal 3 15 4 3" xfId="4912"/>
    <cellStyle name="Normal 3 15 5" xfId="4913"/>
    <cellStyle name="Normal 3 15 5 2" xfId="4914"/>
    <cellStyle name="Normal 3 15 5 2 2" xfId="4915"/>
    <cellStyle name="Normal 3 15 5 3" xfId="4916"/>
    <cellStyle name="Normal 3 15 6" xfId="4917"/>
    <cellStyle name="Normal 3 15 6 2" xfId="4918"/>
    <cellStyle name="Normal 3 15 6 2 2" xfId="4919"/>
    <cellStyle name="Normal 3 15 6 3" xfId="4920"/>
    <cellStyle name="Normal 3 15 7" xfId="4921"/>
    <cellStyle name="Normal 3 15 7 2" xfId="4922"/>
    <cellStyle name="Normal 3 15 7 2 2" xfId="4923"/>
    <cellStyle name="Normal 3 15 7 3" xfId="4924"/>
    <cellStyle name="Normal 3 15 8" xfId="4925"/>
    <cellStyle name="Normal 3 15 8 2" xfId="4926"/>
    <cellStyle name="Normal 3 15 8 2 2" xfId="4927"/>
    <cellStyle name="Normal 3 15 8 3" xfId="4928"/>
    <cellStyle name="Normal 3 15 9" xfId="4929"/>
    <cellStyle name="Normal 3 15 9 2" xfId="4930"/>
    <cellStyle name="Normal 3 15 9 2 2" xfId="4931"/>
    <cellStyle name="Normal 3 15 9 3" xfId="4932"/>
    <cellStyle name="Normal 3 16" xfId="4933"/>
    <cellStyle name="Normal 3 16 10" xfId="4934"/>
    <cellStyle name="Normal 3 16 10 2" xfId="4935"/>
    <cellStyle name="Normal 3 16 10 2 2" xfId="4936"/>
    <cellStyle name="Normal 3 16 10 3" xfId="4937"/>
    <cellStyle name="Normal 3 16 11" xfId="4938"/>
    <cellStyle name="Normal 3 16 11 2" xfId="4939"/>
    <cellStyle name="Normal 3 16 11 2 2" xfId="4940"/>
    <cellStyle name="Normal 3 16 11 3" xfId="4941"/>
    <cellStyle name="Normal 3 16 12" xfId="4942"/>
    <cellStyle name="Normal 3 16 12 2" xfId="4943"/>
    <cellStyle name="Normal 3 16 12 2 2" xfId="4944"/>
    <cellStyle name="Normal 3 16 12 3" xfId="4945"/>
    <cellStyle name="Normal 3 16 13" xfId="4946"/>
    <cellStyle name="Normal 3 16 13 2" xfId="4947"/>
    <cellStyle name="Normal 3 16 13 2 2" xfId="4948"/>
    <cellStyle name="Normal 3 16 13 3" xfId="4949"/>
    <cellStyle name="Normal 3 16 14" xfId="4950"/>
    <cellStyle name="Normal 3 16 14 2" xfId="4951"/>
    <cellStyle name="Normal 3 16 14 2 2" xfId="4952"/>
    <cellStyle name="Normal 3 16 14 3" xfId="4953"/>
    <cellStyle name="Normal 3 16 15" xfId="4954"/>
    <cellStyle name="Normal 3 16 15 2" xfId="4955"/>
    <cellStyle name="Normal 3 16 15 2 2" xfId="4956"/>
    <cellStyle name="Normal 3 16 15 3" xfId="4957"/>
    <cellStyle name="Normal 3 16 16" xfId="4958"/>
    <cellStyle name="Normal 3 16 16 2" xfId="4959"/>
    <cellStyle name="Normal 3 16 16 2 2" xfId="4960"/>
    <cellStyle name="Normal 3 16 16 3" xfId="4961"/>
    <cellStyle name="Normal 3 16 17" xfId="4962"/>
    <cellStyle name="Normal 3 16 17 2" xfId="4963"/>
    <cellStyle name="Normal 3 16 17 2 2" xfId="4964"/>
    <cellStyle name="Normal 3 16 17 3" xfId="4965"/>
    <cellStyle name="Normal 3 16 18" xfId="4966"/>
    <cellStyle name="Normal 3 16 18 2" xfId="4967"/>
    <cellStyle name="Normal 3 16 18 2 2" xfId="4968"/>
    <cellStyle name="Normal 3 16 18 3" xfId="4969"/>
    <cellStyle name="Normal 3 16 19" xfId="4970"/>
    <cellStyle name="Normal 3 16 19 2" xfId="4971"/>
    <cellStyle name="Normal 3 16 19 2 2" xfId="4972"/>
    <cellStyle name="Normal 3 16 19 3" xfId="4973"/>
    <cellStyle name="Normal 3 16 2" xfId="4974"/>
    <cellStyle name="Normal 3 16 2 2" xfId="4975"/>
    <cellStyle name="Normal 3 16 2 2 2" xfId="4976"/>
    <cellStyle name="Normal 3 16 2 3" xfId="4977"/>
    <cellStyle name="Normal 3 16 20" xfId="4978"/>
    <cellStyle name="Normal 3 16 20 2" xfId="4979"/>
    <cellStyle name="Normal 3 16 20 2 2" xfId="4980"/>
    <cellStyle name="Normal 3 16 20 3" xfId="4981"/>
    <cellStyle name="Normal 3 16 21" xfId="4982"/>
    <cellStyle name="Normal 3 16 21 2" xfId="4983"/>
    <cellStyle name="Normal 3 16 21 2 2" xfId="4984"/>
    <cellStyle name="Normal 3 16 21 3" xfId="4985"/>
    <cellStyle name="Normal 3 16 22" xfId="4986"/>
    <cellStyle name="Normal 3 16 22 2" xfId="4987"/>
    <cellStyle name="Normal 3 16 22 2 2" xfId="4988"/>
    <cellStyle name="Normal 3 16 22 3" xfId="4989"/>
    <cellStyle name="Normal 3 16 23" xfId="4990"/>
    <cellStyle name="Normal 3 16 23 2" xfId="4991"/>
    <cellStyle name="Normal 3 16 23 2 2" xfId="4992"/>
    <cellStyle name="Normal 3 16 23 3" xfId="4993"/>
    <cellStyle name="Normal 3 16 24" xfId="4994"/>
    <cellStyle name="Normal 3 16 24 2" xfId="4995"/>
    <cellStyle name="Normal 3 16 25" xfId="4996"/>
    <cellStyle name="Normal 3 16 3" xfId="4997"/>
    <cellStyle name="Normal 3 16 3 2" xfId="4998"/>
    <cellStyle name="Normal 3 16 3 2 2" xfId="4999"/>
    <cellStyle name="Normal 3 16 3 3" xfId="5000"/>
    <cellStyle name="Normal 3 16 4" xfId="5001"/>
    <cellStyle name="Normal 3 16 4 2" xfId="5002"/>
    <cellStyle name="Normal 3 16 4 2 2" xfId="5003"/>
    <cellStyle name="Normal 3 16 4 3" xfId="5004"/>
    <cellStyle name="Normal 3 16 5" xfId="5005"/>
    <cellStyle name="Normal 3 16 5 2" xfId="5006"/>
    <cellStyle name="Normal 3 16 5 2 2" xfId="5007"/>
    <cellStyle name="Normal 3 16 5 3" xfId="5008"/>
    <cellStyle name="Normal 3 16 6" xfId="5009"/>
    <cellStyle name="Normal 3 16 6 2" xfId="5010"/>
    <cellStyle name="Normal 3 16 6 2 2" xfId="5011"/>
    <cellStyle name="Normal 3 16 6 3" xfId="5012"/>
    <cellStyle name="Normal 3 16 7" xfId="5013"/>
    <cellStyle name="Normal 3 16 7 2" xfId="5014"/>
    <cellStyle name="Normal 3 16 7 2 2" xfId="5015"/>
    <cellStyle name="Normal 3 16 7 3" xfId="5016"/>
    <cellStyle name="Normal 3 16 8" xfId="5017"/>
    <cellStyle name="Normal 3 16 8 2" xfId="5018"/>
    <cellStyle name="Normal 3 16 8 2 2" xfId="5019"/>
    <cellStyle name="Normal 3 16 8 3" xfId="5020"/>
    <cellStyle name="Normal 3 16 9" xfId="5021"/>
    <cellStyle name="Normal 3 16 9 2" xfId="5022"/>
    <cellStyle name="Normal 3 16 9 2 2" xfId="5023"/>
    <cellStyle name="Normal 3 16 9 3" xfId="5024"/>
    <cellStyle name="Normal 3 17" xfId="5025"/>
    <cellStyle name="Normal 3 17 10" xfId="5026"/>
    <cellStyle name="Normal 3 17 10 2" xfId="5027"/>
    <cellStyle name="Normal 3 17 10 2 2" xfId="5028"/>
    <cellStyle name="Normal 3 17 10 3" xfId="5029"/>
    <cellStyle name="Normal 3 17 11" xfId="5030"/>
    <cellStyle name="Normal 3 17 11 2" xfId="5031"/>
    <cellStyle name="Normal 3 17 11 2 2" xfId="5032"/>
    <cellStyle name="Normal 3 17 11 3" xfId="5033"/>
    <cellStyle name="Normal 3 17 12" xfId="5034"/>
    <cellStyle name="Normal 3 17 12 2" xfId="5035"/>
    <cellStyle name="Normal 3 17 12 2 2" xfId="5036"/>
    <cellStyle name="Normal 3 17 12 3" xfId="5037"/>
    <cellStyle name="Normal 3 17 13" xfId="5038"/>
    <cellStyle name="Normal 3 17 13 2" xfId="5039"/>
    <cellStyle name="Normal 3 17 13 2 2" xfId="5040"/>
    <cellStyle name="Normal 3 17 13 3" xfId="5041"/>
    <cellStyle name="Normal 3 17 14" xfId="5042"/>
    <cellStyle name="Normal 3 17 14 2" xfId="5043"/>
    <cellStyle name="Normal 3 17 14 2 2" xfId="5044"/>
    <cellStyle name="Normal 3 17 14 3" xfId="5045"/>
    <cellStyle name="Normal 3 17 15" xfId="5046"/>
    <cellStyle name="Normal 3 17 15 2" xfId="5047"/>
    <cellStyle name="Normal 3 17 15 2 2" xfId="5048"/>
    <cellStyle name="Normal 3 17 15 3" xfId="5049"/>
    <cellStyle name="Normal 3 17 16" xfId="5050"/>
    <cellStyle name="Normal 3 17 16 2" xfId="5051"/>
    <cellStyle name="Normal 3 17 16 2 2" xfId="5052"/>
    <cellStyle name="Normal 3 17 16 3" xfId="5053"/>
    <cellStyle name="Normal 3 17 17" xfId="5054"/>
    <cellStyle name="Normal 3 17 17 2" xfId="5055"/>
    <cellStyle name="Normal 3 17 17 2 2" xfId="5056"/>
    <cellStyle name="Normal 3 17 17 3" xfId="5057"/>
    <cellStyle name="Normal 3 17 18" xfId="5058"/>
    <cellStyle name="Normal 3 17 18 2" xfId="5059"/>
    <cellStyle name="Normal 3 17 18 2 2" xfId="5060"/>
    <cellStyle name="Normal 3 17 18 3" xfId="5061"/>
    <cellStyle name="Normal 3 17 19" xfId="5062"/>
    <cellStyle name="Normal 3 17 19 2" xfId="5063"/>
    <cellStyle name="Normal 3 17 19 2 2" xfId="5064"/>
    <cellStyle name="Normal 3 17 19 3" xfId="5065"/>
    <cellStyle name="Normal 3 17 2" xfId="5066"/>
    <cellStyle name="Normal 3 17 2 2" xfId="5067"/>
    <cellStyle name="Normal 3 17 2 2 2" xfId="5068"/>
    <cellStyle name="Normal 3 17 2 3" xfId="5069"/>
    <cellStyle name="Normal 3 17 20" xfId="5070"/>
    <cellStyle name="Normal 3 17 20 2" xfId="5071"/>
    <cellStyle name="Normal 3 17 20 2 2" xfId="5072"/>
    <cellStyle name="Normal 3 17 20 3" xfId="5073"/>
    <cellStyle name="Normal 3 17 21" xfId="5074"/>
    <cellStyle name="Normal 3 17 21 2" xfId="5075"/>
    <cellStyle name="Normal 3 17 21 2 2" xfId="5076"/>
    <cellStyle name="Normal 3 17 21 3" xfId="5077"/>
    <cellStyle name="Normal 3 17 22" xfId="5078"/>
    <cellStyle name="Normal 3 17 22 2" xfId="5079"/>
    <cellStyle name="Normal 3 17 22 2 2" xfId="5080"/>
    <cellStyle name="Normal 3 17 22 3" xfId="5081"/>
    <cellStyle name="Normal 3 17 23" xfId="5082"/>
    <cellStyle name="Normal 3 17 23 2" xfId="5083"/>
    <cellStyle name="Normal 3 17 23 2 2" xfId="5084"/>
    <cellStyle name="Normal 3 17 23 3" xfId="5085"/>
    <cellStyle name="Normal 3 17 24" xfId="5086"/>
    <cellStyle name="Normal 3 17 24 2" xfId="5087"/>
    <cellStyle name="Normal 3 17 25" xfId="5088"/>
    <cellStyle name="Normal 3 17 3" xfId="5089"/>
    <cellStyle name="Normal 3 17 3 2" xfId="5090"/>
    <cellStyle name="Normal 3 17 3 2 2" xfId="5091"/>
    <cellStyle name="Normal 3 17 3 3" xfId="5092"/>
    <cellStyle name="Normal 3 17 4" xfId="5093"/>
    <cellStyle name="Normal 3 17 4 2" xfId="5094"/>
    <cellStyle name="Normal 3 17 4 2 2" xfId="5095"/>
    <cellStyle name="Normal 3 17 4 3" xfId="5096"/>
    <cellStyle name="Normal 3 17 5" xfId="5097"/>
    <cellStyle name="Normal 3 17 5 2" xfId="5098"/>
    <cellStyle name="Normal 3 17 5 2 2" xfId="5099"/>
    <cellStyle name="Normal 3 17 5 3" xfId="5100"/>
    <cellStyle name="Normal 3 17 6" xfId="5101"/>
    <cellStyle name="Normal 3 17 6 2" xfId="5102"/>
    <cellStyle name="Normal 3 17 6 2 2" xfId="5103"/>
    <cellStyle name="Normal 3 17 6 3" xfId="5104"/>
    <cellStyle name="Normal 3 17 7" xfId="5105"/>
    <cellStyle name="Normal 3 17 7 2" xfId="5106"/>
    <cellStyle name="Normal 3 17 7 2 2" xfId="5107"/>
    <cellStyle name="Normal 3 17 7 3" xfId="5108"/>
    <cellStyle name="Normal 3 17 8" xfId="5109"/>
    <cellStyle name="Normal 3 17 8 2" xfId="5110"/>
    <cellStyle name="Normal 3 17 8 2 2" xfId="5111"/>
    <cellStyle name="Normal 3 17 8 3" xfId="5112"/>
    <cellStyle name="Normal 3 17 9" xfId="5113"/>
    <cellStyle name="Normal 3 17 9 2" xfId="5114"/>
    <cellStyle name="Normal 3 17 9 2 2" xfId="5115"/>
    <cellStyle name="Normal 3 17 9 3" xfId="5116"/>
    <cellStyle name="Normal 3 18" xfId="5117"/>
    <cellStyle name="Normal 3 18 10" xfId="5118"/>
    <cellStyle name="Normal 3 18 10 2" xfId="5119"/>
    <cellStyle name="Normal 3 18 10 2 2" xfId="5120"/>
    <cellStyle name="Normal 3 18 10 3" xfId="5121"/>
    <cellStyle name="Normal 3 18 11" xfId="5122"/>
    <cellStyle name="Normal 3 18 11 2" xfId="5123"/>
    <cellStyle name="Normal 3 18 11 2 2" xfId="5124"/>
    <cellStyle name="Normal 3 18 11 3" xfId="5125"/>
    <cellStyle name="Normal 3 18 12" xfId="5126"/>
    <cellStyle name="Normal 3 18 12 2" xfId="5127"/>
    <cellStyle name="Normal 3 18 12 2 2" xfId="5128"/>
    <cellStyle name="Normal 3 18 12 3" xfId="5129"/>
    <cellStyle name="Normal 3 18 13" xfId="5130"/>
    <cellStyle name="Normal 3 18 13 2" xfId="5131"/>
    <cellStyle name="Normal 3 18 13 2 2" xfId="5132"/>
    <cellStyle name="Normal 3 18 13 3" xfId="5133"/>
    <cellStyle name="Normal 3 18 14" xfId="5134"/>
    <cellStyle name="Normal 3 18 14 2" xfId="5135"/>
    <cellStyle name="Normal 3 18 14 2 2" xfId="5136"/>
    <cellStyle name="Normal 3 18 14 3" xfId="5137"/>
    <cellStyle name="Normal 3 18 15" xfId="5138"/>
    <cellStyle name="Normal 3 18 15 2" xfId="5139"/>
    <cellStyle name="Normal 3 18 15 2 2" xfId="5140"/>
    <cellStyle name="Normal 3 18 15 3" xfId="5141"/>
    <cellStyle name="Normal 3 18 16" xfId="5142"/>
    <cellStyle name="Normal 3 18 16 2" xfId="5143"/>
    <cellStyle name="Normal 3 18 16 2 2" xfId="5144"/>
    <cellStyle name="Normal 3 18 16 3" xfId="5145"/>
    <cellStyle name="Normal 3 18 17" xfId="5146"/>
    <cellStyle name="Normal 3 18 17 2" xfId="5147"/>
    <cellStyle name="Normal 3 18 17 2 2" xfId="5148"/>
    <cellStyle name="Normal 3 18 17 3" xfId="5149"/>
    <cellStyle name="Normal 3 18 18" xfId="5150"/>
    <cellStyle name="Normal 3 18 18 2" xfId="5151"/>
    <cellStyle name="Normal 3 18 18 2 2" xfId="5152"/>
    <cellStyle name="Normal 3 18 18 3" xfId="5153"/>
    <cellStyle name="Normal 3 18 19" xfId="5154"/>
    <cellStyle name="Normal 3 18 19 2" xfId="5155"/>
    <cellStyle name="Normal 3 18 19 2 2" xfId="5156"/>
    <cellStyle name="Normal 3 18 19 3" xfId="5157"/>
    <cellStyle name="Normal 3 18 2" xfId="5158"/>
    <cellStyle name="Normal 3 18 2 2" xfId="5159"/>
    <cellStyle name="Normal 3 18 2 2 2" xfId="5160"/>
    <cellStyle name="Normal 3 18 2 3" xfId="5161"/>
    <cellStyle name="Normal 3 18 20" xfId="5162"/>
    <cellStyle name="Normal 3 18 20 2" xfId="5163"/>
    <cellStyle name="Normal 3 18 20 2 2" xfId="5164"/>
    <cellStyle name="Normal 3 18 20 3" xfId="5165"/>
    <cellStyle name="Normal 3 18 21" xfId="5166"/>
    <cellStyle name="Normal 3 18 21 2" xfId="5167"/>
    <cellStyle name="Normal 3 18 21 2 2" xfId="5168"/>
    <cellStyle name="Normal 3 18 21 3" xfId="5169"/>
    <cellStyle name="Normal 3 18 22" xfId="5170"/>
    <cellStyle name="Normal 3 18 22 2" xfId="5171"/>
    <cellStyle name="Normal 3 18 22 2 2" xfId="5172"/>
    <cellStyle name="Normal 3 18 22 3" xfId="5173"/>
    <cellStyle name="Normal 3 18 23" xfId="5174"/>
    <cellStyle name="Normal 3 18 23 2" xfId="5175"/>
    <cellStyle name="Normal 3 18 23 2 2" xfId="5176"/>
    <cellStyle name="Normal 3 18 23 3" xfId="5177"/>
    <cellStyle name="Normal 3 18 24" xfId="5178"/>
    <cellStyle name="Normal 3 18 24 2" xfId="5179"/>
    <cellStyle name="Normal 3 18 25" xfId="5180"/>
    <cellStyle name="Normal 3 18 3" xfId="5181"/>
    <cellStyle name="Normal 3 18 3 2" xfId="5182"/>
    <cellStyle name="Normal 3 18 3 2 2" xfId="5183"/>
    <cellStyle name="Normal 3 18 3 3" xfId="5184"/>
    <cellStyle name="Normal 3 18 4" xfId="5185"/>
    <cellStyle name="Normal 3 18 4 2" xfId="5186"/>
    <cellStyle name="Normal 3 18 4 2 2" xfId="5187"/>
    <cellStyle name="Normal 3 18 4 3" xfId="5188"/>
    <cellStyle name="Normal 3 18 5" xfId="5189"/>
    <cellStyle name="Normal 3 18 5 2" xfId="5190"/>
    <cellStyle name="Normal 3 18 5 2 2" xfId="5191"/>
    <cellStyle name="Normal 3 18 5 3" xfId="5192"/>
    <cellStyle name="Normal 3 18 6" xfId="5193"/>
    <cellStyle name="Normal 3 18 6 2" xfId="5194"/>
    <cellStyle name="Normal 3 18 6 2 2" xfId="5195"/>
    <cellStyle name="Normal 3 18 6 3" xfId="5196"/>
    <cellStyle name="Normal 3 18 7" xfId="5197"/>
    <cellStyle name="Normal 3 18 7 2" xfId="5198"/>
    <cellStyle name="Normal 3 18 7 2 2" xfId="5199"/>
    <cellStyle name="Normal 3 18 7 3" xfId="5200"/>
    <cellStyle name="Normal 3 18 8" xfId="5201"/>
    <cellStyle name="Normal 3 18 8 2" xfId="5202"/>
    <cellStyle name="Normal 3 18 8 2 2" xfId="5203"/>
    <cellStyle name="Normal 3 18 8 3" xfId="5204"/>
    <cellStyle name="Normal 3 18 9" xfId="5205"/>
    <cellStyle name="Normal 3 18 9 2" xfId="5206"/>
    <cellStyle name="Normal 3 18 9 2 2" xfId="5207"/>
    <cellStyle name="Normal 3 18 9 3" xfId="5208"/>
    <cellStyle name="Normal 3 19" xfId="5209"/>
    <cellStyle name="Normal 3 19 10" xfId="5210"/>
    <cellStyle name="Normal 3 19 10 2" xfId="5211"/>
    <cellStyle name="Normal 3 19 10 2 2" xfId="5212"/>
    <cellStyle name="Normal 3 19 10 3" xfId="5213"/>
    <cellStyle name="Normal 3 19 11" xfId="5214"/>
    <cellStyle name="Normal 3 19 11 2" xfId="5215"/>
    <cellStyle name="Normal 3 19 11 2 2" xfId="5216"/>
    <cellStyle name="Normal 3 19 11 3" xfId="5217"/>
    <cellStyle name="Normal 3 19 12" xfId="5218"/>
    <cellStyle name="Normal 3 19 12 2" xfId="5219"/>
    <cellStyle name="Normal 3 19 12 2 2" xfId="5220"/>
    <cellStyle name="Normal 3 19 12 3" xfId="5221"/>
    <cellStyle name="Normal 3 19 13" xfId="5222"/>
    <cellStyle name="Normal 3 19 13 2" xfId="5223"/>
    <cellStyle name="Normal 3 19 13 2 2" xfId="5224"/>
    <cellStyle name="Normal 3 19 13 3" xfId="5225"/>
    <cellStyle name="Normal 3 19 14" xfId="5226"/>
    <cellStyle name="Normal 3 19 14 2" xfId="5227"/>
    <cellStyle name="Normal 3 19 14 2 2" xfId="5228"/>
    <cellStyle name="Normal 3 19 14 3" xfId="5229"/>
    <cellStyle name="Normal 3 19 15" xfId="5230"/>
    <cellStyle name="Normal 3 19 15 2" xfId="5231"/>
    <cellStyle name="Normal 3 19 15 2 2" xfId="5232"/>
    <cellStyle name="Normal 3 19 15 3" xfId="5233"/>
    <cellStyle name="Normal 3 19 16" xfId="5234"/>
    <cellStyle name="Normal 3 19 16 2" xfId="5235"/>
    <cellStyle name="Normal 3 19 16 2 2" xfId="5236"/>
    <cellStyle name="Normal 3 19 16 3" xfId="5237"/>
    <cellStyle name="Normal 3 19 17" xfId="5238"/>
    <cellStyle name="Normal 3 19 17 2" xfId="5239"/>
    <cellStyle name="Normal 3 19 17 2 2" xfId="5240"/>
    <cellStyle name="Normal 3 19 17 3" xfId="5241"/>
    <cellStyle name="Normal 3 19 18" xfId="5242"/>
    <cellStyle name="Normal 3 19 18 2" xfId="5243"/>
    <cellStyle name="Normal 3 19 18 2 2" xfId="5244"/>
    <cellStyle name="Normal 3 19 18 3" xfId="5245"/>
    <cellStyle name="Normal 3 19 19" xfId="5246"/>
    <cellStyle name="Normal 3 19 19 2" xfId="5247"/>
    <cellStyle name="Normal 3 19 19 2 2" xfId="5248"/>
    <cellStyle name="Normal 3 19 19 3" xfId="5249"/>
    <cellStyle name="Normal 3 19 2" xfId="5250"/>
    <cellStyle name="Normal 3 19 2 2" xfId="5251"/>
    <cellStyle name="Normal 3 19 2 2 2" xfId="5252"/>
    <cellStyle name="Normal 3 19 2 3" xfId="5253"/>
    <cellStyle name="Normal 3 19 20" xfId="5254"/>
    <cellStyle name="Normal 3 19 20 2" xfId="5255"/>
    <cellStyle name="Normal 3 19 20 2 2" xfId="5256"/>
    <cellStyle name="Normal 3 19 20 3" xfId="5257"/>
    <cellStyle name="Normal 3 19 21" xfId="5258"/>
    <cellStyle name="Normal 3 19 21 2" xfId="5259"/>
    <cellStyle name="Normal 3 19 21 2 2" xfId="5260"/>
    <cellStyle name="Normal 3 19 21 3" xfId="5261"/>
    <cellStyle name="Normal 3 19 22" xfId="5262"/>
    <cellStyle name="Normal 3 19 22 2" xfId="5263"/>
    <cellStyle name="Normal 3 19 22 2 2" xfId="5264"/>
    <cellStyle name="Normal 3 19 22 3" xfId="5265"/>
    <cellStyle name="Normal 3 19 23" xfId="5266"/>
    <cellStyle name="Normal 3 19 23 2" xfId="5267"/>
    <cellStyle name="Normal 3 19 23 2 2" xfId="5268"/>
    <cellStyle name="Normal 3 19 23 3" xfId="5269"/>
    <cellStyle name="Normal 3 19 24" xfId="5270"/>
    <cellStyle name="Normal 3 19 24 2" xfId="5271"/>
    <cellStyle name="Normal 3 19 25" xfId="5272"/>
    <cellStyle name="Normal 3 19 3" xfId="5273"/>
    <cellStyle name="Normal 3 19 3 2" xfId="5274"/>
    <cellStyle name="Normal 3 19 3 2 2" xfId="5275"/>
    <cellStyle name="Normal 3 19 3 3" xfId="5276"/>
    <cellStyle name="Normal 3 19 4" xfId="5277"/>
    <cellStyle name="Normal 3 19 4 2" xfId="5278"/>
    <cellStyle name="Normal 3 19 4 2 2" xfId="5279"/>
    <cellStyle name="Normal 3 19 4 3" xfId="5280"/>
    <cellStyle name="Normal 3 19 5" xfId="5281"/>
    <cellStyle name="Normal 3 19 5 2" xfId="5282"/>
    <cellStyle name="Normal 3 19 5 2 2" xfId="5283"/>
    <cellStyle name="Normal 3 19 5 3" xfId="5284"/>
    <cellStyle name="Normal 3 19 6" xfId="5285"/>
    <cellStyle name="Normal 3 19 6 2" xfId="5286"/>
    <cellStyle name="Normal 3 19 6 2 2" xfId="5287"/>
    <cellStyle name="Normal 3 19 6 3" xfId="5288"/>
    <cellStyle name="Normal 3 19 7" xfId="5289"/>
    <cellStyle name="Normal 3 19 7 2" xfId="5290"/>
    <cellStyle name="Normal 3 19 7 2 2" xfId="5291"/>
    <cellStyle name="Normal 3 19 7 3" xfId="5292"/>
    <cellStyle name="Normal 3 19 8" xfId="5293"/>
    <cellStyle name="Normal 3 19 8 2" xfId="5294"/>
    <cellStyle name="Normal 3 19 8 2 2" xfId="5295"/>
    <cellStyle name="Normal 3 19 8 3" xfId="5296"/>
    <cellStyle name="Normal 3 19 9" xfId="5297"/>
    <cellStyle name="Normal 3 19 9 2" xfId="5298"/>
    <cellStyle name="Normal 3 19 9 2 2" xfId="5299"/>
    <cellStyle name="Normal 3 19 9 3" xfId="5300"/>
    <cellStyle name="Normal 3 2" xfId="189"/>
    <cellStyle name="Normal 3 2 10" xfId="5301"/>
    <cellStyle name="Normal 3 2 10 2" xfId="5302"/>
    <cellStyle name="Normal 3 2 10 2 2" xfId="5303"/>
    <cellStyle name="Normal 3 2 10 3" xfId="5304"/>
    <cellStyle name="Normal 3 2 11" xfId="5305"/>
    <cellStyle name="Normal 3 2 11 2" xfId="5306"/>
    <cellStyle name="Normal 3 2 11 2 2" xfId="5307"/>
    <cellStyle name="Normal 3 2 11 3" xfId="5308"/>
    <cellStyle name="Normal 3 2 12" xfId="5309"/>
    <cellStyle name="Normal 3 2 12 2" xfId="5310"/>
    <cellStyle name="Normal 3 2 12 2 2" xfId="5311"/>
    <cellStyle name="Normal 3 2 12 3" xfId="5312"/>
    <cellStyle name="Normal 3 2 13" xfId="5313"/>
    <cellStyle name="Normal 3 2 13 2" xfId="5314"/>
    <cellStyle name="Normal 3 2 13 2 2" xfId="5315"/>
    <cellStyle name="Normal 3 2 13 3" xfId="5316"/>
    <cellStyle name="Normal 3 2 14" xfId="5317"/>
    <cellStyle name="Normal 3 2 14 2" xfId="5318"/>
    <cellStyle name="Normal 3 2 14 2 2" xfId="5319"/>
    <cellStyle name="Normal 3 2 14 3" xfId="5320"/>
    <cellStyle name="Normal 3 2 15" xfId="5321"/>
    <cellStyle name="Normal 3 2 15 2" xfId="5322"/>
    <cellStyle name="Normal 3 2 15 2 2" xfId="5323"/>
    <cellStyle name="Normal 3 2 15 3" xfId="5324"/>
    <cellStyle name="Normal 3 2 16" xfId="5325"/>
    <cellStyle name="Normal 3 2 16 2" xfId="5326"/>
    <cellStyle name="Normal 3 2 16 2 2" xfId="5327"/>
    <cellStyle name="Normal 3 2 16 3" xfId="5328"/>
    <cellStyle name="Normal 3 2 17" xfId="5329"/>
    <cellStyle name="Normal 3 2 17 2" xfId="5330"/>
    <cellStyle name="Normal 3 2 17 2 2" xfId="5331"/>
    <cellStyle name="Normal 3 2 17 3" xfId="5332"/>
    <cellStyle name="Normal 3 2 18" xfId="5333"/>
    <cellStyle name="Normal 3 2 18 2" xfId="5334"/>
    <cellStyle name="Normal 3 2 18 2 2" xfId="5335"/>
    <cellStyle name="Normal 3 2 18 3" xfId="5336"/>
    <cellStyle name="Normal 3 2 19" xfId="5337"/>
    <cellStyle name="Normal 3 2 19 2" xfId="5338"/>
    <cellStyle name="Normal 3 2 19 2 2" xfId="5339"/>
    <cellStyle name="Normal 3 2 19 3" xfId="5340"/>
    <cellStyle name="Normal 3 2 2" xfId="190"/>
    <cellStyle name="Normal 3 2 2 10" xfId="5341"/>
    <cellStyle name="Normal 3 2 2 10 2" xfId="5342"/>
    <cellStyle name="Normal 3 2 2 10 2 2" xfId="5343"/>
    <cellStyle name="Normal 3 2 2 10 3" xfId="5344"/>
    <cellStyle name="Normal 3 2 2 11" xfId="5345"/>
    <cellStyle name="Normal 3 2 2 11 2" xfId="5346"/>
    <cellStyle name="Normal 3 2 2 11 2 2" xfId="5347"/>
    <cellStyle name="Normal 3 2 2 11 3" xfId="5348"/>
    <cellStyle name="Normal 3 2 2 12" xfId="5349"/>
    <cellStyle name="Normal 3 2 2 12 2" xfId="5350"/>
    <cellStyle name="Normal 3 2 2 12 2 2" xfId="5351"/>
    <cellStyle name="Normal 3 2 2 12 3" xfId="5352"/>
    <cellStyle name="Normal 3 2 2 13" xfId="5353"/>
    <cellStyle name="Normal 3 2 2 13 2" xfId="5354"/>
    <cellStyle name="Normal 3 2 2 13 2 2" xfId="5355"/>
    <cellStyle name="Normal 3 2 2 13 3" xfId="5356"/>
    <cellStyle name="Normal 3 2 2 14" xfId="5357"/>
    <cellStyle name="Normal 3 2 2 14 2" xfId="5358"/>
    <cellStyle name="Normal 3 2 2 14 2 2" xfId="5359"/>
    <cellStyle name="Normal 3 2 2 14 3" xfId="5360"/>
    <cellStyle name="Normal 3 2 2 15" xfId="5361"/>
    <cellStyle name="Normal 3 2 2 15 2" xfId="5362"/>
    <cellStyle name="Normal 3 2 2 15 2 2" xfId="5363"/>
    <cellStyle name="Normal 3 2 2 15 3" xfId="5364"/>
    <cellStyle name="Normal 3 2 2 16" xfId="5365"/>
    <cellStyle name="Normal 3 2 2 16 2" xfId="5366"/>
    <cellStyle name="Normal 3 2 2 16 2 2" xfId="5367"/>
    <cellStyle name="Normal 3 2 2 16 3" xfId="5368"/>
    <cellStyle name="Normal 3 2 2 17" xfId="5369"/>
    <cellStyle name="Normal 3 2 2 17 2" xfId="5370"/>
    <cellStyle name="Normal 3 2 2 17 2 2" xfId="5371"/>
    <cellStyle name="Normal 3 2 2 17 3" xfId="5372"/>
    <cellStyle name="Normal 3 2 2 18" xfId="5373"/>
    <cellStyle name="Normal 3 2 2 18 2" xfId="5374"/>
    <cellStyle name="Normal 3 2 2 18 2 2" xfId="5375"/>
    <cellStyle name="Normal 3 2 2 18 3" xfId="5376"/>
    <cellStyle name="Normal 3 2 2 19" xfId="5377"/>
    <cellStyle name="Normal 3 2 2 19 2" xfId="5378"/>
    <cellStyle name="Normal 3 2 2 19 2 2" xfId="5379"/>
    <cellStyle name="Normal 3 2 2 19 3" xfId="5380"/>
    <cellStyle name="Normal 3 2 2 2" xfId="5381"/>
    <cellStyle name="Normal 3 2 2 2 2" xfId="5382"/>
    <cellStyle name="Normal 3 2 2 2 2 2" xfId="5383"/>
    <cellStyle name="Normal 3 2 2 2 3" xfId="5384"/>
    <cellStyle name="Normal 3 2 2 20" xfId="5385"/>
    <cellStyle name="Normal 3 2 2 20 2" xfId="5386"/>
    <cellStyle name="Normal 3 2 2 20 2 2" xfId="5387"/>
    <cellStyle name="Normal 3 2 2 20 3" xfId="5388"/>
    <cellStyle name="Normal 3 2 2 21" xfId="5389"/>
    <cellStyle name="Normal 3 2 2 21 2" xfId="5390"/>
    <cellStyle name="Normal 3 2 2 21 2 2" xfId="5391"/>
    <cellStyle name="Normal 3 2 2 21 3" xfId="5392"/>
    <cellStyle name="Normal 3 2 2 22" xfId="5393"/>
    <cellStyle name="Normal 3 2 2 22 2" xfId="5394"/>
    <cellStyle name="Normal 3 2 2 22 2 2" xfId="5395"/>
    <cellStyle name="Normal 3 2 2 22 3" xfId="5396"/>
    <cellStyle name="Normal 3 2 2 23" xfId="5397"/>
    <cellStyle name="Normal 3 2 2 23 2" xfId="5398"/>
    <cellStyle name="Normal 3 2 2 23 2 2" xfId="5399"/>
    <cellStyle name="Normal 3 2 2 23 3" xfId="5400"/>
    <cellStyle name="Normal 3 2 2 24" xfId="5401"/>
    <cellStyle name="Normal 3 2 2 24 2" xfId="5402"/>
    <cellStyle name="Normal 3 2 2 24 2 2" xfId="5403"/>
    <cellStyle name="Normal 3 2 2 24 3" xfId="5404"/>
    <cellStyle name="Normal 3 2 2 25" xfId="5405"/>
    <cellStyle name="Normal 3 2 2 25 2" xfId="5406"/>
    <cellStyle name="Normal 3 2 2 25 2 2" xfId="5407"/>
    <cellStyle name="Normal 3 2 2 25 3" xfId="5408"/>
    <cellStyle name="Normal 3 2 2 26" xfId="5409"/>
    <cellStyle name="Normal 3 2 2 26 2" xfId="5410"/>
    <cellStyle name="Normal 3 2 2 26 2 2" xfId="5411"/>
    <cellStyle name="Normal 3 2 2 26 3" xfId="5412"/>
    <cellStyle name="Normal 3 2 2 27" xfId="5413"/>
    <cellStyle name="Normal 3 2 2 27 2" xfId="5414"/>
    <cellStyle name="Normal 3 2 2 27 2 2" xfId="5415"/>
    <cellStyle name="Normal 3 2 2 27 3" xfId="5416"/>
    <cellStyle name="Normal 3 2 2 28" xfId="5417"/>
    <cellStyle name="Normal 3 2 2 28 2" xfId="5418"/>
    <cellStyle name="Normal 3 2 2 28 2 2" xfId="5419"/>
    <cellStyle name="Normal 3 2 2 28 3" xfId="5420"/>
    <cellStyle name="Normal 3 2 2 29" xfId="5421"/>
    <cellStyle name="Normal 3 2 2 29 2" xfId="5422"/>
    <cellStyle name="Normal 3 2 2 29 2 2" xfId="5423"/>
    <cellStyle name="Normal 3 2 2 29 3" xfId="5424"/>
    <cellStyle name="Normal 3 2 2 3" xfId="5425"/>
    <cellStyle name="Normal 3 2 2 3 2" xfId="5426"/>
    <cellStyle name="Normal 3 2 2 3 2 2" xfId="5427"/>
    <cellStyle name="Normal 3 2 2 3 3" xfId="5428"/>
    <cellStyle name="Normal 3 2 2 30" xfId="5429"/>
    <cellStyle name="Normal 3 2 2 30 2" xfId="5430"/>
    <cellStyle name="Normal 3 2 2 30 2 2" xfId="5431"/>
    <cellStyle name="Normal 3 2 2 30 3" xfId="5432"/>
    <cellStyle name="Normal 3 2 2 31" xfId="5433"/>
    <cellStyle name="Normal 3 2 2 31 2" xfId="5434"/>
    <cellStyle name="Normal 3 2 2 31 2 2" xfId="5435"/>
    <cellStyle name="Normal 3 2 2 31 3" xfId="5436"/>
    <cellStyle name="Normal 3 2 2 32" xfId="5437"/>
    <cellStyle name="Normal 3 2 2 32 2" xfId="5438"/>
    <cellStyle name="Normal 3 2 2 32 2 2" xfId="5439"/>
    <cellStyle name="Normal 3 2 2 32 3" xfId="5440"/>
    <cellStyle name="Normal 3 2 2 33" xfId="5441"/>
    <cellStyle name="Normal 3 2 2 33 2" xfId="5442"/>
    <cellStyle name="Normal 3 2 2 33 2 2" xfId="5443"/>
    <cellStyle name="Normal 3 2 2 33 3" xfId="5444"/>
    <cellStyle name="Normal 3 2 2 34" xfId="5445"/>
    <cellStyle name="Normal 3 2 2 34 2" xfId="5446"/>
    <cellStyle name="Normal 3 2 2 35" xfId="5447"/>
    <cellStyle name="Normal 3 2 2 4" xfId="5448"/>
    <cellStyle name="Normal 3 2 2 4 2" xfId="5449"/>
    <cellStyle name="Normal 3 2 2 4 2 2" xfId="5450"/>
    <cellStyle name="Normal 3 2 2 4 3" xfId="5451"/>
    <cellStyle name="Normal 3 2 2 5" xfId="5452"/>
    <cellStyle name="Normal 3 2 2 5 2" xfId="5453"/>
    <cellStyle name="Normal 3 2 2 5 2 2" xfId="5454"/>
    <cellStyle name="Normal 3 2 2 5 3" xfId="5455"/>
    <cellStyle name="Normal 3 2 2 6" xfId="5456"/>
    <cellStyle name="Normal 3 2 2 6 2" xfId="5457"/>
    <cellStyle name="Normal 3 2 2 6 2 2" xfId="5458"/>
    <cellStyle name="Normal 3 2 2 6 3" xfId="5459"/>
    <cellStyle name="Normal 3 2 2 7" xfId="5460"/>
    <cellStyle name="Normal 3 2 2 7 2" xfId="5461"/>
    <cellStyle name="Normal 3 2 2 7 2 2" xfId="5462"/>
    <cellStyle name="Normal 3 2 2 7 3" xfId="5463"/>
    <cellStyle name="Normal 3 2 2 8" xfId="5464"/>
    <cellStyle name="Normal 3 2 2 8 2" xfId="5465"/>
    <cellStyle name="Normal 3 2 2 8 2 2" xfId="5466"/>
    <cellStyle name="Normal 3 2 2 8 3" xfId="5467"/>
    <cellStyle name="Normal 3 2 2 9" xfId="5468"/>
    <cellStyle name="Normal 3 2 2 9 2" xfId="5469"/>
    <cellStyle name="Normal 3 2 2 9 2 2" xfId="5470"/>
    <cellStyle name="Normal 3 2 2 9 3" xfId="5471"/>
    <cellStyle name="Normal 3 2 20" xfId="5472"/>
    <cellStyle name="Normal 3 2 20 2" xfId="5473"/>
    <cellStyle name="Normal 3 2 20 2 2" xfId="5474"/>
    <cellStyle name="Normal 3 2 20 3" xfId="5475"/>
    <cellStyle name="Normal 3 2 21" xfId="5476"/>
    <cellStyle name="Normal 3 2 21 2" xfId="5477"/>
    <cellStyle name="Normal 3 2 21 2 2" xfId="5478"/>
    <cellStyle name="Normal 3 2 21 3" xfId="5479"/>
    <cellStyle name="Normal 3 2 22" xfId="5480"/>
    <cellStyle name="Normal 3 2 22 2" xfId="5481"/>
    <cellStyle name="Normal 3 2 22 2 2" xfId="5482"/>
    <cellStyle name="Normal 3 2 22 3" xfId="5483"/>
    <cellStyle name="Normal 3 2 23" xfId="5484"/>
    <cellStyle name="Normal 3 2 23 2" xfId="5485"/>
    <cellStyle name="Normal 3 2 23 2 2" xfId="5486"/>
    <cellStyle name="Normal 3 2 23 3" xfId="5487"/>
    <cellStyle name="Normal 3 2 24" xfId="5488"/>
    <cellStyle name="Normal 3 2 24 2" xfId="5489"/>
    <cellStyle name="Normal 3 2 24 2 2" xfId="5490"/>
    <cellStyle name="Normal 3 2 24 3" xfId="5491"/>
    <cellStyle name="Normal 3 2 25" xfId="5492"/>
    <cellStyle name="Normal 3 2 25 2" xfId="5493"/>
    <cellStyle name="Normal 3 2 25 2 2" xfId="5494"/>
    <cellStyle name="Normal 3 2 25 3" xfId="5495"/>
    <cellStyle name="Normal 3 2 26" xfId="5496"/>
    <cellStyle name="Normal 3 2 26 2" xfId="5497"/>
    <cellStyle name="Normal 3 2 26 2 2" xfId="5498"/>
    <cellStyle name="Normal 3 2 26 3" xfId="5499"/>
    <cellStyle name="Normal 3 2 27" xfId="5500"/>
    <cellStyle name="Normal 3 2 27 2" xfId="5501"/>
    <cellStyle name="Normal 3 2 27 2 2" xfId="5502"/>
    <cellStyle name="Normal 3 2 27 3" xfId="5503"/>
    <cellStyle name="Normal 3 2 28" xfId="5504"/>
    <cellStyle name="Normal 3 2 28 2" xfId="5505"/>
    <cellStyle name="Normal 3 2 28 2 2" xfId="5506"/>
    <cellStyle name="Normal 3 2 28 3" xfId="5507"/>
    <cellStyle name="Normal 3 2 29" xfId="5508"/>
    <cellStyle name="Normal 3 2 29 2" xfId="5509"/>
    <cellStyle name="Normal 3 2 29 2 2" xfId="5510"/>
    <cellStyle name="Normal 3 2 29 3" xfId="5511"/>
    <cellStyle name="Normal 3 2 3" xfId="330"/>
    <cellStyle name="Normal 3 2 3 2" xfId="5512"/>
    <cellStyle name="Normal 3 2 3 2 2" xfId="5513"/>
    <cellStyle name="Normal 3 2 3 3" xfId="5514"/>
    <cellStyle name="Normal 3 2 30" xfId="5515"/>
    <cellStyle name="Normal 3 2 30 2" xfId="5516"/>
    <cellStyle name="Normal 3 2 30 2 2" xfId="5517"/>
    <cellStyle name="Normal 3 2 30 3" xfId="5518"/>
    <cellStyle name="Normal 3 2 31" xfId="5519"/>
    <cellStyle name="Normal 3 2 31 2" xfId="5520"/>
    <cellStyle name="Normal 3 2 31 2 2" xfId="5521"/>
    <cellStyle name="Normal 3 2 31 3" xfId="5522"/>
    <cellStyle name="Normal 3 2 32" xfId="5523"/>
    <cellStyle name="Normal 3 2 32 2" xfId="5524"/>
    <cellStyle name="Normal 3 2 32 2 2" xfId="5525"/>
    <cellStyle name="Normal 3 2 32 3" xfId="5526"/>
    <cellStyle name="Normal 3 2 33" xfId="5527"/>
    <cellStyle name="Normal 3 2 33 2" xfId="5528"/>
    <cellStyle name="Normal 3 2 33 2 2" xfId="5529"/>
    <cellStyle name="Normal 3 2 33 3" xfId="5530"/>
    <cellStyle name="Normal 3 2 34" xfId="5531"/>
    <cellStyle name="Normal 3 2 34 2" xfId="5532"/>
    <cellStyle name="Normal 3 2 34 2 2" xfId="5533"/>
    <cellStyle name="Normal 3 2 34 3" xfId="5534"/>
    <cellStyle name="Normal 3 2 35" xfId="5535"/>
    <cellStyle name="Normal 3 2 35 2" xfId="5536"/>
    <cellStyle name="Normal 3 2 35 2 2" xfId="5537"/>
    <cellStyle name="Normal 3 2 35 3" xfId="5538"/>
    <cellStyle name="Normal 3 2 36" xfId="5539"/>
    <cellStyle name="Normal 3 2 36 2" xfId="5540"/>
    <cellStyle name="Normal 3 2 36 2 2" xfId="5541"/>
    <cellStyle name="Normal 3 2 36 3" xfId="5542"/>
    <cellStyle name="Normal 3 2 37" xfId="5543"/>
    <cellStyle name="Normal 3 2 37 2" xfId="5544"/>
    <cellStyle name="Normal 3 2 37 2 2" xfId="5545"/>
    <cellStyle name="Normal 3 2 37 3" xfId="5546"/>
    <cellStyle name="Normal 3 2 38" xfId="5547"/>
    <cellStyle name="Normal 3 2 38 2" xfId="5548"/>
    <cellStyle name="Normal 3 2 38 2 2" xfId="5549"/>
    <cellStyle name="Normal 3 2 38 3" xfId="5550"/>
    <cellStyle name="Normal 3 2 39" xfId="5551"/>
    <cellStyle name="Normal 3 2 39 2" xfId="5552"/>
    <cellStyle name="Normal 3 2 39 2 2" xfId="5553"/>
    <cellStyle name="Normal 3 2 39 3" xfId="5554"/>
    <cellStyle name="Normal 3 2 4" xfId="5555"/>
    <cellStyle name="Normal 3 2 4 2" xfId="5556"/>
    <cellStyle name="Normal 3 2 4 2 2" xfId="5557"/>
    <cellStyle name="Normal 3 2 4 3" xfId="5558"/>
    <cellStyle name="Normal 3 2 40" xfId="5559"/>
    <cellStyle name="Normal 3 2 40 2" xfId="5560"/>
    <cellStyle name="Normal 3 2 40 2 2" xfId="5561"/>
    <cellStyle name="Normal 3 2 40 3" xfId="5562"/>
    <cellStyle name="Normal 3 2 41" xfId="5563"/>
    <cellStyle name="Normal 3 2 41 2" xfId="5564"/>
    <cellStyle name="Normal 3 2 41 2 2" xfId="5565"/>
    <cellStyle name="Normal 3 2 41 3" xfId="5566"/>
    <cellStyle name="Normal 3 2 42" xfId="5567"/>
    <cellStyle name="Normal 3 2 42 2" xfId="5568"/>
    <cellStyle name="Normal 3 2 42 2 2" xfId="5569"/>
    <cellStyle name="Normal 3 2 42 3" xfId="5570"/>
    <cellStyle name="Normal 3 2 43" xfId="5571"/>
    <cellStyle name="Normal 3 2 43 2" xfId="5572"/>
    <cellStyle name="Normal 3 2 43 2 2" xfId="5573"/>
    <cellStyle name="Normal 3 2 43 3" xfId="5574"/>
    <cellStyle name="Normal 3 2 44" xfId="5575"/>
    <cellStyle name="Normal 3 2 44 2" xfId="5576"/>
    <cellStyle name="Normal 3 2 44 2 2" xfId="5577"/>
    <cellStyle name="Normal 3 2 44 3" xfId="5578"/>
    <cellStyle name="Normal 3 2 45" xfId="5579"/>
    <cellStyle name="Normal 3 2 45 2" xfId="5580"/>
    <cellStyle name="Normal 3 2 45 2 2" xfId="5581"/>
    <cellStyle name="Normal 3 2 45 3" xfId="5582"/>
    <cellStyle name="Normal 3 2 46" xfId="5583"/>
    <cellStyle name="Normal 3 2 46 2" xfId="5584"/>
    <cellStyle name="Normal 3 2 46 2 2" xfId="5585"/>
    <cellStyle name="Normal 3 2 46 3" xfId="5586"/>
    <cellStyle name="Normal 3 2 47" xfId="5587"/>
    <cellStyle name="Normal 3 2 47 2" xfId="5588"/>
    <cellStyle name="Normal 3 2 47 2 2" xfId="5589"/>
    <cellStyle name="Normal 3 2 47 3" xfId="5590"/>
    <cellStyle name="Normal 3 2 48" xfId="5591"/>
    <cellStyle name="Normal 3 2 48 2" xfId="5592"/>
    <cellStyle name="Normal 3 2 48 2 2" xfId="5593"/>
    <cellStyle name="Normal 3 2 48 3" xfId="5594"/>
    <cellStyle name="Normal 3 2 49" xfId="5595"/>
    <cellStyle name="Normal 3 2 49 2" xfId="5596"/>
    <cellStyle name="Normal 3 2 49 2 2" xfId="5597"/>
    <cellStyle name="Normal 3 2 49 3" xfId="5598"/>
    <cellStyle name="Normal 3 2 5" xfId="5599"/>
    <cellStyle name="Normal 3 2 5 2" xfId="5600"/>
    <cellStyle name="Normal 3 2 5 2 2" xfId="5601"/>
    <cellStyle name="Normal 3 2 5 3" xfId="5602"/>
    <cellStyle name="Normal 3 2 50" xfId="5603"/>
    <cellStyle name="Normal 3 2 50 2" xfId="5604"/>
    <cellStyle name="Normal 3 2 50 2 2" xfId="5605"/>
    <cellStyle name="Normal 3 2 50 3" xfId="5606"/>
    <cellStyle name="Normal 3 2 51" xfId="5607"/>
    <cellStyle name="Normal 3 2 51 2" xfId="5608"/>
    <cellStyle name="Normal 3 2 51 2 2" xfId="5609"/>
    <cellStyle name="Normal 3 2 51 3" xfId="5610"/>
    <cellStyle name="Normal 3 2 52" xfId="5611"/>
    <cellStyle name="Normal 3 2 52 2" xfId="5612"/>
    <cellStyle name="Normal 3 2 52 2 2" xfId="5613"/>
    <cellStyle name="Normal 3 2 52 3" xfId="5614"/>
    <cellStyle name="Normal 3 2 53" xfId="5615"/>
    <cellStyle name="Normal 3 2 53 2" xfId="5616"/>
    <cellStyle name="Normal 3 2 53 2 2" xfId="5617"/>
    <cellStyle name="Normal 3 2 53 3" xfId="5618"/>
    <cellStyle name="Normal 3 2 54" xfId="5619"/>
    <cellStyle name="Normal 3 2 54 2" xfId="5620"/>
    <cellStyle name="Normal 3 2 54 2 2" xfId="5621"/>
    <cellStyle name="Normal 3 2 54 3" xfId="5622"/>
    <cellStyle name="Normal 3 2 55" xfId="5623"/>
    <cellStyle name="Normal 3 2 55 2" xfId="5624"/>
    <cellStyle name="Normal 3 2 55 2 2" xfId="5625"/>
    <cellStyle name="Normal 3 2 55 3" xfId="5626"/>
    <cellStyle name="Normal 3 2 56" xfId="5627"/>
    <cellStyle name="Normal 3 2 57" xfId="5628"/>
    <cellStyle name="Normal 3 2 57 2" xfId="5629"/>
    <cellStyle name="Normal 3 2 58" xfId="5630"/>
    <cellStyle name="Normal 3 2 59" xfId="5631"/>
    <cellStyle name="Normal 3 2 6" xfId="5632"/>
    <cellStyle name="Normal 3 2 6 2" xfId="5633"/>
    <cellStyle name="Normal 3 2 6 2 2" xfId="5634"/>
    <cellStyle name="Normal 3 2 6 3" xfId="5635"/>
    <cellStyle name="Normal 3 2 60" xfId="5636"/>
    <cellStyle name="Normal 3 2 7" xfId="5637"/>
    <cellStyle name="Normal 3 2 7 2" xfId="5638"/>
    <cellStyle name="Normal 3 2 7 2 2" xfId="5639"/>
    <cellStyle name="Normal 3 2 7 3" xfId="5640"/>
    <cellStyle name="Normal 3 2 8" xfId="5641"/>
    <cellStyle name="Normal 3 2 8 2" xfId="5642"/>
    <cellStyle name="Normal 3 2 8 2 2" xfId="5643"/>
    <cellStyle name="Normal 3 2 8 3" xfId="5644"/>
    <cellStyle name="Normal 3 2 9" xfId="5645"/>
    <cellStyle name="Normal 3 2 9 2" xfId="5646"/>
    <cellStyle name="Normal 3 2 9 2 2" xfId="5647"/>
    <cellStyle name="Normal 3 2 9 3" xfId="5648"/>
    <cellStyle name="Normal 3 20" xfId="5649"/>
    <cellStyle name="Normal 3 20 10" xfId="5650"/>
    <cellStyle name="Normal 3 20 10 2" xfId="5651"/>
    <cellStyle name="Normal 3 20 10 2 2" xfId="5652"/>
    <cellStyle name="Normal 3 20 10 3" xfId="5653"/>
    <cellStyle name="Normal 3 20 11" xfId="5654"/>
    <cellStyle name="Normal 3 20 11 2" xfId="5655"/>
    <cellStyle name="Normal 3 20 11 2 2" xfId="5656"/>
    <cellStyle name="Normal 3 20 11 3" xfId="5657"/>
    <cellStyle name="Normal 3 20 12" xfId="5658"/>
    <cellStyle name="Normal 3 20 12 2" xfId="5659"/>
    <cellStyle name="Normal 3 20 12 2 2" xfId="5660"/>
    <cellStyle name="Normal 3 20 12 3" xfId="5661"/>
    <cellStyle name="Normal 3 20 13" xfId="5662"/>
    <cellStyle name="Normal 3 20 13 2" xfId="5663"/>
    <cellStyle name="Normal 3 20 13 2 2" xfId="5664"/>
    <cellStyle name="Normal 3 20 13 3" xfId="5665"/>
    <cellStyle name="Normal 3 20 14" xfId="5666"/>
    <cellStyle name="Normal 3 20 14 2" xfId="5667"/>
    <cellStyle name="Normal 3 20 14 2 2" xfId="5668"/>
    <cellStyle name="Normal 3 20 14 3" xfId="5669"/>
    <cellStyle name="Normal 3 20 15" xfId="5670"/>
    <cellStyle name="Normal 3 20 15 2" xfId="5671"/>
    <cellStyle name="Normal 3 20 15 2 2" xfId="5672"/>
    <cellStyle name="Normal 3 20 15 3" xfId="5673"/>
    <cellStyle name="Normal 3 20 16" xfId="5674"/>
    <cellStyle name="Normal 3 20 16 2" xfId="5675"/>
    <cellStyle name="Normal 3 20 16 2 2" xfId="5676"/>
    <cellStyle name="Normal 3 20 16 3" xfId="5677"/>
    <cellStyle name="Normal 3 20 17" xfId="5678"/>
    <cellStyle name="Normal 3 20 17 2" xfId="5679"/>
    <cellStyle name="Normal 3 20 17 2 2" xfId="5680"/>
    <cellStyle name="Normal 3 20 17 3" xfId="5681"/>
    <cellStyle name="Normal 3 20 18" xfId="5682"/>
    <cellStyle name="Normal 3 20 18 2" xfId="5683"/>
    <cellStyle name="Normal 3 20 18 2 2" xfId="5684"/>
    <cellStyle name="Normal 3 20 18 3" xfId="5685"/>
    <cellStyle name="Normal 3 20 19" xfId="5686"/>
    <cellStyle name="Normal 3 20 19 2" xfId="5687"/>
    <cellStyle name="Normal 3 20 19 2 2" xfId="5688"/>
    <cellStyle name="Normal 3 20 19 3" xfId="5689"/>
    <cellStyle name="Normal 3 20 2" xfId="5690"/>
    <cellStyle name="Normal 3 20 2 2" xfId="5691"/>
    <cellStyle name="Normal 3 20 2 2 2" xfId="5692"/>
    <cellStyle name="Normal 3 20 2 3" xfId="5693"/>
    <cellStyle name="Normal 3 20 20" xfId="5694"/>
    <cellStyle name="Normal 3 20 20 2" xfId="5695"/>
    <cellStyle name="Normal 3 20 20 2 2" xfId="5696"/>
    <cellStyle name="Normal 3 20 20 3" xfId="5697"/>
    <cellStyle name="Normal 3 20 21" xfId="5698"/>
    <cellStyle name="Normal 3 20 21 2" xfId="5699"/>
    <cellStyle name="Normal 3 20 21 2 2" xfId="5700"/>
    <cellStyle name="Normal 3 20 21 3" xfId="5701"/>
    <cellStyle name="Normal 3 20 22" xfId="5702"/>
    <cellStyle name="Normal 3 20 22 2" xfId="5703"/>
    <cellStyle name="Normal 3 20 22 2 2" xfId="5704"/>
    <cellStyle name="Normal 3 20 22 3" xfId="5705"/>
    <cellStyle name="Normal 3 20 23" xfId="5706"/>
    <cellStyle name="Normal 3 20 23 2" xfId="5707"/>
    <cellStyle name="Normal 3 20 23 2 2" xfId="5708"/>
    <cellStyle name="Normal 3 20 23 3" xfId="5709"/>
    <cellStyle name="Normal 3 20 24" xfId="5710"/>
    <cellStyle name="Normal 3 20 24 2" xfId="5711"/>
    <cellStyle name="Normal 3 20 25" xfId="5712"/>
    <cellStyle name="Normal 3 20 3" xfId="5713"/>
    <cellStyle name="Normal 3 20 3 2" xfId="5714"/>
    <cellStyle name="Normal 3 20 3 2 2" xfId="5715"/>
    <cellStyle name="Normal 3 20 3 3" xfId="5716"/>
    <cellStyle name="Normal 3 20 4" xfId="5717"/>
    <cellStyle name="Normal 3 20 4 2" xfId="5718"/>
    <cellStyle name="Normal 3 20 4 2 2" xfId="5719"/>
    <cellStyle name="Normal 3 20 4 3" xfId="5720"/>
    <cellStyle name="Normal 3 20 5" xfId="5721"/>
    <cellStyle name="Normal 3 20 5 2" xfId="5722"/>
    <cellStyle name="Normal 3 20 5 2 2" xfId="5723"/>
    <cellStyle name="Normal 3 20 5 3" xfId="5724"/>
    <cellStyle name="Normal 3 20 6" xfId="5725"/>
    <cellStyle name="Normal 3 20 6 2" xfId="5726"/>
    <cellStyle name="Normal 3 20 6 2 2" xfId="5727"/>
    <cellStyle name="Normal 3 20 6 3" xfId="5728"/>
    <cellStyle name="Normal 3 20 7" xfId="5729"/>
    <cellStyle name="Normal 3 20 7 2" xfId="5730"/>
    <cellStyle name="Normal 3 20 7 2 2" xfId="5731"/>
    <cellStyle name="Normal 3 20 7 3" xfId="5732"/>
    <cellStyle name="Normal 3 20 8" xfId="5733"/>
    <cellStyle name="Normal 3 20 8 2" xfId="5734"/>
    <cellStyle name="Normal 3 20 8 2 2" xfId="5735"/>
    <cellStyle name="Normal 3 20 8 3" xfId="5736"/>
    <cellStyle name="Normal 3 20 9" xfId="5737"/>
    <cellStyle name="Normal 3 20 9 2" xfId="5738"/>
    <cellStyle name="Normal 3 20 9 2 2" xfId="5739"/>
    <cellStyle name="Normal 3 20 9 3" xfId="5740"/>
    <cellStyle name="Normal 3 21" xfId="5741"/>
    <cellStyle name="Normal 3 21 10" xfId="5742"/>
    <cellStyle name="Normal 3 21 10 2" xfId="5743"/>
    <cellStyle name="Normal 3 21 10 2 2" xfId="5744"/>
    <cellStyle name="Normal 3 21 10 3" xfId="5745"/>
    <cellStyle name="Normal 3 21 11" xfId="5746"/>
    <cellStyle name="Normal 3 21 11 2" xfId="5747"/>
    <cellStyle name="Normal 3 21 11 2 2" xfId="5748"/>
    <cellStyle name="Normal 3 21 11 3" xfId="5749"/>
    <cellStyle name="Normal 3 21 12" xfId="5750"/>
    <cellStyle name="Normal 3 21 12 2" xfId="5751"/>
    <cellStyle name="Normal 3 21 12 2 2" xfId="5752"/>
    <cellStyle name="Normal 3 21 12 3" xfId="5753"/>
    <cellStyle name="Normal 3 21 13" xfId="5754"/>
    <cellStyle name="Normal 3 21 13 2" xfId="5755"/>
    <cellStyle name="Normal 3 21 13 2 2" xfId="5756"/>
    <cellStyle name="Normal 3 21 13 3" xfId="5757"/>
    <cellStyle name="Normal 3 21 14" xfId="5758"/>
    <cellStyle name="Normal 3 21 14 2" xfId="5759"/>
    <cellStyle name="Normal 3 21 14 2 2" xfId="5760"/>
    <cellStyle name="Normal 3 21 14 3" xfId="5761"/>
    <cellStyle name="Normal 3 21 15" xfId="5762"/>
    <cellStyle name="Normal 3 21 15 2" xfId="5763"/>
    <cellStyle name="Normal 3 21 15 2 2" xfId="5764"/>
    <cellStyle name="Normal 3 21 15 3" xfId="5765"/>
    <cellStyle name="Normal 3 21 16" xfId="5766"/>
    <cellStyle name="Normal 3 21 16 2" xfId="5767"/>
    <cellStyle name="Normal 3 21 16 2 2" xfId="5768"/>
    <cellStyle name="Normal 3 21 16 3" xfId="5769"/>
    <cellStyle name="Normal 3 21 17" xfId="5770"/>
    <cellStyle name="Normal 3 21 17 2" xfId="5771"/>
    <cellStyle name="Normal 3 21 17 2 2" xfId="5772"/>
    <cellStyle name="Normal 3 21 17 3" xfId="5773"/>
    <cellStyle name="Normal 3 21 18" xfId="5774"/>
    <cellStyle name="Normal 3 21 18 2" xfId="5775"/>
    <cellStyle name="Normal 3 21 18 2 2" xfId="5776"/>
    <cellStyle name="Normal 3 21 18 3" xfId="5777"/>
    <cellStyle name="Normal 3 21 19" xfId="5778"/>
    <cellStyle name="Normal 3 21 19 2" xfId="5779"/>
    <cellStyle name="Normal 3 21 19 2 2" xfId="5780"/>
    <cellStyle name="Normal 3 21 19 3" xfId="5781"/>
    <cellStyle name="Normal 3 21 2" xfId="5782"/>
    <cellStyle name="Normal 3 21 2 2" xfId="5783"/>
    <cellStyle name="Normal 3 21 2 2 2" xfId="5784"/>
    <cellStyle name="Normal 3 21 2 3" xfId="5785"/>
    <cellStyle name="Normal 3 21 20" xfId="5786"/>
    <cellStyle name="Normal 3 21 20 2" xfId="5787"/>
    <cellStyle name="Normal 3 21 20 2 2" xfId="5788"/>
    <cellStyle name="Normal 3 21 20 3" xfId="5789"/>
    <cellStyle name="Normal 3 21 21" xfId="5790"/>
    <cellStyle name="Normal 3 21 21 2" xfId="5791"/>
    <cellStyle name="Normal 3 21 21 2 2" xfId="5792"/>
    <cellStyle name="Normal 3 21 21 3" xfId="5793"/>
    <cellStyle name="Normal 3 21 22" xfId="5794"/>
    <cellStyle name="Normal 3 21 22 2" xfId="5795"/>
    <cellStyle name="Normal 3 21 22 2 2" xfId="5796"/>
    <cellStyle name="Normal 3 21 22 3" xfId="5797"/>
    <cellStyle name="Normal 3 21 23" xfId="5798"/>
    <cellStyle name="Normal 3 21 23 2" xfId="5799"/>
    <cellStyle name="Normal 3 21 23 2 2" xfId="5800"/>
    <cellStyle name="Normal 3 21 23 3" xfId="5801"/>
    <cellStyle name="Normal 3 21 24" xfId="5802"/>
    <cellStyle name="Normal 3 21 24 2" xfId="5803"/>
    <cellStyle name="Normal 3 21 25" xfId="5804"/>
    <cellStyle name="Normal 3 21 3" xfId="5805"/>
    <cellStyle name="Normal 3 21 3 2" xfId="5806"/>
    <cellStyle name="Normal 3 21 3 2 2" xfId="5807"/>
    <cellStyle name="Normal 3 21 3 3" xfId="5808"/>
    <cellStyle name="Normal 3 21 4" xfId="5809"/>
    <cellStyle name="Normal 3 21 4 2" xfId="5810"/>
    <cellStyle name="Normal 3 21 4 2 2" xfId="5811"/>
    <cellStyle name="Normal 3 21 4 3" xfId="5812"/>
    <cellStyle name="Normal 3 21 5" xfId="5813"/>
    <cellStyle name="Normal 3 21 5 2" xfId="5814"/>
    <cellStyle name="Normal 3 21 5 2 2" xfId="5815"/>
    <cellStyle name="Normal 3 21 5 3" xfId="5816"/>
    <cellStyle name="Normal 3 21 6" xfId="5817"/>
    <cellStyle name="Normal 3 21 6 2" xfId="5818"/>
    <cellStyle name="Normal 3 21 6 2 2" xfId="5819"/>
    <cellStyle name="Normal 3 21 6 3" xfId="5820"/>
    <cellStyle name="Normal 3 21 7" xfId="5821"/>
    <cellStyle name="Normal 3 21 7 2" xfId="5822"/>
    <cellStyle name="Normal 3 21 7 2 2" xfId="5823"/>
    <cellStyle name="Normal 3 21 7 3" xfId="5824"/>
    <cellStyle name="Normal 3 21 8" xfId="5825"/>
    <cellStyle name="Normal 3 21 8 2" xfId="5826"/>
    <cellStyle name="Normal 3 21 8 2 2" xfId="5827"/>
    <cellStyle name="Normal 3 21 8 3" xfId="5828"/>
    <cellStyle name="Normal 3 21 9" xfId="5829"/>
    <cellStyle name="Normal 3 21 9 2" xfId="5830"/>
    <cellStyle name="Normal 3 21 9 2 2" xfId="5831"/>
    <cellStyle name="Normal 3 21 9 3" xfId="5832"/>
    <cellStyle name="Normal 3 22" xfId="5833"/>
    <cellStyle name="Normal 3 22 10" xfId="5834"/>
    <cellStyle name="Normal 3 22 10 2" xfId="5835"/>
    <cellStyle name="Normal 3 22 10 2 2" xfId="5836"/>
    <cellStyle name="Normal 3 22 10 3" xfId="5837"/>
    <cellStyle name="Normal 3 22 11" xfId="5838"/>
    <cellStyle name="Normal 3 22 11 2" xfId="5839"/>
    <cellStyle name="Normal 3 22 11 2 2" xfId="5840"/>
    <cellStyle name="Normal 3 22 11 3" xfId="5841"/>
    <cellStyle name="Normal 3 22 12" xfId="5842"/>
    <cellStyle name="Normal 3 22 12 2" xfId="5843"/>
    <cellStyle name="Normal 3 22 12 2 2" xfId="5844"/>
    <cellStyle name="Normal 3 22 12 3" xfId="5845"/>
    <cellStyle name="Normal 3 22 13" xfId="5846"/>
    <cellStyle name="Normal 3 22 13 2" xfId="5847"/>
    <cellStyle name="Normal 3 22 13 2 2" xfId="5848"/>
    <cellStyle name="Normal 3 22 13 3" xfId="5849"/>
    <cellStyle name="Normal 3 22 14" xfId="5850"/>
    <cellStyle name="Normal 3 22 14 2" xfId="5851"/>
    <cellStyle name="Normal 3 22 14 2 2" xfId="5852"/>
    <cellStyle name="Normal 3 22 14 3" xfId="5853"/>
    <cellStyle name="Normal 3 22 15" xfId="5854"/>
    <cellStyle name="Normal 3 22 15 2" xfId="5855"/>
    <cellStyle name="Normal 3 22 15 2 2" xfId="5856"/>
    <cellStyle name="Normal 3 22 15 3" xfId="5857"/>
    <cellStyle name="Normal 3 22 16" xfId="5858"/>
    <cellStyle name="Normal 3 22 16 2" xfId="5859"/>
    <cellStyle name="Normal 3 22 16 2 2" xfId="5860"/>
    <cellStyle name="Normal 3 22 16 3" xfId="5861"/>
    <cellStyle name="Normal 3 22 17" xfId="5862"/>
    <cellStyle name="Normal 3 22 17 2" xfId="5863"/>
    <cellStyle name="Normal 3 22 17 2 2" xfId="5864"/>
    <cellStyle name="Normal 3 22 17 3" xfId="5865"/>
    <cellStyle name="Normal 3 22 18" xfId="5866"/>
    <cellStyle name="Normal 3 22 18 2" xfId="5867"/>
    <cellStyle name="Normal 3 22 18 2 2" xfId="5868"/>
    <cellStyle name="Normal 3 22 18 3" xfId="5869"/>
    <cellStyle name="Normal 3 22 19" xfId="5870"/>
    <cellStyle name="Normal 3 22 19 2" xfId="5871"/>
    <cellStyle name="Normal 3 22 19 2 2" xfId="5872"/>
    <cellStyle name="Normal 3 22 19 3" xfId="5873"/>
    <cellStyle name="Normal 3 22 2" xfId="5874"/>
    <cellStyle name="Normal 3 22 2 2" xfId="5875"/>
    <cellStyle name="Normal 3 22 2 2 2" xfId="5876"/>
    <cellStyle name="Normal 3 22 2 3" xfId="5877"/>
    <cellStyle name="Normal 3 22 20" xfId="5878"/>
    <cellStyle name="Normal 3 22 20 2" xfId="5879"/>
    <cellStyle name="Normal 3 22 20 2 2" xfId="5880"/>
    <cellStyle name="Normal 3 22 20 3" xfId="5881"/>
    <cellStyle name="Normal 3 22 21" xfId="5882"/>
    <cellStyle name="Normal 3 22 21 2" xfId="5883"/>
    <cellStyle name="Normal 3 22 21 2 2" xfId="5884"/>
    <cellStyle name="Normal 3 22 21 3" xfId="5885"/>
    <cellStyle name="Normal 3 22 22" xfId="5886"/>
    <cellStyle name="Normal 3 22 22 2" xfId="5887"/>
    <cellStyle name="Normal 3 22 22 2 2" xfId="5888"/>
    <cellStyle name="Normal 3 22 22 3" xfId="5889"/>
    <cellStyle name="Normal 3 22 23" xfId="5890"/>
    <cellStyle name="Normal 3 22 23 2" xfId="5891"/>
    <cellStyle name="Normal 3 22 23 2 2" xfId="5892"/>
    <cellStyle name="Normal 3 22 23 3" xfId="5893"/>
    <cellStyle name="Normal 3 22 24" xfId="5894"/>
    <cellStyle name="Normal 3 22 24 2" xfId="5895"/>
    <cellStyle name="Normal 3 22 25" xfId="5896"/>
    <cellStyle name="Normal 3 22 3" xfId="5897"/>
    <cellStyle name="Normal 3 22 3 2" xfId="5898"/>
    <cellStyle name="Normal 3 22 3 2 2" xfId="5899"/>
    <cellStyle name="Normal 3 22 3 3" xfId="5900"/>
    <cellStyle name="Normal 3 22 4" xfId="5901"/>
    <cellStyle name="Normal 3 22 4 2" xfId="5902"/>
    <cellStyle name="Normal 3 22 4 2 2" xfId="5903"/>
    <cellStyle name="Normal 3 22 4 3" xfId="5904"/>
    <cellStyle name="Normal 3 22 5" xfId="5905"/>
    <cellStyle name="Normal 3 22 5 2" xfId="5906"/>
    <cellStyle name="Normal 3 22 5 2 2" xfId="5907"/>
    <cellStyle name="Normal 3 22 5 3" xfId="5908"/>
    <cellStyle name="Normal 3 22 6" xfId="5909"/>
    <cellStyle name="Normal 3 22 6 2" xfId="5910"/>
    <cellStyle name="Normal 3 22 6 2 2" xfId="5911"/>
    <cellStyle name="Normal 3 22 6 3" xfId="5912"/>
    <cellStyle name="Normal 3 22 7" xfId="5913"/>
    <cellStyle name="Normal 3 22 7 2" xfId="5914"/>
    <cellStyle name="Normal 3 22 7 2 2" xfId="5915"/>
    <cellStyle name="Normal 3 22 7 3" xfId="5916"/>
    <cellStyle name="Normal 3 22 8" xfId="5917"/>
    <cellStyle name="Normal 3 22 8 2" xfId="5918"/>
    <cellStyle name="Normal 3 22 8 2 2" xfId="5919"/>
    <cellStyle name="Normal 3 22 8 3" xfId="5920"/>
    <cellStyle name="Normal 3 22 9" xfId="5921"/>
    <cellStyle name="Normal 3 22 9 2" xfId="5922"/>
    <cellStyle name="Normal 3 22 9 2 2" xfId="5923"/>
    <cellStyle name="Normal 3 22 9 3" xfId="5924"/>
    <cellStyle name="Normal 3 23" xfId="5925"/>
    <cellStyle name="Normal 3 23 10" xfId="5926"/>
    <cellStyle name="Normal 3 23 10 2" xfId="5927"/>
    <cellStyle name="Normal 3 23 10 2 2" xfId="5928"/>
    <cellStyle name="Normal 3 23 10 3" xfId="5929"/>
    <cellStyle name="Normal 3 23 11" xfId="5930"/>
    <cellStyle name="Normal 3 23 11 2" xfId="5931"/>
    <cellStyle name="Normal 3 23 11 2 2" xfId="5932"/>
    <cellStyle name="Normal 3 23 11 3" xfId="5933"/>
    <cellStyle name="Normal 3 23 12" xfId="5934"/>
    <cellStyle name="Normal 3 23 12 2" xfId="5935"/>
    <cellStyle name="Normal 3 23 12 2 2" xfId="5936"/>
    <cellStyle name="Normal 3 23 12 3" xfId="5937"/>
    <cellStyle name="Normal 3 23 13" xfId="5938"/>
    <cellStyle name="Normal 3 23 13 2" xfId="5939"/>
    <cellStyle name="Normal 3 23 13 2 2" xfId="5940"/>
    <cellStyle name="Normal 3 23 13 3" xfId="5941"/>
    <cellStyle name="Normal 3 23 14" xfId="5942"/>
    <cellStyle name="Normal 3 23 14 2" xfId="5943"/>
    <cellStyle name="Normal 3 23 14 2 2" xfId="5944"/>
    <cellStyle name="Normal 3 23 14 3" xfId="5945"/>
    <cellStyle name="Normal 3 23 15" xfId="5946"/>
    <cellStyle name="Normal 3 23 15 2" xfId="5947"/>
    <cellStyle name="Normal 3 23 15 2 2" xfId="5948"/>
    <cellStyle name="Normal 3 23 15 3" xfId="5949"/>
    <cellStyle name="Normal 3 23 16" xfId="5950"/>
    <cellStyle name="Normal 3 23 16 2" xfId="5951"/>
    <cellStyle name="Normal 3 23 16 2 2" xfId="5952"/>
    <cellStyle name="Normal 3 23 16 3" xfId="5953"/>
    <cellStyle name="Normal 3 23 17" xfId="5954"/>
    <cellStyle name="Normal 3 23 17 2" xfId="5955"/>
    <cellStyle name="Normal 3 23 17 2 2" xfId="5956"/>
    <cellStyle name="Normal 3 23 17 3" xfId="5957"/>
    <cellStyle name="Normal 3 23 18" xfId="5958"/>
    <cellStyle name="Normal 3 23 18 2" xfId="5959"/>
    <cellStyle name="Normal 3 23 18 2 2" xfId="5960"/>
    <cellStyle name="Normal 3 23 18 3" xfId="5961"/>
    <cellStyle name="Normal 3 23 19" xfId="5962"/>
    <cellStyle name="Normal 3 23 19 2" xfId="5963"/>
    <cellStyle name="Normal 3 23 19 2 2" xfId="5964"/>
    <cellStyle name="Normal 3 23 19 3" xfId="5965"/>
    <cellStyle name="Normal 3 23 2" xfId="5966"/>
    <cellStyle name="Normal 3 23 2 2" xfId="5967"/>
    <cellStyle name="Normal 3 23 2 2 2" xfId="5968"/>
    <cellStyle name="Normal 3 23 2 3" xfId="5969"/>
    <cellStyle name="Normal 3 23 20" xfId="5970"/>
    <cellStyle name="Normal 3 23 20 2" xfId="5971"/>
    <cellStyle name="Normal 3 23 20 2 2" xfId="5972"/>
    <cellStyle name="Normal 3 23 20 3" xfId="5973"/>
    <cellStyle name="Normal 3 23 21" xfId="5974"/>
    <cellStyle name="Normal 3 23 21 2" xfId="5975"/>
    <cellStyle name="Normal 3 23 21 2 2" xfId="5976"/>
    <cellStyle name="Normal 3 23 21 3" xfId="5977"/>
    <cellStyle name="Normal 3 23 22" xfId="5978"/>
    <cellStyle name="Normal 3 23 22 2" xfId="5979"/>
    <cellStyle name="Normal 3 23 22 2 2" xfId="5980"/>
    <cellStyle name="Normal 3 23 22 3" xfId="5981"/>
    <cellStyle name="Normal 3 23 23" xfId="5982"/>
    <cellStyle name="Normal 3 23 23 2" xfId="5983"/>
    <cellStyle name="Normal 3 23 23 2 2" xfId="5984"/>
    <cellStyle name="Normal 3 23 23 3" xfId="5985"/>
    <cellStyle name="Normal 3 23 24" xfId="5986"/>
    <cellStyle name="Normal 3 23 24 2" xfId="5987"/>
    <cellStyle name="Normal 3 23 25" xfId="5988"/>
    <cellStyle name="Normal 3 23 3" xfId="5989"/>
    <cellStyle name="Normal 3 23 3 2" xfId="5990"/>
    <cellStyle name="Normal 3 23 3 2 2" xfId="5991"/>
    <cellStyle name="Normal 3 23 3 3" xfId="5992"/>
    <cellStyle name="Normal 3 23 4" xfId="5993"/>
    <cellStyle name="Normal 3 23 4 2" xfId="5994"/>
    <cellStyle name="Normal 3 23 4 2 2" xfId="5995"/>
    <cellStyle name="Normal 3 23 4 3" xfId="5996"/>
    <cellStyle name="Normal 3 23 5" xfId="5997"/>
    <cellStyle name="Normal 3 23 5 2" xfId="5998"/>
    <cellStyle name="Normal 3 23 5 2 2" xfId="5999"/>
    <cellStyle name="Normal 3 23 5 3" xfId="6000"/>
    <cellStyle name="Normal 3 23 6" xfId="6001"/>
    <cellStyle name="Normal 3 23 6 2" xfId="6002"/>
    <cellStyle name="Normal 3 23 6 2 2" xfId="6003"/>
    <cellStyle name="Normal 3 23 6 3" xfId="6004"/>
    <cellStyle name="Normal 3 23 7" xfId="6005"/>
    <cellStyle name="Normal 3 23 7 2" xfId="6006"/>
    <cellStyle name="Normal 3 23 7 2 2" xfId="6007"/>
    <cellStyle name="Normal 3 23 7 3" xfId="6008"/>
    <cellStyle name="Normal 3 23 8" xfId="6009"/>
    <cellStyle name="Normal 3 23 8 2" xfId="6010"/>
    <cellStyle name="Normal 3 23 8 2 2" xfId="6011"/>
    <cellStyle name="Normal 3 23 8 3" xfId="6012"/>
    <cellStyle name="Normal 3 23 9" xfId="6013"/>
    <cellStyle name="Normal 3 23 9 2" xfId="6014"/>
    <cellStyle name="Normal 3 23 9 2 2" xfId="6015"/>
    <cellStyle name="Normal 3 23 9 3" xfId="6016"/>
    <cellStyle name="Normal 3 24" xfId="6017"/>
    <cellStyle name="Normal 3 24 10" xfId="6018"/>
    <cellStyle name="Normal 3 24 10 2" xfId="6019"/>
    <cellStyle name="Normal 3 24 10 2 2" xfId="6020"/>
    <cellStyle name="Normal 3 24 10 3" xfId="6021"/>
    <cellStyle name="Normal 3 24 11" xfId="6022"/>
    <cellStyle name="Normal 3 24 11 2" xfId="6023"/>
    <cellStyle name="Normal 3 24 11 2 2" xfId="6024"/>
    <cellStyle name="Normal 3 24 11 3" xfId="6025"/>
    <cellStyle name="Normal 3 24 12" xfId="6026"/>
    <cellStyle name="Normal 3 24 12 2" xfId="6027"/>
    <cellStyle name="Normal 3 24 12 2 2" xfId="6028"/>
    <cellStyle name="Normal 3 24 12 3" xfId="6029"/>
    <cellStyle name="Normal 3 24 13" xfId="6030"/>
    <cellStyle name="Normal 3 24 13 2" xfId="6031"/>
    <cellStyle name="Normal 3 24 13 2 2" xfId="6032"/>
    <cellStyle name="Normal 3 24 13 3" xfId="6033"/>
    <cellStyle name="Normal 3 24 14" xfId="6034"/>
    <cellStyle name="Normal 3 24 14 2" xfId="6035"/>
    <cellStyle name="Normal 3 24 14 2 2" xfId="6036"/>
    <cellStyle name="Normal 3 24 14 3" xfId="6037"/>
    <cellStyle name="Normal 3 24 15" xfId="6038"/>
    <cellStyle name="Normal 3 24 15 2" xfId="6039"/>
    <cellStyle name="Normal 3 24 15 2 2" xfId="6040"/>
    <cellStyle name="Normal 3 24 15 3" xfId="6041"/>
    <cellStyle name="Normal 3 24 16" xfId="6042"/>
    <cellStyle name="Normal 3 24 16 2" xfId="6043"/>
    <cellStyle name="Normal 3 24 16 2 2" xfId="6044"/>
    <cellStyle name="Normal 3 24 16 3" xfId="6045"/>
    <cellStyle name="Normal 3 24 17" xfId="6046"/>
    <cellStyle name="Normal 3 24 17 2" xfId="6047"/>
    <cellStyle name="Normal 3 24 17 2 2" xfId="6048"/>
    <cellStyle name="Normal 3 24 17 3" xfId="6049"/>
    <cellStyle name="Normal 3 24 18" xfId="6050"/>
    <cellStyle name="Normal 3 24 18 2" xfId="6051"/>
    <cellStyle name="Normal 3 24 18 2 2" xfId="6052"/>
    <cellStyle name="Normal 3 24 18 3" xfId="6053"/>
    <cellStyle name="Normal 3 24 19" xfId="6054"/>
    <cellStyle name="Normal 3 24 19 2" xfId="6055"/>
    <cellStyle name="Normal 3 24 19 2 2" xfId="6056"/>
    <cellStyle name="Normal 3 24 19 3" xfId="6057"/>
    <cellStyle name="Normal 3 24 2" xfId="6058"/>
    <cellStyle name="Normal 3 24 2 2" xfId="6059"/>
    <cellStyle name="Normal 3 24 2 2 2" xfId="6060"/>
    <cellStyle name="Normal 3 24 2 3" xfId="6061"/>
    <cellStyle name="Normal 3 24 20" xfId="6062"/>
    <cellStyle name="Normal 3 24 20 2" xfId="6063"/>
    <cellStyle name="Normal 3 24 20 2 2" xfId="6064"/>
    <cellStyle name="Normal 3 24 20 3" xfId="6065"/>
    <cellStyle name="Normal 3 24 21" xfId="6066"/>
    <cellStyle name="Normal 3 24 21 2" xfId="6067"/>
    <cellStyle name="Normal 3 24 21 2 2" xfId="6068"/>
    <cellStyle name="Normal 3 24 21 3" xfId="6069"/>
    <cellStyle name="Normal 3 24 22" xfId="6070"/>
    <cellStyle name="Normal 3 24 22 2" xfId="6071"/>
    <cellStyle name="Normal 3 24 22 2 2" xfId="6072"/>
    <cellStyle name="Normal 3 24 22 3" xfId="6073"/>
    <cellStyle name="Normal 3 24 23" xfId="6074"/>
    <cellStyle name="Normal 3 24 23 2" xfId="6075"/>
    <cellStyle name="Normal 3 24 23 2 2" xfId="6076"/>
    <cellStyle name="Normal 3 24 23 3" xfId="6077"/>
    <cellStyle name="Normal 3 24 24" xfId="6078"/>
    <cellStyle name="Normal 3 24 24 2" xfId="6079"/>
    <cellStyle name="Normal 3 24 25" xfId="6080"/>
    <cellStyle name="Normal 3 24 3" xfId="6081"/>
    <cellStyle name="Normal 3 24 3 2" xfId="6082"/>
    <cellStyle name="Normal 3 24 3 2 2" xfId="6083"/>
    <cellStyle name="Normal 3 24 3 3" xfId="6084"/>
    <cellStyle name="Normal 3 24 4" xfId="6085"/>
    <cellStyle name="Normal 3 24 4 2" xfId="6086"/>
    <cellStyle name="Normal 3 24 4 2 2" xfId="6087"/>
    <cellStyle name="Normal 3 24 4 3" xfId="6088"/>
    <cellStyle name="Normal 3 24 5" xfId="6089"/>
    <cellStyle name="Normal 3 24 5 2" xfId="6090"/>
    <cellStyle name="Normal 3 24 5 2 2" xfId="6091"/>
    <cellStyle name="Normal 3 24 5 3" xfId="6092"/>
    <cellStyle name="Normal 3 24 6" xfId="6093"/>
    <cellStyle name="Normal 3 24 6 2" xfId="6094"/>
    <cellStyle name="Normal 3 24 6 2 2" xfId="6095"/>
    <cellStyle name="Normal 3 24 6 3" xfId="6096"/>
    <cellStyle name="Normal 3 24 7" xfId="6097"/>
    <cellStyle name="Normal 3 24 7 2" xfId="6098"/>
    <cellStyle name="Normal 3 24 7 2 2" xfId="6099"/>
    <cellStyle name="Normal 3 24 7 3" xfId="6100"/>
    <cellStyle name="Normal 3 24 8" xfId="6101"/>
    <cellStyle name="Normal 3 24 8 2" xfId="6102"/>
    <cellStyle name="Normal 3 24 8 2 2" xfId="6103"/>
    <cellStyle name="Normal 3 24 8 3" xfId="6104"/>
    <cellStyle name="Normal 3 24 9" xfId="6105"/>
    <cellStyle name="Normal 3 24 9 2" xfId="6106"/>
    <cellStyle name="Normal 3 24 9 2 2" xfId="6107"/>
    <cellStyle name="Normal 3 24 9 3" xfId="6108"/>
    <cellStyle name="Normal 3 25" xfId="6109"/>
    <cellStyle name="Normal 3 25 10" xfId="6110"/>
    <cellStyle name="Normal 3 25 10 2" xfId="6111"/>
    <cellStyle name="Normal 3 25 10 2 2" xfId="6112"/>
    <cellStyle name="Normal 3 25 10 3" xfId="6113"/>
    <cellStyle name="Normal 3 25 11" xfId="6114"/>
    <cellStyle name="Normal 3 25 11 2" xfId="6115"/>
    <cellStyle name="Normal 3 25 11 2 2" xfId="6116"/>
    <cellStyle name="Normal 3 25 11 3" xfId="6117"/>
    <cellStyle name="Normal 3 25 12" xfId="6118"/>
    <cellStyle name="Normal 3 25 12 2" xfId="6119"/>
    <cellStyle name="Normal 3 25 12 2 2" xfId="6120"/>
    <cellStyle name="Normal 3 25 12 3" xfId="6121"/>
    <cellStyle name="Normal 3 25 13" xfId="6122"/>
    <cellStyle name="Normal 3 25 13 2" xfId="6123"/>
    <cellStyle name="Normal 3 25 13 2 2" xfId="6124"/>
    <cellStyle name="Normal 3 25 13 3" xfId="6125"/>
    <cellStyle name="Normal 3 25 14" xfId="6126"/>
    <cellStyle name="Normal 3 25 14 2" xfId="6127"/>
    <cellStyle name="Normal 3 25 14 2 2" xfId="6128"/>
    <cellStyle name="Normal 3 25 14 3" xfId="6129"/>
    <cellStyle name="Normal 3 25 15" xfId="6130"/>
    <cellStyle name="Normal 3 25 15 2" xfId="6131"/>
    <cellStyle name="Normal 3 25 15 2 2" xfId="6132"/>
    <cellStyle name="Normal 3 25 15 3" xfId="6133"/>
    <cellStyle name="Normal 3 25 16" xfId="6134"/>
    <cellStyle name="Normal 3 25 16 2" xfId="6135"/>
    <cellStyle name="Normal 3 25 16 2 2" xfId="6136"/>
    <cellStyle name="Normal 3 25 16 3" xfId="6137"/>
    <cellStyle name="Normal 3 25 17" xfId="6138"/>
    <cellStyle name="Normal 3 25 17 2" xfId="6139"/>
    <cellStyle name="Normal 3 25 17 2 2" xfId="6140"/>
    <cellStyle name="Normal 3 25 17 3" xfId="6141"/>
    <cellStyle name="Normal 3 25 18" xfId="6142"/>
    <cellStyle name="Normal 3 25 18 2" xfId="6143"/>
    <cellStyle name="Normal 3 25 18 2 2" xfId="6144"/>
    <cellStyle name="Normal 3 25 18 3" xfId="6145"/>
    <cellStyle name="Normal 3 25 19" xfId="6146"/>
    <cellStyle name="Normal 3 25 19 2" xfId="6147"/>
    <cellStyle name="Normal 3 25 19 2 2" xfId="6148"/>
    <cellStyle name="Normal 3 25 19 3" xfId="6149"/>
    <cellStyle name="Normal 3 25 2" xfId="6150"/>
    <cellStyle name="Normal 3 25 2 2" xfId="6151"/>
    <cellStyle name="Normal 3 25 2 2 2" xfId="6152"/>
    <cellStyle name="Normal 3 25 2 3" xfId="6153"/>
    <cellStyle name="Normal 3 25 20" xfId="6154"/>
    <cellStyle name="Normal 3 25 20 2" xfId="6155"/>
    <cellStyle name="Normal 3 25 20 2 2" xfId="6156"/>
    <cellStyle name="Normal 3 25 20 3" xfId="6157"/>
    <cellStyle name="Normal 3 25 21" xfId="6158"/>
    <cellStyle name="Normal 3 25 21 2" xfId="6159"/>
    <cellStyle name="Normal 3 25 21 2 2" xfId="6160"/>
    <cellStyle name="Normal 3 25 21 3" xfId="6161"/>
    <cellStyle name="Normal 3 25 22" xfId="6162"/>
    <cellStyle name="Normal 3 25 22 2" xfId="6163"/>
    <cellStyle name="Normal 3 25 22 2 2" xfId="6164"/>
    <cellStyle name="Normal 3 25 22 3" xfId="6165"/>
    <cellStyle name="Normal 3 25 23" xfId="6166"/>
    <cellStyle name="Normal 3 25 23 2" xfId="6167"/>
    <cellStyle name="Normal 3 25 23 2 2" xfId="6168"/>
    <cellStyle name="Normal 3 25 23 3" xfId="6169"/>
    <cellStyle name="Normal 3 25 24" xfId="6170"/>
    <cellStyle name="Normal 3 25 24 2" xfId="6171"/>
    <cellStyle name="Normal 3 25 25" xfId="6172"/>
    <cellStyle name="Normal 3 25 3" xfId="6173"/>
    <cellStyle name="Normal 3 25 3 2" xfId="6174"/>
    <cellStyle name="Normal 3 25 3 2 2" xfId="6175"/>
    <cellStyle name="Normal 3 25 3 3" xfId="6176"/>
    <cellStyle name="Normal 3 25 4" xfId="6177"/>
    <cellStyle name="Normal 3 25 4 2" xfId="6178"/>
    <cellStyle name="Normal 3 25 4 2 2" xfId="6179"/>
    <cellStyle name="Normal 3 25 4 3" xfId="6180"/>
    <cellStyle name="Normal 3 25 5" xfId="6181"/>
    <cellStyle name="Normal 3 25 5 2" xfId="6182"/>
    <cellStyle name="Normal 3 25 5 2 2" xfId="6183"/>
    <cellStyle name="Normal 3 25 5 3" xfId="6184"/>
    <cellStyle name="Normal 3 25 6" xfId="6185"/>
    <cellStyle name="Normal 3 25 6 2" xfId="6186"/>
    <cellStyle name="Normal 3 25 6 2 2" xfId="6187"/>
    <cellStyle name="Normal 3 25 6 3" xfId="6188"/>
    <cellStyle name="Normal 3 25 7" xfId="6189"/>
    <cellStyle name="Normal 3 25 7 2" xfId="6190"/>
    <cellStyle name="Normal 3 25 7 2 2" xfId="6191"/>
    <cellStyle name="Normal 3 25 7 3" xfId="6192"/>
    <cellStyle name="Normal 3 25 8" xfId="6193"/>
    <cellStyle name="Normal 3 25 8 2" xfId="6194"/>
    <cellStyle name="Normal 3 25 8 2 2" xfId="6195"/>
    <cellStyle name="Normal 3 25 8 3" xfId="6196"/>
    <cellStyle name="Normal 3 25 9" xfId="6197"/>
    <cellStyle name="Normal 3 25 9 2" xfId="6198"/>
    <cellStyle name="Normal 3 25 9 2 2" xfId="6199"/>
    <cellStyle name="Normal 3 25 9 3" xfId="6200"/>
    <cellStyle name="Normal 3 26" xfId="6201"/>
    <cellStyle name="Normal 3 26 10" xfId="6202"/>
    <cellStyle name="Normal 3 26 10 2" xfId="6203"/>
    <cellStyle name="Normal 3 26 10 2 2" xfId="6204"/>
    <cellStyle name="Normal 3 26 10 3" xfId="6205"/>
    <cellStyle name="Normal 3 26 11" xfId="6206"/>
    <cellStyle name="Normal 3 26 11 2" xfId="6207"/>
    <cellStyle name="Normal 3 26 11 2 2" xfId="6208"/>
    <cellStyle name="Normal 3 26 11 3" xfId="6209"/>
    <cellStyle name="Normal 3 26 12" xfId="6210"/>
    <cellStyle name="Normal 3 26 12 2" xfId="6211"/>
    <cellStyle name="Normal 3 26 12 2 2" xfId="6212"/>
    <cellStyle name="Normal 3 26 12 3" xfId="6213"/>
    <cellStyle name="Normal 3 26 13" xfId="6214"/>
    <cellStyle name="Normal 3 26 13 2" xfId="6215"/>
    <cellStyle name="Normal 3 26 13 2 2" xfId="6216"/>
    <cellStyle name="Normal 3 26 13 3" xfId="6217"/>
    <cellStyle name="Normal 3 26 14" xfId="6218"/>
    <cellStyle name="Normal 3 26 14 2" xfId="6219"/>
    <cellStyle name="Normal 3 26 14 2 2" xfId="6220"/>
    <cellStyle name="Normal 3 26 14 3" xfId="6221"/>
    <cellStyle name="Normal 3 26 15" xfId="6222"/>
    <cellStyle name="Normal 3 26 15 2" xfId="6223"/>
    <cellStyle name="Normal 3 26 15 2 2" xfId="6224"/>
    <cellStyle name="Normal 3 26 15 3" xfId="6225"/>
    <cellStyle name="Normal 3 26 16" xfId="6226"/>
    <cellStyle name="Normal 3 26 16 2" xfId="6227"/>
    <cellStyle name="Normal 3 26 16 2 2" xfId="6228"/>
    <cellStyle name="Normal 3 26 16 3" xfId="6229"/>
    <cellStyle name="Normal 3 26 17" xfId="6230"/>
    <cellStyle name="Normal 3 26 17 2" xfId="6231"/>
    <cellStyle name="Normal 3 26 17 2 2" xfId="6232"/>
    <cellStyle name="Normal 3 26 17 3" xfId="6233"/>
    <cellStyle name="Normal 3 26 18" xfId="6234"/>
    <cellStyle name="Normal 3 26 18 2" xfId="6235"/>
    <cellStyle name="Normal 3 26 18 2 2" xfId="6236"/>
    <cellStyle name="Normal 3 26 18 3" xfId="6237"/>
    <cellStyle name="Normal 3 26 19" xfId="6238"/>
    <cellStyle name="Normal 3 26 19 2" xfId="6239"/>
    <cellStyle name="Normal 3 26 19 2 2" xfId="6240"/>
    <cellStyle name="Normal 3 26 19 3" xfId="6241"/>
    <cellStyle name="Normal 3 26 2" xfId="6242"/>
    <cellStyle name="Normal 3 26 2 2" xfId="6243"/>
    <cellStyle name="Normal 3 26 2 2 2" xfId="6244"/>
    <cellStyle name="Normal 3 26 2 3" xfId="6245"/>
    <cellStyle name="Normal 3 26 20" xfId="6246"/>
    <cellStyle name="Normal 3 26 20 2" xfId="6247"/>
    <cellStyle name="Normal 3 26 20 2 2" xfId="6248"/>
    <cellStyle name="Normal 3 26 20 3" xfId="6249"/>
    <cellStyle name="Normal 3 26 21" xfId="6250"/>
    <cellStyle name="Normal 3 26 21 2" xfId="6251"/>
    <cellStyle name="Normal 3 26 21 2 2" xfId="6252"/>
    <cellStyle name="Normal 3 26 21 3" xfId="6253"/>
    <cellStyle name="Normal 3 26 22" xfId="6254"/>
    <cellStyle name="Normal 3 26 22 2" xfId="6255"/>
    <cellStyle name="Normal 3 26 22 2 2" xfId="6256"/>
    <cellStyle name="Normal 3 26 22 3" xfId="6257"/>
    <cellStyle name="Normal 3 26 23" xfId="6258"/>
    <cellStyle name="Normal 3 26 23 2" xfId="6259"/>
    <cellStyle name="Normal 3 26 23 2 2" xfId="6260"/>
    <cellStyle name="Normal 3 26 23 3" xfId="6261"/>
    <cellStyle name="Normal 3 26 24" xfId="6262"/>
    <cellStyle name="Normal 3 26 24 2" xfId="6263"/>
    <cellStyle name="Normal 3 26 25" xfId="6264"/>
    <cellStyle name="Normal 3 26 3" xfId="6265"/>
    <cellStyle name="Normal 3 26 3 2" xfId="6266"/>
    <cellStyle name="Normal 3 26 3 2 2" xfId="6267"/>
    <cellStyle name="Normal 3 26 3 3" xfId="6268"/>
    <cellStyle name="Normal 3 26 4" xfId="6269"/>
    <cellStyle name="Normal 3 26 4 2" xfId="6270"/>
    <cellStyle name="Normal 3 26 4 2 2" xfId="6271"/>
    <cellStyle name="Normal 3 26 4 3" xfId="6272"/>
    <cellStyle name="Normal 3 26 5" xfId="6273"/>
    <cellStyle name="Normal 3 26 5 2" xfId="6274"/>
    <cellStyle name="Normal 3 26 5 2 2" xfId="6275"/>
    <cellStyle name="Normal 3 26 5 3" xfId="6276"/>
    <cellStyle name="Normal 3 26 6" xfId="6277"/>
    <cellStyle name="Normal 3 26 6 2" xfId="6278"/>
    <cellStyle name="Normal 3 26 6 2 2" xfId="6279"/>
    <cellStyle name="Normal 3 26 6 3" xfId="6280"/>
    <cellStyle name="Normal 3 26 7" xfId="6281"/>
    <cellStyle name="Normal 3 26 7 2" xfId="6282"/>
    <cellStyle name="Normal 3 26 7 2 2" xfId="6283"/>
    <cellStyle name="Normal 3 26 7 3" xfId="6284"/>
    <cellStyle name="Normal 3 26 8" xfId="6285"/>
    <cellStyle name="Normal 3 26 8 2" xfId="6286"/>
    <cellStyle name="Normal 3 26 8 2 2" xfId="6287"/>
    <cellStyle name="Normal 3 26 8 3" xfId="6288"/>
    <cellStyle name="Normal 3 26 9" xfId="6289"/>
    <cellStyle name="Normal 3 26 9 2" xfId="6290"/>
    <cellStyle name="Normal 3 26 9 2 2" xfId="6291"/>
    <cellStyle name="Normal 3 26 9 3" xfId="6292"/>
    <cellStyle name="Normal 3 27" xfId="6293"/>
    <cellStyle name="Normal 3 27 10" xfId="6294"/>
    <cellStyle name="Normal 3 27 10 2" xfId="6295"/>
    <cellStyle name="Normal 3 27 10 2 2" xfId="6296"/>
    <cellStyle name="Normal 3 27 10 3" xfId="6297"/>
    <cellStyle name="Normal 3 27 11" xfId="6298"/>
    <cellStyle name="Normal 3 27 11 2" xfId="6299"/>
    <cellStyle name="Normal 3 27 11 2 2" xfId="6300"/>
    <cellStyle name="Normal 3 27 11 3" xfId="6301"/>
    <cellStyle name="Normal 3 27 12" xfId="6302"/>
    <cellStyle name="Normal 3 27 12 2" xfId="6303"/>
    <cellStyle name="Normal 3 27 12 2 2" xfId="6304"/>
    <cellStyle name="Normal 3 27 12 3" xfId="6305"/>
    <cellStyle name="Normal 3 27 13" xfId="6306"/>
    <cellStyle name="Normal 3 27 13 2" xfId="6307"/>
    <cellStyle name="Normal 3 27 13 2 2" xfId="6308"/>
    <cellStyle name="Normal 3 27 13 3" xfId="6309"/>
    <cellStyle name="Normal 3 27 14" xfId="6310"/>
    <cellStyle name="Normal 3 27 14 2" xfId="6311"/>
    <cellStyle name="Normal 3 27 14 2 2" xfId="6312"/>
    <cellStyle name="Normal 3 27 14 3" xfId="6313"/>
    <cellStyle name="Normal 3 27 15" xfId="6314"/>
    <cellStyle name="Normal 3 27 15 2" xfId="6315"/>
    <cellStyle name="Normal 3 27 15 2 2" xfId="6316"/>
    <cellStyle name="Normal 3 27 15 3" xfId="6317"/>
    <cellStyle name="Normal 3 27 16" xfId="6318"/>
    <cellStyle name="Normal 3 27 16 2" xfId="6319"/>
    <cellStyle name="Normal 3 27 16 2 2" xfId="6320"/>
    <cellStyle name="Normal 3 27 16 3" xfId="6321"/>
    <cellStyle name="Normal 3 27 17" xfId="6322"/>
    <cellStyle name="Normal 3 27 17 2" xfId="6323"/>
    <cellStyle name="Normal 3 27 17 2 2" xfId="6324"/>
    <cellStyle name="Normal 3 27 17 3" xfId="6325"/>
    <cellStyle name="Normal 3 27 18" xfId="6326"/>
    <cellStyle name="Normal 3 27 18 2" xfId="6327"/>
    <cellStyle name="Normal 3 27 18 2 2" xfId="6328"/>
    <cellStyle name="Normal 3 27 18 3" xfId="6329"/>
    <cellStyle name="Normal 3 27 19" xfId="6330"/>
    <cellStyle name="Normal 3 27 19 2" xfId="6331"/>
    <cellStyle name="Normal 3 27 19 2 2" xfId="6332"/>
    <cellStyle name="Normal 3 27 19 3" xfId="6333"/>
    <cellStyle name="Normal 3 27 2" xfId="6334"/>
    <cellStyle name="Normal 3 27 2 2" xfId="6335"/>
    <cellStyle name="Normal 3 27 2 2 2" xfId="6336"/>
    <cellStyle name="Normal 3 27 2 3" xfId="6337"/>
    <cellStyle name="Normal 3 27 20" xfId="6338"/>
    <cellStyle name="Normal 3 27 20 2" xfId="6339"/>
    <cellStyle name="Normal 3 27 20 2 2" xfId="6340"/>
    <cellStyle name="Normal 3 27 20 3" xfId="6341"/>
    <cellStyle name="Normal 3 27 21" xfId="6342"/>
    <cellStyle name="Normal 3 27 21 2" xfId="6343"/>
    <cellStyle name="Normal 3 27 21 2 2" xfId="6344"/>
    <cellStyle name="Normal 3 27 21 3" xfId="6345"/>
    <cellStyle name="Normal 3 27 22" xfId="6346"/>
    <cellStyle name="Normal 3 27 22 2" xfId="6347"/>
    <cellStyle name="Normal 3 27 22 2 2" xfId="6348"/>
    <cellStyle name="Normal 3 27 22 3" xfId="6349"/>
    <cellStyle name="Normal 3 27 23" xfId="6350"/>
    <cellStyle name="Normal 3 27 23 2" xfId="6351"/>
    <cellStyle name="Normal 3 27 23 2 2" xfId="6352"/>
    <cellStyle name="Normal 3 27 23 3" xfId="6353"/>
    <cellStyle name="Normal 3 27 24" xfId="6354"/>
    <cellStyle name="Normal 3 27 24 2" xfId="6355"/>
    <cellStyle name="Normal 3 27 25" xfId="6356"/>
    <cellStyle name="Normal 3 27 3" xfId="6357"/>
    <cellStyle name="Normal 3 27 3 2" xfId="6358"/>
    <cellStyle name="Normal 3 27 3 2 2" xfId="6359"/>
    <cellStyle name="Normal 3 27 3 3" xfId="6360"/>
    <cellStyle name="Normal 3 27 4" xfId="6361"/>
    <cellStyle name="Normal 3 27 4 2" xfId="6362"/>
    <cellStyle name="Normal 3 27 4 2 2" xfId="6363"/>
    <cellStyle name="Normal 3 27 4 3" xfId="6364"/>
    <cellStyle name="Normal 3 27 5" xfId="6365"/>
    <cellStyle name="Normal 3 27 5 2" xfId="6366"/>
    <cellStyle name="Normal 3 27 5 2 2" xfId="6367"/>
    <cellStyle name="Normal 3 27 5 3" xfId="6368"/>
    <cellStyle name="Normal 3 27 6" xfId="6369"/>
    <cellStyle name="Normal 3 27 6 2" xfId="6370"/>
    <cellStyle name="Normal 3 27 6 2 2" xfId="6371"/>
    <cellStyle name="Normal 3 27 6 3" xfId="6372"/>
    <cellStyle name="Normal 3 27 7" xfId="6373"/>
    <cellStyle name="Normal 3 27 7 2" xfId="6374"/>
    <cellStyle name="Normal 3 27 7 2 2" xfId="6375"/>
    <cellStyle name="Normal 3 27 7 3" xfId="6376"/>
    <cellStyle name="Normal 3 27 8" xfId="6377"/>
    <cellStyle name="Normal 3 27 8 2" xfId="6378"/>
    <cellStyle name="Normal 3 27 8 2 2" xfId="6379"/>
    <cellStyle name="Normal 3 27 8 3" xfId="6380"/>
    <cellStyle name="Normal 3 27 9" xfId="6381"/>
    <cellStyle name="Normal 3 27 9 2" xfId="6382"/>
    <cellStyle name="Normal 3 27 9 2 2" xfId="6383"/>
    <cellStyle name="Normal 3 27 9 3" xfId="6384"/>
    <cellStyle name="Normal 3 28" xfId="6385"/>
    <cellStyle name="Normal 3 28 10" xfId="6386"/>
    <cellStyle name="Normal 3 28 10 2" xfId="6387"/>
    <cellStyle name="Normal 3 28 10 2 2" xfId="6388"/>
    <cellStyle name="Normal 3 28 10 3" xfId="6389"/>
    <cellStyle name="Normal 3 28 11" xfId="6390"/>
    <cellStyle name="Normal 3 28 11 2" xfId="6391"/>
    <cellStyle name="Normal 3 28 11 2 2" xfId="6392"/>
    <cellStyle name="Normal 3 28 11 3" xfId="6393"/>
    <cellStyle name="Normal 3 28 12" xfId="6394"/>
    <cellStyle name="Normal 3 28 12 2" xfId="6395"/>
    <cellStyle name="Normal 3 28 12 2 2" xfId="6396"/>
    <cellStyle name="Normal 3 28 12 3" xfId="6397"/>
    <cellStyle name="Normal 3 28 13" xfId="6398"/>
    <cellStyle name="Normal 3 28 13 2" xfId="6399"/>
    <cellStyle name="Normal 3 28 13 2 2" xfId="6400"/>
    <cellStyle name="Normal 3 28 13 3" xfId="6401"/>
    <cellStyle name="Normal 3 28 14" xfId="6402"/>
    <cellStyle name="Normal 3 28 14 2" xfId="6403"/>
    <cellStyle name="Normal 3 28 14 2 2" xfId="6404"/>
    <cellStyle name="Normal 3 28 14 3" xfId="6405"/>
    <cellStyle name="Normal 3 28 15" xfId="6406"/>
    <cellStyle name="Normal 3 28 15 2" xfId="6407"/>
    <cellStyle name="Normal 3 28 15 2 2" xfId="6408"/>
    <cellStyle name="Normal 3 28 15 3" xfId="6409"/>
    <cellStyle name="Normal 3 28 16" xfId="6410"/>
    <cellStyle name="Normal 3 28 16 2" xfId="6411"/>
    <cellStyle name="Normal 3 28 16 2 2" xfId="6412"/>
    <cellStyle name="Normal 3 28 16 3" xfId="6413"/>
    <cellStyle name="Normal 3 28 17" xfId="6414"/>
    <cellStyle name="Normal 3 28 17 2" xfId="6415"/>
    <cellStyle name="Normal 3 28 17 2 2" xfId="6416"/>
    <cellStyle name="Normal 3 28 17 3" xfId="6417"/>
    <cellStyle name="Normal 3 28 18" xfId="6418"/>
    <cellStyle name="Normal 3 28 18 2" xfId="6419"/>
    <cellStyle name="Normal 3 28 18 2 2" xfId="6420"/>
    <cellStyle name="Normal 3 28 18 3" xfId="6421"/>
    <cellStyle name="Normal 3 28 19" xfId="6422"/>
    <cellStyle name="Normal 3 28 19 2" xfId="6423"/>
    <cellStyle name="Normal 3 28 19 2 2" xfId="6424"/>
    <cellStyle name="Normal 3 28 19 3" xfId="6425"/>
    <cellStyle name="Normal 3 28 2" xfId="6426"/>
    <cellStyle name="Normal 3 28 2 2" xfId="6427"/>
    <cellStyle name="Normal 3 28 2 2 2" xfId="6428"/>
    <cellStyle name="Normal 3 28 2 3" xfId="6429"/>
    <cellStyle name="Normal 3 28 20" xfId="6430"/>
    <cellStyle name="Normal 3 28 20 2" xfId="6431"/>
    <cellStyle name="Normal 3 28 20 2 2" xfId="6432"/>
    <cellStyle name="Normal 3 28 20 3" xfId="6433"/>
    <cellStyle name="Normal 3 28 21" xfId="6434"/>
    <cellStyle name="Normal 3 28 21 2" xfId="6435"/>
    <cellStyle name="Normal 3 28 21 2 2" xfId="6436"/>
    <cellStyle name="Normal 3 28 21 3" xfId="6437"/>
    <cellStyle name="Normal 3 28 22" xfId="6438"/>
    <cellStyle name="Normal 3 28 22 2" xfId="6439"/>
    <cellStyle name="Normal 3 28 22 2 2" xfId="6440"/>
    <cellStyle name="Normal 3 28 22 3" xfId="6441"/>
    <cellStyle name="Normal 3 28 23" xfId="6442"/>
    <cellStyle name="Normal 3 28 23 2" xfId="6443"/>
    <cellStyle name="Normal 3 28 23 2 2" xfId="6444"/>
    <cellStyle name="Normal 3 28 23 3" xfId="6445"/>
    <cellStyle name="Normal 3 28 24" xfId="6446"/>
    <cellStyle name="Normal 3 28 24 2" xfId="6447"/>
    <cellStyle name="Normal 3 28 25" xfId="6448"/>
    <cellStyle name="Normal 3 28 3" xfId="6449"/>
    <cellStyle name="Normal 3 28 3 2" xfId="6450"/>
    <cellStyle name="Normal 3 28 3 2 2" xfId="6451"/>
    <cellStyle name="Normal 3 28 3 3" xfId="6452"/>
    <cellStyle name="Normal 3 28 4" xfId="6453"/>
    <cellStyle name="Normal 3 28 4 2" xfId="6454"/>
    <cellStyle name="Normal 3 28 4 2 2" xfId="6455"/>
    <cellStyle name="Normal 3 28 4 3" xfId="6456"/>
    <cellStyle name="Normal 3 28 5" xfId="6457"/>
    <cellStyle name="Normal 3 28 5 2" xfId="6458"/>
    <cellStyle name="Normal 3 28 5 2 2" xfId="6459"/>
    <cellStyle name="Normal 3 28 5 3" xfId="6460"/>
    <cellStyle name="Normal 3 28 6" xfId="6461"/>
    <cellStyle name="Normal 3 28 6 2" xfId="6462"/>
    <cellStyle name="Normal 3 28 6 2 2" xfId="6463"/>
    <cellStyle name="Normal 3 28 6 3" xfId="6464"/>
    <cellStyle name="Normal 3 28 7" xfId="6465"/>
    <cellStyle name="Normal 3 28 7 2" xfId="6466"/>
    <cellStyle name="Normal 3 28 7 2 2" xfId="6467"/>
    <cellStyle name="Normal 3 28 7 3" xfId="6468"/>
    <cellStyle name="Normal 3 28 8" xfId="6469"/>
    <cellStyle name="Normal 3 28 8 2" xfId="6470"/>
    <cellStyle name="Normal 3 28 8 2 2" xfId="6471"/>
    <cellStyle name="Normal 3 28 8 3" xfId="6472"/>
    <cellStyle name="Normal 3 28 9" xfId="6473"/>
    <cellStyle name="Normal 3 28 9 2" xfId="6474"/>
    <cellStyle name="Normal 3 28 9 2 2" xfId="6475"/>
    <cellStyle name="Normal 3 28 9 3" xfId="6476"/>
    <cellStyle name="Normal 3 29" xfId="6477"/>
    <cellStyle name="Normal 3 29 10" xfId="6478"/>
    <cellStyle name="Normal 3 29 10 2" xfId="6479"/>
    <cellStyle name="Normal 3 29 10 2 2" xfId="6480"/>
    <cellStyle name="Normal 3 29 10 3" xfId="6481"/>
    <cellStyle name="Normal 3 29 11" xfId="6482"/>
    <cellStyle name="Normal 3 29 11 2" xfId="6483"/>
    <cellStyle name="Normal 3 29 11 2 2" xfId="6484"/>
    <cellStyle name="Normal 3 29 11 3" xfId="6485"/>
    <cellStyle name="Normal 3 29 12" xfId="6486"/>
    <cellStyle name="Normal 3 29 12 2" xfId="6487"/>
    <cellStyle name="Normal 3 29 12 2 2" xfId="6488"/>
    <cellStyle name="Normal 3 29 12 3" xfId="6489"/>
    <cellStyle name="Normal 3 29 13" xfId="6490"/>
    <cellStyle name="Normal 3 29 13 2" xfId="6491"/>
    <cellStyle name="Normal 3 29 13 2 2" xfId="6492"/>
    <cellStyle name="Normal 3 29 13 3" xfId="6493"/>
    <cellStyle name="Normal 3 29 14" xfId="6494"/>
    <cellStyle name="Normal 3 29 14 2" xfId="6495"/>
    <cellStyle name="Normal 3 29 14 2 2" xfId="6496"/>
    <cellStyle name="Normal 3 29 14 3" xfId="6497"/>
    <cellStyle name="Normal 3 29 15" xfId="6498"/>
    <cellStyle name="Normal 3 29 15 2" xfId="6499"/>
    <cellStyle name="Normal 3 29 15 2 2" xfId="6500"/>
    <cellStyle name="Normal 3 29 15 3" xfId="6501"/>
    <cellStyle name="Normal 3 29 16" xfId="6502"/>
    <cellStyle name="Normal 3 29 16 2" xfId="6503"/>
    <cellStyle name="Normal 3 29 16 2 2" xfId="6504"/>
    <cellStyle name="Normal 3 29 16 3" xfId="6505"/>
    <cellStyle name="Normal 3 29 17" xfId="6506"/>
    <cellStyle name="Normal 3 29 17 2" xfId="6507"/>
    <cellStyle name="Normal 3 29 17 2 2" xfId="6508"/>
    <cellStyle name="Normal 3 29 17 3" xfId="6509"/>
    <cellStyle name="Normal 3 29 18" xfId="6510"/>
    <cellStyle name="Normal 3 29 18 2" xfId="6511"/>
    <cellStyle name="Normal 3 29 18 2 2" xfId="6512"/>
    <cellStyle name="Normal 3 29 18 3" xfId="6513"/>
    <cellStyle name="Normal 3 29 19" xfId="6514"/>
    <cellStyle name="Normal 3 29 19 2" xfId="6515"/>
    <cellStyle name="Normal 3 29 19 2 2" xfId="6516"/>
    <cellStyle name="Normal 3 29 19 3" xfId="6517"/>
    <cellStyle name="Normal 3 29 2" xfId="6518"/>
    <cellStyle name="Normal 3 29 2 2" xfId="6519"/>
    <cellStyle name="Normal 3 29 2 2 2" xfId="6520"/>
    <cellStyle name="Normal 3 29 2 3" xfId="6521"/>
    <cellStyle name="Normal 3 29 20" xfId="6522"/>
    <cellStyle name="Normal 3 29 20 2" xfId="6523"/>
    <cellStyle name="Normal 3 29 20 2 2" xfId="6524"/>
    <cellStyle name="Normal 3 29 20 3" xfId="6525"/>
    <cellStyle name="Normal 3 29 21" xfId="6526"/>
    <cellStyle name="Normal 3 29 21 2" xfId="6527"/>
    <cellStyle name="Normal 3 29 21 2 2" xfId="6528"/>
    <cellStyle name="Normal 3 29 21 3" xfId="6529"/>
    <cellStyle name="Normal 3 29 22" xfId="6530"/>
    <cellStyle name="Normal 3 29 22 2" xfId="6531"/>
    <cellStyle name="Normal 3 29 22 2 2" xfId="6532"/>
    <cellStyle name="Normal 3 29 22 3" xfId="6533"/>
    <cellStyle name="Normal 3 29 23" xfId="6534"/>
    <cellStyle name="Normal 3 29 23 2" xfId="6535"/>
    <cellStyle name="Normal 3 29 23 2 2" xfId="6536"/>
    <cellStyle name="Normal 3 29 23 3" xfId="6537"/>
    <cellStyle name="Normal 3 29 24" xfId="6538"/>
    <cellStyle name="Normal 3 29 24 2" xfId="6539"/>
    <cellStyle name="Normal 3 29 25" xfId="6540"/>
    <cellStyle name="Normal 3 29 3" xfId="6541"/>
    <cellStyle name="Normal 3 29 3 2" xfId="6542"/>
    <cellStyle name="Normal 3 29 3 2 2" xfId="6543"/>
    <cellStyle name="Normal 3 29 3 3" xfId="6544"/>
    <cellStyle name="Normal 3 29 4" xfId="6545"/>
    <cellStyle name="Normal 3 29 4 2" xfId="6546"/>
    <cellStyle name="Normal 3 29 4 2 2" xfId="6547"/>
    <cellStyle name="Normal 3 29 4 3" xfId="6548"/>
    <cellStyle name="Normal 3 29 5" xfId="6549"/>
    <cellStyle name="Normal 3 29 5 2" xfId="6550"/>
    <cellStyle name="Normal 3 29 5 2 2" xfId="6551"/>
    <cellStyle name="Normal 3 29 5 3" xfId="6552"/>
    <cellStyle name="Normal 3 29 6" xfId="6553"/>
    <cellStyle name="Normal 3 29 6 2" xfId="6554"/>
    <cellStyle name="Normal 3 29 6 2 2" xfId="6555"/>
    <cellStyle name="Normal 3 29 6 3" xfId="6556"/>
    <cellStyle name="Normal 3 29 7" xfId="6557"/>
    <cellStyle name="Normal 3 29 7 2" xfId="6558"/>
    <cellStyle name="Normal 3 29 7 2 2" xfId="6559"/>
    <cellStyle name="Normal 3 29 7 3" xfId="6560"/>
    <cellStyle name="Normal 3 29 8" xfId="6561"/>
    <cellStyle name="Normal 3 29 8 2" xfId="6562"/>
    <cellStyle name="Normal 3 29 8 2 2" xfId="6563"/>
    <cellStyle name="Normal 3 29 8 3" xfId="6564"/>
    <cellStyle name="Normal 3 29 9" xfId="6565"/>
    <cellStyle name="Normal 3 29 9 2" xfId="6566"/>
    <cellStyle name="Normal 3 29 9 2 2" xfId="6567"/>
    <cellStyle name="Normal 3 29 9 3" xfId="6568"/>
    <cellStyle name="Normal 3 3" xfId="191"/>
    <cellStyle name="Normal 3 3 10" xfId="6569"/>
    <cellStyle name="Normal 3 3 10 2" xfId="6570"/>
    <cellStyle name="Normal 3 3 10 2 2" xfId="6571"/>
    <cellStyle name="Normal 3 3 10 3" xfId="6572"/>
    <cellStyle name="Normal 3 3 11" xfId="6573"/>
    <cellStyle name="Normal 3 3 11 2" xfId="6574"/>
    <cellStyle name="Normal 3 3 11 2 2" xfId="6575"/>
    <cellStyle name="Normal 3 3 11 3" xfId="6576"/>
    <cellStyle name="Normal 3 3 12" xfId="6577"/>
    <cellStyle name="Normal 3 3 12 2" xfId="6578"/>
    <cellStyle name="Normal 3 3 12 2 2" xfId="6579"/>
    <cellStyle name="Normal 3 3 12 3" xfId="6580"/>
    <cellStyle name="Normal 3 3 13" xfId="6581"/>
    <cellStyle name="Normal 3 3 13 2" xfId="6582"/>
    <cellStyle name="Normal 3 3 13 2 2" xfId="6583"/>
    <cellStyle name="Normal 3 3 13 3" xfId="6584"/>
    <cellStyle name="Normal 3 3 14" xfId="6585"/>
    <cellStyle name="Normal 3 3 14 2" xfId="6586"/>
    <cellStyle name="Normal 3 3 14 2 2" xfId="6587"/>
    <cellStyle name="Normal 3 3 14 3" xfId="6588"/>
    <cellStyle name="Normal 3 3 15" xfId="6589"/>
    <cellStyle name="Normal 3 3 15 2" xfId="6590"/>
    <cellStyle name="Normal 3 3 15 2 2" xfId="6591"/>
    <cellStyle name="Normal 3 3 15 3" xfId="6592"/>
    <cellStyle name="Normal 3 3 16" xfId="6593"/>
    <cellStyle name="Normal 3 3 16 2" xfId="6594"/>
    <cellStyle name="Normal 3 3 16 2 2" xfId="6595"/>
    <cellStyle name="Normal 3 3 16 3" xfId="6596"/>
    <cellStyle name="Normal 3 3 17" xfId="6597"/>
    <cellStyle name="Normal 3 3 17 2" xfId="6598"/>
    <cellStyle name="Normal 3 3 17 2 2" xfId="6599"/>
    <cellStyle name="Normal 3 3 17 3" xfId="6600"/>
    <cellStyle name="Normal 3 3 18" xfId="6601"/>
    <cellStyle name="Normal 3 3 18 2" xfId="6602"/>
    <cellStyle name="Normal 3 3 18 2 2" xfId="6603"/>
    <cellStyle name="Normal 3 3 18 3" xfId="6604"/>
    <cellStyle name="Normal 3 3 19" xfId="6605"/>
    <cellStyle name="Normal 3 3 19 2" xfId="6606"/>
    <cellStyle name="Normal 3 3 19 2 2" xfId="6607"/>
    <cellStyle name="Normal 3 3 19 3" xfId="6608"/>
    <cellStyle name="Normal 3 3 2" xfId="192"/>
    <cellStyle name="Normal 3 3 2 2" xfId="193"/>
    <cellStyle name="Normal 3 3 2 2 2" xfId="6609"/>
    <cellStyle name="Normal 3 3 2 3" xfId="6610"/>
    <cellStyle name="Normal 3 3 20" xfId="6611"/>
    <cellStyle name="Normal 3 3 20 2" xfId="6612"/>
    <cellStyle name="Normal 3 3 20 2 2" xfId="6613"/>
    <cellStyle name="Normal 3 3 20 3" xfId="6614"/>
    <cellStyle name="Normal 3 3 21" xfId="6615"/>
    <cellStyle name="Normal 3 3 21 2" xfId="6616"/>
    <cellStyle name="Normal 3 3 21 2 2" xfId="6617"/>
    <cellStyle name="Normal 3 3 21 3" xfId="6618"/>
    <cellStyle name="Normal 3 3 22" xfId="6619"/>
    <cellStyle name="Normal 3 3 22 2" xfId="6620"/>
    <cellStyle name="Normal 3 3 22 2 2" xfId="6621"/>
    <cellStyle name="Normal 3 3 22 3" xfId="6622"/>
    <cellStyle name="Normal 3 3 23" xfId="6623"/>
    <cellStyle name="Normal 3 3 23 2" xfId="6624"/>
    <cellStyle name="Normal 3 3 23 2 2" xfId="6625"/>
    <cellStyle name="Normal 3 3 23 3" xfId="6626"/>
    <cellStyle name="Normal 3 3 24" xfId="6627"/>
    <cellStyle name="Normal 3 3 24 2" xfId="6628"/>
    <cellStyle name="Normal 3 3 25" xfId="6629"/>
    <cellStyle name="Normal 3 3 3" xfId="6630"/>
    <cellStyle name="Normal 3 3 3 2" xfId="6631"/>
    <cellStyle name="Normal 3 3 3 2 2" xfId="6632"/>
    <cellStyle name="Normal 3 3 3 3" xfId="6633"/>
    <cellStyle name="Normal 3 3 4" xfId="6634"/>
    <cellStyle name="Normal 3 3 4 2" xfId="6635"/>
    <cellStyle name="Normal 3 3 4 2 2" xfId="6636"/>
    <cellStyle name="Normal 3 3 4 3" xfId="6637"/>
    <cellStyle name="Normal 3 3 5" xfId="6638"/>
    <cellStyle name="Normal 3 3 5 2" xfId="6639"/>
    <cellStyle name="Normal 3 3 5 2 2" xfId="6640"/>
    <cellStyle name="Normal 3 3 5 3" xfId="6641"/>
    <cellStyle name="Normal 3 3 6" xfId="6642"/>
    <cellStyle name="Normal 3 3 6 2" xfId="6643"/>
    <cellStyle name="Normal 3 3 6 2 2" xfId="6644"/>
    <cellStyle name="Normal 3 3 6 3" xfId="6645"/>
    <cellStyle name="Normal 3 3 7" xfId="6646"/>
    <cellStyle name="Normal 3 3 7 2" xfId="6647"/>
    <cellStyle name="Normal 3 3 7 2 2" xfId="6648"/>
    <cellStyle name="Normal 3 3 7 3" xfId="6649"/>
    <cellStyle name="Normal 3 3 8" xfId="6650"/>
    <cellStyle name="Normal 3 3 8 2" xfId="6651"/>
    <cellStyle name="Normal 3 3 8 2 2" xfId="6652"/>
    <cellStyle name="Normal 3 3 8 3" xfId="6653"/>
    <cellStyle name="Normal 3 3 9" xfId="6654"/>
    <cellStyle name="Normal 3 3 9 2" xfId="6655"/>
    <cellStyle name="Normal 3 3 9 2 2" xfId="6656"/>
    <cellStyle name="Normal 3 3 9 3" xfId="6657"/>
    <cellStyle name="Normal 3 30" xfId="6658"/>
    <cellStyle name="Normal 3 30 10" xfId="6659"/>
    <cellStyle name="Normal 3 30 10 2" xfId="6660"/>
    <cellStyle name="Normal 3 30 10 2 2" xfId="6661"/>
    <cellStyle name="Normal 3 30 10 3" xfId="6662"/>
    <cellStyle name="Normal 3 30 11" xfId="6663"/>
    <cellStyle name="Normal 3 30 11 2" xfId="6664"/>
    <cellStyle name="Normal 3 30 11 2 2" xfId="6665"/>
    <cellStyle name="Normal 3 30 11 3" xfId="6666"/>
    <cellStyle name="Normal 3 30 12" xfId="6667"/>
    <cellStyle name="Normal 3 30 12 2" xfId="6668"/>
    <cellStyle name="Normal 3 30 12 2 2" xfId="6669"/>
    <cellStyle name="Normal 3 30 12 3" xfId="6670"/>
    <cellStyle name="Normal 3 30 13" xfId="6671"/>
    <cellStyle name="Normal 3 30 13 2" xfId="6672"/>
    <cellStyle name="Normal 3 30 13 2 2" xfId="6673"/>
    <cellStyle name="Normal 3 30 13 3" xfId="6674"/>
    <cellStyle name="Normal 3 30 14" xfId="6675"/>
    <cellStyle name="Normal 3 30 14 2" xfId="6676"/>
    <cellStyle name="Normal 3 30 14 2 2" xfId="6677"/>
    <cellStyle name="Normal 3 30 14 3" xfId="6678"/>
    <cellStyle name="Normal 3 30 15" xfId="6679"/>
    <cellStyle name="Normal 3 30 15 2" xfId="6680"/>
    <cellStyle name="Normal 3 30 15 2 2" xfId="6681"/>
    <cellStyle name="Normal 3 30 15 3" xfId="6682"/>
    <cellStyle name="Normal 3 30 16" xfId="6683"/>
    <cellStyle name="Normal 3 30 16 2" xfId="6684"/>
    <cellStyle name="Normal 3 30 16 2 2" xfId="6685"/>
    <cellStyle name="Normal 3 30 16 3" xfId="6686"/>
    <cellStyle name="Normal 3 30 17" xfId="6687"/>
    <cellStyle name="Normal 3 30 17 2" xfId="6688"/>
    <cellStyle name="Normal 3 30 17 2 2" xfId="6689"/>
    <cellStyle name="Normal 3 30 17 3" xfId="6690"/>
    <cellStyle name="Normal 3 30 18" xfId="6691"/>
    <cellStyle name="Normal 3 30 18 2" xfId="6692"/>
    <cellStyle name="Normal 3 30 18 2 2" xfId="6693"/>
    <cellStyle name="Normal 3 30 18 3" xfId="6694"/>
    <cellStyle name="Normal 3 30 19" xfId="6695"/>
    <cellStyle name="Normal 3 30 19 2" xfId="6696"/>
    <cellStyle name="Normal 3 30 19 2 2" xfId="6697"/>
    <cellStyle name="Normal 3 30 19 3" xfId="6698"/>
    <cellStyle name="Normal 3 30 2" xfId="6699"/>
    <cellStyle name="Normal 3 30 2 2" xfId="6700"/>
    <cellStyle name="Normal 3 30 2 2 2" xfId="6701"/>
    <cellStyle name="Normal 3 30 2 3" xfId="6702"/>
    <cellStyle name="Normal 3 30 20" xfId="6703"/>
    <cellStyle name="Normal 3 30 20 2" xfId="6704"/>
    <cellStyle name="Normal 3 30 20 2 2" xfId="6705"/>
    <cellStyle name="Normal 3 30 20 3" xfId="6706"/>
    <cellStyle name="Normal 3 30 21" xfId="6707"/>
    <cellStyle name="Normal 3 30 21 2" xfId="6708"/>
    <cellStyle name="Normal 3 30 21 2 2" xfId="6709"/>
    <cellStyle name="Normal 3 30 21 3" xfId="6710"/>
    <cellStyle name="Normal 3 30 22" xfId="6711"/>
    <cellStyle name="Normal 3 30 22 2" xfId="6712"/>
    <cellStyle name="Normal 3 30 22 2 2" xfId="6713"/>
    <cellStyle name="Normal 3 30 22 3" xfId="6714"/>
    <cellStyle name="Normal 3 30 23" xfId="6715"/>
    <cellStyle name="Normal 3 30 23 2" xfId="6716"/>
    <cellStyle name="Normal 3 30 23 2 2" xfId="6717"/>
    <cellStyle name="Normal 3 30 23 3" xfId="6718"/>
    <cellStyle name="Normal 3 30 24" xfId="6719"/>
    <cellStyle name="Normal 3 30 24 2" xfId="6720"/>
    <cellStyle name="Normal 3 30 25" xfId="6721"/>
    <cellStyle name="Normal 3 30 3" xfId="6722"/>
    <cellStyle name="Normal 3 30 3 2" xfId="6723"/>
    <cellStyle name="Normal 3 30 3 2 2" xfId="6724"/>
    <cellStyle name="Normal 3 30 3 3" xfId="6725"/>
    <cellStyle name="Normal 3 30 4" xfId="6726"/>
    <cellStyle name="Normal 3 30 4 2" xfId="6727"/>
    <cellStyle name="Normal 3 30 4 2 2" xfId="6728"/>
    <cellStyle name="Normal 3 30 4 3" xfId="6729"/>
    <cellStyle name="Normal 3 30 5" xfId="6730"/>
    <cellStyle name="Normal 3 30 5 2" xfId="6731"/>
    <cellStyle name="Normal 3 30 5 2 2" xfId="6732"/>
    <cellStyle name="Normal 3 30 5 3" xfId="6733"/>
    <cellStyle name="Normal 3 30 6" xfId="6734"/>
    <cellStyle name="Normal 3 30 6 2" xfId="6735"/>
    <cellStyle name="Normal 3 30 6 2 2" xfId="6736"/>
    <cellStyle name="Normal 3 30 6 3" xfId="6737"/>
    <cellStyle name="Normal 3 30 7" xfId="6738"/>
    <cellStyle name="Normal 3 30 7 2" xfId="6739"/>
    <cellStyle name="Normal 3 30 7 2 2" xfId="6740"/>
    <cellStyle name="Normal 3 30 7 3" xfId="6741"/>
    <cellStyle name="Normal 3 30 8" xfId="6742"/>
    <cellStyle name="Normal 3 30 8 2" xfId="6743"/>
    <cellStyle name="Normal 3 30 8 2 2" xfId="6744"/>
    <cellStyle name="Normal 3 30 8 3" xfId="6745"/>
    <cellStyle name="Normal 3 30 9" xfId="6746"/>
    <cellStyle name="Normal 3 30 9 2" xfId="6747"/>
    <cellStyle name="Normal 3 30 9 2 2" xfId="6748"/>
    <cellStyle name="Normal 3 30 9 3" xfId="6749"/>
    <cellStyle name="Normal 3 31" xfId="6750"/>
    <cellStyle name="Normal 3 31 10" xfId="6751"/>
    <cellStyle name="Normal 3 31 10 2" xfId="6752"/>
    <cellStyle name="Normal 3 31 10 2 2" xfId="6753"/>
    <cellStyle name="Normal 3 31 10 3" xfId="6754"/>
    <cellStyle name="Normal 3 31 11" xfId="6755"/>
    <cellStyle name="Normal 3 31 11 2" xfId="6756"/>
    <cellStyle name="Normal 3 31 11 2 2" xfId="6757"/>
    <cellStyle name="Normal 3 31 11 3" xfId="6758"/>
    <cellStyle name="Normal 3 31 12" xfId="6759"/>
    <cellStyle name="Normal 3 31 12 2" xfId="6760"/>
    <cellStyle name="Normal 3 31 12 2 2" xfId="6761"/>
    <cellStyle name="Normal 3 31 12 3" xfId="6762"/>
    <cellStyle name="Normal 3 31 13" xfId="6763"/>
    <cellStyle name="Normal 3 31 13 2" xfId="6764"/>
    <cellStyle name="Normal 3 31 13 2 2" xfId="6765"/>
    <cellStyle name="Normal 3 31 13 3" xfId="6766"/>
    <cellStyle name="Normal 3 31 14" xfId="6767"/>
    <cellStyle name="Normal 3 31 14 2" xfId="6768"/>
    <cellStyle name="Normal 3 31 14 2 2" xfId="6769"/>
    <cellStyle name="Normal 3 31 14 3" xfId="6770"/>
    <cellStyle name="Normal 3 31 15" xfId="6771"/>
    <cellStyle name="Normal 3 31 15 2" xfId="6772"/>
    <cellStyle name="Normal 3 31 15 2 2" xfId="6773"/>
    <cellStyle name="Normal 3 31 15 3" xfId="6774"/>
    <cellStyle name="Normal 3 31 16" xfId="6775"/>
    <cellStyle name="Normal 3 31 16 2" xfId="6776"/>
    <cellStyle name="Normal 3 31 16 2 2" xfId="6777"/>
    <cellStyle name="Normal 3 31 16 3" xfId="6778"/>
    <cellStyle name="Normal 3 31 17" xfId="6779"/>
    <cellStyle name="Normal 3 31 17 2" xfId="6780"/>
    <cellStyle name="Normal 3 31 17 2 2" xfId="6781"/>
    <cellStyle name="Normal 3 31 17 3" xfId="6782"/>
    <cellStyle name="Normal 3 31 18" xfId="6783"/>
    <cellStyle name="Normal 3 31 18 2" xfId="6784"/>
    <cellStyle name="Normal 3 31 18 2 2" xfId="6785"/>
    <cellStyle name="Normal 3 31 18 3" xfId="6786"/>
    <cellStyle name="Normal 3 31 19" xfId="6787"/>
    <cellStyle name="Normal 3 31 19 2" xfId="6788"/>
    <cellStyle name="Normal 3 31 19 2 2" xfId="6789"/>
    <cellStyle name="Normal 3 31 19 3" xfId="6790"/>
    <cellStyle name="Normal 3 31 2" xfId="6791"/>
    <cellStyle name="Normal 3 31 2 2" xfId="6792"/>
    <cellStyle name="Normal 3 31 2 2 2" xfId="6793"/>
    <cellStyle name="Normal 3 31 2 3" xfId="6794"/>
    <cellStyle name="Normal 3 31 20" xfId="6795"/>
    <cellStyle name="Normal 3 31 20 2" xfId="6796"/>
    <cellStyle name="Normal 3 31 20 2 2" xfId="6797"/>
    <cellStyle name="Normal 3 31 20 3" xfId="6798"/>
    <cellStyle name="Normal 3 31 21" xfId="6799"/>
    <cellStyle name="Normal 3 31 21 2" xfId="6800"/>
    <cellStyle name="Normal 3 31 21 2 2" xfId="6801"/>
    <cellStyle name="Normal 3 31 21 3" xfId="6802"/>
    <cellStyle name="Normal 3 31 22" xfId="6803"/>
    <cellStyle name="Normal 3 31 22 2" xfId="6804"/>
    <cellStyle name="Normal 3 31 22 2 2" xfId="6805"/>
    <cellStyle name="Normal 3 31 22 3" xfId="6806"/>
    <cellStyle name="Normal 3 31 23" xfId="6807"/>
    <cellStyle name="Normal 3 31 23 2" xfId="6808"/>
    <cellStyle name="Normal 3 31 23 2 2" xfId="6809"/>
    <cellStyle name="Normal 3 31 23 3" xfId="6810"/>
    <cellStyle name="Normal 3 31 24" xfId="6811"/>
    <cellStyle name="Normal 3 31 24 2" xfId="6812"/>
    <cellStyle name="Normal 3 31 25" xfId="6813"/>
    <cellStyle name="Normal 3 31 3" xfId="6814"/>
    <cellStyle name="Normal 3 31 3 2" xfId="6815"/>
    <cellStyle name="Normal 3 31 3 2 2" xfId="6816"/>
    <cellStyle name="Normal 3 31 3 3" xfId="6817"/>
    <cellStyle name="Normal 3 31 4" xfId="6818"/>
    <cellStyle name="Normal 3 31 4 2" xfId="6819"/>
    <cellStyle name="Normal 3 31 4 2 2" xfId="6820"/>
    <cellStyle name="Normal 3 31 4 3" xfId="6821"/>
    <cellStyle name="Normal 3 31 5" xfId="6822"/>
    <cellStyle name="Normal 3 31 5 2" xfId="6823"/>
    <cellStyle name="Normal 3 31 5 2 2" xfId="6824"/>
    <cellStyle name="Normal 3 31 5 3" xfId="6825"/>
    <cellStyle name="Normal 3 31 6" xfId="6826"/>
    <cellStyle name="Normal 3 31 6 2" xfId="6827"/>
    <cellStyle name="Normal 3 31 6 2 2" xfId="6828"/>
    <cellStyle name="Normal 3 31 6 3" xfId="6829"/>
    <cellStyle name="Normal 3 31 7" xfId="6830"/>
    <cellStyle name="Normal 3 31 7 2" xfId="6831"/>
    <cellStyle name="Normal 3 31 7 2 2" xfId="6832"/>
    <cellStyle name="Normal 3 31 7 3" xfId="6833"/>
    <cellStyle name="Normal 3 31 8" xfId="6834"/>
    <cellStyle name="Normal 3 31 8 2" xfId="6835"/>
    <cellStyle name="Normal 3 31 8 2 2" xfId="6836"/>
    <cellStyle name="Normal 3 31 8 3" xfId="6837"/>
    <cellStyle name="Normal 3 31 9" xfId="6838"/>
    <cellStyle name="Normal 3 31 9 2" xfId="6839"/>
    <cellStyle name="Normal 3 31 9 2 2" xfId="6840"/>
    <cellStyle name="Normal 3 31 9 3" xfId="6841"/>
    <cellStyle name="Normal 3 32" xfId="6842"/>
    <cellStyle name="Normal 3 32 10" xfId="6843"/>
    <cellStyle name="Normal 3 32 10 2" xfId="6844"/>
    <cellStyle name="Normal 3 32 10 2 2" xfId="6845"/>
    <cellStyle name="Normal 3 32 10 3" xfId="6846"/>
    <cellStyle name="Normal 3 32 11" xfId="6847"/>
    <cellStyle name="Normal 3 32 11 2" xfId="6848"/>
    <cellStyle name="Normal 3 32 11 2 2" xfId="6849"/>
    <cellStyle name="Normal 3 32 11 3" xfId="6850"/>
    <cellStyle name="Normal 3 32 12" xfId="6851"/>
    <cellStyle name="Normal 3 32 12 2" xfId="6852"/>
    <cellStyle name="Normal 3 32 12 2 2" xfId="6853"/>
    <cellStyle name="Normal 3 32 12 3" xfId="6854"/>
    <cellStyle name="Normal 3 32 13" xfId="6855"/>
    <cellStyle name="Normal 3 32 13 2" xfId="6856"/>
    <cellStyle name="Normal 3 32 13 2 2" xfId="6857"/>
    <cellStyle name="Normal 3 32 13 3" xfId="6858"/>
    <cellStyle name="Normal 3 32 14" xfId="6859"/>
    <cellStyle name="Normal 3 32 14 2" xfId="6860"/>
    <cellStyle name="Normal 3 32 14 2 2" xfId="6861"/>
    <cellStyle name="Normal 3 32 14 3" xfId="6862"/>
    <cellStyle name="Normal 3 32 15" xfId="6863"/>
    <cellStyle name="Normal 3 32 15 2" xfId="6864"/>
    <cellStyle name="Normal 3 32 15 2 2" xfId="6865"/>
    <cellStyle name="Normal 3 32 15 3" xfId="6866"/>
    <cellStyle name="Normal 3 32 16" xfId="6867"/>
    <cellStyle name="Normal 3 32 16 2" xfId="6868"/>
    <cellStyle name="Normal 3 32 16 2 2" xfId="6869"/>
    <cellStyle name="Normal 3 32 16 3" xfId="6870"/>
    <cellStyle name="Normal 3 32 17" xfId="6871"/>
    <cellStyle name="Normal 3 32 17 2" xfId="6872"/>
    <cellStyle name="Normal 3 32 17 2 2" xfId="6873"/>
    <cellStyle name="Normal 3 32 17 3" xfId="6874"/>
    <cellStyle name="Normal 3 32 18" xfId="6875"/>
    <cellStyle name="Normal 3 32 18 2" xfId="6876"/>
    <cellStyle name="Normal 3 32 18 2 2" xfId="6877"/>
    <cellStyle name="Normal 3 32 18 3" xfId="6878"/>
    <cellStyle name="Normal 3 32 19" xfId="6879"/>
    <cellStyle name="Normal 3 32 19 2" xfId="6880"/>
    <cellStyle name="Normal 3 32 19 2 2" xfId="6881"/>
    <cellStyle name="Normal 3 32 19 3" xfId="6882"/>
    <cellStyle name="Normal 3 32 2" xfId="6883"/>
    <cellStyle name="Normal 3 32 2 2" xfId="6884"/>
    <cellStyle name="Normal 3 32 2 2 2" xfId="6885"/>
    <cellStyle name="Normal 3 32 2 3" xfId="6886"/>
    <cellStyle name="Normal 3 32 20" xfId="6887"/>
    <cellStyle name="Normal 3 32 20 2" xfId="6888"/>
    <cellStyle name="Normal 3 32 20 2 2" xfId="6889"/>
    <cellStyle name="Normal 3 32 20 3" xfId="6890"/>
    <cellStyle name="Normal 3 32 21" xfId="6891"/>
    <cellStyle name="Normal 3 32 21 2" xfId="6892"/>
    <cellStyle name="Normal 3 32 21 2 2" xfId="6893"/>
    <cellStyle name="Normal 3 32 21 3" xfId="6894"/>
    <cellStyle name="Normal 3 32 22" xfId="6895"/>
    <cellStyle name="Normal 3 32 22 2" xfId="6896"/>
    <cellStyle name="Normal 3 32 22 2 2" xfId="6897"/>
    <cellStyle name="Normal 3 32 22 3" xfId="6898"/>
    <cellStyle name="Normal 3 32 23" xfId="6899"/>
    <cellStyle name="Normal 3 32 23 2" xfId="6900"/>
    <cellStyle name="Normal 3 32 23 2 2" xfId="6901"/>
    <cellStyle name="Normal 3 32 23 3" xfId="6902"/>
    <cellStyle name="Normal 3 32 24" xfId="6903"/>
    <cellStyle name="Normal 3 32 24 2" xfId="6904"/>
    <cellStyle name="Normal 3 32 25" xfId="6905"/>
    <cellStyle name="Normal 3 32 3" xfId="6906"/>
    <cellStyle name="Normal 3 32 3 2" xfId="6907"/>
    <cellStyle name="Normal 3 32 3 2 2" xfId="6908"/>
    <cellStyle name="Normal 3 32 3 3" xfId="6909"/>
    <cellStyle name="Normal 3 32 4" xfId="6910"/>
    <cellStyle name="Normal 3 32 4 2" xfId="6911"/>
    <cellStyle name="Normal 3 32 4 2 2" xfId="6912"/>
    <cellStyle name="Normal 3 32 4 3" xfId="6913"/>
    <cellStyle name="Normal 3 32 5" xfId="6914"/>
    <cellStyle name="Normal 3 32 5 2" xfId="6915"/>
    <cellStyle name="Normal 3 32 5 2 2" xfId="6916"/>
    <cellStyle name="Normal 3 32 5 3" xfId="6917"/>
    <cellStyle name="Normal 3 32 6" xfId="6918"/>
    <cellStyle name="Normal 3 32 6 2" xfId="6919"/>
    <cellStyle name="Normal 3 32 6 2 2" xfId="6920"/>
    <cellStyle name="Normal 3 32 6 3" xfId="6921"/>
    <cellStyle name="Normal 3 32 7" xfId="6922"/>
    <cellStyle name="Normal 3 32 7 2" xfId="6923"/>
    <cellStyle name="Normal 3 32 7 2 2" xfId="6924"/>
    <cellStyle name="Normal 3 32 7 3" xfId="6925"/>
    <cellStyle name="Normal 3 32 8" xfId="6926"/>
    <cellStyle name="Normal 3 32 8 2" xfId="6927"/>
    <cellStyle name="Normal 3 32 8 2 2" xfId="6928"/>
    <cellStyle name="Normal 3 32 8 3" xfId="6929"/>
    <cellStyle name="Normal 3 32 9" xfId="6930"/>
    <cellStyle name="Normal 3 32 9 2" xfId="6931"/>
    <cellStyle name="Normal 3 32 9 2 2" xfId="6932"/>
    <cellStyle name="Normal 3 32 9 3" xfId="6933"/>
    <cellStyle name="Normal 3 33" xfId="6934"/>
    <cellStyle name="Normal 3 33 10" xfId="6935"/>
    <cellStyle name="Normal 3 33 10 2" xfId="6936"/>
    <cellStyle name="Normal 3 33 10 2 2" xfId="6937"/>
    <cellStyle name="Normal 3 33 10 3" xfId="6938"/>
    <cellStyle name="Normal 3 33 11" xfId="6939"/>
    <cellStyle name="Normal 3 33 11 2" xfId="6940"/>
    <cellStyle name="Normal 3 33 11 2 2" xfId="6941"/>
    <cellStyle name="Normal 3 33 11 3" xfId="6942"/>
    <cellStyle name="Normal 3 33 12" xfId="6943"/>
    <cellStyle name="Normal 3 33 12 2" xfId="6944"/>
    <cellStyle name="Normal 3 33 12 2 2" xfId="6945"/>
    <cellStyle name="Normal 3 33 12 3" xfId="6946"/>
    <cellStyle name="Normal 3 33 13" xfId="6947"/>
    <cellStyle name="Normal 3 33 13 2" xfId="6948"/>
    <cellStyle name="Normal 3 33 13 2 2" xfId="6949"/>
    <cellStyle name="Normal 3 33 13 3" xfId="6950"/>
    <cellStyle name="Normal 3 33 14" xfId="6951"/>
    <cellStyle name="Normal 3 33 14 2" xfId="6952"/>
    <cellStyle name="Normal 3 33 14 2 2" xfId="6953"/>
    <cellStyle name="Normal 3 33 14 3" xfId="6954"/>
    <cellStyle name="Normal 3 33 15" xfId="6955"/>
    <cellStyle name="Normal 3 33 15 2" xfId="6956"/>
    <cellStyle name="Normal 3 33 15 2 2" xfId="6957"/>
    <cellStyle name="Normal 3 33 15 3" xfId="6958"/>
    <cellStyle name="Normal 3 33 16" xfId="6959"/>
    <cellStyle name="Normal 3 33 16 2" xfId="6960"/>
    <cellStyle name="Normal 3 33 16 2 2" xfId="6961"/>
    <cellStyle name="Normal 3 33 16 3" xfId="6962"/>
    <cellStyle name="Normal 3 33 17" xfId="6963"/>
    <cellStyle name="Normal 3 33 17 2" xfId="6964"/>
    <cellStyle name="Normal 3 33 17 2 2" xfId="6965"/>
    <cellStyle name="Normal 3 33 17 3" xfId="6966"/>
    <cellStyle name="Normal 3 33 18" xfId="6967"/>
    <cellStyle name="Normal 3 33 18 2" xfId="6968"/>
    <cellStyle name="Normal 3 33 18 2 2" xfId="6969"/>
    <cellStyle name="Normal 3 33 18 3" xfId="6970"/>
    <cellStyle name="Normal 3 33 19" xfId="6971"/>
    <cellStyle name="Normal 3 33 19 2" xfId="6972"/>
    <cellStyle name="Normal 3 33 19 2 2" xfId="6973"/>
    <cellStyle name="Normal 3 33 19 3" xfId="6974"/>
    <cellStyle name="Normal 3 33 2" xfId="6975"/>
    <cellStyle name="Normal 3 33 2 2" xfId="6976"/>
    <cellStyle name="Normal 3 33 2 2 2" xfId="6977"/>
    <cellStyle name="Normal 3 33 2 3" xfId="6978"/>
    <cellStyle name="Normal 3 33 20" xfId="6979"/>
    <cellStyle name="Normal 3 33 20 2" xfId="6980"/>
    <cellStyle name="Normal 3 33 20 2 2" xfId="6981"/>
    <cellStyle name="Normal 3 33 20 3" xfId="6982"/>
    <cellStyle name="Normal 3 33 21" xfId="6983"/>
    <cellStyle name="Normal 3 33 21 2" xfId="6984"/>
    <cellStyle name="Normal 3 33 21 2 2" xfId="6985"/>
    <cellStyle name="Normal 3 33 21 3" xfId="6986"/>
    <cellStyle name="Normal 3 33 22" xfId="6987"/>
    <cellStyle name="Normal 3 33 22 2" xfId="6988"/>
    <cellStyle name="Normal 3 33 22 2 2" xfId="6989"/>
    <cellStyle name="Normal 3 33 22 3" xfId="6990"/>
    <cellStyle name="Normal 3 33 23" xfId="6991"/>
    <cellStyle name="Normal 3 33 23 2" xfId="6992"/>
    <cellStyle name="Normal 3 33 23 2 2" xfId="6993"/>
    <cellStyle name="Normal 3 33 23 3" xfId="6994"/>
    <cellStyle name="Normal 3 33 24" xfId="6995"/>
    <cellStyle name="Normal 3 33 24 2" xfId="6996"/>
    <cellStyle name="Normal 3 33 25" xfId="6997"/>
    <cellStyle name="Normal 3 33 3" xfId="6998"/>
    <cellStyle name="Normal 3 33 3 2" xfId="6999"/>
    <cellStyle name="Normal 3 33 3 2 2" xfId="7000"/>
    <cellStyle name="Normal 3 33 3 3" xfId="7001"/>
    <cellStyle name="Normal 3 33 4" xfId="7002"/>
    <cellStyle name="Normal 3 33 4 2" xfId="7003"/>
    <cellStyle name="Normal 3 33 4 2 2" xfId="7004"/>
    <cellStyle name="Normal 3 33 4 3" xfId="7005"/>
    <cellStyle name="Normal 3 33 5" xfId="7006"/>
    <cellStyle name="Normal 3 33 5 2" xfId="7007"/>
    <cellStyle name="Normal 3 33 5 2 2" xfId="7008"/>
    <cellStyle name="Normal 3 33 5 3" xfId="7009"/>
    <cellStyle name="Normal 3 33 6" xfId="7010"/>
    <cellStyle name="Normal 3 33 6 2" xfId="7011"/>
    <cellStyle name="Normal 3 33 6 2 2" xfId="7012"/>
    <cellStyle name="Normal 3 33 6 3" xfId="7013"/>
    <cellStyle name="Normal 3 33 7" xfId="7014"/>
    <cellStyle name="Normal 3 33 7 2" xfId="7015"/>
    <cellStyle name="Normal 3 33 7 2 2" xfId="7016"/>
    <cellStyle name="Normal 3 33 7 3" xfId="7017"/>
    <cellStyle name="Normal 3 33 8" xfId="7018"/>
    <cellStyle name="Normal 3 33 8 2" xfId="7019"/>
    <cellStyle name="Normal 3 33 8 2 2" xfId="7020"/>
    <cellStyle name="Normal 3 33 8 3" xfId="7021"/>
    <cellStyle name="Normal 3 33 9" xfId="7022"/>
    <cellStyle name="Normal 3 33 9 2" xfId="7023"/>
    <cellStyle name="Normal 3 33 9 2 2" xfId="7024"/>
    <cellStyle name="Normal 3 33 9 3" xfId="7025"/>
    <cellStyle name="Normal 3 34" xfId="7026"/>
    <cellStyle name="Normal 3 34 2" xfId="7027"/>
    <cellStyle name="Normal 3 34 2 2" xfId="7028"/>
    <cellStyle name="Normal 3 34 3" xfId="7029"/>
    <cellStyle name="Normal 3 35" xfId="7030"/>
    <cellStyle name="Normal 3 35 2" xfId="7031"/>
    <cellStyle name="Normal 3 35 2 2" xfId="7032"/>
    <cellStyle name="Normal 3 35 3" xfId="7033"/>
    <cellStyle name="Normal 3 36" xfId="7034"/>
    <cellStyle name="Normal 3 36 2" xfId="7035"/>
    <cellStyle name="Normal 3 36 2 2" xfId="7036"/>
    <cellStyle name="Normal 3 36 3" xfId="7037"/>
    <cellStyle name="Normal 3 37" xfId="7038"/>
    <cellStyle name="Normal 3 37 2" xfId="7039"/>
    <cellStyle name="Normal 3 37 2 2" xfId="7040"/>
    <cellStyle name="Normal 3 37 3" xfId="7041"/>
    <cellStyle name="Normal 3 38" xfId="7042"/>
    <cellStyle name="Normal 3 38 2" xfId="7043"/>
    <cellStyle name="Normal 3 38 2 2" xfId="7044"/>
    <cellStyle name="Normal 3 38 3" xfId="7045"/>
    <cellStyle name="Normal 3 39" xfId="7046"/>
    <cellStyle name="Normal 3 39 2" xfId="7047"/>
    <cellStyle name="Normal 3 39 2 2" xfId="7048"/>
    <cellStyle name="Normal 3 39 3" xfId="7049"/>
    <cellStyle name="Normal 3 4" xfId="194"/>
    <cellStyle name="Normal 3 4 10" xfId="7050"/>
    <cellStyle name="Normal 3 4 10 2" xfId="7051"/>
    <cellStyle name="Normal 3 4 10 2 2" xfId="7052"/>
    <cellStyle name="Normal 3 4 10 3" xfId="7053"/>
    <cellStyle name="Normal 3 4 11" xfId="7054"/>
    <cellStyle name="Normal 3 4 11 2" xfId="7055"/>
    <cellStyle name="Normal 3 4 11 2 2" xfId="7056"/>
    <cellStyle name="Normal 3 4 11 3" xfId="7057"/>
    <cellStyle name="Normal 3 4 12" xfId="7058"/>
    <cellStyle name="Normal 3 4 12 2" xfId="7059"/>
    <cellStyle name="Normal 3 4 12 2 2" xfId="7060"/>
    <cellStyle name="Normal 3 4 12 3" xfId="7061"/>
    <cellStyle name="Normal 3 4 13" xfId="7062"/>
    <cellStyle name="Normal 3 4 13 2" xfId="7063"/>
    <cellStyle name="Normal 3 4 13 2 2" xfId="7064"/>
    <cellStyle name="Normal 3 4 13 3" xfId="7065"/>
    <cellStyle name="Normal 3 4 14" xfId="7066"/>
    <cellStyle name="Normal 3 4 14 2" xfId="7067"/>
    <cellStyle name="Normal 3 4 14 2 2" xfId="7068"/>
    <cellStyle name="Normal 3 4 14 3" xfId="7069"/>
    <cellStyle name="Normal 3 4 15" xfId="7070"/>
    <cellStyle name="Normal 3 4 15 2" xfId="7071"/>
    <cellStyle name="Normal 3 4 15 2 2" xfId="7072"/>
    <cellStyle name="Normal 3 4 15 3" xfId="7073"/>
    <cellStyle name="Normal 3 4 16" xfId="7074"/>
    <cellStyle name="Normal 3 4 16 2" xfId="7075"/>
    <cellStyle name="Normal 3 4 16 2 2" xfId="7076"/>
    <cellStyle name="Normal 3 4 16 3" xfId="7077"/>
    <cellStyle name="Normal 3 4 17" xfId="7078"/>
    <cellStyle name="Normal 3 4 17 2" xfId="7079"/>
    <cellStyle name="Normal 3 4 17 2 2" xfId="7080"/>
    <cellStyle name="Normal 3 4 17 3" xfId="7081"/>
    <cellStyle name="Normal 3 4 18" xfId="7082"/>
    <cellStyle name="Normal 3 4 18 2" xfId="7083"/>
    <cellStyle name="Normal 3 4 18 2 2" xfId="7084"/>
    <cellStyle name="Normal 3 4 18 3" xfId="7085"/>
    <cellStyle name="Normal 3 4 19" xfId="7086"/>
    <cellStyle name="Normal 3 4 19 2" xfId="7087"/>
    <cellStyle name="Normal 3 4 19 2 2" xfId="7088"/>
    <cellStyle name="Normal 3 4 19 3" xfId="7089"/>
    <cellStyle name="Normal 3 4 2" xfId="7090"/>
    <cellStyle name="Normal 3 4 2 2" xfId="7091"/>
    <cellStyle name="Normal 3 4 2 2 2" xfId="7092"/>
    <cellStyle name="Normal 3 4 2 3" xfId="7093"/>
    <cellStyle name="Normal 3 4 20" xfId="7094"/>
    <cellStyle name="Normal 3 4 20 2" xfId="7095"/>
    <cellStyle name="Normal 3 4 20 2 2" xfId="7096"/>
    <cellStyle name="Normal 3 4 20 3" xfId="7097"/>
    <cellStyle name="Normal 3 4 21" xfId="7098"/>
    <cellStyle name="Normal 3 4 21 2" xfId="7099"/>
    <cellStyle name="Normal 3 4 21 2 2" xfId="7100"/>
    <cellStyle name="Normal 3 4 21 3" xfId="7101"/>
    <cellStyle name="Normal 3 4 22" xfId="7102"/>
    <cellStyle name="Normal 3 4 22 2" xfId="7103"/>
    <cellStyle name="Normal 3 4 22 2 2" xfId="7104"/>
    <cellStyle name="Normal 3 4 22 3" xfId="7105"/>
    <cellStyle name="Normal 3 4 23" xfId="7106"/>
    <cellStyle name="Normal 3 4 23 2" xfId="7107"/>
    <cellStyle name="Normal 3 4 23 2 2" xfId="7108"/>
    <cellStyle name="Normal 3 4 23 3" xfId="7109"/>
    <cellStyle name="Normal 3 4 24" xfId="7110"/>
    <cellStyle name="Normal 3 4 24 2" xfId="7111"/>
    <cellStyle name="Normal 3 4 25" xfId="7112"/>
    <cellStyle name="Normal 3 4 3" xfId="7113"/>
    <cellStyle name="Normal 3 4 3 2" xfId="7114"/>
    <cellStyle name="Normal 3 4 3 2 2" xfId="7115"/>
    <cellStyle name="Normal 3 4 3 3" xfId="7116"/>
    <cellStyle name="Normal 3 4 4" xfId="7117"/>
    <cellStyle name="Normal 3 4 4 2" xfId="7118"/>
    <cellStyle name="Normal 3 4 4 2 2" xfId="7119"/>
    <cellStyle name="Normal 3 4 4 3" xfId="7120"/>
    <cellStyle name="Normal 3 4 5" xfId="7121"/>
    <cellStyle name="Normal 3 4 5 2" xfId="7122"/>
    <cellStyle name="Normal 3 4 5 2 2" xfId="7123"/>
    <cellStyle name="Normal 3 4 5 3" xfId="7124"/>
    <cellStyle name="Normal 3 4 6" xfId="7125"/>
    <cellStyle name="Normal 3 4 6 2" xfId="7126"/>
    <cellStyle name="Normal 3 4 6 2 2" xfId="7127"/>
    <cellStyle name="Normal 3 4 6 3" xfId="7128"/>
    <cellStyle name="Normal 3 4 7" xfId="7129"/>
    <cellStyle name="Normal 3 4 7 2" xfId="7130"/>
    <cellStyle name="Normal 3 4 7 2 2" xfId="7131"/>
    <cellStyle name="Normal 3 4 7 3" xfId="7132"/>
    <cellStyle name="Normal 3 4 8" xfId="7133"/>
    <cellStyle name="Normal 3 4 8 2" xfId="7134"/>
    <cellStyle name="Normal 3 4 8 2 2" xfId="7135"/>
    <cellStyle name="Normal 3 4 8 3" xfId="7136"/>
    <cellStyle name="Normal 3 4 9" xfId="7137"/>
    <cellStyle name="Normal 3 4 9 2" xfId="7138"/>
    <cellStyle name="Normal 3 4 9 2 2" xfId="7139"/>
    <cellStyle name="Normal 3 4 9 3" xfId="7140"/>
    <cellStyle name="Normal 3 40" xfId="7141"/>
    <cellStyle name="Normal 3 40 2" xfId="7142"/>
    <cellStyle name="Normal 3 40 2 2" xfId="7143"/>
    <cellStyle name="Normal 3 40 3" xfId="7144"/>
    <cellStyle name="Normal 3 41" xfId="7145"/>
    <cellStyle name="Normal 3 41 2" xfId="7146"/>
    <cellStyle name="Normal 3 41 2 2" xfId="7147"/>
    <cellStyle name="Normal 3 41 3" xfId="7148"/>
    <cellStyle name="Normal 3 42" xfId="7149"/>
    <cellStyle name="Normal 3 42 2" xfId="7150"/>
    <cellStyle name="Normal 3 42 2 2" xfId="7151"/>
    <cellStyle name="Normal 3 42 3" xfId="7152"/>
    <cellStyle name="Normal 3 43" xfId="7153"/>
    <cellStyle name="Normal 3 43 2" xfId="7154"/>
    <cellStyle name="Normal 3 43 2 2" xfId="7155"/>
    <cellStyle name="Normal 3 43 3" xfId="7156"/>
    <cellStyle name="Normal 3 44" xfId="7157"/>
    <cellStyle name="Normal 3 44 2" xfId="7158"/>
    <cellStyle name="Normal 3 44 2 2" xfId="7159"/>
    <cellStyle name="Normal 3 44 3" xfId="7160"/>
    <cellStyle name="Normal 3 45" xfId="7161"/>
    <cellStyle name="Normal 3 45 2" xfId="7162"/>
    <cellStyle name="Normal 3 45 2 2" xfId="7163"/>
    <cellStyle name="Normal 3 45 3" xfId="7164"/>
    <cellStyle name="Normal 3 46" xfId="7165"/>
    <cellStyle name="Normal 3 46 2" xfId="7166"/>
    <cellStyle name="Normal 3 46 2 2" xfId="7167"/>
    <cellStyle name="Normal 3 46 3" xfId="7168"/>
    <cellStyle name="Normal 3 47" xfId="7169"/>
    <cellStyle name="Normal 3 47 2" xfId="7170"/>
    <cellStyle name="Normal 3 47 2 2" xfId="7171"/>
    <cellStyle name="Normal 3 47 3" xfId="7172"/>
    <cellStyle name="Normal 3 48" xfId="7173"/>
    <cellStyle name="Normal 3 48 2" xfId="7174"/>
    <cellStyle name="Normal 3 48 2 2" xfId="7175"/>
    <cellStyle name="Normal 3 48 3" xfId="7176"/>
    <cellStyle name="Normal 3 49" xfId="7177"/>
    <cellStyle name="Normal 3 49 2" xfId="7178"/>
    <cellStyle name="Normal 3 49 2 2" xfId="7179"/>
    <cellStyle name="Normal 3 49 3" xfId="7180"/>
    <cellStyle name="Normal 3 5" xfId="7181"/>
    <cellStyle name="Normal 3 5 10" xfId="7182"/>
    <cellStyle name="Normal 3 5 10 2" xfId="7183"/>
    <cellStyle name="Normal 3 5 10 2 2" xfId="7184"/>
    <cellStyle name="Normal 3 5 10 3" xfId="7185"/>
    <cellStyle name="Normal 3 5 11" xfId="7186"/>
    <cellStyle name="Normal 3 5 11 2" xfId="7187"/>
    <cellStyle name="Normal 3 5 11 2 2" xfId="7188"/>
    <cellStyle name="Normal 3 5 11 3" xfId="7189"/>
    <cellStyle name="Normal 3 5 12" xfId="7190"/>
    <cellStyle name="Normal 3 5 12 2" xfId="7191"/>
    <cellStyle name="Normal 3 5 12 2 2" xfId="7192"/>
    <cellStyle name="Normal 3 5 12 3" xfId="7193"/>
    <cellStyle name="Normal 3 5 13" xfId="7194"/>
    <cellStyle name="Normal 3 5 13 2" xfId="7195"/>
    <cellStyle name="Normal 3 5 13 2 2" xfId="7196"/>
    <cellStyle name="Normal 3 5 13 3" xfId="7197"/>
    <cellStyle name="Normal 3 5 14" xfId="7198"/>
    <cellStyle name="Normal 3 5 14 2" xfId="7199"/>
    <cellStyle name="Normal 3 5 14 2 2" xfId="7200"/>
    <cellStyle name="Normal 3 5 14 3" xfId="7201"/>
    <cellStyle name="Normal 3 5 15" xfId="7202"/>
    <cellStyle name="Normal 3 5 15 2" xfId="7203"/>
    <cellStyle name="Normal 3 5 15 2 2" xfId="7204"/>
    <cellStyle name="Normal 3 5 15 3" xfId="7205"/>
    <cellStyle name="Normal 3 5 16" xfId="7206"/>
    <cellStyle name="Normal 3 5 16 2" xfId="7207"/>
    <cellStyle name="Normal 3 5 16 2 2" xfId="7208"/>
    <cellStyle name="Normal 3 5 16 3" xfId="7209"/>
    <cellStyle name="Normal 3 5 17" xfId="7210"/>
    <cellStyle name="Normal 3 5 17 2" xfId="7211"/>
    <cellStyle name="Normal 3 5 17 2 2" xfId="7212"/>
    <cellStyle name="Normal 3 5 17 3" xfId="7213"/>
    <cellStyle name="Normal 3 5 18" xfId="7214"/>
    <cellStyle name="Normal 3 5 18 2" xfId="7215"/>
    <cellStyle name="Normal 3 5 18 2 2" xfId="7216"/>
    <cellStyle name="Normal 3 5 18 3" xfId="7217"/>
    <cellStyle name="Normal 3 5 19" xfId="7218"/>
    <cellStyle name="Normal 3 5 19 2" xfId="7219"/>
    <cellStyle name="Normal 3 5 19 2 2" xfId="7220"/>
    <cellStyle name="Normal 3 5 19 3" xfId="7221"/>
    <cellStyle name="Normal 3 5 2" xfId="7222"/>
    <cellStyle name="Normal 3 5 2 2" xfId="7223"/>
    <cellStyle name="Normal 3 5 2 2 2" xfId="7224"/>
    <cellStyle name="Normal 3 5 2 3" xfId="7225"/>
    <cellStyle name="Normal 3 5 20" xfId="7226"/>
    <cellStyle name="Normal 3 5 20 2" xfId="7227"/>
    <cellStyle name="Normal 3 5 20 2 2" xfId="7228"/>
    <cellStyle name="Normal 3 5 20 3" xfId="7229"/>
    <cellStyle name="Normal 3 5 21" xfId="7230"/>
    <cellStyle name="Normal 3 5 21 2" xfId="7231"/>
    <cellStyle name="Normal 3 5 21 2 2" xfId="7232"/>
    <cellStyle name="Normal 3 5 21 3" xfId="7233"/>
    <cellStyle name="Normal 3 5 22" xfId="7234"/>
    <cellStyle name="Normal 3 5 22 2" xfId="7235"/>
    <cellStyle name="Normal 3 5 22 2 2" xfId="7236"/>
    <cellStyle name="Normal 3 5 22 3" xfId="7237"/>
    <cellStyle name="Normal 3 5 23" xfId="7238"/>
    <cellStyle name="Normal 3 5 23 2" xfId="7239"/>
    <cellStyle name="Normal 3 5 23 2 2" xfId="7240"/>
    <cellStyle name="Normal 3 5 23 3" xfId="7241"/>
    <cellStyle name="Normal 3 5 24" xfId="7242"/>
    <cellStyle name="Normal 3 5 24 2" xfId="7243"/>
    <cellStyle name="Normal 3 5 25" xfId="7244"/>
    <cellStyle name="Normal 3 5 3" xfId="7245"/>
    <cellStyle name="Normal 3 5 3 2" xfId="7246"/>
    <cellStyle name="Normal 3 5 3 2 2" xfId="7247"/>
    <cellStyle name="Normal 3 5 3 3" xfId="7248"/>
    <cellStyle name="Normal 3 5 4" xfId="7249"/>
    <cellStyle name="Normal 3 5 4 2" xfId="7250"/>
    <cellStyle name="Normal 3 5 4 2 2" xfId="7251"/>
    <cellStyle name="Normal 3 5 4 3" xfId="7252"/>
    <cellStyle name="Normal 3 5 5" xfId="7253"/>
    <cellStyle name="Normal 3 5 5 2" xfId="7254"/>
    <cellStyle name="Normal 3 5 5 2 2" xfId="7255"/>
    <cellStyle name="Normal 3 5 5 3" xfId="7256"/>
    <cellStyle name="Normal 3 5 6" xfId="7257"/>
    <cellStyle name="Normal 3 5 6 2" xfId="7258"/>
    <cellStyle name="Normal 3 5 6 2 2" xfId="7259"/>
    <cellStyle name="Normal 3 5 6 3" xfId="7260"/>
    <cellStyle name="Normal 3 5 7" xfId="7261"/>
    <cellStyle name="Normal 3 5 7 2" xfId="7262"/>
    <cellStyle name="Normal 3 5 7 2 2" xfId="7263"/>
    <cellStyle name="Normal 3 5 7 3" xfId="7264"/>
    <cellStyle name="Normal 3 5 8" xfId="7265"/>
    <cellStyle name="Normal 3 5 8 2" xfId="7266"/>
    <cellStyle name="Normal 3 5 8 2 2" xfId="7267"/>
    <cellStyle name="Normal 3 5 8 3" xfId="7268"/>
    <cellStyle name="Normal 3 5 9" xfId="7269"/>
    <cellStyle name="Normal 3 5 9 2" xfId="7270"/>
    <cellStyle name="Normal 3 5 9 2 2" xfId="7271"/>
    <cellStyle name="Normal 3 5 9 3" xfId="7272"/>
    <cellStyle name="Normal 3 50" xfId="7273"/>
    <cellStyle name="Normal 3 50 2" xfId="7274"/>
    <cellStyle name="Normal 3 50 2 2" xfId="7275"/>
    <cellStyle name="Normal 3 50 3" xfId="7276"/>
    <cellStyle name="Normal 3 51" xfId="7277"/>
    <cellStyle name="Normal 3 51 2" xfId="7278"/>
    <cellStyle name="Normal 3 51 2 2" xfId="7279"/>
    <cellStyle name="Normal 3 51 3" xfId="7280"/>
    <cellStyle name="Normal 3 52" xfId="7281"/>
    <cellStyle name="Normal 3 52 2" xfId="7282"/>
    <cellStyle name="Normal 3 52 2 2" xfId="7283"/>
    <cellStyle name="Normal 3 52 3" xfId="7284"/>
    <cellStyle name="Normal 3 53" xfId="7285"/>
    <cellStyle name="Normal 3 53 2" xfId="7286"/>
    <cellStyle name="Normal 3 53 2 2" xfId="7287"/>
    <cellStyle name="Normal 3 53 3" xfId="7288"/>
    <cellStyle name="Normal 3 54" xfId="7289"/>
    <cellStyle name="Normal 3 54 2" xfId="7290"/>
    <cellStyle name="Normal 3 54 2 2" xfId="7291"/>
    <cellStyle name="Normal 3 54 3" xfId="7292"/>
    <cellStyle name="Normal 3 55" xfId="7293"/>
    <cellStyle name="Normal 3 55 2" xfId="7294"/>
    <cellStyle name="Normal 3 55 2 2" xfId="7295"/>
    <cellStyle name="Normal 3 55 3" xfId="7296"/>
    <cellStyle name="Normal 3 56" xfId="7297"/>
    <cellStyle name="Normal 3 56 2" xfId="7298"/>
    <cellStyle name="Normal 3 56 2 2" xfId="7299"/>
    <cellStyle name="Normal 3 56 3" xfId="7300"/>
    <cellStyle name="Normal 3 57" xfId="7301"/>
    <cellStyle name="Normal 3 57 2" xfId="7302"/>
    <cellStyle name="Normal 3 57 2 2" xfId="7303"/>
    <cellStyle name="Normal 3 57 3" xfId="7304"/>
    <cellStyle name="Normal 3 58" xfId="7305"/>
    <cellStyle name="Normal 3 58 2" xfId="7306"/>
    <cellStyle name="Normal 3 58 2 2" xfId="7307"/>
    <cellStyle name="Normal 3 58 3" xfId="7308"/>
    <cellStyle name="Normal 3 59" xfId="7309"/>
    <cellStyle name="Normal 3 59 2" xfId="7310"/>
    <cellStyle name="Normal 3 59 2 2" xfId="7311"/>
    <cellStyle name="Normal 3 59 3" xfId="7312"/>
    <cellStyle name="Normal 3 6" xfId="7313"/>
    <cellStyle name="Normal 3 6 10" xfId="7314"/>
    <cellStyle name="Normal 3 6 10 2" xfId="7315"/>
    <cellStyle name="Normal 3 6 10 2 2" xfId="7316"/>
    <cellStyle name="Normal 3 6 10 3" xfId="7317"/>
    <cellStyle name="Normal 3 6 11" xfId="7318"/>
    <cellStyle name="Normal 3 6 11 2" xfId="7319"/>
    <cellStyle name="Normal 3 6 11 2 2" xfId="7320"/>
    <cellStyle name="Normal 3 6 11 3" xfId="7321"/>
    <cellStyle name="Normal 3 6 12" xfId="7322"/>
    <cellStyle name="Normal 3 6 12 2" xfId="7323"/>
    <cellStyle name="Normal 3 6 12 2 2" xfId="7324"/>
    <cellStyle name="Normal 3 6 12 3" xfId="7325"/>
    <cellStyle name="Normal 3 6 13" xfId="7326"/>
    <cellStyle name="Normal 3 6 13 2" xfId="7327"/>
    <cellStyle name="Normal 3 6 13 2 2" xfId="7328"/>
    <cellStyle name="Normal 3 6 13 3" xfId="7329"/>
    <cellStyle name="Normal 3 6 14" xfId="7330"/>
    <cellStyle name="Normal 3 6 14 2" xfId="7331"/>
    <cellStyle name="Normal 3 6 14 2 2" xfId="7332"/>
    <cellStyle name="Normal 3 6 14 3" xfId="7333"/>
    <cellStyle name="Normal 3 6 15" xfId="7334"/>
    <cellStyle name="Normal 3 6 15 2" xfId="7335"/>
    <cellStyle name="Normal 3 6 15 2 2" xfId="7336"/>
    <cellStyle name="Normal 3 6 15 3" xfId="7337"/>
    <cellStyle name="Normal 3 6 16" xfId="7338"/>
    <cellStyle name="Normal 3 6 16 2" xfId="7339"/>
    <cellStyle name="Normal 3 6 16 2 2" xfId="7340"/>
    <cellStyle name="Normal 3 6 16 3" xfId="7341"/>
    <cellStyle name="Normal 3 6 17" xfId="7342"/>
    <cellStyle name="Normal 3 6 17 2" xfId="7343"/>
    <cellStyle name="Normal 3 6 17 2 2" xfId="7344"/>
    <cellStyle name="Normal 3 6 17 3" xfId="7345"/>
    <cellStyle name="Normal 3 6 18" xfId="7346"/>
    <cellStyle name="Normal 3 6 18 2" xfId="7347"/>
    <cellStyle name="Normal 3 6 18 2 2" xfId="7348"/>
    <cellStyle name="Normal 3 6 18 3" xfId="7349"/>
    <cellStyle name="Normal 3 6 19" xfId="7350"/>
    <cellStyle name="Normal 3 6 19 2" xfId="7351"/>
    <cellStyle name="Normal 3 6 19 2 2" xfId="7352"/>
    <cellStyle name="Normal 3 6 19 3" xfId="7353"/>
    <cellStyle name="Normal 3 6 2" xfId="7354"/>
    <cellStyle name="Normal 3 6 2 2" xfId="7355"/>
    <cellStyle name="Normal 3 6 2 2 2" xfId="7356"/>
    <cellStyle name="Normal 3 6 2 3" xfId="7357"/>
    <cellStyle name="Normal 3 6 20" xfId="7358"/>
    <cellStyle name="Normal 3 6 20 2" xfId="7359"/>
    <cellStyle name="Normal 3 6 20 2 2" xfId="7360"/>
    <cellStyle name="Normal 3 6 20 3" xfId="7361"/>
    <cellStyle name="Normal 3 6 21" xfId="7362"/>
    <cellStyle name="Normal 3 6 21 2" xfId="7363"/>
    <cellStyle name="Normal 3 6 21 2 2" xfId="7364"/>
    <cellStyle name="Normal 3 6 21 3" xfId="7365"/>
    <cellStyle name="Normal 3 6 22" xfId="7366"/>
    <cellStyle name="Normal 3 6 22 2" xfId="7367"/>
    <cellStyle name="Normal 3 6 22 2 2" xfId="7368"/>
    <cellStyle name="Normal 3 6 22 3" xfId="7369"/>
    <cellStyle name="Normal 3 6 23" xfId="7370"/>
    <cellStyle name="Normal 3 6 23 2" xfId="7371"/>
    <cellStyle name="Normal 3 6 23 2 2" xfId="7372"/>
    <cellStyle name="Normal 3 6 23 3" xfId="7373"/>
    <cellStyle name="Normal 3 6 24" xfId="7374"/>
    <cellStyle name="Normal 3 6 24 2" xfId="7375"/>
    <cellStyle name="Normal 3 6 25" xfId="7376"/>
    <cellStyle name="Normal 3 6 3" xfId="7377"/>
    <cellStyle name="Normal 3 6 3 2" xfId="7378"/>
    <cellStyle name="Normal 3 6 3 2 2" xfId="7379"/>
    <cellStyle name="Normal 3 6 3 3" xfId="7380"/>
    <cellStyle name="Normal 3 6 4" xfId="7381"/>
    <cellStyle name="Normal 3 6 4 2" xfId="7382"/>
    <cellStyle name="Normal 3 6 4 2 2" xfId="7383"/>
    <cellStyle name="Normal 3 6 4 3" xfId="7384"/>
    <cellStyle name="Normal 3 6 5" xfId="7385"/>
    <cellStyle name="Normal 3 6 5 2" xfId="7386"/>
    <cellStyle name="Normal 3 6 5 2 2" xfId="7387"/>
    <cellStyle name="Normal 3 6 5 3" xfId="7388"/>
    <cellStyle name="Normal 3 6 6" xfId="7389"/>
    <cellStyle name="Normal 3 6 6 2" xfId="7390"/>
    <cellStyle name="Normal 3 6 6 2 2" xfId="7391"/>
    <cellStyle name="Normal 3 6 6 3" xfId="7392"/>
    <cellStyle name="Normal 3 6 7" xfId="7393"/>
    <cellStyle name="Normal 3 6 7 2" xfId="7394"/>
    <cellStyle name="Normal 3 6 7 2 2" xfId="7395"/>
    <cellStyle name="Normal 3 6 7 3" xfId="7396"/>
    <cellStyle name="Normal 3 6 8" xfId="7397"/>
    <cellStyle name="Normal 3 6 8 2" xfId="7398"/>
    <cellStyle name="Normal 3 6 8 2 2" xfId="7399"/>
    <cellStyle name="Normal 3 6 8 3" xfId="7400"/>
    <cellStyle name="Normal 3 6 9" xfId="7401"/>
    <cellStyle name="Normal 3 6 9 2" xfId="7402"/>
    <cellStyle name="Normal 3 6 9 2 2" xfId="7403"/>
    <cellStyle name="Normal 3 6 9 3" xfId="7404"/>
    <cellStyle name="Normal 3 60" xfId="7405"/>
    <cellStyle name="Normal 3 60 2" xfId="7406"/>
    <cellStyle name="Normal 3 60 2 2" xfId="7407"/>
    <cellStyle name="Normal 3 60 3" xfId="7408"/>
    <cellStyle name="Normal 3 61" xfId="7409"/>
    <cellStyle name="Normal 3 61 2" xfId="7410"/>
    <cellStyle name="Normal 3 61 2 2" xfId="7411"/>
    <cellStyle name="Normal 3 61 3" xfId="7412"/>
    <cellStyle name="Normal 3 62" xfId="7413"/>
    <cellStyle name="Normal 3 62 2" xfId="7414"/>
    <cellStyle name="Normal 3 62 2 2" xfId="7415"/>
    <cellStyle name="Normal 3 62 3" xfId="7416"/>
    <cellStyle name="Normal 3 63" xfId="7417"/>
    <cellStyle name="Normal 3 63 2" xfId="7418"/>
    <cellStyle name="Normal 3 63 2 2" xfId="7419"/>
    <cellStyle name="Normal 3 63 3" xfId="7420"/>
    <cellStyle name="Normal 3 64" xfId="7421"/>
    <cellStyle name="Normal 3 64 2" xfId="7422"/>
    <cellStyle name="Normal 3 64 2 2" xfId="7423"/>
    <cellStyle name="Normal 3 64 3" xfId="7424"/>
    <cellStyle name="Normal 3 65" xfId="7425"/>
    <cellStyle name="Normal 3 65 2" xfId="7426"/>
    <cellStyle name="Normal 3 65 2 2" xfId="7427"/>
    <cellStyle name="Normal 3 65 3" xfId="7428"/>
    <cellStyle name="Normal 3 66" xfId="195"/>
    <cellStyle name="Normal 3 67" xfId="7429"/>
    <cellStyle name="Normal 3 68" xfId="7430"/>
    <cellStyle name="Normal 3 7" xfId="7431"/>
    <cellStyle name="Normal 3 7 10" xfId="7432"/>
    <cellStyle name="Normal 3 7 10 2" xfId="7433"/>
    <cellStyle name="Normal 3 7 10 2 2" xfId="7434"/>
    <cellStyle name="Normal 3 7 10 3" xfId="7435"/>
    <cellStyle name="Normal 3 7 11" xfId="7436"/>
    <cellStyle name="Normal 3 7 11 2" xfId="7437"/>
    <cellStyle name="Normal 3 7 11 2 2" xfId="7438"/>
    <cellStyle name="Normal 3 7 11 3" xfId="7439"/>
    <cellStyle name="Normal 3 7 12" xfId="7440"/>
    <cellStyle name="Normal 3 7 12 2" xfId="7441"/>
    <cellStyle name="Normal 3 7 12 2 2" xfId="7442"/>
    <cellStyle name="Normal 3 7 12 3" xfId="7443"/>
    <cellStyle name="Normal 3 7 13" xfId="7444"/>
    <cellStyle name="Normal 3 7 13 2" xfId="7445"/>
    <cellStyle name="Normal 3 7 13 2 2" xfId="7446"/>
    <cellStyle name="Normal 3 7 13 3" xfId="7447"/>
    <cellStyle name="Normal 3 7 14" xfId="7448"/>
    <cellStyle name="Normal 3 7 14 2" xfId="7449"/>
    <cellStyle name="Normal 3 7 14 2 2" xfId="7450"/>
    <cellStyle name="Normal 3 7 14 3" xfId="7451"/>
    <cellStyle name="Normal 3 7 15" xfId="7452"/>
    <cellStyle name="Normal 3 7 15 2" xfId="7453"/>
    <cellStyle name="Normal 3 7 15 2 2" xfId="7454"/>
    <cellStyle name="Normal 3 7 15 3" xfId="7455"/>
    <cellStyle name="Normal 3 7 16" xfId="7456"/>
    <cellStyle name="Normal 3 7 16 2" xfId="7457"/>
    <cellStyle name="Normal 3 7 16 2 2" xfId="7458"/>
    <cellStyle name="Normal 3 7 16 3" xfId="7459"/>
    <cellStyle name="Normal 3 7 17" xfId="7460"/>
    <cellStyle name="Normal 3 7 17 2" xfId="7461"/>
    <cellStyle name="Normal 3 7 17 2 2" xfId="7462"/>
    <cellStyle name="Normal 3 7 17 3" xfId="7463"/>
    <cellStyle name="Normal 3 7 18" xfId="7464"/>
    <cellStyle name="Normal 3 7 18 2" xfId="7465"/>
    <cellStyle name="Normal 3 7 18 2 2" xfId="7466"/>
    <cellStyle name="Normal 3 7 18 3" xfId="7467"/>
    <cellStyle name="Normal 3 7 19" xfId="7468"/>
    <cellStyle name="Normal 3 7 19 2" xfId="7469"/>
    <cellStyle name="Normal 3 7 19 2 2" xfId="7470"/>
    <cellStyle name="Normal 3 7 19 3" xfId="7471"/>
    <cellStyle name="Normal 3 7 2" xfId="7472"/>
    <cellStyle name="Normal 3 7 2 2" xfId="7473"/>
    <cellStyle name="Normal 3 7 2 2 2" xfId="7474"/>
    <cellStyle name="Normal 3 7 2 3" xfId="7475"/>
    <cellStyle name="Normal 3 7 20" xfId="7476"/>
    <cellStyle name="Normal 3 7 20 2" xfId="7477"/>
    <cellStyle name="Normal 3 7 20 2 2" xfId="7478"/>
    <cellStyle name="Normal 3 7 20 3" xfId="7479"/>
    <cellStyle name="Normal 3 7 21" xfId="7480"/>
    <cellStyle name="Normal 3 7 21 2" xfId="7481"/>
    <cellStyle name="Normal 3 7 21 2 2" xfId="7482"/>
    <cellStyle name="Normal 3 7 21 3" xfId="7483"/>
    <cellStyle name="Normal 3 7 22" xfId="7484"/>
    <cellStyle name="Normal 3 7 22 2" xfId="7485"/>
    <cellStyle name="Normal 3 7 22 2 2" xfId="7486"/>
    <cellStyle name="Normal 3 7 22 3" xfId="7487"/>
    <cellStyle name="Normal 3 7 23" xfId="7488"/>
    <cellStyle name="Normal 3 7 23 2" xfId="7489"/>
    <cellStyle name="Normal 3 7 23 2 2" xfId="7490"/>
    <cellStyle name="Normal 3 7 23 3" xfId="7491"/>
    <cellStyle name="Normal 3 7 24" xfId="7492"/>
    <cellStyle name="Normal 3 7 24 2" xfId="7493"/>
    <cellStyle name="Normal 3 7 25" xfId="7494"/>
    <cellStyle name="Normal 3 7 3" xfId="7495"/>
    <cellStyle name="Normal 3 7 3 2" xfId="7496"/>
    <cellStyle name="Normal 3 7 3 2 2" xfId="7497"/>
    <cellStyle name="Normal 3 7 3 3" xfId="7498"/>
    <cellStyle name="Normal 3 7 4" xfId="7499"/>
    <cellStyle name="Normal 3 7 4 2" xfId="7500"/>
    <cellStyle name="Normal 3 7 4 2 2" xfId="7501"/>
    <cellStyle name="Normal 3 7 4 3" xfId="7502"/>
    <cellStyle name="Normal 3 7 5" xfId="7503"/>
    <cellStyle name="Normal 3 7 5 2" xfId="7504"/>
    <cellStyle name="Normal 3 7 5 2 2" xfId="7505"/>
    <cellStyle name="Normal 3 7 5 3" xfId="7506"/>
    <cellStyle name="Normal 3 7 6" xfId="7507"/>
    <cellStyle name="Normal 3 7 6 2" xfId="7508"/>
    <cellStyle name="Normal 3 7 6 2 2" xfId="7509"/>
    <cellStyle name="Normal 3 7 6 3" xfId="7510"/>
    <cellStyle name="Normal 3 7 7" xfId="7511"/>
    <cellStyle name="Normal 3 7 7 2" xfId="7512"/>
    <cellStyle name="Normal 3 7 7 2 2" xfId="7513"/>
    <cellStyle name="Normal 3 7 7 3" xfId="7514"/>
    <cellStyle name="Normal 3 7 8" xfId="7515"/>
    <cellStyle name="Normal 3 7 8 2" xfId="7516"/>
    <cellStyle name="Normal 3 7 8 2 2" xfId="7517"/>
    <cellStyle name="Normal 3 7 8 3" xfId="7518"/>
    <cellStyle name="Normal 3 7 9" xfId="7519"/>
    <cellStyle name="Normal 3 7 9 2" xfId="7520"/>
    <cellStyle name="Normal 3 7 9 2 2" xfId="7521"/>
    <cellStyle name="Normal 3 7 9 3" xfId="7522"/>
    <cellStyle name="Normal 3 8" xfId="7523"/>
    <cellStyle name="Normal 3 8 10" xfId="7524"/>
    <cellStyle name="Normal 3 8 10 2" xfId="7525"/>
    <cellStyle name="Normal 3 8 10 2 2" xfId="7526"/>
    <cellStyle name="Normal 3 8 10 3" xfId="7527"/>
    <cellStyle name="Normal 3 8 11" xfId="7528"/>
    <cellStyle name="Normal 3 8 11 2" xfId="7529"/>
    <cellStyle name="Normal 3 8 11 2 2" xfId="7530"/>
    <cellStyle name="Normal 3 8 11 3" xfId="7531"/>
    <cellStyle name="Normal 3 8 12" xfId="7532"/>
    <cellStyle name="Normal 3 8 12 2" xfId="7533"/>
    <cellStyle name="Normal 3 8 12 2 2" xfId="7534"/>
    <cellStyle name="Normal 3 8 12 3" xfId="7535"/>
    <cellStyle name="Normal 3 8 13" xfId="7536"/>
    <cellStyle name="Normal 3 8 13 2" xfId="7537"/>
    <cellStyle name="Normal 3 8 13 2 2" xfId="7538"/>
    <cellStyle name="Normal 3 8 13 3" xfId="7539"/>
    <cellStyle name="Normal 3 8 14" xfId="7540"/>
    <cellStyle name="Normal 3 8 14 2" xfId="7541"/>
    <cellStyle name="Normal 3 8 14 2 2" xfId="7542"/>
    <cellStyle name="Normal 3 8 14 3" xfId="7543"/>
    <cellStyle name="Normal 3 8 15" xfId="7544"/>
    <cellStyle name="Normal 3 8 15 2" xfId="7545"/>
    <cellStyle name="Normal 3 8 15 2 2" xfId="7546"/>
    <cellStyle name="Normal 3 8 15 3" xfId="7547"/>
    <cellStyle name="Normal 3 8 16" xfId="7548"/>
    <cellStyle name="Normal 3 8 16 2" xfId="7549"/>
    <cellStyle name="Normal 3 8 16 2 2" xfId="7550"/>
    <cellStyle name="Normal 3 8 16 3" xfId="7551"/>
    <cellStyle name="Normal 3 8 17" xfId="7552"/>
    <cellStyle name="Normal 3 8 17 2" xfId="7553"/>
    <cellStyle name="Normal 3 8 17 2 2" xfId="7554"/>
    <cellStyle name="Normal 3 8 17 3" xfId="7555"/>
    <cellStyle name="Normal 3 8 18" xfId="7556"/>
    <cellStyle name="Normal 3 8 18 2" xfId="7557"/>
    <cellStyle name="Normal 3 8 18 2 2" xfId="7558"/>
    <cellStyle name="Normal 3 8 18 3" xfId="7559"/>
    <cellStyle name="Normal 3 8 19" xfId="7560"/>
    <cellStyle name="Normal 3 8 19 2" xfId="7561"/>
    <cellStyle name="Normal 3 8 19 2 2" xfId="7562"/>
    <cellStyle name="Normal 3 8 19 3" xfId="7563"/>
    <cellStyle name="Normal 3 8 2" xfId="7564"/>
    <cellStyle name="Normal 3 8 2 2" xfId="7565"/>
    <cellStyle name="Normal 3 8 2 2 2" xfId="7566"/>
    <cellStyle name="Normal 3 8 2 3" xfId="7567"/>
    <cellStyle name="Normal 3 8 20" xfId="7568"/>
    <cellStyle name="Normal 3 8 20 2" xfId="7569"/>
    <cellStyle name="Normal 3 8 20 2 2" xfId="7570"/>
    <cellStyle name="Normal 3 8 20 3" xfId="7571"/>
    <cellStyle name="Normal 3 8 21" xfId="7572"/>
    <cellStyle name="Normal 3 8 21 2" xfId="7573"/>
    <cellStyle name="Normal 3 8 21 2 2" xfId="7574"/>
    <cellStyle name="Normal 3 8 21 3" xfId="7575"/>
    <cellStyle name="Normal 3 8 22" xfId="7576"/>
    <cellStyle name="Normal 3 8 22 2" xfId="7577"/>
    <cellStyle name="Normal 3 8 22 2 2" xfId="7578"/>
    <cellStyle name="Normal 3 8 22 3" xfId="7579"/>
    <cellStyle name="Normal 3 8 23" xfId="7580"/>
    <cellStyle name="Normal 3 8 23 2" xfId="7581"/>
    <cellStyle name="Normal 3 8 23 2 2" xfId="7582"/>
    <cellStyle name="Normal 3 8 23 3" xfId="7583"/>
    <cellStyle name="Normal 3 8 24" xfId="7584"/>
    <cellStyle name="Normal 3 8 24 2" xfId="7585"/>
    <cellStyle name="Normal 3 8 25" xfId="7586"/>
    <cellStyle name="Normal 3 8 3" xfId="7587"/>
    <cellStyle name="Normal 3 8 3 2" xfId="7588"/>
    <cellStyle name="Normal 3 8 3 2 2" xfId="7589"/>
    <cellStyle name="Normal 3 8 3 3" xfId="7590"/>
    <cellStyle name="Normal 3 8 4" xfId="7591"/>
    <cellStyle name="Normal 3 8 4 2" xfId="7592"/>
    <cellStyle name="Normal 3 8 4 2 2" xfId="7593"/>
    <cellStyle name="Normal 3 8 4 3" xfId="7594"/>
    <cellStyle name="Normal 3 8 5" xfId="7595"/>
    <cellStyle name="Normal 3 8 5 2" xfId="7596"/>
    <cellStyle name="Normal 3 8 5 2 2" xfId="7597"/>
    <cellStyle name="Normal 3 8 5 3" xfId="7598"/>
    <cellStyle name="Normal 3 8 6" xfId="7599"/>
    <cellStyle name="Normal 3 8 6 2" xfId="7600"/>
    <cellStyle name="Normal 3 8 6 2 2" xfId="7601"/>
    <cellStyle name="Normal 3 8 6 3" xfId="7602"/>
    <cellStyle name="Normal 3 8 7" xfId="7603"/>
    <cellStyle name="Normal 3 8 7 2" xfId="7604"/>
    <cellStyle name="Normal 3 8 7 2 2" xfId="7605"/>
    <cellStyle name="Normal 3 8 7 3" xfId="7606"/>
    <cellStyle name="Normal 3 8 8" xfId="7607"/>
    <cellStyle name="Normal 3 8 8 2" xfId="7608"/>
    <cellStyle name="Normal 3 8 8 2 2" xfId="7609"/>
    <cellStyle name="Normal 3 8 8 3" xfId="7610"/>
    <cellStyle name="Normal 3 8 9" xfId="7611"/>
    <cellStyle name="Normal 3 8 9 2" xfId="7612"/>
    <cellStyle name="Normal 3 8 9 2 2" xfId="7613"/>
    <cellStyle name="Normal 3 8 9 3" xfId="7614"/>
    <cellStyle name="Normal 3 9" xfId="7615"/>
    <cellStyle name="Normal 3 9 10" xfId="7616"/>
    <cellStyle name="Normal 3 9 10 2" xfId="7617"/>
    <cellStyle name="Normal 3 9 10 2 2" xfId="7618"/>
    <cellStyle name="Normal 3 9 10 3" xfId="7619"/>
    <cellStyle name="Normal 3 9 11" xfId="7620"/>
    <cellStyle name="Normal 3 9 11 2" xfId="7621"/>
    <cellStyle name="Normal 3 9 11 2 2" xfId="7622"/>
    <cellStyle name="Normal 3 9 11 3" xfId="7623"/>
    <cellStyle name="Normal 3 9 12" xfId="7624"/>
    <cellStyle name="Normal 3 9 12 2" xfId="7625"/>
    <cellStyle name="Normal 3 9 12 2 2" xfId="7626"/>
    <cellStyle name="Normal 3 9 12 3" xfId="7627"/>
    <cellStyle name="Normal 3 9 13" xfId="7628"/>
    <cellStyle name="Normal 3 9 13 2" xfId="7629"/>
    <cellStyle name="Normal 3 9 13 2 2" xfId="7630"/>
    <cellStyle name="Normal 3 9 13 3" xfId="7631"/>
    <cellStyle name="Normal 3 9 14" xfId="7632"/>
    <cellStyle name="Normal 3 9 14 2" xfId="7633"/>
    <cellStyle name="Normal 3 9 14 2 2" xfId="7634"/>
    <cellStyle name="Normal 3 9 14 3" xfId="7635"/>
    <cellStyle name="Normal 3 9 15" xfId="7636"/>
    <cellStyle name="Normal 3 9 15 2" xfId="7637"/>
    <cellStyle name="Normal 3 9 15 2 2" xfId="7638"/>
    <cellStyle name="Normal 3 9 15 3" xfId="7639"/>
    <cellStyle name="Normal 3 9 16" xfId="7640"/>
    <cellStyle name="Normal 3 9 16 2" xfId="7641"/>
    <cellStyle name="Normal 3 9 16 2 2" xfId="7642"/>
    <cellStyle name="Normal 3 9 16 3" xfId="7643"/>
    <cellStyle name="Normal 3 9 17" xfId="7644"/>
    <cellStyle name="Normal 3 9 17 2" xfId="7645"/>
    <cellStyle name="Normal 3 9 17 2 2" xfId="7646"/>
    <cellStyle name="Normal 3 9 17 3" xfId="7647"/>
    <cellStyle name="Normal 3 9 18" xfId="7648"/>
    <cellStyle name="Normal 3 9 18 2" xfId="7649"/>
    <cellStyle name="Normal 3 9 18 2 2" xfId="7650"/>
    <cellStyle name="Normal 3 9 18 3" xfId="7651"/>
    <cellStyle name="Normal 3 9 19" xfId="7652"/>
    <cellStyle name="Normal 3 9 19 2" xfId="7653"/>
    <cellStyle name="Normal 3 9 19 2 2" xfId="7654"/>
    <cellStyle name="Normal 3 9 19 3" xfId="7655"/>
    <cellStyle name="Normal 3 9 2" xfId="7656"/>
    <cellStyle name="Normal 3 9 2 2" xfId="7657"/>
    <cellStyle name="Normal 3 9 2 2 2" xfId="7658"/>
    <cellStyle name="Normal 3 9 2 3" xfId="7659"/>
    <cellStyle name="Normal 3 9 20" xfId="7660"/>
    <cellStyle name="Normal 3 9 20 2" xfId="7661"/>
    <cellStyle name="Normal 3 9 20 2 2" xfId="7662"/>
    <cellStyle name="Normal 3 9 20 3" xfId="7663"/>
    <cellStyle name="Normal 3 9 21" xfId="7664"/>
    <cellStyle name="Normal 3 9 21 2" xfId="7665"/>
    <cellStyle name="Normal 3 9 21 2 2" xfId="7666"/>
    <cellStyle name="Normal 3 9 21 3" xfId="7667"/>
    <cellStyle name="Normal 3 9 22" xfId="7668"/>
    <cellStyle name="Normal 3 9 22 2" xfId="7669"/>
    <cellStyle name="Normal 3 9 22 2 2" xfId="7670"/>
    <cellStyle name="Normal 3 9 22 3" xfId="7671"/>
    <cellStyle name="Normal 3 9 23" xfId="7672"/>
    <cellStyle name="Normal 3 9 23 2" xfId="7673"/>
    <cellStyle name="Normal 3 9 23 2 2" xfId="7674"/>
    <cellStyle name="Normal 3 9 23 3" xfId="7675"/>
    <cellStyle name="Normal 3 9 24" xfId="7676"/>
    <cellStyle name="Normal 3 9 24 2" xfId="7677"/>
    <cellStyle name="Normal 3 9 25" xfId="7678"/>
    <cellStyle name="Normal 3 9 3" xfId="7679"/>
    <cellStyle name="Normal 3 9 3 2" xfId="7680"/>
    <cellStyle name="Normal 3 9 3 2 2" xfId="7681"/>
    <cellStyle name="Normal 3 9 3 3" xfId="7682"/>
    <cellStyle name="Normal 3 9 4" xfId="7683"/>
    <cellStyle name="Normal 3 9 4 2" xfId="7684"/>
    <cellStyle name="Normal 3 9 4 2 2" xfId="7685"/>
    <cellStyle name="Normal 3 9 4 3" xfId="7686"/>
    <cellStyle name="Normal 3 9 5" xfId="7687"/>
    <cellStyle name="Normal 3 9 5 2" xfId="7688"/>
    <cellStyle name="Normal 3 9 5 2 2" xfId="7689"/>
    <cellStyle name="Normal 3 9 5 3" xfId="7690"/>
    <cellStyle name="Normal 3 9 6" xfId="7691"/>
    <cellStyle name="Normal 3 9 6 2" xfId="7692"/>
    <cellStyle name="Normal 3 9 6 2 2" xfId="7693"/>
    <cellStyle name="Normal 3 9 6 3" xfId="7694"/>
    <cellStyle name="Normal 3 9 7" xfId="7695"/>
    <cellStyle name="Normal 3 9 7 2" xfId="7696"/>
    <cellStyle name="Normal 3 9 7 2 2" xfId="7697"/>
    <cellStyle name="Normal 3 9 7 3" xfId="7698"/>
    <cellStyle name="Normal 3 9 8" xfId="7699"/>
    <cellStyle name="Normal 3 9 8 2" xfId="7700"/>
    <cellStyle name="Normal 3 9 8 2 2" xfId="7701"/>
    <cellStyle name="Normal 3 9 8 3" xfId="7702"/>
    <cellStyle name="Normal 3 9 9" xfId="7703"/>
    <cellStyle name="Normal 3 9 9 2" xfId="7704"/>
    <cellStyle name="Normal 3 9 9 2 2" xfId="7705"/>
    <cellStyle name="Normal 3 9 9 3" xfId="7706"/>
    <cellStyle name="Normal 30" xfId="331"/>
    <cellStyle name="Normal 31" xfId="332"/>
    <cellStyle name="Normal 32" xfId="333"/>
    <cellStyle name="Normal 33" xfId="334"/>
    <cellStyle name="Normal 34" xfId="335"/>
    <cellStyle name="Normal 35" xfId="336"/>
    <cellStyle name="Normal 36" xfId="337"/>
    <cellStyle name="Normal 37" xfId="338"/>
    <cellStyle name="Normal 38" xfId="339"/>
    <cellStyle name="Normal 39" xfId="340"/>
    <cellStyle name="Normal 4" xfId="196"/>
    <cellStyle name="Normal 4 2" xfId="197"/>
    <cellStyle name="Normal 4 2 2" xfId="7707"/>
    <cellStyle name="Normal 4 2 2 2" xfId="9155"/>
    <cellStyle name="Normal 4 2 3" xfId="7708"/>
    <cellStyle name="Normal 4 2 3 2" xfId="7709"/>
    <cellStyle name="Normal 4 2 4" xfId="7710"/>
    <cellStyle name="Normal 4 2 5" xfId="9133"/>
    <cellStyle name="Normal 4 3" xfId="198"/>
    <cellStyle name="Normal 4 3 2" xfId="199"/>
    <cellStyle name="Normal 4 3 2 2" xfId="200"/>
    <cellStyle name="Normal 4 3 2 2 2" xfId="8861"/>
    <cellStyle name="Normal 4 3 2 3" xfId="201"/>
    <cellStyle name="Normal 4 3 2 3 2" xfId="8862"/>
    <cellStyle name="Normal 4 3 2 4" xfId="8863"/>
    <cellStyle name="Normal 4 3 2 5" xfId="8864"/>
    <cellStyle name="Normal 4 3 3" xfId="202"/>
    <cellStyle name="Normal 4 3 3 2" xfId="8865"/>
    <cellStyle name="Normal 4 3 4" xfId="7711"/>
    <cellStyle name="Normal 4 3 4 2" xfId="8866"/>
    <cellStyle name="Normal 4 3 5" xfId="8867"/>
    <cellStyle name="Normal 4 3 5 2" xfId="8868"/>
    <cellStyle name="Normal 4 3 6" xfId="8869"/>
    <cellStyle name="Normal 4 3 7" xfId="8870"/>
    <cellStyle name="Normal 4 4" xfId="203"/>
    <cellStyle name="Normal 4 4 2" xfId="204"/>
    <cellStyle name="Normal 4 4 2 2" xfId="8871"/>
    <cellStyle name="Normal 4 4 2 3" xfId="8872"/>
    <cellStyle name="Normal 4 4 3" xfId="205"/>
    <cellStyle name="Normal 4 4 3 2" xfId="8873"/>
    <cellStyle name="Normal 4 4 4" xfId="8874"/>
    <cellStyle name="Normal 4 4 5" xfId="8875"/>
    <cellStyle name="Normal 4 5" xfId="206"/>
    <cellStyle name="Normal 4 5 2" xfId="207"/>
    <cellStyle name="Normal 4 5 2 2" xfId="8876"/>
    <cellStyle name="Normal 4 5 3" xfId="341"/>
    <cellStyle name="Normal 4 5 3 2" xfId="8877"/>
    <cellStyle name="Normal 4 5 4" xfId="8878"/>
    <cellStyle name="Normal 4 5 5" xfId="8879"/>
    <cellStyle name="Normal 4 6" xfId="342"/>
    <cellStyle name="Normal 4 6 2" xfId="8880"/>
    <cellStyle name="Normal 4 7" xfId="343"/>
    <cellStyle name="Normal 4 7 2" xfId="8881"/>
    <cellStyle name="Normal 4 8" xfId="7712"/>
    <cellStyle name="Normal 4 8 2" xfId="8176"/>
    <cellStyle name="Normal 4 9" xfId="7713"/>
    <cellStyle name="Normal 40" xfId="344"/>
    <cellStyle name="Normal 41" xfId="345"/>
    <cellStyle name="Normal 42" xfId="346"/>
    <cellStyle name="Normal 43" xfId="347"/>
    <cellStyle name="Normal 44" xfId="348"/>
    <cellStyle name="Normal 45" xfId="349"/>
    <cellStyle name="Normal 46" xfId="350"/>
    <cellStyle name="Normal 47" xfId="351"/>
    <cellStyle name="Normal 48" xfId="352"/>
    <cellStyle name="Normal 48 2" xfId="353"/>
    <cellStyle name="Normal 49" xfId="354"/>
    <cellStyle name="Normal 5" xfId="208"/>
    <cellStyle name="Normal 5 10" xfId="7714"/>
    <cellStyle name="Normal 5 10 2" xfId="7715"/>
    <cellStyle name="Normal 5 10 2 2" xfId="7716"/>
    <cellStyle name="Normal 5 10 3" xfId="7717"/>
    <cellStyle name="Normal 5 11" xfId="7718"/>
    <cellStyle name="Normal 5 11 2" xfId="7719"/>
    <cellStyle name="Normal 5 11 2 2" xfId="7720"/>
    <cellStyle name="Normal 5 11 3" xfId="7721"/>
    <cellStyle name="Normal 5 12" xfId="7722"/>
    <cellStyle name="Normal 5 12 2" xfId="7723"/>
    <cellStyle name="Normal 5 12 2 2" xfId="7724"/>
    <cellStyle name="Normal 5 12 3" xfId="7725"/>
    <cellStyle name="Normal 5 13" xfId="7726"/>
    <cellStyle name="Normal 5 13 2" xfId="7727"/>
    <cellStyle name="Normal 5 13 2 2" xfId="7728"/>
    <cellStyle name="Normal 5 13 3" xfId="7729"/>
    <cellStyle name="Normal 5 14" xfId="7730"/>
    <cellStyle name="Normal 5 14 2" xfId="7731"/>
    <cellStyle name="Normal 5 14 2 2" xfId="7732"/>
    <cellStyle name="Normal 5 14 3" xfId="7733"/>
    <cellStyle name="Normal 5 15" xfId="7734"/>
    <cellStyle name="Normal 5 15 2" xfId="7735"/>
    <cellStyle name="Normal 5 15 2 2" xfId="7736"/>
    <cellStyle name="Normal 5 15 3" xfId="7737"/>
    <cellStyle name="Normal 5 16" xfId="7738"/>
    <cellStyle name="Normal 5 16 2" xfId="7739"/>
    <cellStyle name="Normal 5 16 2 2" xfId="7740"/>
    <cellStyle name="Normal 5 16 3" xfId="7741"/>
    <cellStyle name="Normal 5 17" xfId="7742"/>
    <cellStyle name="Normal 5 17 2" xfId="7743"/>
    <cellStyle name="Normal 5 17 2 2" xfId="7744"/>
    <cellStyle name="Normal 5 17 3" xfId="7745"/>
    <cellStyle name="Normal 5 18" xfId="7746"/>
    <cellStyle name="Normal 5 18 2" xfId="7747"/>
    <cellStyle name="Normal 5 18 2 2" xfId="7748"/>
    <cellStyle name="Normal 5 18 3" xfId="7749"/>
    <cellStyle name="Normal 5 19" xfId="7750"/>
    <cellStyle name="Normal 5 19 2" xfId="7751"/>
    <cellStyle name="Normal 5 19 2 2" xfId="7752"/>
    <cellStyle name="Normal 5 19 3" xfId="7753"/>
    <cellStyle name="Normal 5 2" xfId="209"/>
    <cellStyle name="Normal 5 2 10" xfId="7754"/>
    <cellStyle name="Normal 5 2 10 2" xfId="7755"/>
    <cellStyle name="Normal 5 2 10 2 2" xfId="7756"/>
    <cellStyle name="Normal 5 2 10 3" xfId="7757"/>
    <cellStyle name="Normal 5 2 11" xfId="7758"/>
    <cellStyle name="Normal 5 2 11 2" xfId="7759"/>
    <cellStyle name="Normal 5 2 11 2 2" xfId="7760"/>
    <cellStyle name="Normal 5 2 11 3" xfId="7761"/>
    <cellStyle name="Normal 5 2 12" xfId="7762"/>
    <cellStyle name="Normal 5 2 12 2" xfId="7763"/>
    <cellStyle name="Normal 5 2 12 2 2" xfId="7764"/>
    <cellStyle name="Normal 5 2 12 3" xfId="7765"/>
    <cellStyle name="Normal 5 2 13" xfId="7766"/>
    <cellStyle name="Normal 5 2 13 2" xfId="7767"/>
    <cellStyle name="Normal 5 2 13 2 2" xfId="7768"/>
    <cellStyle name="Normal 5 2 13 3" xfId="7769"/>
    <cellStyle name="Normal 5 2 14" xfId="7770"/>
    <cellStyle name="Normal 5 2 14 2" xfId="7771"/>
    <cellStyle name="Normal 5 2 14 2 2" xfId="7772"/>
    <cellStyle name="Normal 5 2 14 3" xfId="7773"/>
    <cellStyle name="Normal 5 2 15" xfId="7774"/>
    <cellStyle name="Normal 5 2 15 2" xfId="7775"/>
    <cellStyle name="Normal 5 2 15 2 2" xfId="7776"/>
    <cellStyle name="Normal 5 2 15 3" xfId="7777"/>
    <cellStyle name="Normal 5 2 16" xfId="7778"/>
    <cellStyle name="Normal 5 2 16 2" xfId="7779"/>
    <cellStyle name="Normal 5 2 16 2 2" xfId="7780"/>
    <cellStyle name="Normal 5 2 16 3" xfId="7781"/>
    <cellStyle name="Normal 5 2 17" xfId="7782"/>
    <cellStyle name="Normal 5 2 17 2" xfId="7783"/>
    <cellStyle name="Normal 5 2 17 2 2" xfId="7784"/>
    <cellStyle name="Normal 5 2 17 3" xfId="7785"/>
    <cellStyle name="Normal 5 2 18" xfId="7786"/>
    <cellStyle name="Normal 5 2 18 2" xfId="7787"/>
    <cellStyle name="Normal 5 2 18 2 2" xfId="7788"/>
    <cellStyle name="Normal 5 2 18 3" xfId="7789"/>
    <cellStyle name="Normal 5 2 19" xfId="7790"/>
    <cellStyle name="Normal 5 2 19 2" xfId="7791"/>
    <cellStyle name="Normal 5 2 19 2 2" xfId="7792"/>
    <cellStyle name="Normal 5 2 19 3" xfId="7793"/>
    <cellStyle name="Normal 5 2 2" xfId="7794"/>
    <cellStyle name="Normal 5 2 2 2" xfId="7795"/>
    <cellStyle name="Normal 5 2 2 2 2" xfId="7796"/>
    <cellStyle name="Normal 5 2 2 3" xfId="7797"/>
    <cellStyle name="Normal 5 2 2 4" xfId="9157"/>
    <cellStyle name="Normal 5 2 20" xfId="7798"/>
    <cellStyle name="Normal 5 2 20 2" xfId="7799"/>
    <cellStyle name="Normal 5 2 20 2 2" xfId="7800"/>
    <cellStyle name="Normal 5 2 20 3" xfId="7801"/>
    <cellStyle name="Normal 5 2 21" xfId="7802"/>
    <cellStyle name="Normal 5 2 21 2" xfId="7803"/>
    <cellStyle name="Normal 5 2 21 2 2" xfId="7804"/>
    <cellStyle name="Normal 5 2 21 3" xfId="7805"/>
    <cellStyle name="Normal 5 2 22" xfId="7806"/>
    <cellStyle name="Normal 5 2 22 2" xfId="7807"/>
    <cellStyle name="Normal 5 2 22 2 2" xfId="7808"/>
    <cellStyle name="Normal 5 2 22 3" xfId="7809"/>
    <cellStyle name="Normal 5 2 23" xfId="7810"/>
    <cellStyle name="Normal 5 2 23 2" xfId="7811"/>
    <cellStyle name="Normal 5 2 23 2 2" xfId="7812"/>
    <cellStyle name="Normal 5 2 23 3" xfId="7813"/>
    <cellStyle name="Normal 5 2 24" xfId="7814"/>
    <cellStyle name="Normal 5 2 25" xfId="7815"/>
    <cellStyle name="Normal 5 2 25 2" xfId="7816"/>
    <cellStyle name="Normal 5 2 26" xfId="7817"/>
    <cellStyle name="Normal 5 2 27" xfId="9135"/>
    <cellStyle name="Normal 5 2 3" xfId="7818"/>
    <cellStyle name="Normal 5 2 3 2" xfId="7819"/>
    <cellStyle name="Normal 5 2 3 2 2" xfId="7820"/>
    <cellStyle name="Normal 5 2 3 3" xfId="7821"/>
    <cellStyle name="Normal 5 2 4" xfId="7822"/>
    <cellStyle name="Normal 5 2 4 2" xfId="7823"/>
    <cellStyle name="Normal 5 2 4 2 2" xfId="7824"/>
    <cellStyle name="Normal 5 2 4 3" xfId="7825"/>
    <cellStyle name="Normal 5 2 5" xfId="7826"/>
    <cellStyle name="Normal 5 2 5 2" xfId="7827"/>
    <cellStyle name="Normal 5 2 5 2 2" xfId="7828"/>
    <cellStyle name="Normal 5 2 5 3" xfId="7829"/>
    <cellStyle name="Normal 5 2 6" xfId="7830"/>
    <cellStyle name="Normal 5 2 6 2" xfId="7831"/>
    <cellStyle name="Normal 5 2 6 2 2" xfId="7832"/>
    <cellStyle name="Normal 5 2 6 3" xfId="7833"/>
    <cellStyle name="Normal 5 2 7" xfId="7834"/>
    <cellStyle name="Normal 5 2 7 2" xfId="7835"/>
    <cellStyle name="Normal 5 2 7 2 2" xfId="7836"/>
    <cellStyle name="Normal 5 2 7 3" xfId="7837"/>
    <cellStyle name="Normal 5 2 8" xfId="7838"/>
    <cellStyle name="Normal 5 2 8 2" xfId="7839"/>
    <cellStyle name="Normal 5 2 8 2 2" xfId="7840"/>
    <cellStyle name="Normal 5 2 8 3" xfId="7841"/>
    <cellStyle name="Normal 5 2 9" xfId="7842"/>
    <cellStyle name="Normal 5 2 9 2" xfId="7843"/>
    <cellStyle name="Normal 5 2 9 2 2" xfId="7844"/>
    <cellStyle name="Normal 5 2 9 3" xfId="7845"/>
    <cellStyle name="Normal 5 20" xfId="7846"/>
    <cellStyle name="Normal 5 20 2" xfId="7847"/>
    <cellStyle name="Normal 5 20 2 2" xfId="7848"/>
    <cellStyle name="Normal 5 20 3" xfId="7849"/>
    <cellStyle name="Normal 5 21" xfId="7850"/>
    <cellStyle name="Normal 5 21 2" xfId="7851"/>
    <cellStyle name="Normal 5 21 2 2" xfId="7852"/>
    <cellStyle name="Normal 5 21 3" xfId="7853"/>
    <cellStyle name="Normal 5 22" xfId="7854"/>
    <cellStyle name="Normal 5 22 2" xfId="7855"/>
    <cellStyle name="Normal 5 22 2 2" xfId="7856"/>
    <cellStyle name="Normal 5 22 3" xfId="7857"/>
    <cellStyle name="Normal 5 23" xfId="7858"/>
    <cellStyle name="Normal 5 23 2" xfId="7859"/>
    <cellStyle name="Normal 5 23 2 2" xfId="7860"/>
    <cellStyle name="Normal 5 23 3" xfId="7861"/>
    <cellStyle name="Normal 5 24" xfId="7862"/>
    <cellStyle name="Normal 5 24 2" xfId="7863"/>
    <cellStyle name="Normal 5 24 2 2" xfId="7864"/>
    <cellStyle name="Normal 5 24 3" xfId="7865"/>
    <cellStyle name="Normal 5 25" xfId="7866"/>
    <cellStyle name="Normal 5 26" xfId="7867"/>
    <cellStyle name="Normal 5 26 2" xfId="7868"/>
    <cellStyle name="Normal 5 27" xfId="7869"/>
    <cellStyle name="Normal 5 28" xfId="7870"/>
    <cellStyle name="Normal 5 3" xfId="7871"/>
    <cellStyle name="Normal 5 3 2" xfId="7872"/>
    <cellStyle name="Normal 5 3 2 2" xfId="7873"/>
    <cellStyle name="Normal 5 3 2 2 2" xfId="8883"/>
    <cellStyle name="Normal 5 3 2 2 3" xfId="8882"/>
    <cellStyle name="Normal 5 3 2 3" xfId="8884"/>
    <cellStyle name="Normal 5 3 2 3 2" xfId="8885"/>
    <cellStyle name="Normal 5 3 2 4" xfId="8886"/>
    <cellStyle name="Normal 5 3 3" xfId="7874"/>
    <cellStyle name="Normal 5 3 3 2" xfId="8888"/>
    <cellStyle name="Normal 5 3 3 3" xfId="8887"/>
    <cellStyle name="Normal 5 3 4" xfId="8889"/>
    <cellStyle name="Normal 5 3 4 2" xfId="8890"/>
    <cellStyle name="Normal 5 3 5" xfId="8891"/>
    <cellStyle name="Normal 5 4" xfId="7875"/>
    <cellStyle name="Normal 5 4 2" xfId="7876"/>
    <cellStyle name="Normal 5 4 2 2" xfId="7877"/>
    <cellStyle name="Normal 5 4 2 2 2" xfId="8893"/>
    <cellStyle name="Normal 5 4 2 2 3" xfId="8892"/>
    <cellStyle name="Normal 5 4 2 3" xfId="8894"/>
    <cellStyle name="Normal 5 4 2 3 2" xfId="8895"/>
    <cellStyle name="Normal 5 4 2 4" xfId="8896"/>
    <cellStyle name="Normal 5 4 3" xfId="7878"/>
    <cellStyle name="Normal 5 4 3 2" xfId="8898"/>
    <cellStyle name="Normal 5 4 3 3" xfId="8897"/>
    <cellStyle name="Normal 5 4 4" xfId="8899"/>
    <cellStyle name="Normal 5 4 4 2" xfId="8900"/>
    <cellStyle name="Normal 5 4 5" xfId="8901"/>
    <cellStyle name="Normal 5 5" xfId="7879"/>
    <cellStyle name="Normal 5 5 2" xfId="7880"/>
    <cellStyle name="Normal 5 5 2 2" xfId="7881"/>
    <cellStyle name="Normal 5 5 2 2 2" xfId="8903"/>
    <cellStyle name="Normal 5 5 2 2 3" xfId="8902"/>
    <cellStyle name="Normal 5 5 2 3" xfId="8904"/>
    <cellStyle name="Normal 5 5 2 3 2" xfId="8905"/>
    <cellStyle name="Normal 5 5 2 4" xfId="8906"/>
    <cellStyle name="Normal 5 5 3" xfId="7882"/>
    <cellStyle name="Normal 5 5 3 2" xfId="8908"/>
    <cellStyle name="Normal 5 5 3 3" xfId="8907"/>
    <cellStyle name="Normal 5 5 4" xfId="8909"/>
    <cellStyle name="Normal 5 5 4 2" xfId="8910"/>
    <cellStyle name="Normal 5 5 5" xfId="8911"/>
    <cellStyle name="Normal 5 6" xfId="7883"/>
    <cellStyle name="Normal 5 6 2" xfId="7884"/>
    <cellStyle name="Normal 5 6 2 2" xfId="7885"/>
    <cellStyle name="Normal 5 6 2 2 2" xfId="8913"/>
    <cellStyle name="Normal 5 6 2 2 3" xfId="8912"/>
    <cellStyle name="Normal 5 6 2 3" xfId="8914"/>
    <cellStyle name="Normal 5 6 2 3 2" xfId="8915"/>
    <cellStyle name="Normal 5 6 2 4" xfId="8916"/>
    <cellStyle name="Normal 5 6 3" xfId="7886"/>
    <cellStyle name="Normal 5 6 3 2" xfId="8918"/>
    <cellStyle name="Normal 5 6 3 3" xfId="8917"/>
    <cellStyle name="Normal 5 6 4" xfId="8919"/>
    <cellStyle name="Normal 5 6 4 2" xfId="8920"/>
    <cellStyle name="Normal 5 6 5" xfId="8921"/>
    <cellStyle name="Normal 5 7" xfId="7887"/>
    <cellStyle name="Normal 5 7 2" xfId="7888"/>
    <cellStyle name="Normal 5 7 2 2" xfId="7889"/>
    <cellStyle name="Normal 5 7 3" xfId="7890"/>
    <cellStyle name="Normal 5 8" xfId="7891"/>
    <cellStyle name="Normal 5 8 2" xfId="7892"/>
    <cellStyle name="Normal 5 8 2 2" xfId="7893"/>
    <cellStyle name="Normal 5 8 3" xfId="7894"/>
    <cellStyle name="Normal 5 9" xfId="7895"/>
    <cellStyle name="Normal 5 9 2" xfId="7896"/>
    <cellStyle name="Normal 5 9 2 2" xfId="7897"/>
    <cellStyle name="Normal 5 9 3" xfId="7898"/>
    <cellStyle name="Normal 50" xfId="355"/>
    <cellStyle name="Normal 51" xfId="12"/>
    <cellStyle name="Normal 51 2" xfId="7899"/>
    <cellStyle name="Normal 6" xfId="210"/>
    <cellStyle name="Normal 6 2" xfId="7900"/>
    <cellStyle name="Normal 6 2 2" xfId="8177"/>
    <cellStyle name="Normal 6 3" xfId="7901"/>
    <cellStyle name="Normal 6 3 2" xfId="7902"/>
    <cellStyle name="Normal 6 3 3" xfId="8178"/>
    <cellStyle name="Normal 6 4" xfId="7903"/>
    <cellStyle name="Normal 6 4 2" xfId="8179"/>
    <cellStyle name="Normal 6 5" xfId="7904"/>
    <cellStyle name="Normal 7" xfId="211"/>
    <cellStyle name="Normal 7 10" xfId="7905"/>
    <cellStyle name="Normal 7 10 2" xfId="7906"/>
    <cellStyle name="Normal 7 10 2 2" xfId="7907"/>
    <cellStyle name="Normal 7 10 3" xfId="7908"/>
    <cellStyle name="Normal 7 11" xfId="7909"/>
    <cellStyle name="Normal 7 11 2" xfId="7910"/>
    <cellStyle name="Normal 7 11 2 2" xfId="7911"/>
    <cellStyle name="Normal 7 11 3" xfId="7912"/>
    <cellStyle name="Normal 7 12" xfId="7913"/>
    <cellStyle name="Normal 7 12 2" xfId="7914"/>
    <cellStyle name="Normal 7 12 2 2" xfId="7915"/>
    <cellStyle name="Normal 7 12 3" xfId="7916"/>
    <cellStyle name="Normal 7 13" xfId="7917"/>
    <cellStyle name="Normal 7 13 2" xfId="7918"/>
    <cellStyle name="Normal 7 13 2 2" xfId="7919"/>
    <cellStyle name="Normal 7 13 3" xfId="7920"/>
    <cellStyle name="Normal 7 14" xfId="7921"/>
    <cellStyle name="Normal 7 14 2" xfId="7922"/>
    <cellStyle name="Normal 7 14 2 2" xfId="7923"/>
    <cellStyle name="Normal 7 14 3" xfId="7924"/>
    <cellStyle name="Normal 7 15" xfId="7925"/>
    <cellStyle name="Normal 7 15 2" xfId="7926"/>
    <cellStyle name="Normal 7 15 2 2" xfId="7927"/>
    <cellStyle name="Normal 7 15 3" xfId="7928"/>
    <cellStyle name="Normal 7 16" xfId="7929"/>
    <cellStyle name="Normal 7 16 2" xfId="7930"/>
    <cellStyle name="Normal 7 16 2 2" xfId="7931"/>
    <cellStyle name="Normal 7 16 3" xfId="7932"/>
    <cellStyle name="Normal 7 17" xfId="7933"/>
    <cellStyle name="Normal 7 17 2" xfId="7934"/>
    <cellStyle name="Normal 7 17 2 2" xfId="7935"/>
    <cellStyle name="Normal 7 17 3" xfId="7936"/>
    <cellStyle name="Normal 7 18" xfId="7937"/>
    <cellStyle name="Normal 7 18 2" xfId="7938"/>
    <cellStyle name="Normal 7 18 2 2" xfId="7939"/>
    <cellStyle name="Normal 7 18 3" xfId="7940"/>
    <cellStyle name="Normal 7 19" xfId="7941"/>
    <cellStyle name="Normal 7 19 2" xfId="7942"/>
    <cellStyle name="Normal 7 19 2 2" xfId="7943"/>
    <cellStyle name="Normal 7 19 3" xfId="7944"/>
    <cellStyle name="Normal 7 2" xfId="212"/>
    <cellStyle name="Normal 7 2 10" xfId="7945"/>
    <cellStyle name="Normal 7 2 10 2" xfId="7946"/>
    <cellStyle name="Normal 7 2 10 2 2" xfId="7947"/>
    <cellStyle name="Normal 7 2 10 3" xfId="7948"/>
    <cellStyle name="Normal 7 2 11" xfId="7949"/>
    <cellStyle name="Normal 7 2 11 2" xfId="7950"/>
    <cellStyle name="Normal 7 2 11 2 2" xfId="7951"/>
    <cellStyle name="Normal 7 2 11 3" xfId="7952"/>
    <cellStyle name="Normal 7 2 12" xfId="7953"/>
    <cellStyle name="Normal 7 2 12 2" xfId="7954"/>
    <cellStyle name="Normal 7 2 12 2 2" xfId="7955"/>
    <cellStyle name="Normal 7 2 12 3" xfId="7956"/>
    <cellStyle name="Normal 7 2 13" xfId="7957"/>
    <cellStyle name="Normal 7 2 13 2" xfId="7958"/>
    <cellStyle name="Normal 7 2 13 2 2" xfId="7959"/>
    <cellStyle name="Normal 7 2 13 3" xfId="7960"/>
    <cellStyle name="Normal 7 2 14" xfId="7961"/>
    <cellStyle name="Normal 7 2 14 2" xfId="7962"/>
    <cellStyle name="Normal 7 2 14 2 2" xfId="7963"/>
    <cellStyle name="Normal 7 2 14 3" xfId="7964"/>
    <cellStyle name="Normal 7 2 15" xfId="7965"/>
    <cellStyle name="Normal 7 2 15 2" xfId="7966"/>
    <cellStyle name="Normal 7 2 15 2 2" xfId="7967"/>
    <cellStyle name="Normal 7 2 15 3" xfId="7968"/>
    <cellStyle name="Normal 7 2 16" xfId="7969"/>
    <cellStyle name="Normal 7 2 16 2" xfId="7970"/>
    <cellStyle name="Normal 7 2 16 2 2" xfId="7971"/>
    <cellStyle name="Normal 7 2 16 3" xfId="7972"/>
    <cellStyle name="Normal 7 2 17" xfId="7973"/>
    <cellStyle name="Normal 7 2 17 2" xfId="7974"/>
    <cellStyle name="Normal 7 2 17 2 2" xfId="7975"/>
    <cellStyle name="Normal 7 2 17 3" xfId="7976"/>
    <cellStyle name="Normal 7 2 18" xfId="7977"/>
    <cellStyle name="Normal 7 2 18 2" xfId="7978"/>
    <cellStyle name="Normal 7 2 18 2 2" xfId="7979"/>
    <cellStyle name="Normal 7 2 18 3" xfId="7980"/>
    <cellStyle name="Normal 7 2 19" xfId="7981"/>
    <cellStyle name="Normal 7 2 19 2" xfId="7982"/>
    <cellStyle name="Normal 7 2 19 2 2" xfId="7983"/>
    <cellStyle name="Normal 7 2 19 3" xfId="7984"/>
    <cellStyle name="Normal 7 2 2" xfId="7985"/>
    <cellStyle name="Normal 7 2 2 2" xfId="7986"/>
    <cellStyle name="Normal 7 2 2 2 2" xfId="7987"/>
    <cellStyle name="Normal 7 2 2 3" xfId="7988"/>
    <cellStyle name="Normal 7 2 2 4" xfId="9158"/>
    <cellStyle name="Normal 7 2 20" xfId="7989"/>
    <cellStyle name="Normal 7 2 20 2" xfId="7990"/>
    <cellStyle name="Normal 7 2 20 2 2" xfId="7991"/>
    <cellStyle name="Normal 7 2 20 3" xfId="7992"/>
    <cellStyle name="Normal 7 2 21" xfId="7993"/>
    <cellStyle name="Normal 7 2 21 2" xfId="7994"/>
    <cellStyle name="Normal 7 2 21 2 2" xfId="7995"/>
    <cellStyle name="Normal 7 2 21 3" xfId="7996"/>
    <cellStyle name="Normal 7 2 22" xfId="7997"/>
    <cellStyle name="Normal 7 2 22 2" xfId="7998"/>
    <cellStyle name="Normal 7 2 22 2 2" xfId="7999"/>
    <cellStyle name="Normal 7 2 22 3" xfId="8000"/>
    <cellStyle name="Normal 7 2 23" xfId="8001"/>
    <cellStyle name="Normal 7 2 23 2" xfId="8002"/>
    <cellStyle name="Normal 7 2 23 2 2" xfId="8003"/>
    <cellStyle name="Normal 7 2 23 3" xfId="8004"/>
    <cellStyle name="Normal 7 2 24" xfId="8005"/>
    <cellStyle name="Normal 7 2 25" xfId="8006"/>
    <cellStyle name="Normal 7 2 25 2" xfId="8007"/>
    <cellStyle name="Normal 7 2 26" xfId="8008"/>
    <cellStyle name="Normal 7 2 27" xfId="9136"/>
    <cellStyle name="Normal 7 2 3" xfId="8009"/>
    <cellStyle name="Normal 7 2 3 2" xfId="8010"/>
    <cellStyle name="Normal 7 2 3 2 2" xfId="8011"/>
    <cellStyle name="Normal 7 2 3 3" xfId="8012"/>
    <cellStyle name="Normal 7 2 4" xfId="8013"/>
    <cellStyle name="Normal 7 2 4 2" xfId="8014"/>
    <cellStyle name="Normal 7 2 4 2 2" xfId="8015"/>
    <cellStyle name="Normal 7 2 4 3" xfId="8016"/>
    <cellStyle name="Normal 7 2 5" xfId="8017"/>
    <cellStyle name="Normal 7 2 5 2" xfId="8018"/>
    <cellStyle name="Normal 7 2 5 2 2" xfId="8019"/>
    <cellStyle name="Normal 7 2 5 3" xfId="8020"/>
    <cellStyle name="Normal 7 2 6" xfId="8021"/>
    <cellStyle name="Normal 7 2 6 2" xfId="8022"/>
    <cellStyle name="Normal 7 2 6 2 2" xfId="8023"/>
    <cellStyle name="Normal 7 2 6 3" xfId="8024"/>
    <cellStyle name="Normal 7 2 7" xfId="8025"/>
    <cellStyle name="Normal 7 2 7 2" xfId="8026"/>
    <cellStyle name="Normal 7 2 7 2 2" xfId="8027"/>
    <cellStyle name="Normal 7 2 7 3" xfId="8028"/>
    <cellStyle name="Normal 7 2 8" xfId="8029"/>
    <cellStyle name="Normal 7 2 8 2" xfId="8030"/>
    <cellStyle name="Normal 7 2 8 2 2" xfId="8031"/>
    <cellStyle name="Normal 7 2 8 3" xfId="8032"/>
    <cellStyle name="Normal 7 2 9" xfId="8033"/>
    <cellStyle name="Normal 7 2 9 2" xfId="8034"/>
    <cellStyle name="Normal 7 2 9 2 2" xfId="8035"/>
    <cellStyle name="Normal 7 2 9 3" xfId="8036"/>
    <cellStyle name="Normal 7 20" xfId="8037"/>
    <cellStyle name="Normal 7 20 2" xfId="8038"/>
    <cellStyle name="Normal 7 20 2 2" xfId="8039"/>
    <cellStyle name="Normal 7 20 3" xfId="8040"/>
    <cellStyle name="Normal 7 21" xfId="8041"/>
    <cellStyle name="Normal 7 21 2" xfId="8042"/>
    <cellStyle name="Normal 7 21 2 2" xfId="8043"/>
    <cellStyle name="Normal 7 21 3" xfId="8044"/>
    <cellStyle name="Normal 7 22" xfId="8045"/>
    <cellStyle name="Normal 7 22 2" xfId="8046"/>
    <cellStyle name="Normal 7 22 2 2" xfId="8047"/>
    <cellStyle name="Normal 7 22 3" xfId="8048"/>
    <cellStyle name="Normal 7 23" xfId="8049"/>
    <cellStyle name="Normal 7 23 2" xfId="8050"/>
    <cellStyle name="Normal 7 23 2 2" xfId="8051"/>
    <cellStyle name="Normal 7 23 3" xfId="8052"/>
    <cellStyle name="Normal 7 24" xfId="8053"/>
    <cellStyle name="Normal 7 24 2" xfId="8054"/>
    <cellStyle name="Normal 7 24 2 2" xfId="8055"/>
    <cellStyle name="Normal 7 24 3" xfId="8056"/>
    <cellStyle name="Normal 7 25" xfId="8057"/>
    <cellStyle name="Normal 7 26" xfId="8058"/>
    <cellStyle name="Normal 7 26 2" xfId="8059"/>
    <cellStyle name="Normal 7 27" xfId="8060"/>
    <cellStyle name="Normal 7 28" xfId="9127"/>
    <cellStyle name="Normal 7 3" xfId="8061"/>
    <cellStyle name="Normal 7 3 2" xfId="8062"/>
    <cellStyle name="Normal 7 3 2 2" xfId="8063"/>
    <cellStyle name="Normal 7 3 2 3" xfId="9154"/>
    <cellStyle name="Normal 7 3 3" xfId="8064"/>
    <cellStyle name="Normal 7 3 4" xfId="9132"/>
    <cellStyle name="Normal 7 4" xfId="8065"/>
    <cellStyle name="Normal 7 4 2" xfId="8066"/>
    <cellStyle name="Normal 7 4 2 2" xfId="8067"/>
    <cellStyle name="Normal 7 4 3" xfId="8068"/>
    <cellStyle name="Normal 7 4 4" xfId="9152"/>
    <cellStyle name="Normal 7 5" xfId="8069"/>
    <cellStyle name="Normal 7 5 2" xfId="8070"/>
    <cellStyle name="Normal 7 5 2 2" xfId="8071"/>
    <cellStyle name="Normal 7 5 3" xfId="8072"/>
    <cellStyle name="Normal 7 6" xfId="8073"/>
    <cellStyle name="Normal 7 6 2" xfId="8074"/>
    <cellStyle name="Normal 7 6 2 2" xfId="8075"/>
    <cellStyle name="Normal 7 6 3" xfId="8076"/>
    <cellStyle name="Normal 7 7" xfId="8077"/>
    <cellStyle name="Normal 7 7 2" xfId="8078"/>
    <cellStyle name="Normal 7 7 2 2" xfId="8079"/>
    <cellStyle name="Normal 7 7 3" xfId="8080"/>
    <cellStyle name="Normal 7 8" xfId="8081"/>
    <cellStyle name="Normal 7 8 2" xfId="8082"/>
    <cellStyle name="Normal 7 8 2 2" xfId="8083"/>
    <cellStyle name="Normal 7 8 3" xfId="8084"/>
    <cellStyle name="Normal 7 9" xfId="8085"/>
    <cellStyle name="Normal 7 9 2" xfId="8086"/>
    <cellStyle name="Normal 7 9 2 2" xfId="8087"/>
    <cellStyle name="Normal 7 9 3" xfId="8088"/>
    <cellStyle name="Normal 8" xfId="213"/>
    <cellStyle name="Normal 8 2" xfId="214"/>
    <cellStyle name="Normal 8 2 2" xfId="8089"/>
    <cellStyle name="Normal 8 2 2 2" xfId="9159"/>
    <cellStyle name="Normal 8 2 3" xfId="9137"/>
    <cellStyle name="Normal 8 3" xfId="8090"/>
    <cellStyle name="Normal 8 3 2" xfId="8091"/>
    <cellStyle name="Normal 8 3 3" xfId="8092"/>
    <cellStyle name="Normal 8 4" xfId="8093"/>
    <cellStyle name="Normal 8 4 2" xfId="8094"/>
    <cellStyle name="Normal 8 4 3" xfId="8095"/>
    <cellStyle name="Normal 8 5" xfId="8096"/>
    <cellStyle name="Normal 8 6" xfId="8097"/>
    <cellStyle name="Normal 8 7" xfId="8098"/>
    <cellStyle name="Normal 8 8" xfId="8099"/>
    <cellStyle name="Normal 9" xfId="215"/>
    <cellStyle name="Normal 9 2" xfId="216"/>
    <cellStyle name="Normal 9 2 2" xfId="8100"/>
    <cellStyle name="Normal 9 2 2 2" xfId="8922"/>
    <cellStyle name="Normal 9 3" xfId="356"/>
    <cellStyle name="Normal 9 4" xfId="8101"/>
    <cellStyle name="Normal 9 5" xfId="8102"/>
    <cellStyle name="Normal_EStarWASHERResTiersFY07v1_3_postJan07" xfId="8162"/>
    <cellStyle name="Normal_EStarWASHERResTiersFY07v1_3_postJan07 2" xfId="11"/>
    <cellStyle name="Normal_MTDUCT" xfId="10"/>
    <cellStyle name="Normal_PC-HVACCONTROLS-D2-6p-D3" xfId="9"/>
    <cellStyle name="Normal_PC-HVACEQUIP-6P-D4" xfId="6"/>
    <cellStyle name="Normal_PC-LPDPackageNew-5P" xfId="8181"/>
    <cellStyle name="Normal_prodraft-248-c_TEDWtest" xfId="9108"/>
    <cellStyle name="Note 2" xfId="217"/>
    <cellStyle name="Note 2 10" xfId="9116"/>
    <cellStyle name="Note 2 2" xfId="357"/>
    <cellStyle name="Note 2 2 2" xfId="8103"/>
    <cellStyle name="Note 2 2 2 2" xfId="8923"/>
    <cellStyle name="Note 2 2 2 2 2" xfId="8924"/>
    <cellStyle name="Note 2 2 2 3" xfId="8925"/>
    <cellStyle name="Note 2 2 2 3 2" xfId="8926"/>
    <cellStyle name="Note 2 2 2 4" xfId="8927"/>
    <cellStyle name="Note 2 2 3" xfId="8928"/>
    <cellStyle name="Note 2 2 3 2" xfId="8929"/>
    <cellStyle name="Note 2 2 4" xfId="8930"/>
    <cellStyle name="Note 2 2 4 2" xfId="8931"/>
    <cellStyle name="Note 2 2 5" xfId="8932"/>
    <cellStyle name="Note 2 2 6" xfId="8933"/>
    <cellStyle name="Note 2 2 7" xfId="9174"/>
    <cellStyle name="Note 2 3" xfId="8104"/>
    <cellStyle name="Note 2 3 2" xfId="8105"/>
    <cellStyle name="Note 2 3 2 2" xfId="8934"/>
    <cellStyle name="Note 2 3 2 2 2" xfId="8935"/>
    <cellStyle name="Note 2 3 2 3" xfId="8936"/>
    <cellStyle name="Note 2 3 2 3 2" xfId="8937"/>
    <cellStyle name="Note 2 3 2 4" xfId="8938"/>
    <cellStyle name="Note 2 3 3" xfId="8939"/>
    <cellStyle name="Note 2 3 3 2" xfId="8940"/>
    <cellStyle name="Note 2 3 4" xfId="8941"/>
    <cellStyle name="Note 2 3 4 2" xfId="8942"/>
    <cellStyle name="Note 2 3 5" xfId="8943"/>
    <cellStyle name="Note 2 4" xfId="8106"/>
    <cellStyle name="Note 2 4 2" xfId="8107"/>
    <cellStyle name="Note 2 4 2 2" xfId="8944"/>
    <cellStyle name="Note 2 4 2 2 2" xfId="8945"/>
    <cellStyle name="Note 2 4 2 3" xfId="8946"/>
    <cellStyle name="Note 2 4 2 3 2" xfId="8947"/>
    <cellStyle name="Note 2 4 2 4" xfId="8948"/>
    <cellStyle name="Note 2 4 3" xfId="8949"/>
    <cellStyle name="Note 2 4 3 2" xfId="8950"/>
    <cellStyle name="Note 2 4 4" xfId="8951"/>
    <cellStyle name="Note 2 4 4 2" xfId="8952"/>
    <cellStyle name="Note 2 4 5" xfId="8953"/>
    <cellStyle name="Note 2 5" xfId="8108"/>
    <cellStyle name="Note 2 5 2" xfId="8954"/>
    <cellStyle name="Note 2 5 2 2" xfId="8955"/>
    <cellStyle name="Note 2 5 3" xfId="8956"/>
    <cellStyle name="Note 2 5 3 2" xfId="8957"/>
    <cellStyle name="Note 2 5 4" xfId="8958"/>
    <cellStyle name="Note 2 6" xfId="8959"/>
    <cellStyle name="Note 2 6 2" xfId="8960"/>
    <cellStyle name="Note 2 7" xfId="8961"/>
    <cellStyle name="Note 2 7 2" xfId="8962"/>
    <cellStyle name="Note 2 8" xfId="8963"/>
    <cellStyle name="Note 2 8 2" xfId="8964"/>
    <cellStyle name="Note 2 9" xfId="9119"/>
    <cellStyle name="Note 3" xfId="218"/>
    <cellStyle name="Note 3 2" xfId="9170"/>
    <cellStyle name="Note 4" xfId="8109"/>
    <cellStyle name="Note 4 2" xfId="9181"/>
    <cellStyle name="Note 5" xfId="8110"/>
    <cellStyle name="Note 5 2" xfId="8111"/>
    <cellStyle name="Note 5 2 2" xfId="9183"/>
    <cellStyle name="Note 5 3" xfId="9182"/>
    <cellStyle name="Output 2" xfId="219"/>
    <cellStyle name="Output 2 2" xfId="358"/>
    <cellStyle name="Output 2 2 2" xfId="8168"/>
    <cellStyle name="Output 2 2 3" xfId="9175"/>
    <cellStyle name="Output 2 3" xfId="8165"/>
    <cellStyle name="Output 2 4" xfId="9120"/>
    <cellStyle name="Output 3" xfId="359"/>
    <cellStyle name="Output 3 2" xfId="8169"/>
    <cellStyle name="Output 3 3" xfId="9176"/>
    <cellStyle name="Percent" xfId="2" builtinId="5"/>
    <cellStyle name="Percent 10" xfId="8"/>
    <cellStyle name="Percent 2" xfId="220"/>
    <cellStyle name="Percent 2 10" xfId="14"/>
    <cellStyle name="Percent 2 11" xfId="9126"/>
    <cellStyle name="Percent 2 2" xfId="221"/>
    <cellStyle name="Percent 2 2 2" xfId="222"/>
    <cellStyle name="Percent 2 2 2 2" xfId="223"/>
    <cellStyle name="Percent 2 2 2 2 2" xfId="8112"/>
    <cellStyle name="Percent 2 2 2 2 2 2" xfId="9166"/>
    <cellStyle name="Percent 2 2 2 2 3" xfId="9150"/>
    <cellStyle name="Percent 2 2 2 3" xfId="360"/>
    <cellStyle name="Percent 2 2 2 4" xfId="8113"/>
    <cellStyle name="Percent 2 2 3" xfId="224"/>
    <cellStyle name="Percent 2 2 3 2" xfId="8965"/>
    <cellStyle name="Percent 2 2 4" xfId="361"/>
    <cellStyle name="Percent 2 2 4 2" xfId="8114"/>
    <cellStyle name="Percent 2 2 5" xfId="8115"/>
    <cellStyle name="Percent 2 2 6" xfId="8116"/>
    <cellStyle name="Percent 2 2 7" xfId="8117"/>
    <cellStyle name="Percent 2 2 8" xfId="8118"/>
    <cellStyle name="Percent 2 3" xfId="225"/>
    <cellStyle name="Percent 2 3 2" xfId="362"/>
    <cellStyle name="Percent 2 3 2 10" xfId="8966"/>
    <cellStyle name="Percent 2 3 2 2" xfId="8119"/>
    <cellStyle name="Percent 2 3 2 2 2" xfId="8120"/>
    <cellStyle name="Percent 2 3 2 2 2 2" xfId="8967"/>
    <cellStyle name="Percent 2 3 2 2 2 2 2" xfId="8968"/>
    <cellStyle name="Percent 2 3 2 2 2 3" xfId="8969"/>
    <cellStyle name="Percent 2 3 2 2 2 3 2" xfId="8970"/>
    <cellStyle name="Percent 2 3 2 2 2 4" xfId="8971"/>
    <cellStyle name="Percent 2 3 2 2 3" xfId="8972"/>
    <cellStyle name="Percent 2 3 2 2 3 2" xfId="8973"/>
    <cellStyle name="Percent 2 3 2 2 4" xfId="8974"/>
    <cellStyle name="Percent 2 3 2 2 4 2" xfId="8975"/>
    <cellStyle name="Percent 2 3 2 2 5" xfId="8976"/>
    <cellStyle name="Percent 2 3 2 3" xfId="8121"/>
    <cellStyle name="Percent 2 3 2 3 2" xfId="8122"/>
    <cellStyle name="Percent 2 3 2 3 2 2" xfId="8977"/>
    <cellStyle name="Percent 2 3 2 3 2 2 2" xfId="8978"/>
    <cellStyle name="Percent 2 3 2 3 2 3" xfId="8979"/>
    <cellStyle name="Percent 2 3 2 3 2 3 2" xfId="8980"/>
    <cellStyle name="Percent 2 3 2 3 2 4" xfId="8981"/>
    <cellStyle name="Percent 2 3 2 3 3" xfId="8982"/>
    <cellStyle name="Percent 2 3 2 3 3 2" xfId="8983"/>
    <cellStyle name="Percent 2 3 2 3 4" xfId="8984"/>
    <cellStyle name="Percent 2 3 2 3 4 2" xfId="8985"/>
    <cellStyle name="Percent 2 3 2 3 5" xfId="8986"/>
    <cellStyle name="Percent 2 3 2 4" xfId="8123"/>
    <cellStyle name="Percent 2 3 2 4 2" xfId="8124"/>
    <cellStyle name="Percent 2 3 2 4 2 2" xfId="8987"/>
    <cellStyle name="Percent 2 3 2 4 2 2 2" xfId="8988"/>
    <cellStyle name="Percent 2 3 2 4 2 3" xfId="8989"/>
    <cellStyle name="Percent 2 3 2 4 2 3 2" xfId="8990"/>
    <cellStyle name="Percent 2 3 2 4 2 4" xfId="8991"/>
    <cellStyle name="Percent 2 3 2 4 3" xfId="8992"/>
    <cellStyle name="Percent 2 3 2 4 3 2" xfId="8993"/>
    <cellStyle name="Percent 2 3 2 4 4" xfId="8994"/>
    <cellStyle name="Percent 2 3 2 4 4 2" xfId="8995"/>
    <cellStyle name="Percent 2 3 2 4 5" xfId="8996"/>
    <cellStyle name="Percent 2 3 2 5" xfId="8125"/>
    <cellStyle name="Percent 2 3 2 5 2" xfId="8997"/>
    <cellStyle name="Percent 2 3 2 5 2 2" xfId="8998"/>
    <cellStyle name="Percent 2 3 2 5 3" xfId="8999"/>
    <cellStyle name="Percent 2 3 2 5 3 2" xfId="9000"/>
    <cellStyle name="Percent 2 3 2 5 4" xfId="9001"/>
    <cellStyle name="Percent 2 3 2 6" xfId="8126"/>
    <cellStyle name="Percent 2 3 2 6 2" xfId="9002"/>
    <cellStyle name="Percent 2 3 2 6 2 2" xfId="9003"/>
    <cellStyle name="Percent 2 3 2 6 3" xfId="9004"/>
    <cellStyle name="Percent 2 3 2 6 3 2" xfId="9005"/>
    <cellStyle name="Percent 2 3 2 6 4" xfId="9006"/>
    <cellStyle name="Percent 2 3 2 7" xfId="9007"/>
    <cellStyle name="Percent 2 3 2 7 2" xfId="9008"/>
    <cellStyle name="Percent 2 3 2 8" xfId="9009"/>
    <cellStyle name="Percent 2 3 2 8 2" xfId="9010"/>
    <cellStyle name="Percent 2 3 2 9" xfId="9011"/>
    <cellStyle name="Percent 2 3 3" xfId="363"/>
    <cellStyle name="Percent 2 3 4" xfId="9130"/>
    <cellStyle name="Percent 2 4" xfId="8127"/>
    <cellStyle name="Percent 2 4 2" xfId="8128"/>
    <cellStyle name="Percent 2 4 2 2" xfId="9012"/>
    <cellStyle name="Percent 2 4 2 2 2" xfId="9013"/>
    <cellStyle name="Percent 2 4 2 3" xfId="9014"/>
    <cellStyle name="Percent 2 4 2 3 2" xfId="9015"/>
    <cellStyle name="Percent 2 4 2 4" xfId="9016"/>
    <cellStyle name="Percent 2 4 3" xfId="8129"/>
    <cellStyle name="Percent 2 4 3 2" xfId="9017"/>
    <cellStyle name="Percent 2 4 3 2 2" xfId="9018"/>
    <cellStyle name="Percent 2 4 3 3" xfId="9019"/>
    <cellStyle name="Percent 2 4 3 3 2" xfId="9020"/>
    <cellStyle name="Percent 2 4 3 4" xfId="9021"/>
    <cellStyle name="Percent 2 5" xfId="8130"/>
    <cellStyle name="Percent 2 5 2" xfId="8131"/>
    <cellStyle name="Percent 2 5 2 2" xfId="9022"/>
    <cellStyle name="Percent 2 5 2 2 2" xfId="9023"/>
    <cellStyle name="Percent 2 5 2 3" xfId="9024"/>
    <cellStyle name="Percent 2 5 2 3 2" xfId="9025"/>
    <cellStyle name="Percent 2 5 2 4" xfId="9026"/>
    <cellStyle name="Percent 2 5 3" xfId="9027"/>
    <cellStyle name="Percent 2 5 3 2" xfId="9028"/>
    <cellStyle name="Percent 2 5 4" xfId="9029"/>
    <cellStyle name="Percent 2 5 4 2" xfId="9030"/>
    <cellStyle name="Percent 2 5 5" xfId="9031"/>
    <cellStyle name="Percent 2 6" xfId="8132"/>
    <cellStyle name="Percent 2 6 2" xfId="8133"/>
    <cellStyle name="Percent 2 6 2 2" xfId="9032"/>
    <cellStyle name="Percent 2 6 2 2 2" xfId="9033"/>
    <cellStyle name="Percent 2 6 2 3" xfId="9034"/>
    <cellStyle name="Percent 2 6 2 3 2" xfId="9035"/>
    <cellStyle name="Percent 2 6 2 4" xfId="9036"/>
    <cellStyle name="Percent 2 6 3" xfId="9037"/>
    <cellStyle name="Percent 2 6 3 2" xfId="9038"/>
    <cellStyle name="Percent 2 6 4" xfId="9039"/>
    <cellStyle name="Percent 2 6 4 2" xfId="9040"/>
    <cellStyle name="Percent 2 6 5" xfId="9041"/>
    <cellStyle name="Percent 2 7" xfId="8134"/>
    <cellStyle name="Percent 2 7 2" xfId="8135"/>
    <cellStyle name="Percent 2 7 2 2" xfId="9042"/>
    <cellStyle name="Percent 2 7 2 2 2" xfId="9043"/>
    <cellStyle name="Percent 2 7 2 3" xfId="9044"/>
    <cellStyle name="Percent 2 7 2 3 2" xfId="9045"/>
    <cellStyle name="Percent 2 7 2 4" xfId="9046"/>
    <cellStyle name="Percent 2 7 3" xfId="9047"/>
    <cellStyle name="Percent 2 7 3 2" xfId="9048"/>
    <cellStyle name="Percent 2 7 4" xfId="9049"/>
    <cellStyle name="Percent 2 7 4 2" xfId="9050"/>
    <cellStyle name="Percent 2 7 5" xfId="9051"/>
    <cellStyle name="Percent 2 8" xfId="8136"/>
    <cellStyle name="Percent 2 8 2" xfId="9052"/>
    <cellStyle name="Percent 2 8 2 2" xfId="9053"/>
    <cellStyle name="Percent 2 8 3" xfId="9054"/>
    <cellStyle name="Percent 2 8 3 2" xfId="9055"/>
    <cellStyle name="Percent 2 8 4" xfId="9056"/>
    <cellStyle name="Percent 2 9" xfId="8137"/>
    <cellStyle name="Percent 3" xfId="226"/>
    <cellStyle name="Percent 3 2" xfId="227"/>
    <cellStyle name="Percent 3 2 2" xfId="228"/>
    <cellStyle name="Percent 3 2 2 2" xfId="8138"/>
    <cellStyle name="Percent 3 2 2 2 2" xfId="9057"/>
    <cellStyle name="Percent 3 2 2 2 2 2" xfId="9058"/>
    <cellStyle name="Percent 3 2 2 2 3" xfId="9059"/>
    <cellStyle name="Percent 3 2 2 2 3 2" xfId="9060"/>
    <cellStyle name="Percent 3 2 2 2 4" xfId="9061"/>
    <cellStyle name="Percent 3 2 2 2 5" xfId="9062"/>
    <cellStyle name="Percent 3 2 3" xfId="364"/>
    <cellStyle name="Percent 3 2 3 2" xfId="8139"/>
    <cellStyle name="Percent 3 2 3 2 2" xfId="9063"/>
    <cellStyle name="Percent 3 2 3 2 2 2" xfId="9064"/>
    <cellStyle name="Percent 3 2 3 2 3" xfId="9065"/>
    <cellStyle name="Percent 3 2 3 2 3 2" xfId="9066"/>
    <cellStyle name="Percent 3 2 3 2 4" xfId="9067"/>
    <cellStyle name="Percent 3 2 3 3" xfId="9068"/>
    <cellStyle name="Percent 3 2 3 3 2" xfId="9069"/>
    <cellStyle name="Percent 3 2 3 4" xfId="9070"/>
    <cellStyle name="Percent 3 2 3 4 2" xfId="9071"/>
    <cellStyle name="Percent 3 2 3 5" xfId="9072"/>
    <cellStyle name="Percent 3 2 3 6" xfId="9073"/>
    <cellStyle name="Percent 3 2 4" xfId="8140"/>
    <cellStyle name="Percent 3 2 4 2" xfId="8141"/>
    <cellStyle name="Percent 3 2 4 2 2" xfId="9074"/>
    <cellStyle name="Percent 3 2 4 2 2 2" xfId="9075"/>
    <cellStyle name="Percent 3 2 4 2 3" xfId="9076"/>
    <cellStyle name="Percent 3 2 4 2 3 2" xfId="9077"/>
    <cellStyle name="Percent 3 2 4 2 4" xfId="9078"/>
    <cellStyle name="Percent 3 2 4 3" xfId="9079"/>
    <cellStyle name="Percent 3 2 4 3 2" xfId="9080"/>
    <cellStyle name="Percent 3 2 4 4" xfId="9081"/>
    <cellStyle name="Percent 3 2 4 4 2" xfId="9082"/>
    <cellStyle name="Percent 3 2 4 5" xfId="9083"/>
    <cellStyle name="Percent 3 2 5" xfId="8142"/>
    <cellStyle name="Percent 3 2 5 2" xfId="8143"/>
    <cellStyle name="Percent 3 2 5 2 2" xfId="9084"/>
    <cellStyle name="Percent 3 2 5 2 2 2" xfId="9085"/>
    <cellStyle name="Percent 3 2 5 2 3" xfId="9086"/>
    <cellStyle name="Percent 3 2 5 2 3 2" xfId="9087"/>
    <cellStyle name="Percent 3 2 5 2 4" xfId="9088"/>
    <cellStyle name="Percent 3 2 5 3" xfId="9089"/>
    <cellStyle name="Percent 3 2 5 3 2" xfId="9090"/>
    <cellStyle name="Percent 3 2 5 4" xfId="9091"/>
    <cellStyle name="Percent 3 2 5 4 2" xfId="9092"/>
    <cellStyle name="Percent 3 2 5 5" xfId="9093"/>
    <cellStyle name="Percent 3 2 6" xfId="8144"/>
    <cellStyle name="Percent 3 2 7" xfId="8145"/>
    <cellStyle name="Percent 3 2 7 2" xfId="9094"/>
    <cellStyle name="Percent 3 2 7 2 2" xfId="9095"/>
    <cellStyle name="Percent 3 2 7 3" xfId="9096"/>
    <cellStyle name="Percent 3 2 7 3 2" xfId="9097"/>
    <cellStyle name="Percent 3 2 7 4" xfId="9098"/>
    <cellStyle name="Percent 3 2 8" xfId="8146"/>
    <cellStyle name="Percent 3 2 9" xfId="9099"/>
    <cellStyle name="Percent 3 3" xfId="229"/>
    <cellStyle name="Percent 3 3 2" xfId="9100"/>
    <cellStyle name="Percent 3 3 3" xfId="9151"/>
    <cellStyle name="Percent 3 4" xfId="365"/>
    <cellStyle name="Percent 3 4 2" xfId="8147"/>
    <cellStyle name="Percent 3 5" xfId="8148"/>
    <cellStyle name="Percent 3 6" xfId="8149"/>
    <cellStyle name="Percent 3 6 2" xfId="9101"/>
    <cellStyle name="Percent 4" xfId="230"/>
    <cellStyle name="Percent 4 2" xfId="231"/>
    <cellStyle name="Percent 4 2 2" xfId="8150"/>
    <cellStyle name="Percent 4 2 2 2" xfId="9156"/>
    <cellStyle name="Percent 4 2 3" xfId="9134"/>
    <cellStyle name="Percent 4 3" xfId="8151"/>
    <cellStyle name="Percent 4 3 2" xfId="9153"/>
    <cellStyle name="Percent 4 4" xfId="8152"/>
    <cellStyle name="Percent 4 4 2" xfId="8153"/>
    <cellStyle name="Percent 4 5" xfId="8154"/>
    <cellStyle name="Percent 4 6" xfId="9131"/>
    <cellStyle name="Percent 5" xfId="232"/>
    <cellStyle name="Percent 5 2" xfId="8155"/>
    <cellStyle name="Percent 5 2 2" xfId="9162"/>
    <cellStyle name="Percent 5 3" xfId="8156"/>
    <cellStyle name="Percent 5 4" xfId="9140"/>
    <cellStyle name="Percent 6" xfId="233"/>
    <cellStyle name="Percent 6 2" xfId="234"/>
    <cellStyle name="Percent 6 3" xfId="8157"/>
    <cellStyle name="Percent 7" xfId="235"/>
    <cellStyle name="Percent 7 2" xfId="8217"/>
    <cellStyle name="Percent 8" xfId="236"/>
    <cellStyle name="Percent 8 2" xfId="8218"/>
    <cellStyle name="Percent 9" xfId="8158"/>
    <cellStyle name="Percent 9 2" xfId="8180"/>
    <cellStyle name="Percent 9 3" xfId="9102"/>
    <cellStyle name="Planning_Input" xfId="8172"/>
    <cellStyle name="Sheet Title" xfId="237"/>
    <cellStyle name="Style 1" xfId="238"/>
    <cellStyle name="Style 1 2" xfId="239"/>
    <cellStyle name="Style 28" xfId="366"/>
    <cellStyle name="Title 2" xfId="240"/>
    <cellStyle name="Title 2 2" xfId="367"/>
    <cellStyle name="Title 3" xfId="368"/>
    <cellStyle name="Total 2" xfId="241"/>
    <cellStyle name="Total 2 2" xfId="369"/>
    <cellStyle name="Total 2 2 2" xfId="8170"/>
    <cellStyle name="Total 2 2 3" xfId="9177"/>
    <cellStyle name="Total 2 3" xfId="8166"/>
    <cellStyle name="Total 2 4" xfId="9121"/>
    <cellStyle name="Total 2 5" xfId="9115"/>
    <cellStyle name="Total 3" xfId="370"/>
    <cellStyle name="Total 3 2" xfId="8171"/>
    <cellStyle name="Total 3 3" xfId="9178"/>
    <cellStyle name="Warning Text 2" xfId="242"/>
    <cellStyle name="Warning Text 3" xfId="371"/>
    <cellStyle name="표준 2_WP-1 보고자료 (2009.06.03)" xfId="372"/>
    <cellStyle name="표준_ENERGY CONSUMP" xfId="243"/>
    <cellStyle name="常规_海外市场服务网站资料操作BOM" xfId="244"/>
  </cellStyles>
  <dxfs count="8">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7"/>
      <tableStyleElement type="headerRow" dxfId="6"/>
    </tableStyle>
  </tableStyles>
  <colors>
    <mruColors>
      <color rgb="FF0083CA"/>
      <color rgb="FF8CC646"/>
      <color rgb="FF7FCDE8"/>
      <color rgb="FFFDEA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onnections" Target="connections.xml"/><Relationship Id="rId50" Type="http://schemas.openxmlformats.org/officeDocument/2006/relationships/sheetMetadata" Target="metadata.xml"/><Relationship Id="rId55"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pivotCacheDefinition" Target="pivotCache/pivotCacheDefinition2.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pivotCacheDefinition" Target="pivotCache/pivotCacheDefinition1.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56" Type="http://schemas.openxmlformats.org/officeDocument/2006/relationships/customXml" Target="../customXml/item6.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1</xdr:col>
      <xdr:colOff>242455</xdr:colOff>
      <xdr:row>0</xdr:row>
      <xdr:rowOff>1304924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346" r="3432" b="11040"/>
        <a:stretch/>
      </xdr:blipFill>
      <xdr:spPr>
        <a:xfrm>
          <a:off x="19049" y="0"/>
          <a:ext cx="1290206" cy="1304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361950</xdr:colOff>
      <xdr:row>299</xdr:row>
      <xdr:rowOff>47625</xdr:rowOff>
    </xdr:from>
    <xdr:to>
      <xdr:col>16</xdr:col>
      <xdr:colOff>447675</xdr:colOff>
      <xdr:row>307</xdr:row>
      <xdr:rowOff>47625</xdr:rowOff>
    </xdr:to>
    <xdr:sp macro="" textlink="">
      <xdr:nvSpPr>
        <xdr:cNvPr id="2" name="TextBox 1">
          <a:extLst>
            <a:ext uri="{FF2B5EF4-FFF2-40B4-BE49-F238E27FC236}">
              <a16:creationId xmlns:a16="http://schemas.microsoft.com/office/drawing/2014/main" id="{1F46C252-E80E-4901-A22A-D8A995F62A0F}"/>
            </a:ext>
          </a:extLst>
        </xdr:cNvPr>
        <xdr:cNvSpPr txBox="1"/>
      </xdr:nvSpPr>
      <xdr:spPr>
        <a:xfrm>
          <a:off x="14230350" y="20421600"/>
          <a:ext cx="1019175" cy="12954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Baseline set at 45 lumens/watt for general purpose post 2020 </a:t>
          </a:r>
        </a:p>
      </xdr:txBody>
    </xdr:sp>
    <xdr:clientData/>
  </xdr:twoCellAnchor>
  <xdr:twoCellAnchor>
    <xdr:from>
      <xdr:col>10</xdr:col>
      <xdr:colOff>527685</xdr:colOff>
      <xdr:row>227</xdr:row>
      <xdr:rowOff>133350</xdr:rowOff>
    </xdr:from>
    <xdr:to>
      <xdr:col>14</xdr:col>
      <xdr:colOff>853440</xdr:colOff>
      <xdr:row>234</xdr:row>
      <xdr:rowOff>19050</xdr:rowOff>
    </xdr:to>
    <xdr:sp macro="" textlink="">
      <xdr:nvSpPr>
        <xdr:cNvPr id="3" name="Rectangle 2">
          <a:extLst>
            <a:ext uri="{FF2B5EF4-FFF2-40B4-BE49-F238E27FC236}">
              <a16:creationId xmlns:a16="http://schemas.microsoft.com/office/drawing/2014/main" id="{AFFD5BF9-F516-46A3-BF99-A4EA719DF17B}"/>
            </a:ext>
          </a:extLst>
        </xdr:cNvPr>
        <xdr:cNvSpPr/>
      </xdr:nvSpPr>
      <xdr:spPr>
        <a:xfrm>
          <a:off x="9814560" y="6943725"/>
          <a:ext cx="3973830" cy="1019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These units will be updated when the draft</a:t>
          </a:r>
          <a:r>
            <a:rPr lang="en-US" sz="1100" baseline="0"/>
            <a:t> analysis results are available from Apex on 3/15</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604839</xdr:colOff>
      <xdr:row>26</xdr:row>
      <xdr:rowOff>138112</xdr:rowOff>
    </xdr:from>
    <xdr:to>
      <xdr:col>16</xdr:col>
      <xdr:colOff>495300</xdr:colOff>
      <xdr:row>33</xdr:row>
      <xdr:rowOff>47625</xdr:rowOff>
    </xdr:to>
    <xdr:sp macro="" textlink="">
      <xdr:nvSpPr>
        <xdr:cNvPr id="2" name="Right Arrow 1">
          <a:extLst>
            <a:ext uri="{FF2B5EF4-FFF2-40B4-BE49-F238E27FC236}">
              <a16:creationId xmlns:a16="http://schemas.microsoft.com/office/drawing/2014/main" id="{00000000-0008-0000-1400-000002000000}"/>
            </a:ext>
          </a:extLst>
        </xdr:cNvPr>
        <xdr:cNvSpPr/>
      </xdr:nvSpPr>
      <xdr:spPr>
        <a:xfrm>
          <a:off x="8548689" y="4691062"/>
          <a:ext cx="2481261" cy="104298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Come</a:t>
          </a:r>
          <a:r>
            <a:rPr lang="en-US" sz="1100" baseline="0"/>
            <a:t> up with weighted average based on units forecast</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1129392</xdr:colOff>
      <xdr:row>47</xdr:row>
      <xdr:rowOff>81644</xdr:rowOff>
    </xdr:from>
    <xdr:to>
      <xdr:col>20</xdr:col>
      <xdr:colOff>435428</xdr:colOff>
      <xdr:row>52</xdr:row>
      <xdr:rowOff>108858</xdr:rowOff>
    </xdr:to>
    <xdr:sp macro="" textlink="">
      <xdr:nvSpPr>
        <xdr:cNvPr id="2" name="Down Arrow 1">
          <a:extLst>
            <a:ext uri="{FF2B5EF4-FFF2-40B4-BE49-F238E27FC236}">
              <a16:creationId xmlns:a16="http://schemas.microsoft.com/office/drawing/2014/main" id="{00000000-0008-0000-1600-000002000000}"/>
            </a:ext>
          </a:extLst>
        </xdr:cNvPr>
        <xdr:cNvSpPr/>
      </xdr:nvSpPr>
      <xdr:spPr>
        <a:xfrm>
          <a:off x="21499285" y="8640537"/>
          <a:ext cx="1592036" cy="843642"/>
        </a:xfrm>
        <a:prstGeom prst="downArrow">
          <a:avLst>
            <a:gd name="adj1" fmla="val 75009"/>
            <a:gd name="adj2" fmla="val 364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 Baseline Assumption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1129392</xdr:colOff>
      <xdr:row>43</xdr:row>
      <xdr:rowOff>81644</xdr:rowOff>
    </xdr:from>
    <xdr:to>
      <xdr:col>20</xdr:col>
      <xdr:colOff>435428</xdr:colOff>
      <xdr:row>48</xdr:row>
      <xdr:rowOff>108858</xdr:rowOff>
    </xdr:to>
    <xdr:sp macro="" textlink="">
      <xdr:nvSpPr>
        <xdr:cNvPr id="2" name="Down Arrow 1">
          <a:extLst>
            <a:ext uri="{FF2B5EF4-FFF2-40B4-BE49-F238E27FC236}">
              <a16:creationId xmlns:a16="http://schemas.microsoft.com/office/drawing/2014/main" id="{00000000-0008-0000-1D00-000002000000}"/>
            </a:ext>
          </a:extLst>
        </xdr:cNvPr>
        <xdr:cNvSpPr/>
      </xdr:nvSpPr>
      <xdr:spPr>
        <a:xfrm>
          <a:off x="16140792" y="8587469"/>
          <a:ext cx="1592036" cy="836839"/>
        </a:xfrm>
        <a:prstGeom prst="downArrow">
          <a:avLst>
            <a:gd name="adj1" fmla="val 75009"/>
            <a:gd name="adj2" fmla="val 364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 Baseline Assumption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eeanet.neea.org/departments/mp/Stakeholder%20Reports/Savings%20Forecast%202020-2021%20Benton%20PUD_201907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_SummaryCondense"/>
      <sheetName val="Copyright Notice"/>
      <sheetName val="Selection"/>
      <sheetName val="Cover Page"/>
      <sheetName val="Peak and Carbon"/>
      <sheetName val="Outline"/>
      <sheetName val="Overview"/>
      <sheetName val="Outline NWPCC"/>
      <sheetName val="Overview NWPCC"/>
      <sheetName val="NEEA Tracked Summary"/>
      <sheetName val="Report_Year"/>
      <sheetName val="WA IOUs"/>
      <sheetName val="Total Market"/>
      <sheetName val="Council Request"/>
      <sheetName val="Report_ProgramByYear"/>
      <sheetName val="Table View"/>
      <sheetName val="Report_Summary"/>
      <sheetName val="Report_Program"/>
      <sheetName val="Manufactured_Homes"/>
      <sheetName val="Definitions"/>
      <sheetName val="Savings Data Sources"/>
      <sheetName val="CE Data Sources"/>
      <sheetName val="DHP"/>
      <sheetName val="HPWH"/>
      <sheetName val="Res_Lighting"/>
      <sheetName val="Res_NewConst"/>
      <sheetName val="Computers"/>
      <sheetName val="Frige_freezer"/>
      <sheetName val="Clothes_Washers"/>
      <sheetName val="Room_AC"/>
      <sheetName val="Sheet2"/>
      <sheetName val="Total Market Analysis TBD"/>
      <sheetName val="Total Market Analysis"/>
      <sheetName val="Programs"/>
      <sheetName val="Historical Updates"/>
      <sheetName val="CE Assumptions"/>
      <sheetName val="to do list"/>
      <sheetName val="HomeAudio"/>
      <sheetName val="Air_Cleaners"/>
      <sheetName val="Clothes_Dryers"/>
      <sheetName val="BOCE"/>
      <sheetName val="Commissioning"/>
      <sheetName val="CRE_EBR"/>
      <sheetName val="Com_NewConst"/>
      <sheetName val="LLLC"/>
      <sheetName val="NonRes_Stds"/>
      <sheetName val="RWLR"/>
      <sheetName val="CRES"/>
      <sheetName val="Drive_Power"/>
      <sheetName val="Report_Regional Change"/>
      <sheetName val="Res_Lighting1"/>
      <sheetName val="Com_Code"/>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
          <cell r="A2" t="str">
            <v>Regional</v>
          </cell>
          <cell r="B2" t="str">
            <v>Regional</v>
          </cell>
          <cell r="D2">
            <v>2016</v>
          </cell>
          <cell r="E2" t="str">
            <v>Funder Share</v>
          </cell>
          <cell r="F2">
            <v>2015</v>
          </cell>
        </row>
        <row r="3">
          <cell r="B3" t="str">
            <v>Montana</v>
          </cell>
          <cell r="D3">
            <v>2017</v>
          </cell>
          <cell r="E3" t="str">
            <v>Regional</v>
          </cell>
          <cell r="F3">
            <v>2016</v>
          </cell>
        </row>
        <row r="4">
          <cell r="B4" t="str">
            <v>Oregon</v>
          </cell>
          <cell r="D4">
            <v>2018</v>
          </cell>
          <cell r="F4">
            <v>2017</v>
          </cell>
        </row>
        <row r="5">
          <cell r="B5" t="str">
            <v>Idaho</v>
          </cell>
          <cell r="D5">
            <v>2019</v>
          </cell>
          <cell r="F5">
            <v>2018</v>
          </cell>
        </row>
        <row r="6">
          <cell r="B6" t="str">
            <v>Washington</v>
          </cell>
          <cell r="D6" t="str">
            <v>2016-2017</v>
          </cell>
          <cell r="F6">
            <v>2019</v>
          </cell>
        </row>
        <row r="7">
          <cell r="D7" t="str">
            <v>2018-2019</v>
          </cell>
          <cell r="F7">
            <v>2020</v>
          </cell>
        </row>
        <row r="8">
          <cell r="D8" t="str">
            <v>2016-2021</v>
          </cell>
          <cell r="F8">
            <v>2021</v>
          </cell>
        </row>
      </sheetData>
    </sheetDataSet>
  </externalBook>
</externalLink>
</file>

<file path=xl/pivotCache/pivotCacheDefinition1.xml><?xml version="1.0" encoding="utf-8"?>
<pivotCacheDefinition xmlns="http://schemas.openxmlformats.org/spreadsheetml/2006/main" xmlns:r="http://schemas.openxmlformats.org/officeDocument/2006/relationships" saveData="0" refreshedBy="Christina Steinhoff" refreshedDate="43704.340343750002" backgroundQuery="1" createdVersion="6" refreshedVersion="6" minRefreshableVersion="3" recordCount="0" supportSubquery="1" supportAdvancedDrill="1">
  <cacheSource type="external" connectionId="1"/>
  <cacheFields count="8">
    <cacheField name="[Ace Model Version].[Is Current].[Is Current]" caption="Is Current" numFmtId="0" hierarchy="3" level="1">
      <sharedItems containsSemiMixedTypes="0" containsString="0"/>
    </cacheField>
    <cacheField name="[Snapshot].[Snapshot Name].[Snapshot Name]" caption="Snapshot Name" numFmtId="0" hierarchy="55" level="1">
      <sharedItems containsSemiMixedTypes="0" containsString="0"/>
    </cacheField>
    <cacheField name="[Date].[Year].[Year]" caption="Year" numFmtId="0" hierarchy="14" level="1">
      <sharedItems count="2">
        <s v="[Date].[Year].&amp;[2018]" c="2018"/>
        <s v="[Date].[Year].&amp;[2019]" c="2019"/>
      </sharedItems>
    </cacheField>
    <cacheField name="[Measure].[Initiative].[Initiative]" caption="Initiative" numFmtId="0" hierarchy="39" level="1">
      <sharedItems count="23">
        <s v="[Measure].[Initiative].&amp;[Building Operator Certification Expansion]" c="Building Operator Certification Expansion"/>
        <s v="[Measure].[Initiative].&amp;[Certified Refrigeration Energy Specialist (CRES)]" c="Certified Refrigeration Energy Specialist (CRES)"/>
        <s v="[Measure].[Initiative].&amp;[Clothes Washers]" c="Clothes Washers"/>
        <s v="[Measure].[Initiative].&amp;[Commercial Real Estate]" c="Commercial Real Estate"/>
        <s v="[Measure].[Initiative].&amp;[Commissioning Buildings]" c="Commissioning Buildings"/>
        <s v="[Measure].[Initiative].&amp;[Desktop Power Supplies]" c="Desktop Power Supplies"/>
        <s v="[Measure].[Initiative].&amp;[Drive Power]" c="Drive Power"/>
        <s v="[Measure].[Initiative].&amp;[Ductless Heat Pumps]" c="Ductless Heat Pumps"/>
        <s v="[Measure].[Initiative].&amp;[Existing Building Renewal]" c="Existing Building Renewal"/>
        <s v="[Measure].[Initiative].&amp;[Heat Pump Water Heaters]" c="Heat Pump Water Heaters"/>
        <s v="[Measure].[Initiative].&amp;[Luminaire Level Lighting Controls]" c="Luminaire Level Lighting Controls"/>
        <s v="[Measure].[Initiative].&amp;[Manufactured Homes]" c="Manufactured Homes"/>
        <s v="[Measure].[Initiative].&amp;[Other Codes (Commercial)]" c="Other Codes (Commercial)"/>
        <s v="[Measure].[Initiative].&amp;[Other Codes (Multifamily)]" c="Other Codes (Multifamily)"/>
        <s v="[Measure].[Initiative].&amp;[Other ENERGY STAR Products]" c="Other ENERGY STAR Products"/>
        <s v="[Measure].[Initiative].&amp;[Other Non-Residential Standards]" c="Other Non-Residential Standards"/>
        <s v="[Measure].[Initiative].&amp;[Other Strategic Energy Management]" c="Other Strategic Energy Management"/>
        <s v="[Measure].[Initiative].&amp;[Reduced Wattage Lamp Replacement]" c="Reduced Wattage Lamp Replacement"/>
        <s v="[Measure].[Initiative].&amp;[Refrigerators]" c="Refrigerators"/>
        <s v="[Measure].[Initiative].&amp;[Residential Lighting]" c="Residential Lighting"/>
        <s v="[Measure].[Initiative].&amp;[Residential New Construction/Next Step Homes]" c="Residential New Construction/Next Step Homes"/>
        <s v="[Measure].[Initiative].&amp;[Retail Product Portfolio]" c="Retail Product Portfolio"/>
        <s v="[Measure].[Initiative].&amp;[Super-Efficient Dryers]" c="Super-Efficient Dryers"/>
      </sharedItems>
    </cacheField>
    <cacheField name="[Initiative].[Initiative Description].[Initiative Description]" caption="Initiative Description" numFmtId="0" hierarchy="26" level="1">
      <sharedItems count="22" longText="1">
        <s v="[Initiative].[Initiative Description].&amp;[Achieve lasting improvement in the energy efficient and maintenance (O&amp;M) of commercial buildings by developing market demand for and increasing the supply of educated and credentialed building operators.]" c="Achieve lasting improvement in the energy efficient and maintenance (O&amp;M) of commercial buildings by developing market demand for and increasing the supply of educated and credentialed building operators."/>
        <s v="[Initiative].[Initiative Description].&amp;[CRES certification becomes a required credential to work as a refrigeration operator in the Industrial Refrigeration Market.]" c="CRES certification becomes a required credential to work as a refrigeration operator in the Industrial Refrigeration Market."/>
        <s v="[Initiative].[Initiative Description].&amp;[NEEA influenced more stringent efficiency standards for clothes washers and accelerated market adoption by partnering with manufacturers, utilities and retailers to increase availability and increase consumer demand through targeted public outreach and marketing campaigns.]" c="NEEA influenced more stringent efficiency standards for clothes washers and accelerated market adoption by partnering with manufacturers, utilities and retailers to increase availability and increase consumer demand through targeted public outreach and marketing campaigns."/>
        <s v="[Initiative].[Initiative Description].&amp;[The Commercial Real Estate (CRE) Infrastructure program leverages strategic relationships to deliver regional market resources to advance energy efficiency best practices and increase utility program participation by the region's commercial real estate market.]" c="The Commercial Real Estate (CRE) Infrastructure program leverages strategic relationships to deliver regional market resources to advance energy efficiency best practices and increase utility program participation by the region's commercial real estate market."/>
        <s v="[Initiative].[Initiative Description].&amp;[NEEA helped make commissioning standard practice in public buildings in the Northwest by educating and building awareness of the value of commissioning, supporting the Building Commissioning Association and supporting projects like the commissioning certification.]" c="NEEA helped make commissioning standard practice in public buildings in the Northwest by educating and building awareness of the value of commissioning, supporting the Building Commissioning Association and supporting projects like the commissioning certification."/>
        <s v="[Initiative].[Initiative Description].&amp;[NEEA engaged with computer manufacturers to expedite the adoption of highly efficient power supplies while also developing and advocating for a standard thereby dramatically improving the energy efficiency of commercial desktops.]" c="NEEA engaged with computer manufacturers to expedite the adoption of highly efficient power supplies while also developing and advocating for a standard thereby dramatically improving the energy efficiency of commercial desktops."/>
        <s v="[Initiative].[Initiative Description].&amp;[NEEA partnered with the League of the Pacific Northwest to increase the region’s motor fleet efficiency by influencing end-users to incorporate life-cycle analysis in investment decisions and helping motor service centers improve repair and motor management services.]" c="NEEA partnered with the League of the Pacific Northwest to increase the region’s motor fleet efficiency by influencing end-users to incorporate life-cycle analysis in investment decisions and helping motor service centers improve repair and motor management services."/>
        <s v="[Initiative].[Initiative Description].&amp;[Accelerate the adoption and market acceptance of inverter-driven ductless heat pumps in electrically heated homes.]" c="Accelerate the adoption and market acceptance of inverter-driven ductless heat pumps in electrically heated homes."/>
        <s v="[Initiative].[Initiative Description].&amp;[The Existing Building Renewal (EBR) initiative demonstrates the competitive advantages and investment opportunity of energy efficiency gained through comprehensive deep-energy retrofits to owners and investors of commercial real estate office buildings over 20,000 sq. ft.]" c="The Existing Building Renewal (EBR) initiative demonstrates the competitive advantages and investment opportunity of energy efficiency gained through comprehensive deep-energy retrofits to owners and investors of commercial real estate office buildings over 20,000 sq. ft."/>
        <s v="[Initiative].[Initiative Description].&amp;[Influence the passage of a 2025 federal standard requiring HPWHs for all electric storage tanks greater than 40 gallons in size.]" c="Influence the passage of a 2025 federal standard requiring HPWHs for all electric storage tanks greater than 40 gallons in size."/>
        <s v="[Initiative].[Initiative Description].&amp;[The Luminaire Level Lighting Controls (LLLC) initiative works to bring clarity to the controls market by developing best practice specifications for LLLC, aiming to have the technology adopted as standard industry practice by the commercial office lighting market.]" c="The Luminaire Level Lighting Controls (LLLC) initiative works to bring clarity to the controls market by developing best practice specifications for LLLC, aiming to have the technology adopted as standard industry practice by the commercial office lighting market."/>
        <s v="[Initiative].[Initiative Description].&amp;[The Manufactured Homes Initiative will develop a new voluntary above code specification (NEEM 2.0) and increase adoption with manufactured home factories and retailers as the current volutnary specification (NEEM 1.0) is adopted into the Federal HUD code.]" c="The Manufactured Homes Initiative will develop a new voluntary above code specification (NEEM 2.0) and increase adoption with manufactured home factories and retailers as the current volutnary specification (NEEM 1.0) is adopted into the Federal HUD code."/>
        <s v="[Initiative].[Initiative Description].&amp;[Providing information and technical expertise to create new and more stringent building codes and providing technical support and training after code adoption.]" c="Providing information and technical expertise to create new and more stringent building codes and providing technical support and training after code adoption."/>
        <s v="[Initiative].[Initiative Description].&amp;[This is a placefholder for Other Energy Star products associated with Desktop Power supplies. This will be tracking desktops and laptops influenced by NEEA, but not directly tied to 80+ efforts.]" c="This is a placefholder for Other Energy Star products associated with Desktop Power supplies. This will be tracking desktops and laptops influenced by NEEA, but not directly tied to 80+ efforts."/>
        <s v="[Initiative].[Initiative Description].&amp;[NEEA and its utility partners leverage the market power of the Northwest’s 12 million energy consumers to accelerate the market adoption of more stringent appliance and equipment standards at a regional and national level. NEEA does this by collaborating with its regional partners to develop strategies for advancing higher standards for appliances and equipment.]" c="NEEA and its utility partners leverage the market power of the Northwest’s 12 million energy consumers to accelerate the market adoption of more stringent appliance and equipment standards at a regional and national level. NEEA does this by collaborating with its regional partners to develop strategies for advancing higher standards for appliances and equipment."/>
        <s v="[Initiative].[Initiative Description].&amp;[Establish Strategic Energy Management as a common business practice in select commercial and industrial sectors]" c="Establish Strategic Energy Management as a common business practice in select commercial and industrial sectors"/>
        <s v="[Initiative].[Initiative Description].&amp;[Develop an upstream platform with distributors and manufacturers that influences the stocking and sales practices of efficient lighting products that can be leveraged for lighting initiatives.]" c="Develop an upstream platform with distributors and manufacturers that influences the stocking and sales practices of efficient lighting products that can be leveraged for lighting initiatives."/>
        <s v="[Initiative].[Initiative Description].&amp;[NEEA leveraged its relationships with retailers to accelerate the market adoption of ENERGY STAR refrigerators as part of a “white goods” strategy to increase market awareness of ENERGY STAR “white goods” appliances such as refrigerators and dishwashers.]" c="NEEA leveraged its relationships with retailers to accelerate the market adoption of ENERGY STAR refrigerators as part of a “white goods” strategy to increase market awareness of ENERGY STAR “white goods” appliances such as refrigerators and dishwashers."/>
        <s v="[Initiative].[Initiative Description].&amp;[NEEA collaborated with the region to develop and implement strategic market interventions that accelerated the market adoption of ENERGY STAR compact fluorescent lamps.]" c="NEEA collaborated with the region to develop and implement strategic market interventions that accelerated the market adoption of ENERGY STAR compact fluorescent lamps."/>
        <s v="[Initiative].[Initiative Description].&amp;[The Next Step Homes initiative leverages the infrastructure created by prior Efficient Homes programs to develop and increase market adoption of energy efficient advanced building practices for single-family homes, aimed at influencing and accelerating code adoption.]" c="The Next Step Homes initiative leverages the infrastructure created by prior Efficient Homes programs to develop and increase market adoption of energy efficient advanced building practices for single-family homes, aimed at influencing and accelerating code adoption."/>
        <s v="[Initiative].[Initiative Description].&amp;[The Retail Product Portfolio initiative uses mid-stream incentives to influence retail stocking practices, ultimately driving manufacturing and standards for a portfolio of energy-efficient product sold through the retail channel.]" c="The Retail Product Portfolio initiative uses mid-stream incentives to influence retail stocking practices, ultimately driving manufacturing and standards for a portfolio of energy-efficient product sold through the retail channel."/>
        <s v="[Initiative].[Initiative Description].&amp;[Supporting manufacturer development and US market entry of super-efficient dryers; influencing improved federal test protocols and efficiency standards requiring heat pump technology for residential clothes dryers.]" c="Supporting manufacturer development and US market entry of super-efficient dryers; influencing improved federal test protocols and efficiency standards requiring heat pump technology for residential clothes dryers."/>
      </sharedItems>
    </cacheField>
    <cacheField name="[Initiative].[Phase].[Phase]" caption="Phase" numFmtId="0" hierarchy="30" level="1">
      <sharedItems count="5">
        <s v="[Initiative].[Phase].&amp;[Phase 6]" c="Phase 6"/>
        <s v="[Initiative].[Phase].&amp;[Phase 0]" c="Phase 0"/>
        <s v="[Initiative].[Phase].&amp;[Phase 5]" c="Phase 5"/>
        <s v="[Initiative].[Phase].&amp;[Phase 3]" c="Phase 3"/>
        <s v="[Initiative].[Phase].&amp;[Phase 4]" c="Phase 4"/>
      </sharedItems>
    </cacheField>
    <cacheField name="[Measures].[Remaining Savings 7th Power Plan]" caption="Remaining Savings 7th Power Plan" numFmtId="0" hierarchy="364" level="32767"/>
    <cacheField name="[Initiative].[Initiative Index].[Initiative Index]" caption="Initiative Index" numFmtId="0" hierarchy="27" level="1">
      <sharedItems count="23">
        <s v="[Initiative].[Initiative Index].&amp;[COM_201201]" c="COM_201201"/>
        <s v="[Initiative].[Initiative Index].&amp;[IND_201301]" c="IND_201301"/>
        <s v="[Initiative].[Initiative Index].&amp;[RES_199702]" c="RES_199702"/>
        <s v="[Initiative].[Initiative Index].&amp;[COM_200803]" c="COM_200803"/>
        <s v="[Initiative].[Initiative Index].&amp;[COM_200002]" c="COM_200002"/>
        <s v="[Initiative].[Initiative Index].&amp;[COM_200701]" c="COM_200701"/>
        <s v="[Initiative].[Initiative Index].&amp;[IND_200402]" c="IND_200402"/>
        <s v="[Initiative].[Initiative Index].&amp;[RES_200804]" c="RES_200804"/>
        <s v="[Initiative].[Initiative Index].&amp;[COM_201305]" c="COM_201305"/>
        <s v="[Initiative].[Initiative Index].&amp;[RES_201202]" c="RES_201202"/>
        <s v="[Initiative].[Initiative Index].&amp;[COM_201401]" c="COM_201401"/>
        <s v="[Initiative].[Initiative Index].&amp;[RES_201601]" c="RES_201601"/>
        <s v="[Initiative].[Initiative Index].&amp;[COM_200202]" c="COM_200202"/>
        <s v="[Initiative].[Initiative Index].&amp;[RES_200601]" c="RES_200601"/>
        <s v="[Initiative].[Initiative Index].&amp;[OTH_201601]" c="OTH_201601"/>
        <s v="[Initiative].[Initiative Index].&amp;[COM_201304]" c="COM_201304"/>
        <s v="[Initiative].[Initiative Index].&amp;[COM_201405]" c="COM_201405"/>
        <s v="[Initiative].[Initiative Index].&amp;[COM_201403]" c="COM_201403"/>
        <s v="[Initiative].[Initiative Index].&amp;[RES_200006]" c="RES_200006"/>
        <s v="[Initiative].[Initiative Index].&amp;[RES_199703]" c="RES_199703"/>
        <s v="[Initiative].[Initiative Index].&amp;[RES_201301]" c="RES_201301"/>
        <s v="[Initiative].[Initiative Index].&amp;[Res_201403]" c="Res_201403"/>
        <s v="[Initiative].[Initiative Index].&amp;[RES_201101]" c="RES_201101"/>
      </sharedItems>
    </cacheField>
  </cacheFields>
  <cacheHierarchies count="449">
    <cacheHierarchy uniqueName="[Ace Model Version].[ACE Model Owner]" caption="ACE Model Owner" attribute="1" defaultMemberUniqueName="[Ace Model Version].[ACE Model Owner].[All]" allUniqueName="[Ace Model Version].[ACE Model Owner].[All]" dimensionUniqueName="[Ace Model Version]" displayFolder="" count="0" unbalanced="0"/>
    <cacheHierarchy uniqueName="[Ace Model Version].[Initiative]" caption="Initiative" attribute="1" defaultMemberUniqueName="[Ace Model Version].[Initiative].[All]" allUniqueName="[Ace Model Version].[Initiative].[All]" dimensionUniqueName="[Ace Model Version]" displayFolder="" count="0" unbalanced="0"/>
    <cacheHierarchy uniqueName="[Ace Model Version].[Initiatives]" caption="Initiatives" defaultMemberUniqueName="[Ace Model Version].[Initiatives].[All]" allUniqueName="[Ace Model Version].[Initiatives].[All]" dimensionUniqueName="[Ace Model Version]" displayFolder="" count="0" unbalanced="0"/>
    <cacheHierarchy uniqueName="[Ace Model Version].[Is Current]" caption="Is Current" attribute="1" defaultMemberUniqueName="[Ace Model Version].[Is Current].[All]" allUniqueName="[Ace Model Version].[Is Current].[All]" dimensionUniqueName="[Ace Model Version]" displayFolder="" count="2" unbalanced="0">
      <fieldsUsage count="2">
        <fieldUsage x="-1"/>
        <fieldUsage x="0"/>
      </fieldsUsage>
    </cacheHierarchy>
    <cacheHierarchy uniqueName="[Ace Model Version].[Planning Analyst]" caption="Planning Analyst" attribute="1" defaultMemberUniqueName="[Ace Model Version].[Planning Analyst].[All]" allUniqueName="[Ace Model Version].[Planning Analyst].[All]" dimensionUniqueName="[Ace Model Version]" displayFolder="" count="0" unbalanced="0"/>
    <cacheHierarchy uniqueName="[Ace Model Version].[Report Group]" caption="Report Group" attribute="1" defaultMemberUniqueName="[Ace Model Version].[Report Group].[All]" allUniqueName="[Ace Model Version].[Report Group].[All]" dimensionUniqueName="[Ace Model Version]" displayFolder="" count="0" unbalanced="0"/>
    <cacheHierarchy uniqueName="[Ace Model Version].[Version]" caption="Version" attribute="1" defaultMemberUniqueName="[Ace Model Version].[Version].[All]" allUniqueName="[Ace Model Version].[Version].[All]" dimensionUniqueName="[Ace Model Version]" displayFolder="" count="0" unbalanced="0"/>
    <cacheHierarchy uniqueName="[Ace Model Version].[Version Description]" caption="Version Description" attribute="1" defaultMemberUniqueName="[Ace Model Version].[Version Description].[All]" allUniqueName="[Ace Model Version].[Version Description].[All]" dimensionUniqueName="[Ace Model Version]" displayFolder="" count="0" unbalanced="0"/>
    <cacheHierarchy uniqueName="[Allocation].[Allocation Details]" caption="Allocation Details" attribute="1" defaultMemberUniqueName="[Allocation].[Allocation Details].[All]" allUniqueName="[Allocation].[Allocation Details].[All]" dimensionUniqueName="[Allocation]" displayFolder="" count="0" unbalanced="0"/>
    <cacheHierarchy uniqueName="[Allocation Methodology].[Allocation Methodology]" caption="Allocation Methodology" attribute="1" defaultMemberUniqueName="[Allocation Methodology].[Allocation Methodology].[All]" allUniqueName="[Allocation Methodology].[Allocation Methodology].[All]" dimensionUniqueName="[Allocation Methodology]" displayFolder="" count="0" unbalanced="0"/>
    <cacheHierarchy uniqueName="[Allocation Methodology].[Allocation Methodology Description]" caption="Allocation Methodology Description" attribute="1" defaultMemberUniqueName="[Allocation Methodology].[Allocation Methodology Description].[All]" allUniqueName="[Allocation Methodology].[Allocation Methodology Description].[All]" dimensionUniqueName="[Allocation Methodology]" displayFolder="" count="0" unbalanced="0"/>
    <cacheHierarchy uniqueName="[Allocation Selection].[Comment]" caption="Comment" attribute="1" defaultMemberUniqueName="[Allocation Selection].[Comment].[All]" allUniqueName="[Allocation Selection].[Comment].[All]" dimensionUniqueName="[Allocation Selection]" displayFolder="" count="0" unbalanced="0"/>
    <cacheHierarchy uniqueName="[Calculation Methodology].[Calculation Methodology]" caption="Calculation Methodology" attribute="1" defaultMemberUniqueName="[Calculation Methodology].[Calculation Methodology].[All]" allUniqueName="[Calculation Methodology].[Calculation Methodology].[All]" dimensionUniqueName="[Calculation Methodology]" displayFolder="" count="0" unbalanced="0"/>
    <cacheHierarchy uniqueName="[Calculation Methodology].[Calculation Methodology Description]" caption="Calculation Methodology Description" attribute="1" defaultMemberUniqueName="[Calculation Methodology].[Calculation Methodology Description].[All]" allUniqueName="[Calculation Methodology].[Calculation Methodology Description].[All]" dimensionUniqueName="[Calculation Methodology]" displayFolder="" count="0" unbalanced="0"/>
    <cacheHierarchy uniqueName="[Date].[Year]" caption="Year" attribute="1" defaultMemberUniqueName="[Date].[Year].[All]" allUniqueName="[Date].[Year].[All]" dimensionUniqueName="[Date]" displayFolder="" count="2" unbalanced="0">
      <fieldsUsage count="2">
        <fieldUsage x="-1"/>
        <fieldUsage x="2"/>
      </fieldsUsage>
    </cacheHierarchy>
    <cacheHierarchy uniqueName="[Flag].[IsCode]" caption="IsCode" attribute="1" defaultMemberUniqueName="[Flag].[IsCode].[All]" allUniqueName="[Flag].[IsCode].[All]" dimensionUniqueName="[Flag]" displayFolder="" count="0" unbalanced="0"/>
    <cacheHierarchy uniqueName="[Flag].[IsNEEAInfluenced]" caption="IsNEEAInfluenced" attribute="1" defaultMemberUniqueName="[Flag].[IsNEEAInfluenced].[All]" allUniqueName="[Flag].[IsNEEAInfluenced].[All]" dimensionUniqueName="[Flag]" displayFolder="" count="0" unbalanced="0"/>
    <cacheHierarchy uniqueName="[Flag].[IsReportableExternally]" caption="IsReportableExternally" attribute="1" defaultMemberUniqueName="[Flag].[IsReportableExternally].[All]" allUniqueName="[Flag].[IsReportableExternally].[All]" dimensionUniqueName="[Flag]" displayFolder="" count="0" unbalanced="0"/>
    <cacheHierarchy uniqueName="[Flag].[IsReportableNegativeLocalPrograms]" caption="IsReportableNegativeLocalPrograms" attribute="1" defaultMemberUniqueName="[Flag].[IsReportableNegativeLocalPrograms].[All]" allUniqueName="[Flag].[IsReportableNegativeLocalPrograms].[All]" dimensionUniqueName="[Flag]" displayFolder="" count="0" unbalanced="0"/>
    <cacheHierarchy uniqueName="[Flag].[IsReportableNegativeNetMarketEffects]" caption="IsReportableNegativeNetMarketEffects" attribute="1" defaultMemberUniqueName="[Flag].[IsReportableNegativeNetMarketEffects].[All]" allUniqueName="[Flag].[IsReportableNegativeNetMarketEffects].[All]" dimensionUniqueName="[Flag]" displayFolder="" count="0" unbalanced="0"/>
    <cacheHierarchy uniqueName="[Flag].[IsStandard]" caption="IsStandard" attribute="1" defaultMemberUniqueName="[Flag].[IsStandard].[All]" allUniqueName="[Flag].[IsStandard].[All]" dimensionUniqueName="[Flag]" displayFolder="" count="0" unbalanced="0"/>
    <cacheHierarchy uniqueName="[Funding Cycle].[Funding Cycle]" caption="Funding Cycle" attribute="1" defaultMemberUniqueName="[Funding Cycle].[Funding Cycle].[All]" allUniqueName="[Funding Cycle].[Funding Cycle].[All]" dimensionUniqueName="[Funding Cycle]" displayFolder="" count="0" unbalanced="0"/>
    <cacheHierarchy uniqueName="[Funding Cycle].[Funding Cycle Description]" caption="Funding Cycle Description" attribute="1" defaultMemberUniqueName="[Funding Cycle].[Funding Cycle Description].[All]" allUniqueName="[Funding Cycle].[Funding Cycle Description].[All]" dimensionUniqueName="[Funding Cycle]" displayFolder="" count="0" unbalanced="0"/>
    <cacheHierarchy uniqueName="[Funding Cycle].[Funding Cycle Type]" caption="Funding Cycle Type" attribute="1" defaultMemberUniqueName="[Funding Cycle].[Funding Cycle Type].[All]" allUniqueName="[Funding Cycle].[Funding Cycle Type].[All]" dimensionUniqueName="[Funding Cycle]" displayFolder="" count="0" unbalanced="0"/>
    <cacheHierarchy uniqueName="[Initiative].[Grade]" caption="Grade" attribute="1" defaultMemberUniqueName="[Initiative].[Grade].[All]" allUniqueName="[Initiative].[Grade].[All]" dimensionUniqueName="[Initiative]" displayFolder="" count="0" unbalanced="0"/>
    <cacheHierarchy uniqueName="[Initiative].[Initiative]" caption="Initiative" attribute="1" defaultMemberUniqueName="[Initiative].[Initiative].[All]" allUniqueName="[Initiative].[Initiative].[All]" dimensionUniqueName="[Initiative]" displayFolder="" count="0" unbalanced="0"/>
    <cacheHierarchy uniqueName="[Initiative].[Initiative Description]" caption="Initiative Description" attribute="1" defaultMemberUniqueName="[Initiative].[Initiative Description].[All]" allUniqueName="[Initiative].[Initiative Description].[All]" dimensionUniqueName="[Initiative]" displayFolder="" count="2" unbalanced="0">
      <fieldsUsage count="2">
        <fieldUsage x="-1"/>
        <fieldUsage x="4"/>
      </fieldsUsage>
    </cacheHierarchy>
    <cacheHierarchy uniqueName="[Initiative].[Initiative Index]" caption="Initiative Index" attribute="1" defaultMemberUniqueName="[Initiative].[Initiative Index].[All]" allUniqueName="[Initiative].[Initiative Index].[All]" dimensionUniqueName="[Initiative]" displayFolder="" count="2" unbalanced="0">
      <fieldsUsage count="2">
        <fieldUsage x="-1"/>
        <fieldUsage x="7"/>
      </fieldsUsage>
    </cacheHierarchy>
    <cacheHierarchy uniqueName="[Initiative].[Initiatives By Index]" caption="Initiatives By Index" defaultMemberUniqueName="[Initiative].[Initiatives By Index].[All]" allUniqueName="[Initiative].[Initiatives By Index].[All]" dimensionUniqueName="[Initiative]" displayFolder="" count="0" unbalanced="0"/>
    <cacheHierarchy uniqueName="[Initiative].[Milestone]" caption="Milestone" attribute="1" defaultMemberUniqueName="[Initiative].[Milestone].[All]" allUniqueName="[Initiative].[Milestone].[All]" dimensionUniqueName="[Initiative]" displayFolder="" count="0" unbalanced="0"/>
    <cacheHierarchy uniqueName="[Initiative].[Phase]" caption="Phase" attribute="1" defaultMemberUniqueName="[Initiative].[Phase].[All]" allUniqueName="[Initiative].[Phase].[All]" dimensionUniqueName="[Initiative]" displayFolder="" count="2" unbalanced="0">
      <fieldsUsage count="2">
        <fieldUsage x="-1"/>
        <fieldUsage x="5"/>
      </fieldsUsage>
    </cacheHierarchy>
    <cacheHierarchy uniqueName="[Initiative].[Retirement Detail Level]" caption="Retirement Detail Level" attribute="1" defaultMemberUniqueName="[Initiative].[Retirement Detail Level].[All]" allUniqueName="[Initiative].[Retirement Detail Level].[All]" dimensionUniqueName="[Initiative]" displayFolder="" count="0" unbalanced="0"/>
    <cacheHierarchy uniqueName="[Initiative].[Sector Name]" caption="Sector Name" attribute="1" defaultMemberUniqueName="[Initiative].[Sector Name].[All]" allUniqueName="[Initiative].[Sector Name].[All]" dimensionUniqueName="[Initiative]" displayFolder="" count="0" unbalanced="0"/>
    <cacheHierarchy uniqueName="[Initiative].[StrategicMarket]" caption="StrategicMarket" attribute="1" defaultMemberUniqueName="[Initiative].[StrategicMarket].[All]" allUniqueName="[Initiative].[StrategicMarket].[All]" dimensionUniqueName="[Initiative]" displayFolder="" count="0" unbalanced="0"/>
    <cacheHierarchy uniqueName="[Key Assumption].[Drivers]" caption="Drivers" attribute="1" defaultMemberUniqueName="[Key Assumption].[Drivers].[All]" allUniqueName="[Key Assumption].[Drivers].[All]" dimensionUniqueName="[Key Assumption]" displayFolder="" count="0" unbalanced="0"/>
    <cacheHierarchy uniqueName="[Key Assumption].[Source]" caption="Source" attribute="1" defaultMemberUniqueName="[Key Assumption].[Source].[All]" allUniqueName="[Key Assumption].[Source].[All]" dimensionUniqueName="[Key Assumption]" displayFolder="" count="0" unbalanced="0"/>
    <cacheHierarchy uniqueName="[Key Assumption Type].[Key Assumption Type]" caption="Key Assumption Type" attribute="1" defaultMemberUniqueName="[Key Assumption Type].[Key Assumption Type].[All]" allUniqueName="[Key Assumption Type].[Key Assumption Type].[All]" dimensionUniqueName="[Key Assumption Type]" displayFolder="" count="0" unbalanced="0"/>
    <cacheHierarchy uniqueName="[Local Programs].[Adjustment Source]" caption="Adjustment Source" attribute="1" defaultMemberUniqueName="[Local Programs].[Adjustment Source].[All]" allUniqueName="[Local Programs].[Adjustment Source].[All]" dimensionUniqueName="[Local Programs]" displayFolder="" count="0" unbalanced="0"/>
    <cacheHierarchy uniqueName="[Local Programs].[Comment]" caption="Comment" attribute="1" defaultMemberUniqueName="[Local Programs].[Comment].[All]" allUniqueName="[Local Programs].[Comment].[All]" dimensionUniqueName="[Local Programs]" displayFolder="" count="0" unbalanced="0"/>
    <cacheHierarchy uniqueName="[Measure].[Initiative]" caption="Initiative" attribute="1" defaultMemberUniqueName="[Measure].[Initiative].[All]" allUniqueName="[Measure].[Initiative].[All]" dimensionUniqueName="[Measure]" displayFolder="" count="2" unbalanced="0">
      <fieldsUsage count="2">
        <fieldUsage x="-1"/>
        <fieldUsage x="3"/>
      </fieldsUsage>
    </cacheHierarchy>
    <cacheHierarchy uniqueName="[Measure].[Measure]" caption="Measure" attribute="1" defaultMemberUniqueName="[Measure].[Measure].[All]" allUniqueName="[Measure].[Measure].[All]" dimensionUniqueName="[Measure]" displayFolder="" count="0" unbalanced="0"/>
    <cacheHierarchy uniqueName="[Measure].[Measure By Index]" caption="Measure By Index" defaultMemberUniqueName="[Measure].[Measure By Index].[All]" allUniqueName="[Measure].[Measure By Index].[All]" dimensionUniqueName="[Measure]" displayFolder="" count="0" unbalanced="0"/>
    <cacheHierarchy uniqueName="[Measure].[Measure by Initiative]" caption="Measure by Initiative" defaultMemberUniqueName="[Measure].[Measure by Initiative].[All]" allUniqueName="[Measure].[Measure by Initiative].[All]" dimensionUniqueName="[Measure]" displayFolder="" count="0" unbalanced="0"/>
    <cacheHierarchy uniqueName="[Measure].[Measure by Product]" caption="Measure by Product" defaultMemberUniqueName="[Measure].[Measure by Product].[All]" allUniqueName="[Measure].[Measure by Product].[All]" dimensionUniqueName="[Measure]" displayFolder="" count="0" unbalanced="0"/>
    <cacheHierarchy uniqueName="[Measure].[Measure Description]" caption="Measure Description" attribute="1" defaultMemberUniqueName="[Measure].[Measure Description].[All]" allUniqueName="[Measure].[Measure Description].[All]" dimensionUniqueName="[Measure]" displayFolder="" count="0" unbalanced="0"/>
    <cacheHierarchy uniqueName="[Measure].[Measure Index]" caption="Measure Index" attribute="1" defaultMemberUniqueName="[Measure].[Measure Index].[All]" allUniqueName="[Measure].[Measure Index].[All]" dimensionUniqueName="[Measure]" displayFolder="" count="0" unbalanced="0"/>
    <cacheHierarchy uniqueName="[Measure].[Measure Life]" caption="Measure Life" attribute="1" defaultMemberUniqueName="[Measure].[Measure Life].[All]" allUniqueName="[Measure].[Measure Life].[All]" dimensionUniqueName="[Measure]" displayFolder="" count="0" unbalanced="0"/>
    <cacheHierarchy uniqueName="[Measure].[Product]" caption="Product" attribute="1" defaultMemberUniqueName="[Measure].[Product].[All]" allUniqueName="[Measure].[Product].[All]" dimensionUniqueName="[Measure]" displayFolder="" count="0" unbalanced="0"/>
    <cacheHierarchy uniqueName="[Measure].[Product Description]" caption="Product Description" attribute="1" defaultMemberUniqueName="[Measure].[Product Description].[All]" allUniqueName="[Measure].[Product Description].[All]" dimensionUniqueName="[Measure]" displayFolder="" count="0" unbalanced="0"/>
    <cacheHierarchy uniqueName="[Measure].[Sector]" caption="Sector" attribute="1" defaultMemberUniqueName="[Measure].[Sector].[All]" allUniqueName="[Measure].[Sector].[All]" dimensionUniqueName="[Measure]" displayFolder="" count="0" unbalanced="0"/>
    <cacheHierarchy uniqueName="[Measure].[Tier]" caption="Tier" attribute="1" defaultMemberUniqueName="[Measure].[Tier].[All]" allUniqueName="[Measure].[Tier].[All]" dimensionUniqueName="[Measure]" displayFolder="" count="0" unbalanced="0"/>
    <cacheHierarchy uniqueName="[Measure].[Tier Description]" caption="Tier Description" attribute="1" defaultMemberUniqueName="[Measure].[Tier Description].[All]" allUniqueName="[Measure].[Tier Description].[All]" dimensionUniqueName="[Measure]" displayFolder="" count="0" unbalanced="0"/>
    <cacheHierarchy uniqueName="[Snapshot].[Created By]" caption="Created By" attribute="1" defaultMemberUniqueName="[Snapshot].[Created By].[All]" allUniqueName="[Snapshot].[Created By].[All]" dimensionUniqueName="[Snapshot]" displayFolder="" count="0" unbalanced="0"/>
    <cacheHierarchy uniqueName="[Snapshot].[Date Created]" caption="Date Created" attribute="1" defaultMemberUniqueName="[Snapshot].[Date Created].[All]" allUniqueName="[Snapshot].[Date Created].[All]" dimensionUniqueName="[Snapshot]" displayFolder="" count="0" unbalanced="0"/>
    <cacheHierarchy uniqueName="[Snapshot].[Snapshot Description]" caption="Snapshot Description" attribute="1" defaultMemberUniqueName="[Snapshot].[Snapshot Description].[All]" allUniqueName="[Snapshot].[Snapshot Description].[All]" dimensionUniqueName="[Snapshot]" displayFolder="" count="0" unbalanced="0"/>
    <cacheHierarchy uniqueName="[Snapshot].[Snapshot Name]" caption="Snapshot Name" attribute="1" defaultMemberUniqueName="[Snapshot].[Snapshot Name].[All]" allUniqueName="[Snapshot].[Snapshot Name].[All]" dimensionUniqueName="[Snapshot]" displayFolder="" count="2" unbalanced="0">
      <fieldsUsage count="2">
        <fieldUsage x="-1"/>
        <fieldUsage x="1"/>
      </fieldsUsage>
    </cacheHierarchy>
    <cacheHierarchy uniqueName="[Snapshot].[Snapshot Status]" caption="Snapshot Status" attribute="1" defaultMemberUniqueName="[Snapshot].[Snapshot Status].[All]" allUniqueName="[Snapshot].[Snapshot Status].[All]" dimensionUniqueName="[Snapshot]" displayFolder="" count="0" unbalanced="0"/>
    <cacheHierarchy uniqueName="[Stakeholder Organization].[Business Type]" caption="Business Type" attribute="1" defaultMemberUniqueName="[Stakeholder Organization].[Business Type].[All]" allUniqueName="[Stakeholder Organization].[Business Type].[All]" dimensionUniqueName="[Stakeholder Organization]" displayFolder="" count="0" unbalanced="0"/>
    <cacheHierarchy uniqueName="[Stakeholder Organization].[Funding Group Name]" caption="Funding Group Name" attribute="1" defaultMemberUniqueName="[Stakeholder Organization].[Funding Group Name].[All]" allUniqueName="[Stakeholder Organization].[Funding Group Name].[All]" dimensionUniqueName="[Stakeholder Organization]" displayFolder="" count="0" unbalanced="0"/>
    <cacheHierarchy uniqueName="[Stakeholder Organization].[Partner Type]" caption="Partner Type" attribute="1" defaultMemberUniqueName="[Stakeholder Organization].[Partner Type].[All]" allUniqueName="[Stakeholder Organization].[Partner Type].[All]" dimensionUniqueName="[Stakeholder Organization]" displayFolder="" count="0" unbalanced="0"/>
    <cacheHierarchy uniqueName="[Stakeholder Organization].[Planning Contact Name]" caption="Planning Contact Name" attribute="1" defaultMemberUniqueName="[Stakeholder Organization].[Planning Contact Name].[All]" allUniqueName="[Stakeholder Organization].[Planning Contact Name].[All]" dimensionUniqueName="[Stakeholder Organization]" displayFolder="" count="0" unbalanced="0"/>
    <cacheHierarchy uniqueName="[Stakeholder Organization].[Stakeholder Organization]" caption="Stakeholder Organization" attribute="1" defaultMemberUniqueName="[Stakeholder Organization].[Stakeholder Organization].[All]" allUniqueName="[Stakeholder Organization].[Stakeholder Organization].[All]" dimensionUniqueName="[Stakeholder Organization]" displayFolder="" count="0" unbalanced="0"/>
    <cacheHierarchy uniqueName="[Stakeholder Organization].[Stakeholder Organization Name Long]" caption="Stakeholder Organization Name Long" attribute="1" defaultMemberUniqueName="[Stakeholder Organization].[Stakeholder Organization Name Long].[All]" allUniqueName="[Stakeholder Organization].[Stakeholder Organization Name Long].[All]" dimensionUniqueName="[Stakeholder Organization]" displayFolder="" count="0" unbalanced="0"/>
    <cacheHierarchy uniqueName="[Stakeholder Report].[Comment]" caption="Comment" attribute="1" defaultMemberUniqueName="[Stakeholder Report].[Comment].[All]" allUniqueName="[Stakeholder Report].[Comment].[All]" dimensionUniqueName="[Stakeholder Report]" displayFolder="" count="0" unbalanced="0"/>
    <cacheHierarchy uniqueName="[Stakeholder Report].[Stakeholder Report]" caption="Stakeholder Report" attribute="1" defaultMemberUniqueName="[Stakeholder Report].[Stakeholder Report].[All]" allUniqueName="[Stakeholder Report].[Stakeholder Report].[All]" dimensionUniqueName="[Stakeholder Report]" displayFolder="" count="0" unbalanced="0"/>
    <cacheHierarchy uniqueName="[Stakeholder Report].[Stakeholder Report Description]" caption="Stakeholder Report Description" attribute="1" defaultMemberUniqueName="[Stakeholder Report].[Stakeholder Report Description].[All]" allUniqueName="[Stakeholder Report].[Stakeholder Report Description].[All]" dimensionUniqueName="[Stakeholder Report]" displayFolder="" count="0" unbalanced="0"/>
    <cacheHierarchy uniqueName="[State].[State]" caption="State" attribute="1" defaultMemberUniqueName="[State].[State].[All]" allUniqueName="[State].[State].[All]" dimensionUniqueName="[State]" displayFolder="" count="0" unbalanced="0"/>
    <cacheHierarchy uniqueName="[State].[State Abbreviation]" caption="State Abbreviation" attribute="1" defaultMemberUniqueName="[State].[State Abbreviation].[All]" allUniqueName="[State].[State Abbreviation].[All]" dimensionUniqueName="[State]" displayFolder="" count="0" unbalanced="0"/>
    <cacheHierarchy uniqueName="[Status].[Status]" caption="Status" attribute="1" defaultMemberUniqueName="[Status].[Status].[All]" allUniqueName="[Status].[Status].[All]" dimensionUniqueName="[Status]" displayFolder="" count="0" unbalanced="0"/>
    <cacheHierarchy uniqueName="[Status].[Status Type]" caption="Status Type" attribute="1" defaultMemberUniqueName="[Status].[Status Type].[All]" allUniqueName="[Status].[Status Type].[All]" dimensionUniqueName="[Status]" displayFolder="" count="0" unbalanced="0"/>
    <cacheHierarchy uniqueName="[Unit Of Measure].[Unit Of Measure]" caption="Unit Of Measure" attribute="1" defaultMemberUniqueName="[Unit Of Measure].[Unit Of Measure].[All]" allUniqueName="[Unit Of Measure].[Unit Of Measure].[All]" dimensionUniqueName="[Unit Of Measure]" displayFolder="" count="0" unbalanced="0"/>
    <cacheHierarchy uniqueName="[Unit Of Measure].[Unit Type]" caption="Unit Type" attribute="1" defaultMemberUniqueName="[Unit Of Measure].[Unit Type].[All]" allUniqueName="[Unit Of Measure].[Unit Type].[All]" dimensionUniqueName="[Unit Of Measure]" displayFolder="" count="0" unbalanced="0"/>
    <cacheHierarchy uniqueName="[Ace Model Version].[AceModelVersionKey]" caption="AceModelVersionKey" attribute="1" defaultMemberUniqueName="[Ace Model Version].[AceModelVersionKey].[All]" allUniqueName="[Ace Model Version].[AceModelVersionKey].[All]" dimensionUniqueName="[Ace Model Version]" displayFolder="" count="0" unbalanced="0" hidden="1"/>
    <cacheHierarchy uniqueName="[Ace Model Version].[SnapshotKey]" caption="SnapshotKey" attribute="1" defaultMemberUniqueName="[Ace Model Version].[SnapshotKey].[All]" allUniqueName="[Ace Model Version].[SnapshotKey].[All]" dimensionUniqueName="[Ace Model Version]" displayFolder="" count="0" unbalanced="0" hidden="1"/>
    <cacheHierarchy uniqueName="[Allocation].[AllocationKey]" caption="AllocationKey" attribute="1" defaultMemberUniqueName="[Allocation].[AllocationKey].[All]" allUniqueName="[Allocation].[AllocationKey].[All]" dimensionUniqueName="[Allocation]" displayFolder="" count="0" unbalanced="0" hidden="1"/>
    <cacheHierarchy uniqueName="[Allocation].[AllocationMethodologyKey]" caption="AllocationMethodologyKey" attribute="1" defaultMemberUniqueName="[Allocation].[AllocationMethodologyKey].[All]" allUniqueName="[Allocation].[AllocationMethodologyKey].[All]" dimensionUniqueName="[Allocation]" displayFolder="" count="0" unbalanced="0" hidden="1"/>
    <cacheHierarchy uniqueName="[Allocation].[AllocationValue]" caption="AllocationValue" attribute="1" defaultMemberUniqueName="[Allocation].[AllocationValue].[All]" allUniqueName="[Allocation].[AllocationValue].[All]" dimensionUniqueName="[Allocation]" displayFolder="" count="0" unbalanced="0" hidden="1"/>
    <cacheHierarchy uniqueName="[Allocation].[CalendarYearKey]" caption="CalendarYearKey" attribute="1" defaultMemberUniqueName="[Allocation].[CalendarYearKey].[All]" allUniqueName="[Allocation].[CalendarYearKey].[All]" dimensionUniqueName="[Allocation]" displayFolder="" count="0" unbalanced="0" hidden="1"/>
    <cacheHierarchy uniqueName="[Allocation].[DateKey]" caption="DateKey" attribute="1" defaultMemberUniqueName="[Allocation].[DateKey].[All]" allUniqueName="[Allocation].[DateKey].[All]" dimensionUniqueName="[Allocation]" displayFolder="" count="0" unbalanced="0" hidden="1"/>
    <cacheHierarchy uniqueName="[Allocation].[InitiativeKey]" caption="InitiativeKey" attribute="1" defaultMemberUniqueName="[Allocation].[InitiativeKey].[All]" allUniqueName="[Allocation].[InitiativeKey].[All]" dimensionUniqueName="[Allocation]" displayFolder="" count="0" unbalanced="0" hidden="1"/>
    <cacheHierarchy uniqueName="[Allocation].[MeasureKey]" caption="MeasureKey" attribute="1" defaultMemberUniqueName="[Allocation].[MeasureKey].[All]" allUniqueName="[Allocation].[MeasureKey].[All]" dimensionUniqueName="[Allocation]" displayFolder="" count="0" unbalanced="0" hidden="1"/>
    <cacheHierarchy uniqueName="[Allocation].[SnapshotKey]" caption="SnapshotKey" attribute="1" defaultMemberUniqueName="[Allocation].[SnapshotKey].[All]" allUniqueName="[Allocation].[SnapshotKey].[All]" dimensionUniqueName="[Allocation]" displayFolder="" count="0" unbalanced="0" hidden="1"/>
    <cacheHierarchy uniqueName="[Allocation].[StakeholderOrganizationKey]" caption="StakeholderOrganizationKey" attribute="1" defaultMemberUniqueName="[Allocation].[StakeholderOrganizationKey].[All]" allUniqueName="[Allocation].[StakeholderOrganizationKey].[All]" dimensionUniqueName="[Allocation]" displayFolder="" count="0" unbalanced="0" hidden="1"/>
    <cacheHierarchy uniqueName="[Allocation].[StateKey]" caption="StateKey" attribute="1" defaultMemberUniqueName="[Allocation].[StateKey].[All]" allUniqueName="[Allocation].[StateKey].[All]" dimensionUniqueName="[Allocation]" displayFolder="" count="0" unbalanced="0" hidden="1"/>
    <cacheHierarchy uniqueName="[Allocation].[StatusKey]" caption="StatusKey" attribute="1" defaultMemberUniqueName="[Allocation].[StatusKey].[All]" allUniqueName="[Allocation].[StatusKey].[All]" dimensionUniqueName="[Allocation]" displayFolder="" count="0" unbalanced="0" hidden="1"/>
    <cacheHierarchy uniqueName="[Allocation Methodology].[AllocationMethodologyKey]" caption="AllocationMethodologyKey" attribute="1" defaultMemberUniqueName="[Allocation Methodology].[AllocationMethodologyKey].[All]" allUniqueName="[Allocation Methodology].[AllocationMethodologyKey].[All]" dimensionUniqueName="[Allocation Methodology]" displayFolder="" count="0" unbalanced="0" hidden="1"/>
    <cacheHierarchy uniqueName="[Allocation Selection].[AllocationMethodologyKey]" caption="AllocationMethodologyKey" attribute="1" defaultMemberUniqueName="[Allocation Selection].[AllocationMethodologyKey].[All]" allUniqueName="[Allocation Selection].[AllocationMethodologyKey].[All]" dimensionUniqueName="[Allocation Selection]" displayFolder="" count="0" unbalanced="0" hidden="1"/>
    <cacheHierarchy uniqueName="[Allocation Selection].[AllocationSelectionKey]" caption="AllocationSelectionKey" attribute="1" defaultMemberUniqueName="[Allocation Selection].[AllocationSelectionKey].[All]" allUniqueName="[Allocation Selection].[AllocationSelectionKey].[All]" dimensionUniqueName="[Allocation Selection]" displayFolder="" count="0" unbalanced="0" hidden="1"/>
    <cacheHierarchy uniqueName="[Allocation Selection].[CalendarYearKey]" caption="CalendarYearKey" attribute="1" defaultMemberUniqueName="[Allocation Selection].[CalendarYearKey].[All]" allUniqueName="[Allocation Selection].[CalendarYearKey].[All]" dimensionUniqueName="[Allocation Selection]" displayFolder="" count="0" unbalanced="0" hidden="1"/>
    <cacheHierarchy uniqueName="[Allocation Selection].[DateKey]" caption="DateKey" attribute="1" defaultMemberUniqueName="[Allocation Selection].[DateKey].[All]" allUniqueName="[Allocation Selection].[DateKey].[All]" dimensionUniqueName="[Allocation Selection]" displayFolder="" count="0" unbalanced="0" hidden="1"/>
    <cacheHierarchy uniqueName="[Allocation Selection].[InitiativeKey]" caption="InitiativeKey" attribute="1" defaultMemberUniqueName="[Allocation Selection].[InitiativeKey].[All]" allUniqueName="[Allocation Selection].[InitiativeKey].[All]" dimensionUniqueName="[Allocation Selection]" displayFolder="" count="0" unbalanced="0" hidden="1"/>
    <cacheHierarchy uniqueName="[Allocation Selection].[MeasureKey]" caption="MeasureKey" attribute="1" defaultMemberUniqueName="[Allocation Selection].[MeasureKey].[All]" allUniqueName="[Allocation Selection].[MeasureKey].[All]" dimensionUniqueName="[Allocation Selection]" displayFolder="" count="0" unbalanced="0" hidden="1"/>
    <cacheHierarchy uniqueName="[Allocation Selection].[SnapshotKey]" caption="SnapshotKey" attribute="1" defaultMemberUniqueName="[Allocation Selection].[SnapshotKey].[All]" allUniqueName="[Allocation Selection].[SnapshotKey].[All]" dimensionUniqueName="[Allocation Selection]" displayFolder="" count="0" unbalanced="0" hidden="1"/>
    <cacheHierarchy uniqueName="[Allocation Selection].[StakeholderOrganizationKey]" caption="StakeholderOrganizationKey" attribute="1" defaultMemberUniqueName="[Allocation Selection].[StakeholderOrganizationKey].[All]" allUniqueName="[Allocation Selection].[StakeholderOrganizationKey].[All]" dimensionUniqueName="[Allocation Selection]" displayFolder="" count="0" unbalanced="0" hidden="1"/>
    <cacheHierarchy uniqueName="[Allocation Selection].[StateKey]" caption="StateKey" attribute="1" defaultMemberUniqueName="[Allocation Selection].[StateKey].[All]" allUniqueName="[Allocation Selection].[StateKey].[All]" dimensionUniqueName="[Allocation Selection]" displayFolder="" count="0" unbalanced="0" hidden="1"/>
    <cacheHierarchy uniqueName="[Calculation Methodology].[CalculationMethodologyKey]" caption="CalculationMethodologyKey" attribute="1" defaultMemberUniqueName="[Calculation Methodology].[CalculationMethodologyKey].[All]" allUniqueName="[Calculation Methodology].[CalculationMethodologyKey].[All]" dimensionUniqueName="[Calculation Methodology]" displayFolder="" count="0" unbalanced="0" hidden="1"/>
    <cacheHierarchy uniqueName="[Calculation Methodology].[SnapshotKey]" caption="SnapshotKey" attribute="1" defaultMemberUniqueName="[Calculation Methodology].[SnapshotKey].[All]" allUniqueName="[Calculation Methodology].[SnapshotKey].[All]" dimensionUniqueName="[Calculation Methodology]" displayFolder="" count="0" unbalanced="0" hidden="1"/>
    <cacheHierarchy uniqueName="[Cost Effectiveness].[AceModelVersionKey]" caption="AceModelVersionKey" attribute="1" defaultMemberUniqueName="[Cost Effectiveness].[AceModelVersionKey].[All]" allUniqueName="[Cost Effectiveness].[AceModelVersionKey].[All]" dimensionUniqueName="[Cost Effectiveness]" displayFolder="" count="0" unbalanced="0" hidden="1"/>
    <cacheHierarchy uniqueName="[Cost Effectiveness].[Benefit_Cost_Ratio_Co_Created]" caption="Benefit_Cost_Ratio_Co_Created" attribute="1" defaultMemberUniqueName="[Cost Effectiveness].[Benefit_Cost_Ratio_Co_Created].[All]" allUniqueName="[Cost Effectiveness].[Benefit_Cost_Ratio_Co_Created].[All]" dimensionUniqueName="[Cost Effectiveness]" displayFolder="" count="0" unbalanced="0" hidden="1"/>
    <cacheHierarchy uniqueName="[Cost Effectiveness].[Benefit_Cost_Ratio_Total_Resource_Cost]" caption="Benefit_Cost_Ratio_Total_Resource_Cost" attribute="1" defaultMemberUniqueName="[Cost Effectiveness].[Benefit_Cost_Ratio_Total_Resource_Cost].[All]" allUniqueName="[Cost Effectiveness].[Benefit_Cost_Ratio_Total_Resource_Cost].[All]" dimensionUniqueName="[Cost Effectiveness]" displayFolder="" count="0" unbalanced="0" hidden="1"/>
    <cacheHierarchy uniqueName="[Cost Effectiveness].[Benefit_Cost_Ratio_Total_Resource_Cost_Act_Credit]" caption="Benefit_Cost_Ratio_Total_Resource_Cost_Act_Credit" attribute="1" defaultMemberUniqueName="[Cost Effectiveness].[Benefit_Cost_Ratio_Total_Resource_Cost_Act_Credit].[All]" allUniqueName="[Cost Effectiveness].[Benefit_Cost_Ratio_Total_Resource_Cost_Act_Credit].[All]" dimensionUniqueName="[Cost Effectiveness]" displayFolder="" count="0" unbalanced="0" hidden="1"/>
    <cacheHierarchy uniqueName="[Cost Effectiveness].[Cost_Capacity]" caption="Cost_Capacity" attribute="1" defaultMemberUniqueName="[Cost Effectiveness].[Cost_Capacity].[All]" allUniqueName="[Cost Effectiveness].[Cost_Capacity].[All]" dimensionUniqueName="[Cost Effectiveness]" displayFolder="" count="0" unbalanced="0" hidden="1"/>
    <cacheHierarchy uniqueName="[Cost Effectiveness].[Electric_System_CO2_Avoided]" caption="Electric_System_CO2_Avoided" attribute="1" defaultMemberUniqueName="[Cost Effectiveness].[Electric_System_CO2_Avoided].[All]" allUniqueName="[Cost Effectiveness].[Electric_System_CO2_Avoided].[All]" dimensionUniqueName="[Cost Effectiveness]" displayFolder="" count="0" unbalanced="0" hidden="1"/>
    <cacheHierarchy uniqueName="[Cost Effectiveness].[Electric_System_Physical_CO2_Avoided]" caption="Electric_System_Physical_CO2_Avoided" attribute="1" defaultMemberUniqueName="[Cost Effectiveness].[Electric_System_Physical_CO2_Avoided].[All]" allUniqueName="[Cost Effectiveness].[Electric_System_Physical_CO2_Avoided].[All]" dimensionUniqueName="[Cost Effectiveness]" displayFolder="" count="0" unbalanced="0" hidden="1"/>
    <cacheHierarchy uniqueName="[Cost Effectiveness].[Gas_System_Physical_CO2_Avoided]" caption="Gas_System_Physical_CO2_Avoided" attribute="1" defaultMemberUniqueName="[Cost Effectiveness].[Gas_System_Physical_CO2_Avoided].[All]" allUniqueName="[Cost Effectiveness].[Gas_System_Physical_CO2_Avoided].[All]" dimensionUniqueName="[Cost Effectiveness]" displayFolder="" count="0" unbalanced="0" hidden="1"/>
    <cacheHierarchy uniqueName="[Cost Effectiveness].[InitiativeKey]" caption="InitiativeKey" attribute="1" defaultMemberUniqueName="[Cost Effectiveness].[InitiativeKey].[All]" allUniqueName="[Cost Effectiveness].[InitiativeKey].[All]" dimensionUniqueName="[Cost Effectiveness]" displayFolder="" count="0" unbalanced="0" hidden="1"/>
    <cacheHierarchy uniqueName="[Cost Effectiveness].[Levelized_Cost_Co_Created]" caption="Levelized_Cost_Co_Created" attribute="1" defaultMemberUniqueName="[Cost Effectiveness].[Levelized_Cost_Co_Created].[All]" allUniqueName="[Cost Effectiveness].[Levelized_Cost_Co_Created].[All]" dimensionUniqueName="[Cost Effectiveness]" displayFolder="" count="0" unbalanced="0" hidden="1"/>
    <cacheHierarchy uniqueName="[Cost Effectiveness].[Levelized_Cost_Total_Resource_Cost]" caption="Levelized_Cost_Total_Resource_Cost" attribute="1" defaultMemberUniqueName="[Cost Effectiveness].[Levelized_Cost_Total_Resource_Cost].[All]" allUniqueName="[Cost Effectiveness].[Levelized_Cost_Total_Resource_Cost].[All]" dimensionUniqueName="[Cost Effectiveness]" displayFolder="" count="0" unbalanced="0" hidden="1"/>
    <cacheHierarchy uniqueName="[Cost Effectiveness].[Levelized_Cost_Total_Resource_Cost_Act_Credit]" caption="Levelized_Cost_Total_Resource_Cost_Act_Credit" attribute="1" defaultMemberUniqueName="[Cost Effectiveness].[Levelized_Cost_Total_Resource_Cost_Act_Credit].[All]" allUniqueName="[Cost Effectiveness].[Levelized_Cost_Total_Resource_Cost_Act_Credit].[All]" dimensionUniqueName="[Cost Effectiveness]" displayFolder="" count="0" unbalanced="0" hidden="1"/>
    <cacheHierarchy uniqueName="[Cost Effectiveness].[Levelized_Cost_Total_Resource_Cost_Act_Credit_6thPP]" caption="Levelized_Cost_Total_Resource_Cost_Act_Credit_6thPP" attribute="1" defaultMemberUniqueName="[Cost Effectiveness].[Levelized_Cost_Total_Resource_Cost_Act_Credit_6thPP].[All]" allUniqueName="[Cost Effectiveness].[Levelized_Cost_Total_Resource_Cost_Act_Credit_6thPP].[All]" dimensionUniqueName="[Cost Effectiveness]" displayFolder="" count="0" unbalanced="0" hidden="1"/>
    <cacheHierarchy uniqueName="[Cost Effectiveness].[Levelized_Cost_Total_Resource_Cost_Act_Credit_7thPP]" caption="Levelized_Cost_Total_Resource_Cost_Act_Credit_7thPP" attribute="1" defaultMemberUniqueName="[Cost Effectiveness].[Levelized_Cost_Total_Resource_Cost_Act_Credit_7thPP].[All]" allUniqueName="[Cost Effectiveness].[Levelized_Cost_Total_Resource_Cost_Act_Credit_7thPP].[All]" dimensionUniqueName="[Cost Effectiveness]" displayFolder="" count="0" unbalanced="0" hidden="1"/>
    <cacheHierarchy uniqueName="[Cost Effectiveness].[SnapshotKey]" caption="SnapshotKey" attribute="1" defaultMemberUniqueName="[Cost Effectiveness].[SnapshotKey].[All]" allUniqueName="[Cost Effectiveness].[SnapshotKey].[All]" dimensionUniqueName="[Cost Effectiveness]" displayFolder="" count="0" unbalanced="0" hidden="1"/>
    <cacheHierarchy uniqueName="[Cost Effectiveness].[Source]" caption="Source" attribute="1" defaultMemberUniqueName="[Cost Effectiveness].[Source].[All]" allUniqueName="[Cost Effectiveness].[Source].[All]" dimensionUniqueName="[Cost Effectiveness]" displayFolder="" count="0" unbalanced="0" hidden="1"/>
    <cacheHierarchy uniqueName="[Cost Effectiveness].[UnitOfMeasureKey]" caption="UnitOfMeasureKey" attribute="1" defaultMemberUniqueName="[Cost Effectiveness].[UnitOfMeasureKey].[All]" allUniqueName="[Cost Effectiveness].[UnitOfMeasureKey].[All]" dimensionUniqueName="[Cost Effectiveness]" displayFolder="" count="0" unbalanced="0" hidden="1"/>
    <cacheHierarchy uniqueName="[Date].[DateKey]" caption="DateKey" attribute="1" defaultMemberUniqueName="[Date].[DateKey].[All]" allUniqueName="[Date].[DateKey].[All]" dimensionUniqueName="[Date]" displayFolder="" count="0" unbalanced="0" hidden="1"/>
    <cacheHierarchy uniqueName="[Flag].[DateKey]" caption="DateKey" attribute="1" defaultMemberUniqueName="[Flag].[DateKey].[All]" allUniqueName="[Flag].[DateKey].[All]" dimensionUniqueName="[Flag]" displayFolder="" count="0" unbalanced="0" hidden="1"/>
    <cacheHierarchy uniqueName="[Flag].[Flag]" caption="Flag" attribute="1" defaultMemberUniqueName="[Flag].[Flag].[All]" allUniqueName="[Flag].[Flag].[All]" dimensionUniqueName="[Flag]" displayFolder="" count="0" unbalanced="0" hidden="1"/>
    <cacheHierarchy uniqueName="[Flag].[FlagKey]" caption="FlagKey" attribute="1" defaultMemberUniqueName="[Flag].[FlagKey].[All]" allUniqueName="[Flag].[FlagKey].[All]" dimensionUniqueName="[Flag]" displayFolder="" count="0" unbalanced="0" hidden="1"/>
    <cacheHierarchy uniqueName="[Flag].[InitiativeIndex]" caption="InitiativeIndex" attribute="1" defaultMemberUniqueName="[Flag].[InitiativeIndex].[All]" allUniqueName="[Flag].[InitiativeIndex].[All]" dimensionUniqueName="[Flag]" displayFolder="" count="0" unbalanced="0" hidden="1"/>
    <cacheHierarchy uniqueName="[Flag].[Measure]" caption="Measure" attribute="1" defaultMemberUniqueName="[Flag].[Measure].[All]" allUniqueName="[Flag].[Measure].[All]" dimensionUniqueName="[Flag]" displayFolder="" count="0" unbalanced="0" hidden="1"/>
    <cacheHierarchy uniqueName="[Flag].[MeasureIndex]" caption="MeasureIndex" attribute="1" defaultMemberUniqueName="[Flag].[MeasureIndex].[All]" allUniqueName="[Flag].[MeasureIndex].[All]" dimensionUniqueName="[Flag]" displayFolder="" count="0" unbalanced="0" hidden="1"/>
    <cacheHierarchy uniqueName="[Flag].[Product]" caption="Product" attribute="1" defaultMemberUniqueName="[Flag].[Product].[All]" allUniqueName="[Flag].[Product].[All]" dimensionUniqueName="[Flag]" displayFolder="" count="0" unbalanced="0" hidden="1"/>
    <cacheHierarchy uniqueName="[Flag].[Tier]" caption="Tier" attribute="1" defaultMemberUniqueName="[Flag].[Tier].[All]" allUniqueName="[Flag].[Tier].[All]" dimensionUniqueName="[Flag]" displayFolder="" count="0" unbalanced="0" hidden="1"/>
    <cacheHierarchy uniqueName="[Funder Share].[CalendarYearKey]" caption="CalendarYearKey" attribute="1" defaultMemberUniqueName="[Funder Share].[CalendarYearKey].[All]" allUniqueName="[Funder Share].[CalendarYearKey].[All]" dimensionUniqueName="[Funder Share]" displayFolder="" count="0" unbalanced="0" hidden="1"/>
    <cacheHierarchy uniqueName="[Funder Share].[DateKey]" caption="DateKey" attribute="1" defaultMemberUniqueName="[Funder Share].[DateKey].[All]" allUniqueName="[Funder Share].[DateKey].[All]" dimensionUniqueName="[Funder Share]" displayFolder="" count="0" unbalanced="0" hidden="1"/>
    <cacheHierarchy uniqueName="[Funder Share].[FunderShare]" caption="FunderShare" attribute="1" defaultMemberUniqueName="[Funder Share].[FunderShare].[All]" allUniqueName="[Funder Share].[FunderShare].[All]" dimensionUniqueName="[Funder Share]" displayFolder="" count="0" unbalanced="0" hidden="1"/>
    <cacheHierarchy uniqueName="[Funder Share].[FunderShareKey]" caption="FunderShareKey" attribute="1" defaultMemberUniqueName="[Funder Share].[FunderShareKey].[All]" allUniqueName="[Funder Share].[FunderShareKey].[All]" dimensionUniqueName="[Funder Share]" displayFolder="" count="0" unbalanced="0" hidden="1"/>
    <cacheHierarchy uniqueName="[Funder Share].[IDAllocation]" caption="IDAllocation" attribute="1" defaultMemberUniqueName="[Funder Share].[IDAllocation].[All]" allUniqueName="[Funder Share].[IDAllocation].[All]" dimensionUniqueName="[Funder Share]" displayFolder="" count="0" unbalanced="0" hidden="1"/>
    <cacheHierarchy uniqueName="[Funder Share].[MTAllocation]" caption="MTAllocation" attribute="1" defaultMemberUniqueName="[Funder Share].[MTAllocation].[All]" allUniqueName="[Funder Share].[MTAllocation].[All]" dimensionUniqueName="[Funder Share]" displayFolder="" count="0" unbalanced="0" hidden="1"/>
    <cacheHierarchy uniqueName="[Funder Share].[ORAllocation]" caption="ORAllocation" attribute="1" defaultMemberUniqueName="[Funder Share].[ORAllocation].[All]" allUniqueName="[Funder Share].[ORAllocation].[All]" dimensionUniqueName="[Funder Share]" displayFolder="" count="0" unbalanced="0" hidden="1"/>
    <cacheHierarchy uniqueName="[Funder Share].[SnapshotKey]" caption="SnapshotKey" attribute="1" defaultMemberUniqueName="[Funder Share].[SnapshotKey].[All]" allUniqueName="[Funder Share].[SnapshotKey].[All]" dimensionUniqueName="[Funder Share]" displayFolder="" count="0" unbalanced="0" hidden="1"/>
    <cacheHierarchy uniqueName="[Funder Share].[StakeHolderOrganizationKey]" caption="StakeHolderOrganizationKey" attribute="1" defaultMemberUniqueName="[Funder Share].[StakeHolderOrganizationKey].[All]" allUniqueName="[Funder Share].[StakeHolderOrganizationKey].[All]" dimensionUniqueName="[Funder Share]" displayFolder="" count="0" unbalanced="0" hidden="1"/>
    <cacheHierarchy uniqueName="[Funder Share].[WAAllocation]" caption="WAAllocation" attribute="1" defaultMemberUniqueName="[Funder Share].[WAAllocation].[All]" allUniqueName="[Funder Share].[WAAllocation].[All]" dimensionUniqueName="[Funder Share]" displayFolder="" count="0" unbalanced="0" hidden="1"/>
    <cacheHierarchy uniqueName="[Funding Cycle].[FundingCycleKey]" caption="FundingCycleKey" attribute="1" defaultMemberUniqueName="[Funding Cycle].[FundingCycleKey].[All]" allUniqueName="[Funding Cycle].[FundingCycleKey].[All]" dimensionUniqueName="[Funding Cycle]" displayFolder="" count="0" unbalanced="0" hidden="1"/>
    <cacheHierarchy uniqueName="[Funding Cycle Funder Share].[CalendarYearKey]" caption="CalendarYearKey" attribute="1" defaultMemberUniqueName="[Funding Cycle Funder Share].[CalendarYearKey].[All]" allUniqueName="[Funding Cycle Funder Share].[CalendarYearKey].[All]" dimensionUniqueName="[Funding Cycle Funder Share]" displayFolder="" count="0" unbalanced="0" hidden="1"/>
    <cacheHierarchy uniqueName="[Funding Cycle Funder Share].[DateKey]" caption="DateKey" attribute="1" defaultMemberUniqueName="[Funding Cycle Funder Share].[DateKey].[All]" allUniqueName="[Funding Cycle Funder Share].[DateKey].[All]" dimensionUniqueName="[Funding Cycle Funder Share]" displayFolder="" count="0" unbalanced="0" hidden="1"/>
    <cacheHierarchy uniqueName="[Funding Cycle Funder Share].[FundingCycleFunderShare]" caption="FundingCycleFunderShare" attribute="1" defaultMemberUniqueName="[Funding Cycle Funder Share].[FundingCycleFunderShare].[All]" allUniqueName="[Funding Cycle Funder Share].[FundingCycleFunderShare].[All]" dimensionUniqueName="[Funding Cycle Funder Share]" displayFolder="" count="0" unbalanced="0" hidden="1"/>
    <cacheHierarchy uniqueName="[Funding Cycle Funder Share].[FundingCycleKey]" caption="FundingCycleKey" attribute="1" defaultMemberUniqueName="[Funding Cycle Funder Share].[FundingCycleKey].[All]" allUniqueName="[Funding Cycle Funder Share].[FundingCycleKey].[All]" dimensionUniqueName="[Funding Cycle Funder Share]" displayFolder="" count="0" unbalanced="0" hidden="1"/>
    <cacheHierarchy uniqueName="[Funding Cycle Funder Share].[IDFundingCycleAllocation]" caption="IDFundingCycleAllocation" attribute="1" defaultMemberUniqueName="[Funding Cycle Funder Share].[IDFundingCycleAllocation].[All]" allUniqueName="[Funding Cycle Funder Share].[IDFundingCycleAllocation].[All]" dimensionUniqueName="[Funding Cycle Funder Share]" displayFolder="" count="0" unbalanced="0" hidden="1"/>
    <cacheHierarchy uniqueName="[Funding Cycle Funder Share].[MTFundingCycleAllocation]" caption="MTFundingCycleAllocation" attribute="1" defaultMemberUniqueName="[Funding Cycle Funder Share].[MTFundingCycleAllocation].[All]" allUniqueName="[Funding Cycle Funder Share].[MTFundingCycleAllocation].[All]" dimensionUniqueName="[Funding Cycle Funder Share]" displayFolder="" count="0" unbalanced="0" hidden="1"/>
    <cacheHierarchy uniqueName="[Funding Cycle Funder Share].[ORFundingCycleAllocation]" caption="ORFundingCycleAllocation" attribute="1" defaultMemberUniqueName="[Funding Cycle Funder Share].[ORFundingCycleAllocation].[All]" allUniqueName="[Funding Cycle Funder Share].[ORFundingCycleAllocation].[All]" dimensionUniqueName="[Funding Cycle Funder Share]" displayFolder="" count="0" unbalanced="0" hidden="1"/>
    <cacheHierarchy uniqueName="[Funding Cycle Funder Share].[SnapshotKey]" caption="SnapshotKey" attribute="1" defaultMemberUniqueName="[Funding Cycle Funder Share].[SnapshotKey].[All]" allUniqueName="[Funding Cycle Funder Share].[SnapshotKey].[All]" dimensionUniqueName="[Funding Cycle Funder Share]" displayFolder="" count="0" unbalanced="0" hidden="1"/>
    <cacheHierarchy uniqueName="[Funding Cycle Funder Share].[StakeHolderOrganizationKey]" caption="StakeHolderOrganizationKey" attribute="1" defaultMemberUniqueName="[Funding Cycle Funder Share].[StakeHolderOrganizationKey].[All]" allUniqueName="[Funding Cycle Funder Share].[StakeHolderOrganizationKey].[All]" dimensionUniqueName="[Funding Cycle Funder Share]" displayFolder="" count="0" unbalanced="0" hidden="1"/>
    <cacheHierarchy uniqueName="[Funding Cycle Funder Share].[WAFundingCycleAllocation]" caption="WAFundingCycleAllocation" attribute="1" defaultMemberUniqueName="[Funding Cycle Funder Share].[WAFundingCycleAllocation].[All]" allUniqueName="[Funding Cycle Funder Share].[WAFundingCycleAllocation].[All]" dimensionUniqueName="[Funding Cycle Funder Share]" displayFolder="" count="0" unbalanced="0" hidden="1"/>
    <cacheHierarchy uniqueName="[Initiative].[InitiativeKey]" caption="InitiativeKey" attribute="1" defaultMemberUniqueName="[Initiative].[InitiativeKey].[All]" allUniqueName="[Initiative].[InitiativeKey].[All]" dimensionUniqueName="[Initiative]" displayFolder="" count="0" unbalanced="0" hidden="1"/>
    <cacheHierarchy uniqueName="[Key Assumption].[AceModelVersionKey]" caption="AceModelVersionKey" attribute="1" defaultMemberUniqueName="[Key Assumption].[AceModelVersionKey].[All]" allUniqueName="[Key Assumption].[AceModelVersionKey].[All]" dimensionUniqueName="[Key Assumption]" displayFolder="" count="0" unbalanced="0" hidden="1"/>
    <cacheHierarchy uniqueName="[Key Assumption].[CalendarYearKey]" caption="CalendarYearKey" attribute="1" defaultMemberUniqueName="[Key Assumption].[CalendarYearKey].[All]" allUniqueName="[Key Assumption].[CalendarYearKey].[All]" dimensionUniqueName="[Key Assumption]" displayFolder="" count="0" unbalanced="0" hidden="1"/>
    <cacheHierarchy uniqueName="[Key Assumption].[DateKey]" caption="DateKey" attribute="1" defaultMemberUniqueName="[Key Assumption].[DateKey].[All]" allUniqueName="[Key Assumption].[DateKey].[All]" dimensionUniqueName="[Key Assumption]" displayFolder="" count="0" unbalanced="0" hidden="1"/>
    <cacheHierarchy uniqueName="[Key Assumption].[InitiativeKey]" caption="InitiativeKey" attribute="1" defaultMemberUniqueName="[Key Assumption].[InitiativeKey].[All]" allUniqueName="[Key Assumption].[InitiativeKey].[All]" dimensionUniqueName="[Key Assumption]" displayFolder="" count="0" unbalanced="0" hidden="1"/>
    <cacheHierarchy uniqueName="[Key Assumption].[KeyAssumptionKey]" caption="KeyAssumptionKey" attribute="1" defaultMemberUniqueName="[Key Assumption].[KeyAssumptionKey].[All]" allUniqueName="[Key Assumption].[KeyAssumptionKey].[All]" dimensionUniqueName="[Key Assumption]" displayFolder="" count="0" unbalanced="0" hidden="1"/>
    <cacheHierarchy uniqueName="[Key Assumption].[KeyAssumptionNumber]" caption="KeyAssumptionNumber" attribute="1" defaultMemberUniqueName="[Key Assumption].[KeyAssumptionNumber].[All]" allUniqueName="[Key Assumption].[KeyAssumptionNumber].[All]" dimensionUniqueName="[Key Assumption]" displayFolder="" count="0" unbalanced="0" hidden="1"/>
    <cacheHierarchy uniqueName="[Key Assumption].[KeyAssumptionTypeKey]" caption="KeyAssumptionTypeKey" attribute="1" defaultMemberUniqueName="[Key Assumption].[KeyAssumptionTypeKey].[All]" allUniqueName="[Key Assumption].[KeyAssumptionTypeKey].[All]" dimensionUniqueName="[Key Assumption]" displayFolder="" count="0" unbalanced="0" hidden="1"/>
    <cacheHierarchy uniqueName="[Key Assumption].[MeasureKey]" caption="MeasureKey" attribute="1" defaultMemberUniqueName="[Key Assumption].[MeasureKey].[All]" allUniqueName="[Key Assumption].[MeasureKey].[All]" dimensionUniqueName="[Key Assumption]" displayFolder="" count="0" unbalanced="0" hidden="1"/>
    <cacheHierarchy uniqueName="[Key Assumption].[SnapshotKey]" caption="SnapshotKey" attribute="1" defaultMemberUniqueName="[Key Assumption].[SnapshotKey].[All]" allUniqueName="[Key Assumption].[SnapshotKey].[All]" dimensionUniqueName="[Key Assumption]" displayFolder="" count="0" unbalanced="0" hidden="1"/>
    <cacheHierarchy uniqueName="[Key Assumption].[UnitOfMeasureKey]" caption="UnitOfMeasureKey" attribute="1" defaultMemberUniqueName="[Key Assumption].[UnitOfMeasureKey].[All]" allUniqueName="[Key Assumption].[UnitOfMeasureKey].[All]" dimensionUniqueName="[Key Assumption]" displayFolder="" count="0" unbalanced="0" hidden="1"/>
    <cacheHierarchy uniqueName="[Key Assumption Type].[KeyAssumptionTypeKey]" caption="KeyAssumptionTypeKey" attribute="1" defaultMemberUniqueName="[Key Assumption Type].[KeyAssumptionTypeKey].[All]" allUniqueName="[Key Assumption Type].[KeyAssumptionTypeKey].[All]" dimensionUniqueName="[Key Assumption Type]" displayFolder="" count="0" unbalanced="0" hidden="1"/>
    <cacheHierarchy uniqueName="[Local Programs].[CalendarYearKey]" caption="CalendarYearKey" attribute="1" defaultMemberUniqueName="[Local Programs].[CalendarYearKey].[All]" allUniqueName="[Local Programs].[CalendarYearKey].[All]" dimensionUniqueName="[Local Programs]" displayFolder="" count="0" unbalanced="0" hidden="1"/>
    <cacheHierarchy uniqueName="[Local Programs].[DateKey]" caption="DateKey" attribute="1" defaultMemberUniqueName="[Local Programs].[DateKey].[All]" allUniqueName="[Local Programs].[DateKey].[All]" dimensionUniqueName="[Local Programs]" displayFolder="" count="0" unbalanced="0" hidden="1"/>
    <cacheHierarchy uniqueName="[Local Programs].[InitiativeKey]" caption="InitiativeKey" attribute="1" defaultMemberUniqueName="[Local Programs].[InitiativeKey].[All]" allUniqueName="[Local Programs].[InitiativeKey].[All]" dimensionUniqueName="[Local Programs]" displayFolder="" count="0" unbalanced="0" hidden="1"/>
    <cacheHierarchy uniqueName="[Local Programs].[LocalProgramsAdjustment]" caption="LocalProgramsAdjustment" attribute="1" defaultMemberUniqueName="[Local Programs].[LocalProgramsAdjustment].[All]" allUniqueName="[Local Programs].[LocalProgramsAdjustment].[All]" dimensionUniqueName="[Local Programs]" displayFolder="" count="0" unbalanced="0" hidden="1"/>
    <cacheHierarchy uniqueName="[Local Programs].[LocalProgramsSurveyUnits]" caption="LocalProgramsSurveyUnits" attribute="1" defaultMemberUniqueName="[Local Programs].[LocalProgramsSurveyUnits].[All]" allUniqueName="[Local Programs].[LocalProgramsSurveyUnits].[All]" dimensionUniqueName="[Local Programs]" displayFolder="" count="0" unbalanced="0" hidden="1"/>
    <cacheHierarchy uniqueName="[Local Programs].[MeasureKey]" caption="MeasureKey" attribute="1" defaultMemberUniqueName="[Local Programs].[MeasureKey].[All]" allUniqueName="[Local Programs].[MeasureKey].[All]" dimensionUniqueName="[Local Programs]" displayFolder="" count="0" unbalanced="0" hidden="1"/>
    <cacheHierarchy uniqueName="[Local Programs].[SnapshotKey]" caption="SnapshotKey" attribute="1" defaultMemberUniqueName="[Local Programs].[SnapshotKey].[All]" allUniqueName="[Local Programs].[SnapshotKey].[All]" dimensionUniqueName="[Local Programs]" displayFolder="" count="0" unbalanced="0" hidden="1"/>
    <cacheHierarchy uniqueName="[Local Programs].[StakeholderOrganizationKey]" caption="StakeholderOrganizationKey" attribute="1" defaultMemberUniqueName="[Local Programs].[StakeholderOrganizationKey].[All]" allUniqueName="[Local Programs].[StakeholderOrganizationKey].[All]" dimensionUniqueName="[Local Programs]" displayFolder="" count="0" unbalanced="0" hidden="1"/>
    <cacheHierarchy uniqueName="[Local Programs].[StateKey]" caption="StateKey" attribute="1" defaultMemberUniqueName="[Local Programs].[StateKey].[All]" allUniqueName="[Local Programs].[StateKey].[All]" dimensionUniqueName="[Local Programs]" displayFolder="" count="0" unbalanced="0" hidden="1"/>
    <cacheHierarchy uniqueName="[Local Programs].[UnitOfMeasureKey]" caption="UnitOfMeasureKey" attribute="1" defaultMemberUniqueName="[Local Programs].[UnitOfMeasureKey].[All]" allUniqueName="[Local Programs].[UnitOfMeasureKey].[All]" dimensionUniqueName="[Local Programs]" displayFolder="" count="0" unbalanced="0" hidden="1"/>
    <cacheHierarchy uniqueName="[Market Adoption].[ACEModelVersionKey]" caption="ACEModelVersionKey" attribute="1" defaultMemberUniqueName="[Market Adoption].[ACEModelVersionKey].[All]" allUniqueName="[Market Adoption].[ACEModelVersionKey].[All]" dimensionUniqueName="[Market Adoption]" displayFolder="" count="0" unbalanced="0" hidden="1"/>
    <cacheHierarchy uniqueName="[Market Adoption].[CalendarYearKey]" caption="CalendarYearKey" attribute="1" defaultMemberUniqueName="[Market Adoption].[CalendarYearKey].[All]" allUniqueName="[Market Adoption].[CalendarYearKey].[All]" dimensionUniqueName="[Market Adoption]" displayFolder="" count="0" unbalanced="0" hidden="1"/>
    <cacheHierarchy uniqueName="[Market Adoption].[DateKey]" caption="DateKey" attribute="1" defaultMemberUniqueName="[Market Adoption].[DateKey].[All]" allUniqueName="[Market Adoption].[DateKey].[All]" dimensionUniqueName="[Market Adoption]" displayFolder="" count="0" unbalanced="0" hidden="1"/>
    <cacheHierarchy uniqueName="[Market Adoption].[InitiativeKey]" caption="InitiativeKey" attribute="1" defaultMemberUniqueName="[Market Adoption].[InitiativeKey].[All]" allUniqueName="[Market Adoption].[InitiativeKey].[All]" dimensionUniqueName="[Market Adoption]" displayFolder="" count="0" unbalanced="0" hidden="1"/>
    <cacheHierarchy uniqueName="[Market Adoption].[MarketAdoptionStockUnits]" caption="MarketAdoptionStockUnits" attribute="1" defaultMemberUniqueName="[Market Adoption].[MarketAdoptionStockUnits].[All]" allUniqueName="[Market Adoption].[MarketAdoptionStockUnits].[All]" dimensionUniqueName="[Market Adoption]" displayFolder="" count="0" unbalanced="0" hidden="1"/>
    <cacheHierarchy uniqueName="[Market Adoption].[MarketAdoptionUnits]" caption="MarketAdoptionUnits" attribute="1" defaultMemberUniqueName="[Market Adoption].[MarketAdoptionUnits].[All]" allUniqueName="[Market Adoption].[MarketAdoptionUnits].[All]" dimensionUniqueName="[Market Adoption]" displayFolder="" count="0" unbalanced="0" hidden="1"/>
    <cacheHierarchy uniqueName="[Market Adoption].[MeasureKey]" caption="MeasureKey" attribute="1" defaultMemberUniqueName="[Market Adoption].[MeasureKey].[All]" allUniqueName="[Market Adoption].[MeasureKey].[All]" dimensionUniqueName="[Market Adoption]" displayFolder="" count="0" unbalanced="0" hidden="1"/>
    <cacheHierarchy uniqueName="[Market Adoption].[ProductKey]" caption="ProductKey" attribute="1" defaultMemberUniqueName="[Market Adoption].[ProductKey].[All]" allUniqueName="[Market Adoption].[ProductKey].[All]" dimensionUniqueName="[Market Adoption]" displayFolder="" count="0" unbalanced="0" hidden="1"/>
    <cacheHierarchy uniqueName="[Market Adoption].[ProductMarketSize]" caption="ProductMarketSize" attribute="1" defaultMemberUniqueName="[Market Adoption].[ProductMarketSize].[All]" allUniqueName="[Market Adoption].[ProductMarketSize].[All]" dimensionUniqueName="[Market Adoption]" displayFolder="" count="0" unbalanced="0" hidden="1"/>
    <cacheHierarchy uniqueName="[Market Adoption].[ProductMarketSizeStock]" caption="ProductMarketSizeStock" attribute="1" defaultMemberUniqueName="[Market Adoption].[ProductMarketSizeStock].[All]" allUniqueName="[Market Adoption].[ProductMarketSizeStock].[All]" dimensionUniqueName="[Market Adoption]" displayFolder="" count="0" unbalanced="0" hidden="1"/>
    <cacheHierarchy uniqueName="[Market Adoption].[SnapshotKey]" caption="SnapshotKey" attribute="1" defaultMemberUniqueName="[Market Adoption].[SnapshotKey].[All]" allUniqueName="[Market Adoption].[SnapshotKey].[All]" dimensionUniqueName="[Market Adoption]" displayFolder="" count="0" unbalanced="0" hidden="1"/>
    <cacheHierarchy uniqueName="[Market Adoption].[UnitOfMeasureKey]" caption="UnitOfMeasureKey" attribute="1" defaultMemberUniqueName="[Market Adoption].[UnitOfMeasureKey].[All]" allUniqueName="[Market Adoption].[UnitOfMeasureKey].[All]" dimensionUniqueName="[Market Adoption]" displayFolder="" count="0" unbalanced="0" hidden="1"/>
    <cacheHierarchy uniqueName="[Market Size].[AceModelVersionKey]" caption="AceModelVersionKey" attribute="1" defaultMemberUniqueName="[Market Size].[AceModelVersionKey].[All]" allUniqueName="[Market Size].[AceModelVersionKey].[All]" dimensionUniqueName="[Market Size]" displayFolder="" count="0" unbalanced="0" hidden="1"/>
    <cacheHierarchy uniqueName="[Market Size].[CalendarYearKey]" caption="CalendarYearKey" attribute="1" defaultMemberUniqueName="[Market Size].[CalendarYearKey].[All]" allUniqueName="[Market Size].[CalendarYearKey].[All]" dimensionUniqueName="[Market Size]" displayFolder="" count="0" unbalanced="0" hidden="1"/>
    <cacheHierarchy uniqueName="[Market Size].[DateKey]" caption="DateKey" attribute="1" defaultMemberUniqueName="[Market Size].[DateKey].[All]" allUniqueName="[Market Size].[DateKey].[All]" dimensionUniqueName="[Market Size]" displayFolder="" count="0" unbalanced="0" hidden="1"/>
    <cacheHierarchy uniqueName="[Market Size].[InitiativeIndex]" caption="InitiativeIndex" attribute="1" defaultMemberUniqueName="[Market Size].[InitiativeIndex].[All]" allUniqueName="[Market Size].[InitiativeIndex].[All]" dimensionUniqueName="[Market Size]" displayFolder="" count="0" unbalanced="0" hidden="1"/>
    <cacheHierarchy uniqueName="[Market Size].[InitiativeKey]" caption="InitiativeKey" attribute="1" defaultMemberUniqueName="[Market Size].[InitiativeKey].[All]" allUniqueName="[Market Size].[InitiativeKey].[All]" dimensionUniqueName="[Market Size]" displayFolder="" count="0" unbalanced="0" hidden="1"/>
    <cacheHierarchy uniqueName="[Market Size].[MarketSize]" caption="MarketSize" attribute="1" defaultMemberUniqueName="[Market Size].[MarketSize].[All]" allUniqueName="[Market Size].[MarketSize].[All]" dimensionUniqueName="[Market Size]" displayFolder="" count="0" unbalanced="0" hidden="1"/>
    <cacheHierarchy uniqueName="[Market Size].[MarketSizeKey]" caption="MarketSizeKey" attribute="1" defaultMemberUniqueName="[Market Size].[MarketSizeKey].[All]" allUniqueName="[Market Size].[MarketSizeKey].[All]" dimensionUniqueName="[Market Size]" displayFolder="" count="0" unbalanced="0" hidden="1"/>
    <cacheHierarchy uniqueName="[Market Size].[MarketSizeStock]" caption="MarketSizeStock" attribute="1" defaultMemberUniqueName="[Market Size].[MarketSizeStock].[All]" allUniqueName="[Market Size].[MarketSizeStock].[All]" dimensionUniqueName="[Market Size]" displayFolder="" count="0" unbalanced="0" hidden="1"/>
    <cacheHierarchy uniqueName="[Market Size].[MeasureKey]" caption="MeasureKey" attribute="1" defaultMemberUniqueName="[Market Size].[MeasureKey].[All]" allUniqueName="[Market Size].[MeasureKey].[All]" dimensionUniqueName="[Market Size]" displayFolder="" count="0" unbalanced="0" hidden="1"/>
    <cacheHierarchy uniqueName="[Market Size].[ProductKey]" caption="ProductKey" attribute="1" defaultMemberUniqueName="[Market Size].[ProductKey].[All]" allUniqueName="[Market Size].[ProductKey].[All]" dimensionUniqueName="[Market Size]" displayFolder="" count="0" unbalanced="0" hidden="1"/>
    <cacheHierarchy uniqueName="[Market Size].[SnapshotKey]" caption="SnapshotKey" attribute="1" defaultMemberUniqueName="[Market Size].[SnapshotKey].[All]" allUniqueName="[Market Size].[SnapshotKey].[All]" dimensionUniqueName="[Market Size]" displayFolder="" count="0" unbalanced="0" hidden="1"/>
    <cacheHierarchy uniqueName="[Market Size].[UnitOfMeasureKey]" caption="UnitOfMeasureKey" attribute="1" defaultMemberUniqueName="[Market Size].[UnitOfMeasureKey].[All]" allUniqueName="[Market Size].[UnitOfMeasureKey].[All]" dimensionUniqueName="[Market Size]" displayFolder="" count="0" unbalanced="0" hidden="1"/>
    <cacheHierarchy uniqueName="[Measure].[InitiativeKey]" caption="InitiativeKey" attribute="1" defaultMemberUniqueName="[Measure].[InitiativeKey].[All]" allUniqueName="[Measure].[InitiativeKey].[All]" dimensionUniqueName="[Measure]" displayFolder="" count="0" unbalanced="0" hidden="1"/>
    <cacheHierarchy uniqueName="[Measure].[MeasureKey]" caption="MeasureKey" attribute="1" defaultMemberUniqueName="[Measure].[MeasureKey].[All]" allUniqueName="[Measure].[MeasureKey].[All]" dimensionUniqueName="[Measure]" displayFolder="" count="0" unbalanced="0" hidden="1"/>
    <cacheHierarchy uniqueName="[Measure].[ProductKey]" caption="ProductKey" attribute="1" defaultMemberUniqueName="[Measure].[ProductKey].[All]" allUniqueName="[Measure].[ProductKey].[All]" dimensionUniqueName="[Measure]" displayFolder="" count="0" unbalanced="0" hidden="1"/>
    <cacheHierarchy uniqueName="[Measure].[SnapshotKey]" caption="SnapshotKey" attribute="1" defaultMemberUniqueName="[Measure].[SnapshotKey].[All]" allUniqueName="[Measure].[SnapshotKey].[All]" dimensionUniqueName="[Measure]" displayFolder="" count="0" unbalanced="0" hidden="1"/>
    <cacheHierarchy uniqueName="[Portfolio Metrics].[EquityRural]" caption="EquityRural" attribute="1" defaultMemberUniqueName="[Portfolio Metrics].[EquityRural].[All]" allUniqueName="[Portfolio Metrics].[EquityRural].[All]" dimensionUniqueName="[Portfolio Metrics]" displayFolder="" count="0" unbalanced="0" hidden="1"/>
    <cacheHierarchy uniqueName="[Portfolio Metrics].[EquityUrban]" caption="EquityUrban" attribute="1" defaultMemberUniqueName="[Portfolio Metrics].[EquityUrban].[All]" allUniqueName="[Portfolio Metrics].[EquityUrban].[All]" dimensionUniqueName="[Portfolio Metrics]" displayFolder="" count="0" unbalanced="0" hidden="1"/>
    <cacheHierarchy uniqueName="[Portfolio Metrics].[InitiativeKey]" caption="InitiativeKey" attribute="1" defaultMemberUniqueName="[Portfolio Metrics].[InitiativeKey].[All]" allUniqueName="[Portfolio Metrics].[InitiativeKey].[All]" dimensionUniqueName="[Portfolio Metrics]" displayFolder="" count="0" unbalanced="0" hidden="1"/>
    <cacheHierarchy uniqueName="[Portfolio Metrics].[RegionalEquityID]" caption="RegionalEquityID" attribute="1" defaultMemberUniqueName="[Portfolio Metrics].[RegionalEquityID].[All]" allUniqueName="[Portfolio Metrics].[RegionalEquityID].[All]" dimensionUniqueName="[Portfolio Metrics]" displayFolder="" count="0" unbalanced="0" hidden="1"/>
    <cacheHierarchy uniqueName="[Portfolio Metrics].[RegionalEquityMT]" caption="RegionalEquityMT" attribute="1" defaultMemberUniqueName="[Portfolio Metrics].[RegionalEquityMT].[All]" allUniqueName="[Portfolio Metrics].[RegionalEquityMT].[All]" dimensionUniqueName="[Portfolio Metrics]" displayFolder="" count="0" unbalanced="0" hidden="1"/>
    <cacheHierarchy uniqueName="[Portfolio Metrics].[RegionalEquityOR]" caption="RegionalEquityOR" attribute="1" defaultMemberUniqueName="[Portfolio Metrics].[RegionalEquityOR].[All]" allUniqueName="[Portfolio Metrics].[RegionalEquityOR].[All]" dimensionUniqueName="[Portfolio Metrics]" displayFolder="" count="0" unbalanced="0" hidden="1"/>
    <cacheHierarchy uniqueName="[Portfolio Metrics].[RegionalEquityWA]" caption="RegionalEquityWA" attribute="1" defaultMemberUniqueName="[Portfolio Metrics].[RegionalEquityWA].[All]" allUniqueName="[Portfolio Metrics].[RegionalEquityWA].[All]" dimensionUniqueName="[Portfolio Metrics]" displayFolder="" count="0" unbalanced="0" hidden="1"/>
    <cacheHierarchy uniqueName="[Portfolio Metrics].[RiskApproach]" caption="RiskApproach" attribute="1" defaultMemberUniqueName="[Portfolio Metrics].[RiskApproach].[All]" allUniqueName="[Portfolio Metrics].[RiskApproach].[All]" dimensionUniqueName="[Portfolio Metrics]" displayFolder="" count="0" unbalanced="0" hidden="1"/>
    <cacheHierarchy uniqueName="[Portfolio Metrics].[RiskCE]" caption="RiskCE" attribute="1" defaultMemberUniqueName="[Portfolio Metrics].[RiskCE].[All]" allUniqueName="[Portfolio Metrics].[RiskCE].[All]" dimensionUniqueName="[Portfolio Metrics]" displayFolder="" count="0" unbalanced="0" hidden="1"/>
    <cacheHierarchy uniqueName="[Portfolio Metrics].[RiskColumnCalc]" caption="RiskColumnCalc" attribute="1" defaultMemberUniqueName="[Portfolio Metrics].[RiskColumnCalc].[All]" allUniqueName="[Portfolio Metrics].[RiskColumnCalc].[All]" dimensionUniqueName="[Portfolio Metrics]" displayFolder="" count="0" unbalanced="0" hidden="1"/>
    <cacheHierarchy uniqueName="[Portfolio Metrics].[RiskLateSavings]" caption="RiskLateSavings" attribute="1" defaultMemberUniqueName="[Portfolio Metrics].[RiskLateSavings].[All]" allUniqueName="[Portfolio Metrics].[RiskLateSavings].[All]" dimensionUniqueName="[Portfolio Metrics]" displayFolder="" count="0" unbalanced="0" hidden="1"/>
    <cacheHierarchy uniqueName="[Portfolio Metrics].[RiskMeasurement]" caption="RiskMeasurement" attribute="1" defaultMemberUniqueName="[Portfolio Metrics].[RiskMeasurement].[All]" allUniqueName="[Portfolio Metrics].[RiskMeasurement].[All]" dimensionUniqueName="[Portfolio Metrics]" displayFolder="" count="0" unbalanced="0" hidden="1"/>
    <cacheHierarchy uniqueName="[Portfolio Metrics].[RiskTech]" caption="RiskTech" attribute="1" defaultMemberUniqueName="[Portfolio Metrics].[RiskTech].[All]" allUniqueName="[Portfolio Metrics].[RiskTech].[All]" dimensionUniqueName="[Portfolio Metrics]" displayFolder="" count="0" unbalanced="0" hidden="1"/>
    <cacheHierarchy uniqueName="[Portfolio Metrics].[SnapshotKey]" caption="SnapshotKey" attribute="1" defaultMemberUniqueName="[Portfolio Metrics].[SnapshotKey].[All]" allUniqueName="[Portfolio Metrics].[SnapshotKey].[All]" dimensionUniqueName="[Portfolio Metrics]" displayFolder="" count="0" unbalanced="0" hidden="1"/>
    <cacheHierarchy uniqueName="[Savings].[AceModelVersionKey]" caption="AceModelVersionKey" attribute="1" defaultMemberUniqueName="[Savings].[AceModelVersionKey].[All]" allUniqueName="[Savings].[AceModelVersionKey].[All]" dimensionUniqueName="[Savings]" displayFolder="" count="0" unbalanced="0" hidden="1"/>
    <cacheHierarchy uniqueName="[Savings].[Baseline_Units_6thPP]" caption="Baseline_Units_6thPP" attribute="1" defaultMemberUniqueName="[Savings].[Baseline_Units_6thPP].[All]" allUniqueName="[Savings].[Baseline_Units_6thPP].[All]" dimensionUniqueName="[Savings]" displayFolder="" count="0" unbalanced="0" hidden="1"/>
    <cacheHierarchy uniqueName="[Savings].[Baseline_Units_7thPP]" caption="Baseline_Units_7thPP" attribute="1" defaultMemberUniqueName="[Savings].[Baseline_Units_7thPP].[All]" allUniqueName="[Savings].[Baseline_Units_7thPP].[All]" dimensionUniqueName="[Savings]" displayFolder="" count="0" unbalanced="0" hidden="1"/>
    <cacheHierarchy uniqueName="[Savings].[Baseline_Units_NEEA]" caption="Baseline_Units_NEEA" attribute="1" defaultMemberUniqueName="[Savings].[Baseline_Units_NEEA].[All]" allUniqueName="[Savings].[Baseline_Units_NEEA].[All]" dimensionUniqueName="[Savings]" displayFolder="" count="0" unbalanced="0" hidden="1"/>
    <cacheHierarchy uniqueName="[Savings].[BaselineSavings]" caption="BaselineSavings" attribute="1" defaultMemberUniqueName="[Savings].[BaselineSavings].[All]" allUniqueName="[Savings].[BaselineSavings].[All]" dimensionUniqueName="[Savings]" displayFolder="" count="0" unbalanced="0" hidden="1"/>
    <cacheHierarchy uniqueName="[Savings].[BaselineSavings6thPowerPlan]" caption="BaselineSavings6thPowerPlan" attribute="1" defaultMemberUniqueName="[Savings].[BaselineSavings6thPowerPlan].[All]" allUniqueName="[Savings].[BaselineSavings6thPowerPlan].[All]" dimensionUniqueName="[Savings]" displayFolder="" count="0" unbalanced="0" hidden="1"/>
    <cacheHierarchy uniqueName="[Savings].[BaselineSavings6thPowerPlanAdjusted]" caption="BaselineSavings6thPowerPlanAdjusted" attribute="1" defaultMemberUniqueName="[Savings].[BaselineSavings6thPowerPlanAdjusted].[All]" allUniqueName="[Savings].[BaselineSavings6thPowerPlanAdjusted].[All]" dimensionUniqueName="[Savings]" displayFolder="" count="0" unbalanced="0" hidden="1"/>
    <cacheHierarchy uniqueName="[Savings].[BaselineSavings6thPowerPlanOriginal]" caption="BaselineSavings6thPowerPlanOriginal" attribute="1" defaultMemberUniqueName="[Savings].[BaselineSavings6thPowerPlanOriginal].[All]" allUniqueName="[Savings].[BaselineSavings6thPowerPlanOriginal].[All]" dimensionUniqueName="[Savings]" displayFolder="" count="0" unbalanced="0" hidden="1"/>
    <cacheHierarchy uniqueName="[Savings].[BaselineSavings7thPowerPlan]" caption="BaselineSavings7thPowerPlan" attribute="1" defaultMemberUniqueName="[Savings].[BaselineSavings7thPowerPlan].[All]" allUniqueName="[Savings].[BaselineSavings7thPowerPlan].[All]" dimensionUniqueName="[Savings]" displayFolder="" count="0" unbalanced="0" hidden="1"/>
    <cacheHierarchy uniqueName="[Savings].[CalendarYearKey]" caption="CalendarYearKey" attribute="1" defaultMemberUniqueName="[Savings].[CalendarYearKey].[All]" allUniqueName="[Savings].[CalendarYearKey].[All]" dimensionUniqueName="[Savings]" displayFolder="" count="0" unbalanced="0" hidden="1"/>
    <cacheHierarchy uniqueName="[Savings].[DateKey]" caption="DateKey" attribute="1" defaultMemberUniqueName="[Savings].[DateKey].[All]" allUniqueName="[Savings].[DateKey].[All]" dimensionUniqueName="[Savings]" displayFolder="" count="0" unbalanced="0" hidden="1"/>
    <cacheHierarchy uniqueName="[Savings].[FlagKey]" caption="FlagKey" attribute="1" defaultMemberUniqueName="[Savings].[FlagKey].[All]" allUniqueName="[Savings].[FlagKey].[All]" dimensionUniqueName="[Savings]" displayFolder="" count="0" unbalanced="0" hidden="1"/>
    <cacheHierarchy uniqueName="[Savings].[FundingCycleKey]" caption="FundingCycleKey" attribute="1" defaultMemberUniqueName="[Savings].[FundingCycleKey].[All]" allUniqueName="[Savings].[FundingCycleKey].[All]" dimensionUniqueName="[Savings]" displayFolder="" count="0" unbalanced="0" hidden="1"/>
    <cacheHierarchy uniqueName="[Savings].[InitiativeKey]" caption="InitiativeKey" attribute="1" defaultMemberUniqueName="[Savings].[InitiativeKey].[All]" allUniqueName="[Savings].[InitiativeKey].[All]" dimensionUniqueName="[Savings]" displayFolder="" count="0" unbalanced="0" hidden="1"/>
    <cacheHierarchy uniqueName="[Savings].[Local_Programs_Units_6thPP]" caption="Local_Programs_Units_6thPP" attribute="1" defaultMemberUniqueName="[Savings].[Local_Programs_Units_6thPP].[All]" allUniqueName="[Savings].[Local_Programs_Units_6thPP].[All]" dimensionUniqueName="[Savings]" displayFolder="" count="0" unbalanced="0" hidden="1"/>
    <cacheHierarchy uniqueName="[Savings].[Local_Programs_Units_7thPP]" caption="Local_Programs_Units_7thPP" attribute="1" defaultMemberUniqueName="[Savings].[Local_Programs_Units_7thPP].[All]" allUniqueName="[Savings].[Local_Programs_Units_7thPP].[All]" dimensionUniqueName="[Savings]" displayFolder="" count="0" unbalanced="0" hidden="1"/>
    <cacheHierarchy uniqueName="[Savings].[Local_Programs_Units_NEEA]" caption="Local_Programs_Units_NEEA" attribute="1" defaultMemberUniqueName="[Savings].[Local_Programs_Units_NEEA].[All]" allUniqueName="[Savings].[Local_Programs_Units_NEEA].[All]" dimensionUniqueName="[Savings]" displayFolder="" count="0" unbalanced="0" hidden="1"/>
    <cacheHierarchy uniqueName="[Savings].[LocalProgramSavings]" caption="LocalProgramSavings" attribute="1" defaultMemberUniqueName="[Savings].[LocalProgramSavings].[All]" allUniqueName="[Savings].[LocalProgramSavings].[All]" dimensionUniqueName="[Savings]" displayFolder="" count="0" unbalanced="0" hidden="1"/>
    <cacheHierarchy uniqueName="[Savings].[LocalProgramSavings6thPowerPlan]" caption="LocalProgramSavings6thPowerPlan" attribute="1" defaultMemberUniqueName="[Savings].[LocalProgramSavings6thPowerPlan].[All]" allUniqueName="[Savings].[LocalProgramSavings6thPowerPlan].[All]" dimensionUniqueName="[Savings]" displayFolder="" count="0" unbalanced="0" hidden="1"/>
    <cacheHierarchy uniqueName="[Savings].[LocalProgramSavings6thPowerPlanAdjusted]" caption="LocalProgramSavings6thPowerPlanAdjusted" attribute="1" defaultMemberUniqueName="[Savings].[LocalProgramSavings6thPowerPlanAdjusted].[All]" allUniqueName="[Savings].[LocalProgramSavings6thPowerPlanAdjusted].[All]" dimensionUniqueName="[Savings]" displayFolder="" count="0" unbalanced="0" hidden="1"/>
    <cacheHierarchy uniqueName="[Savings].[LocalProgramSavings6thPowerPlanOriginal]" caption="LocalProgramSavings6thPowerPlanOriginal" attribute="1" defaultMemberUniqueName="[Savings].[LocalProgramSavings6thPowerPlanOriginal].[All]" allUniqueName="[Savings].[LocalProgramSavings6thPowerPlanOriginal].[All]" dimensionUniqueName="[Savings]" displayFolder="" count="0" unbalanced="0" hidden="1"/>
    <cacheHierarchy uniqueName="[Savings].[LocalProgramSavings7thPowerPlan]" caption="LocalProgramSavings7thPowerPlan" attribute="1" defaultMemberUniqueName="[Savings].[LocalProgramSavings7thPowerPlan].[All]" allUniqueName="[Savings].[LocalProgramSavings7thPowerPlan].[All]" dimensionUniqueName="[Savings]" displayFolder="" count="0" unbalanced="0" hidden="1"/>
    <cacheHierarchy uniqueName="[Savings].[MeasureKey]" caption="MeasureKey" attribute="1" defaultMemberUniqueName="[Savings].[MeasureKey].[All]" allUniqueName="[Savings].[MeasureKey].[All]" dimensionUniqueName="[Savings]" displayFolder="" count="0" unbalanced="0" hidden="1"/>
    <cacheHierarchy uniqueName="[Savings].[NetMarketEffects]" caption="NetMarketEffects" attribute="1" defaultMemberUniqueName="[Savings].[NetMarketEffects].[All]" allUniqueName="[Savings].[NetMarketEffects].[All]" dimensionUniqueName="[Savings]" displayFolder="" count="0" unbalanced="0" hidden="1"/>
    <cacheHierarchy uniqueName="[Savings].[Regional_Market_Units]" caption="Regional_Market_Units" attribute="1" defaultMemberUniqueName="[Savings].[Regional_Market_Units].[All]" allUniqueName="[Savings].[Regional_Market_Units].[All]" dimensionUniqueName="[Savings]" displayFolder="" count="0" unbalanced="0" hidden="1"/>
    <cacheHierarchy uniqueName="[Savings].[Regional_Market_Units_6thPP]" caption="Regional_Market_Units_6thPP" attribute="1" defaultMemberUniqueName="[Savings].[Regional_Market_Units_6thPP].[All]" allUniqueName="[Savings].[Regional_Market_Units_6thPP].[All]" dimensionUniqueName="[Savings]" displayFolder="" count="0" unbalanced="0" hidden="1"/>
    <cacheHierarchy uniqueName="[Savings].[Regional_Market_Units_7thPP]" caption="Regional_Market_Units_7thPP" attribute="1" defaultMemberUniqueName="[Savings].[Regional_Market_Units_7thPP].[All]" allUniqueName="[Savings].[Regional_Market_Units_7thPP].[All]" dimensionUniqueName="[Savings]" displayFolder="" count="0" unbalanced="0" hidden="1"/>
    <cacheHierarchy uniqueName="[Savings].[RemainingSavings6thPowerPlan]" caption="RemainingSavings6thPowerPlan" attribute="1" defaultMemberUniqueName="[Savings].[RemainingSavings6thPowerPlan].[All]" allUniqueName="[Savings].[RemainingSavings6thPowerPlan].[All]" dimensionUniqueName="[Savings]" displayFolder="" count="0" unbalanced="0" hidden="1"/>
    <cacheHierarchy uniqueName="[Savings].[RemainingSavings6thPowerPlanAdjusted]" caption="RemainingSavings6thPowerPlanAdjusted" attribute="1" defaultMemberUniqueName="[Savings].[RemainingSavings6thPowerPlanAdjusted].[All]" allUniqueName="[Savings].[RemainingSavings6thPowerPlanAdjusted].[All]" dimensionUniqueName="[Savings]" displayFolder="" count="0" unbalanced="0" hidden="1"/>
    <cacheHierarchy uniqueName="[Savings].[RemainingSavings6thPowerPlanOriginal]" caption="RemainingSavings6thPowerPlanOriginal" attribute="1" defaultMemberUniqueName="[Savings].[RemainingSavings6thPowerPlanOriginal].[All]" allUniqueName="[Savings].[RemainingSavings6thPowerPlanOriginal].[All]" dimensionUniqueName="[Savings]" displayFolder="" count="0" unbalanced="0" hidden="1"/>
    <cacheHierarchy uniqueName="[Savings].[RemainingSavings7thPowerPlan]" caption="RemainingSavings7thPowerPlan" attribute="1" defaultMemberUniqueName="[Savings].[RemainingSavings7thPowerPlan].[All]" allUniqueName="[Savings].[RemainingSavings7thPowerPlan].[All]" dimensionUniqueName="[Savings]" displayFolder="" count="0" unbalanced="0" hidden="1"/>
    <cacheHierarchy uniqueName="[Savings].[ReportableLocalProgramSavings]" caption="ReportableLocalProgramSavings" attribute="1" defaultMemberUniqueName="[Savings].[ReportableLocalProgramSavings].[All]" allUniqueName="[Savings].[ReportableLocalProgramSavings].[All]" dimensionUniqueName="[Savings]" displayFolder="" count="0" unbalanced="0" hidden="1"/>
    <cacheHierarchy uniqueName="[Savings].[ReportableLocalProgramSavings6thPowerPlan]" caption="ReportableLocalProgramSavings6thPowerPlan" attribute="1" defaultMemberUniqueName="[Savings].[ReportableLocalProgramSavings6thPowerPlan].[All]" allUniqueName="[Savings].[ReportableLocalProgramSavings6thPowerPlan].[All]" dimensionUniqueName="[Savings]" displayFolder="" count="0" unbalanced="0" hidden="1"/>
    <cacheHierarchy uniqueName="[Savings].[ReportableLocalProgramSavings6thPowerPlanAdjusted]" caption="ReportableLocalProgramSavings6thPowerPlanAdjusted" attribute="1" defaultMemberUniqueName="[Savings].[ReportableLocalProgramSavings6thPowerPlanAdjusted].[All]" allUniqueName="[Savings].[ReportableLocalProgramSavings6thPowerPlanAdjusted].[All]" dimensionUniqueName="[Savings]" displayFolder="" count="0" unbalanced="0" hidden="1"/>
    <cacheHierarchy uniqueName="[Savings].[ReportableLocalProgramSavings6thPowerPlanOriginal]" caption="ReportableLocalProgramSavings6thPowerPlanOriginal" attribute="1" defaultMemberUniqueName="[Savings].[ReportableLocalProgramSavings6thPowerPlanOriginal].[All]" allUniqueName="[Savings].[ReportableLocalProgramSavings6thPowerPlanOriginal].[All]" dimensionUniqueName="[Savings]" displayFolder="" count="0" unbalanced="0" hidden="1"/>
    <cacheHierarchy uniqueName="[Savings].[ReportableLocalProgramSavings7thPowerPlan]" caption="ReportableLocalProgramSavings7thPowerPlan" attribute="1" defaultMemberUniqueName="[Savings].[ReportableLocalProgramSavings7thPowerPlan].[All]" allUniqueName="[Savings].[ReportableLocalProgramSavings7thPowerPlan].[All]" dimensionUniqueName="[Savings]" displayFolder="" count="0" unbalanced="0" hidden="1"/>
    <cacheHierarchy uniqueName="[Savings].[ReportableNetMarketEffects]" caption="ReportableNetMarketEffects" attribute="1" defaultMemberUniqueName="[Savings].[ReportableNetMarketEffects].[All]" allUniqueName="[Savings].[ReportableNetMarketEffects].[All]" dimensionUniqueName="[Savings]" displayFolder="" count="0" unbalanced="0" hidden="1"/>
    <cacheHierarchy uniqueName="[Savings].[ReportableRemainingSavings6thPowerPlan]" caption="ReportableRemainingSavings6thPowerPlan" attribute="1" defaultMemberUniqueName="[Savings].[ReportableRemainingSavings6thPowerPlan].[All]" allUniqueName="[Savings].[ReportableRemainingSavings6thPowerPlan].[All]" dimensionUniqueName="[Savings]" displayFolder="" count="0" unbalanced="0" hidden="1"/>
    <cacheHierarchy uniqueName="[Savings].[ReportableRemainingSavings6thPowerPlanAdjusted]" caption="ReportableRemainingSavings6thPowerPlanAdjusted" attribute="1" defaultMemberUniqueName="[Savings].[ReportableRemainingSavings6thPowerPlanAdjusted].[All]" allUniqueName="[Savings].[ReportableRemainingSavings6thPowerPlanAdjusted].[All]" dimensionUniqueName="[Savings]" displayFolder="" count="0" unbalanced="0" hidden="1"/>
    <cacheHierarchy uniqueName="[Savings].[ReportableRemainingSavings6thPowerPlanOriginal]" caption="ReportableRemainingSavings6thPowerPlanOriginal" attribute="1" defaultMemberUniqueName="[Savings].[ReportableRemainingSavings6thPowerPlanOriginal].[All]" allUniqueName="[Savings].[ReportableRemainingSavings6thPowerPlanOriginal].[All]" dimensionUniqueName="[Savings]" displayFolder="" count="0" unbalanced="0" hidden="1"/>
    <cacheHierarchy uniqueName="[Savings].[ReportableRemainingSavings7thPowerPlan]" caption="ReportableRemainingSavings7thPowerPlan" attribute="1" defaultMemberUniqueName="[Savings].[ReportableRemainingSavings7thPowerPlan].[All]" allUniqueName="[Savings].[ReportableRemainingSavings7thPowerPlan].[All]" dimensionUniqueName="[Savings]" displayFolder="" count="0" unbalanced="0" hidden="1"/>
    <cacheHierarchy uniqueName="[Savings].[RetirementDetailLevel]" caption="RetirementDetailLevel" attribute="1" defaultMemberUniqueName="[Savings].[RetirementDetailLevel].[All]" allUniqueName="[Savings].[RetirementDetailLevel].[All]" dimensionUniqueName="[Savings]" displayFolder="" count="0" unbalanced="0" hidden="1"/>
    <cacheHierarchy uniqueName="[Savings].[Retirements_6thPP_Units]" caption="Retirements_6thPP_Units" attribute="1" defaultMemberUniqueName="[Savings].[Retirements_6thPP_Units].[All]" allUniqueName="[Savings].[Retirements_6thPP_Units].[All]" dimensionUniqueName="[Savings]" displayFolder="" count="0" unbalanced="0" hidden="1"/>
    <cacheHierarchy uniqueName="[Savings].[Retirements_7thPP_Units]" caption="Retirements_7thPP_Units" attribute="1" defaultMemberUniqueName="[Savings].[Retirements_7thPP_Units].[All]" allUniqueName="[Savings].[Retirements_7thPP_Units].[All]" dimensionUniqueName="[Savings]" displayFolder="" count="0" unbalanced="0" hidden="1"/>
    <cacheHierarchy uniqueName="[Savings].[Retirements_Baseline_7thPP_Units]" caption="Retirements_Baseline_7thPP_Units" attribute="1" defaultMemberUniqueName="[Savings].[Retirements_Baseline_7thPP_Units].[All]" allUniqueName="[Savings].[Retirements_Baseline_7thPP_Units].[All]" dimensionUniqueName="[Savings]" displayFolder="" count="0" unbalanced="0" hidden="1"/>
    <cacheHierarchy uniqueName="[Savings].[Retirements_Baseline_Units]" caption="Retirements_Baseline_Units" attribute="1" defaultMemberUniqueName="[Savings].[Retirements_Baseline_Units].[All]" allUniqueName="[Savings].[Retirements_Baseline_Units].[All]" dimensionUniqueName="[Savings]" displayFolder="" count="0" unbalanced="0" hidden="1"/>
    <cacheHierarchy uniqueName="[Savings].[Retirements_Gross_Units_NEEA]" caption="Retirements_Gross_Units_NEEA" attribute="1" defaultMemberUniqueName="[Savings].[Retirements_Gross_Units_NEEA].[All]" allUniqueName="[Savings].[Retirements_Gross_Units_NEEA].[All]" dimensionUniqueName="[Savings]" displayFolder="" count="0" unbalanced="0" hidden="1"/>
    <cacheHierarchy uniqueName="[Savings].[Retirements_Local_Programs_6thPP_Units]" caption="Retirements_Local_Programs_6thPP_Units" attribute="1" defaultMemberUniqueName="[Savings].[Retirements_Local_Programs_6thPP_Units].[All]" allUniqueName="[Savings].[Retirements_Local_Programs_6thPP_Units].[All]" dimensionUniqueName="[Savings]" displayFolder="" count="0" unbalanced="0" hidden="1"/>
    <cacheHierarchy uniqueName="[Savings].[Retirements_Local_Programs_7thPP_Units]" caption="Retirements_Local_Programs_7thPP_Units" attribute="1" defaultMemberUniqueName="[Savings].[Retirements_Local_Programs_7thPP_Units].[All]" allUniqueName="[Savings].[Retirements_Local_Programs_7thPP_Units].[All]" dimensionUniqueName="[Savings]" displayFolder="" count="0" unbalanced="0" hidden="1"/>
    <cacheHierarchy uniqueName="[Savings].[Retirements_Local_Programs_Units]" caption="Retirements_Local_Programs_Units" attribute="1" defaultMemberUniqueName="[Savings].[Retirements_Local_Programs_Units].[All]" allUniqueName="[Savings].[Retirements_Local_Programs_Units].[All]" dimensionUniqueName="[Savings]" displayFolder="" count="0" unbalanced="0" hidden="1"/>
    <cacheHierarchy uniqueName="[Savings].[Savings_Rate_6thPP]" caption="Savings_Rate_6thPP" attribute="1" defaultMemberUniqueName="[Savings].[Savings_Rate_6thPP].[All]" allUniqueName="[Savings].[Savings_Rate_6thPP].[All]" dimensionUniqueName="[Savings]" displayFolder="" count="0" unbalanced="0" hidden="1"/>
    <cacheHierarchy uniqueName="[Savings].[Savings_Rate_6thPPAdjusted]" caption="Savings_Rate_6thPPAdjusted" attribute="1" defaultMemberUniqueName="[Savings].[Savings_Rate_6thPPAdjusted].[All]" allUniqueName="[Savings].[Savings_Rate_6thPPAdjusted].[All]" dimensionUniqueName="[Savings]" displayFolder="" count="0" unbalanced="0" hidden="1"/>
    <cacheHierarchy uniqueName="[Savings].[Savings_Rate_6thPPOriginal]" caption="Savings_Rate_6thPPOriginal" attribute="1" defaultMemberUniqueName="[Savings].[Savings_Rate_6thPPOriginal].[All]" allUniqueName="[Savings].[Savings_Rate_6thPPOriginal].[All]" dimensionUniqueName="[Savings]" displayFolder="" count="0" unbalanced="0" hidden="1"/>
    <cacheHierarchy uniqueName="[Savings].[Savings_Rate_7thPP]" caption="Savings_Rate_7thPP" attribute="1" defaultMemberUniqueName="[Savings].[Savings_Rate_7thPP].[All]" allUniqueName="[Savings].[Savings_Rate_7thPP].[All]" dimensionUniqueName="[Savings]" displayFolder="" count="0" unbalanced="0" hidden="1"/>
    <cacheHierarchy uniqueName="[Savings].[Savings_Rate_NEEA]" caption="Savings_Rate_NEEA" attribute="1" defaultMemberUniqueName="[Savings].[Savings_Rate_NEEA].[All]" allUniqueName="[Savings].[Savings_Rate_NEEA].[All]" dimensionUniqueName="[Savings]" displayFolder="" count="0" unbalanced="0" hidden="1"/>
    <cacheHierarchy uniqueName="[Savings].[SnapshotKey]" caption="SnapshotKey" attribute="1" defaultMemberUniqueName="[Savings].[SnapshotKey].[All]" allUniqueName="[Savings].[SnapshotKey].[All]" dimensionUniqueName="[Savings]" displayFolder="" count="0" unbalanced="0" hidden="1"/>
    <cacheHierarchy uniqueName="[Savings].[TotalRegionalSavings]" caption="TotalRegionalSavings" attribute="1" defaultMemberUniqueName="[Savings].[TotalRegionalSavings].[All]" allUniqueName="[Savings].[TotalRegionalSavings].[All]" dimensionUniqueName="[Savings]" displayFolder="" count="0" unbalanced="0" hidden="1"/>
    <cacheHierarchy uniqueName="[Savings].[TotalRegionalSavings6thPowerPlan]" caption="TotalRegionalSavings6thPowerPlan" attribute="1" defaultMemberUniqueName="[Savings].[TotalRegionalSavings6thPowerPlan].[All]" allUniqueName="[Savings].[TotalRegionalSavings6thPowerPlan].[All]" dimensionUniqueName="[Savings]" displayFolder="" count="0" unbalanced="0" hidden="1"/>
    <cacheHierarchy uniqueName="[Savings].[TotalRegionalSavings6thPowerPlanAdjusted]" caption="TotalRegionalSavings6thPowerPlanAdjusted" attribute="1" defaultMemberUniqueName="[Savings].[TotalRegionalSavings6thPowerPlanAdjusted].[All]" allUniqueName="[Savings].[TotalRegionalSavings6thPowerPlanAdjusted].[All]" dimensionUniqueName="[Savings]" displayFolder="" count="0" unbalanced="0" hidden="1"/>
    <cacheHierarchy uniqueName="[Savings].[TotalRegionalSavings6thPowerPlanOriginal]" caption="TotalRegionalSavings6thPowerPlanOriginal" attribute="1" defaultMemberUniqueName="[Savings].[TotalRegionalSavings6thPowerPlanOriginal].[All]" allUniqueName="[Savings].[TotalRegionalSavings6thPowerPlanOriginal].[All]" dimensionUniqueName="[Savings]" displayFolder="" count="0" unbalanced="0" hidden="1"/>
    <cacheHierarchy uniqueName="[Savings].[TotalRegionalSavings7thPowerPlan]" caption="TotalRegionalSavings7thPowerPlan" attribute="1" defaultMemberUniqueName="[Savings].[TotalRegionalSavings7thPowerPlan].[All]" allUniqueName="[Savings].[TotalRegionalSavings7thPowerPlan].[All]" dimensionUniqueName="[Savings]" displayFolder="" count="0" unbalanced="0" hidden="1"/>
    <cacheHierarchy uniqueName="[Savings].[UnitOfMeasureKey]" caption="UnitOfMeasureKey" attribute="1" defaultMemberUniqueName="[Savings].[UnitOfMeasureKey].[All]" allUniqueName="[Savings].[UnitOfMeasureKey].[All]" dimensionUniqueName="[Savings]" displayFolder="" count="0" unbalanced="0" hidden="1"/>
    <cacheHierarchy uniqueName="[Savings Rate].[AceModelVersionKey]" caption="AceModelVersionKey" attribute="1" defaultMemberUniqueName="[Savings Rate].[AceModelVersionKey].[All]" allUniqueName="[Savings Rate].[AceModelVersionKey].[All]" dimensionUniqueName="[Savings Rate]" displayFolder="" count="0" unbalanced="0" hidden="1"/>
    <cacheHierarchy uniqueName="[Savings Rate].[CalendarYearKey]" caption="CalendarYearKey" attribute="1" defaultMemberUniqueName="[Savings Rate].[CalendarYearKey].[All]" allUniqueName="[Savings Rate].[CalendarYearKey].[All]" dimensionUniqueName="[Savings Rate]" displayFolder="" count="0" unbalanced="0" hidden="1"/>
    <cacheHierarchy uniqueName="[Savings Rate].[DateKey]" caption="DateKey" attribute="1" defaultMemberUniqueName="[Savings Rate].[DateKey].[All]" allUniqueName="[Savings Rate].[DateKey].[All]" dimensionUniqueName="[Savings Rate]" displayFolder="" count="0" unbalanced="0" hidden="1"/>
    <cacheHierarchy uniqueName="[Savings Rate].[InitiativeKey]" caption="InitiativeKey" attribute="1" defaultMemberUniqueName="[Savings Rate].[InitiativeKey].[All]" allUniqueName="[Savings Rate].[InitiativeKey].[All]" dimensionUniqueName="[Savings Rate]" displayFolder="" count="0" unbalanced="0" hidden="1"/>
    <cacheHierarchy uniqueName="[Savings Rate].[MeasureKey]" caption="MeasureKey" attribute="1" defaultMemberUniqueName="[Savings Rate].[MeasureKey].[All]" allUniqueName="[Savings Rate].[MeasureKey].[All]" dimensionUniqueName="[Savings Rate]" displayFolder="" count="0" unbalanced="0" hidden="1"/>
    <cacheHierarchy uniqueName="[Savings Rate].[Savings_Rate_6thPP]" caption="Savings_Rate_6thPP" attribute="1" defaultMemberUniqueName="[Savings Rate].[Savings_Rate_6thPP].[All]" allUniqueName="[Savings Rate].[Savings_Rate_6thPP].[All]" dimensionUniqueName="[Savings Rate]" displayFolder="" count="0" unbalanced="0" hidden="1"/>
    <cacheHierarchy uniqueName="[Savings Rate].[Savings_Rate_6thPPAdjusted]" caption="Savings_Rate_6thPPAdjusted" attribute="1" defaultMemberUniqueName="[Savings Rate].[Savings_Rate_6thPPAdjusted].[All]" allUniqueName="[Savings Rate].[Savings_Rate_6thPPAdjusted].[All]" dimensionUniqueName="[Savings Rate]" displayFolder="" count="0" unbalanced="0" hidden="1"/>
    <cacheHierarchy uniqueName="[Savings Rate].[Savings_Rate_6thPPOriginal]" caption="Savings_Rate_6thPPOriginal" attribute="1" defaultMemberUniqueName="[Savings Rate].[Savings_Rate_6thPPOriginal].[All]" allUniqueName="[Savings Rate].[Savings_Rate_6thPPOriginal].[All]" dimensionUniqueName="[Savings Rate]" displayFolder="" count="0" unbalanced="0" hidden="1"/>
    <cacheHierarchy uniqueName="[Savings Rate].[Savings_Rate_7thPP]" caption="Savings_Rate_7thPP" attribute="1" defaultMemberUniqueName="[Savings Rate].[Savings_Rate_7thPP].[All]" allUniqueName="[Savings Rate].[Savings_Rate_7thPP].[All]" dimensionUniqueName="[Savings Rate]" displayFolder="" count="0" unbalanced="0" hidden="1"/>
    <cacheHierarchy uniqueName="[Savings Rate].[Savings_Rate_NEEA]" caption="Savings_Rate_NEEA" attribute="1" defaultMemberUniqueName="[Savings Rate].[Savings_Rate_NEEA].[All]" allUniqueName="[Savings Rate].[Savings_Rate_NEEA].[All]" dimensionUniqueName="[Savings Rate]" displayFolder="" count="0" unbalanced="0" hidden="1"/>
    <cacheHierarchy uniqueName="[Savings Rate].[SnapshotKey]" caption="SnapshotKey" attribute="1" defaultMemberUniqueName="[Savings Rate].[SnapshotKey].[All]" allUniqueName="[Savings Rate].[SnapshotKey].[All]" dimensionUniqueName="[Savings Rate]" displayFolder="" count="0" unbalanced="0" hidden="1"/>
    <cacheHierarchy uniqueName="[Savings Rate].[UnitOfMeasureKey]" caption="UnitOfMeasureKey" attribute="1" defaultMemberUniqueName="[Savings Rate].[UnitOfMeasureKey].[All]" allUniqueName="[Savings Rate].[UnitOfMeasureKey].[All]" dimensionUniqueName="[Savings Rate]" displayFolder="" count="0" unbalanced="0" hidden="1"/>
    <cacheHierarchy uniqueName="[Snapshot].[DateModified]" caption="DateModified" attribute="1" defaultMemberUniqueName="[Snapshot].[DateModified].[All]" allUniqueName="[Snapshot].[DateModified].[All]" dimensionUniqueName="[Snapshot]" displayFolder="" count="0" unbalanced="0" hidden="1"/>
    <cacheHierarchy uniqueName="[Snapshot].[LineageId]" caption="LineageId" attribute="1" defaultMemberUniqueName="[Snapshot].[LineageId].[All]" allUniqueName="[Snapshot].[LineageId].[All]" dimensionUniqueName="[Snapshot]" displayFolder="" count="0" unbalanced="0" hidden="1"/>
    <cacheHierarchy uniqueName="[Snapshot].[SnapshotKey]" caption="SnapshotKey" attribute="1" defaultMemberUniqueName="[Snapshot].[SnapshotKey].[All]" allUniqueName="[Snapshot].[SnapshotKey].[All]" dimensionUniqueName="[Snapshot]" displayFolder="" count="0" unbalanced="0" hidden="1"/>
    <cacheHierarchy uniqueName="[Snapshot].[SortOrder]" caption="SortOrder" attribute="1" defaultMemberUniqueName="[Snapshot].[SortOrder].[All]" allUniqueName="[Snapshot].[SortOrder].[All]" dimensionUniqueName="[Snapshot]" displayFolder="" count="0" unbalanced="0" hidden="1"/>
    <cacheHierarchy uniqueName="[Stakeholder Organization].[StakeholderOrganizationKey]" caption="StakeholderOrganizationKey" attribute="1" defaultMemberUniqueName="[Stakeholder Organization].[StakeholderOrganizationKey].[All]" allUniqueName="[Stakeholder Organization].[StakeholderOrganizationKey].[All]" dimensionUniqueName="[Stakeholder Organization]" displayFolder="" count="0" unbalanced="0" hidden="1"/>
    <cacheHierarchy uniqueName="[Stakeholder Report].[AllocationMethodologyKey]" caption="AllocationMethodologyKey" attribute="1" defaultMemberUniqueName="[Stakeholder Report].[AllocationMethodologyKey].[All]" allUniqueName="[Stakeholder Report].[AllocationMethodologyKey].[All]" dimensionUniqueName="[Stakeholder Report]" displayFolder="" count="0" unbalanced="0" hidden="1"/>
    <cacheHierarchy uniqueName="[Stakeholder Report].[AllocationShare]" caption="AllocationShare" attribute="1" defaultMemberUniqueName="[Stakeholder Report].[AllocationShare].[All]" allUniqueName="[Stakeholder Report].[AllocationShare].[All]" dimensionUniqueName="[Stakeholder Report]" displayFolder="" count="0" unbalanced="0" hidden="1"/>
    <cacheHierarchy uniqueName="[Stakeholder Report].[BaselineUnits]" caption="BaselineUnits" attribute="1" defaultMemberUniqueName="[Stakeholder Report].[BaselineUnits].[All]" allUniqueName="[Stakeholder Report].[BaselineUnits].[All]" dimensionUniqueName="[Stakeholder Report]" displayFolder="" count="0" unbalanced="0" hidden="1"/>
    <cacheHierarchy uniqueName="[Stakeholder Report].[CalculationMethodologyKey]" caption="CalculationMethodologyKey" attribute="1" defaultMemberUniqueName="[Stakeholder Report].[CalculationMethodologyKey].[All]" allUniqueName="[Stakeholder Report].[CalculationMethodologyKey].[All]" dimensionUniqueName="[Stakeholder Report]" displayFolder="" count="0" unbalanced="0" hidden="1"/>
    <cacheHierarchy uniqueName="[Stakeholder Report].[CalendarYearKey]" caption="CalendarYearKey" attribute="1" defaultMemberUniqueName="[Stakeholder Report].[CalendarYearKey].[All]" allUniqueName="[Stakeholder Report].[CalendarYearKey].[All]" dimensionUniqueName="[Stakeholder Report]" displayFolder="" count="0" unbalanced="0" hidden="1"/>
    <cacheHierarchy uniqueName="[Stakeholder Report].[DateKey]" caption="DateKey" attribute="1" defaultMemberUniqueName="[Stakeholder Report].[DateKey].[All]" allUniqueName="[Stakeholder Report].[DateKey].[All]" dimensionUniqueName="[Stakeholder Report]" displayFolder="" count="0" unbalanced="0" hidden="1"/>
    <cacheHierarchy uniqueName="[Stakeholder Report].[InitiativeKey]" caption="InitiativeKey" attribute="1" defaultMemberUniqueName="[Stakeholder Report].[InitiativeKey].[All]" allUniqueName="[Stakeholder Report].[InitiativeKey].[All]" dimensionUniqueName="[Stakeholder Report]" displayFolder="" count="0" unbalanced="0" hidden="1"/>
    <cacheHierarchy uniqueName="[Stakeholder Report].[LocalProgramsUnits]" caption="LocalProgramsUnits" attribute="1" defaultMemberUniqueName="[Stakeholder Report].[LocalProgramsUnits].[All]" allUniqueName="[Stakeholder Report].[LocalProgramsUnits].[All]" dimensionUniqueName="[Stakeholder Report]" displayFolder="" count="0" unbalanced="0" hidden="1"/>
    <cacheHierarchy uniqueName="[Stakeholder Report].[MeasureKey]" caption="MeasureKey" attribute="1" defaultMemberUniqueName="[Stakeholder Report].[MeasureKey].[All]" allUniqueName="[Stakeholder Report].[MeasureKey].[All]" dimensionUniqueName="[Stakeholder Report]" displayFolder="" count="0" unbalanced="0" hidden="1"/>
    <cacheHierarchy uniqueName="[Stakeholder Report].[ProductKey]" caption="ProductKey" attribute="1" defaultMemberUniqueName="[Stakeholder Report].[ProductKey].[All]" allUniqueName="[Stakeholder Report].[ProductKey].[All]" dimensionUniqueName="[Stakeholder Report]" displayFolder="" count="0" unbalanced="0" hidden="1"/>
    <cacheHierarchy uniqueName="[Stakeholder Report].[ReportedSavings]" caption="ReportedSavings" attribute="1" defaultMemberUniqueName="[Stakeholder Report].[ReportedSavings].[All]" allUniqueName="[Stakeholder Report].[ReportedSavings].[All]" dimensionUniqueName="[Stakeholder Report]" displayFolder="" count="0" unbalanced="0" hidden="1"/>
    <cacheHierarchy uniqueName="[Stakeholder Report].[RetirementUnits]" caption="RetirementUnits" attribute="1" defaultMemberUniqueName="[Stakeholder Report].[RetirementUnits].[All]" allUniqueName="[Stakeholder Report].[RetirementUnits].[All]" dimensionUniqueName="[Stakeholder Report]" displayFolder="" count="0" unbalanced="0" hidden="1"/>
    <cacheHierarchy uniqueName="[Stakeholder Report].[SavingsRate]" caption="SavingsRate" attribute="1" defaultMemberUniqueName="[Stakeholder Report].[SavingsRate].[All]" allUniqueName="[Stakeholder Report].[SavingsRate].[All]" dimensionUniqueName="[Stakeholder Report]" displayFolder="" count="0" unbalanced="0" hidden="1"/>
    <cacheHierarchy uniqueName="[Stakeholder Report].[SnapshotKey]" caption="SnapshotKey" attribute="1" defaultMemberUniqueName="[Stakeholder Report].[SnapshotKey].[All]" allUniqueName="[Stakeholder Report].[SnapshotKey].[All]" dimensionUniqueName="[Stakeholder Report]" displayFolder="" count="0" unbalanced="0" hidden="1"/>
    <cacheHierarchy uniqueName="[Stakeholder Report].[StakeholderOrganizationKey]" caption="StakeholderOrganizationKey" attribute="1" defaultMemberUniqueName="[Stakeholder Report].[StakeholderOrganizationKey].[All]" allUniqueName="[Stakeholder Report].[StakeholderOrganizationKey].[All]" dimensionUniqueName="[Stakeholder Report]" displayFolder="" count="0" unbalanced="0" hidden="1"/>
    <cacheHierarchy uniqueName="[Stakeholder Report].[StakeholderReportKey]" caption="StakeholderReportKey" attribute="1" defaultMemberUniqueName="[Stakeholder Report].[StakeholderReportKey].[All]" allUniqueName="[Stakeholder Report].[StakeholderReportKey].[All]" dimensionUniqueName="[Stakeholder Report]" displayFolder="" count="0" unbalanced="0" hidden="1"/>
    <cacheHierarchy uniqueName="[Stakeholder Report].[StateKey]" caption="StateKey" attribute="1" defaultMemberUniqueName="[Stakeholder Report].[StateKey].[All]" allUniqueName="[Stakeholder Report].[StateKey].[All]" dimensionUniqueName="[Stakeholder Report]" displayFolder="" count="0" unbalanced="0" hidden="1"/>
    <cacheHierarchy uniqueName="[Stakeholder Report].[TotalRegionalUnits]" caption="TotalRegionalUnits" attribute="1" defaultMemberUniqueName="[Stakeholder Report].[TotalRegionalUnits].[All]" allUniqueName="[Stakeholder Report].[TotalRegionalUnits].[All]" dimensionUniqueName="[Stakeholder Report]" displayFolder="" count="0" unbalanced="0" hidden="1"/>
    <cacheHierarchy uniqueName="[State].[StateKey]" caption="StateKey" attribute="1" defaultMemberUniqueName="[State].[StateKey].[All]" allUniqueName="[State].[StateKey].[All]" dimensionUniqueName="[State]" displayFolder="" count="0" unbalanced="0" hidden="1"/>
    <cacheHierarchy uniqueName="[Status].[StatusKey]" caption="StatusKey" attribute="1" defaultMemberUniqueName="[Status].[StatusKey].[All]" allUniqueName="[Status].[StatusKey].[All]" dimensionUniqueName="[Status]" displayFolder="" count="0" unbalanced="0" hidden="1"/>
    <cacheHierarchy uniqueName="[Unit Of Measure].[UnitOfMeasureKey]" caption="UnitOfMeasureKey" attribute="1" defaultMemberUniqueName="[Unit Of Measure].[UnitOfMeasureKey].[All]" allUniqueName="[Unit Of Measure].[UnitOfMeasureKey].[All]" dimensionUniqueName="[Unit Of Measure]" displayFolder="" count="0" unbalanced="0" hidden="1"/>
    <cacheHierarchy uniqueName="[Measures].[Market Size Count]" caption="Market Size Count" measure="1" displayFolder="" measureGroup="Market Size" count="0"/>
    <cacheHierarchy uniqueName="[Measures].[Market Size]" caption="Market Size" measure="1" displayFolder="" measureGroup="Market Size" count="0"/>
    <cacheHierarchy uniqueName="[Measures].[Market Stock Size]" caption="Market Stock Size" measure="1" displayFolder="" measureGroup="Market Size" count="0"/>
    <cacheHierarchy uniqueName="[Measures].[Co-Created B/C Ratio]" caption="Co-Created B/C Ratio" measure="1" displayFolder="" measureGroup="Cost Effectiveness" count="0"/>
    <cacheHierarchy uniqueName="[Measures].[TRC B/C Ratio]" caption="TRC B/C Ratio" measure="1" displayFolder="" measureGroup="Cost Effectiveness" count="0"/>
    <cacheHierarchy uniqueName="[Measures].[TRC B/C Ratio w/ Act Credit]" caption="TRC B/C Ratio w/ Act Credit" measure="1" displayFolder="" measureGroup="Cost Effectiveness" count="0"/>
    <cacheHierarchy uniqueName="[Measures].[Co-Created Levelized Cost]" caption="Co-Created Levelized Cost" measure="1" displayFolder="" measureGroup="Cost Effectiveness" count="0"/>
    <cacheHierarchy uniqueName="[Measures].[TRC Levelized Cost]" caption="TRC Levelized Cost" measure="1" displayFolder="" measureGroup="Cost Effectiveness" count="0"/>
    <cacheHierarchy uniqueName="[Measures].[TRC Levelized Cost w/ Act Credit]" caption="TRC Levelized Cost w/ Act Credit" measure="1" displayFolder="" measureGroup="Cost Effectiveness" count="0"/>
    <cacheHierarchy uniqueName="[Measures].[TRC Levelized Cost, 6th PP]" caption="TRC Levelized Cost, 6th PP" measure="1" displayFolder="" measureGroup="Cost Effectiveness" count="0"/>
    <cacheHierarchy uniqueName="[Measures].[TRC Levelized Cost, 7th PP]" caption="TRC Levelized Cost, 7th PP" measure="1" displayFolder="" measureGroup="Cost Effectiveness" count="0"/>
    <cacheHierarchy uniqueName="[Measures].[Electric System CO2 Avoided]" caption="Electric System CO2 Avoided" measure="1" displayFolder="" measureGroup="Cost Effectiveness" count="0"/>
    <cacheHierarchy uniqueName="[Measures].[Gas System Physical CO2 Avoided]" caption="Gas System Physical CO2 Avoided" measure="1" displayFolder="" measureGroup="Cost Effectiveness" count="0"/>
    <cacheHierarchy uniqueName="[Measures].[Electric System Physical CO2 Avoided]" caption="Electric System Physical CO2 Avoided" measure="1" displayFolder="" measureGroup="Cost Effectiveness" count="0"/>
    <cacheHierarchy uniqueName="[Measures].[Capacity]" caption="Capacity" measure="1" displayFolder="" measureGroup="Cost Effectiveness" count="0"/>
    <cacheHierarchy uniqueName="[Measures].[Key Assumption]" caption="Key Assumption" measure="1" displayFolder="" measureGroup="Key Assumption" count="0"/>
    <cacheHierarchy uniqueName="[Measures].[Savings Rate 6th Power Plan]" caption="Savings Rate 6th Power Plan" measure="1" displayFolder="" measureGroup="Savings Rate" count="0"/>
    <cacheHierarchy uniqueName="[Measures].[Savings Rate 6th Power Plan Adjusted]" caption="Savings Rate 6th Power Plan Adjusted" measure="1" displayFolder="" measureGroup="Savings Rate" count="0"/>
    <cacheHierarchy uniqueName="[Measures].[Savings Rate 6th Power Plan Original]" caption="Savings Rate 6th Power Plan Original" measure="1" displayFolder="" measureGroup="Savings Rate" count="0"/>
    <cacheHierarchy uniqueName="[Measures].[Savings Rate 7th Power Plan]" caption="Savings Rate 7th Power Plan" measure="1" displayFolder="" measureGroup="Savings Rate" count="0"/>
    <cacheHierarchy uniqueName="[Measures].[Savings Rate NEEA]" caption="Savings Rate NEEA" measure="1" displayFolder="" measureGroup="Savings Rate" count="0"/>
    <cacheHierarchy uniqueName="[Measures].[Baseline Units NEEA]" caption="Baseline Units NEEA" measure="1" displayFolder="Savings\Baseline Units" measureGroup="Savings" count="0"/>
    <cacheHierarchy uniqueName="[Measures].[Baseline Units 6th Power Plan]" caption="Baseline Units 6th Power Plan" measure="1" displayFolder="Savings\Baseline Units" measureGroup="Savings" count="0"/>
    <cacheHierarchy uniqueName="[Measures].[Local Programs Units NEEA]" caption="Local Programs Units NEEA" measure="1" displayFolder="Savings\Local Program Units" measureGroup="Savings" count="0"/>
    <cacheHierarchy uniqueName="[Measures].[Local Programs Units 6th Power Plan]" caption="Local Programs Units 6th Power Plan" measure="1" displayFolder="Savings\Local Program Units" measureGroup="Savings" count="0"/>
    <cacheHierarchy uniqueName="[Measures].[Regional Market Units]" caption="Regional Market Units" measure="1" displayFolder="Regional" measureGroup="Savings" count="0"/>
    <cacheHierarchy uniqueName="[Measures].[Regional Market Units 6th Power Plan]" caption="Regional Market Units 6th Power Plan" measure="1" displayFolder="Regional" measureGroup="Savings" count="0"/>
    <cacheHierarchy uniqueName="[Measures].[Regional Market Units 7th Power Plan]" caption="Regional Market Units 7th Power Plan" measure="1" displayFolder="Regional" measureGroup="Savings" count="0"/>
    <cacheHierarchy uniqueName="[Measures].[Retirements Gross Units NEEA]" caption="Retirements Gross Units NEEA" measure="1" displayFolder="Savings\Retirements" measureGroup="Savings" count="0"/>
    <cacheHierarchy uniqueName="[Measures].[Retirements Baseline Units]" caption="Retirements Baseline Units" measure="1" displayFolder="Savings\Retirements" measureGroup="Savings" count="0"/>
    <cacheHierarchy uniqueName="[Measures].[Retirements Local Programs Units]" caption="Retirements Local Programs Units" measure="1" displayFolder="Savings\Retirements" measureGroup="Savings" count="0"/>
    <cacheHierarchy uniqueName="[Measures].[Total Regional Savings]" caption="Total Regional Savings" measure="1" displayFolder="Regional" measureGroup="Savings" count="0"/>
    <cacheHierarchy uniqueName="[Measures].[Total Regional Savings 6th Power Plan]" caption="Total Regional Savings 6th Power Plan" measure="1" displayFolder="Regional" measureGroup="Savings" count="0"/>
    <cacheHierarchy uniqueName="[Measures].[Baseline Savings]" caption="Baseline Savings" measure="1" displayFolder="Savings\Baseline" measureGroup="Savings" count="0"/>
    <cacheHierarchy uniqueName="[Measures].[Baseline Savings 6th Power Plan]" caption="Baseline Savings 6th Power Plan" measure="1" displayFolder="Savings\Baseline" measureGroup="Savings" count="0"/>
    <cacheHierarchy uniqueName="[Measures].[Local Program Savings]" caption="Local Program Savings" measure="1" displayFolder="Savings\Local Program" measureGroup="Savings" count="0"/>
    <cacheHierarchy uniqueName="[Measures].[Local Program Savings 6th Power Plan]" caption="Local Program Savings 6th Power Plan" measure="1" displayFolder="Savings\Local Program" measureGroup="Savings" count="0"/>
    <cacheHierarchy uniqueName="[Measures].[Reportable Local Program Savings]" caption="Reportable Local Program Savings" measure="1" displayFolder="Savings\Local Program" measureGroup="Savings" count="0"/>
    <cacheHierarchy uniqueName="[Measures].[Net Market Effects]" caption="Net Market Effects" measure="1" displayFolder="Net Market/Remaining Savings" measureGroup="Savings" count="0"/>
    <cacheHierarchy uniqueName="[Measures].[Remaining Savings 6th Power Plan]" caption="Remaining Savings 6th Power Plan" measure="1" displayFolder="Net Market/Remaining Savings" measureGroup="Savings" count="0"/>
    <cacheHierarchy uniqueName="[Measures].[Reportable Net Market Effects]" caption="Reportable Net Market Effects" measure="1" displayFolder="Net Market/Remaining Savings" measureGroup="Savings" count="0"/>
    <cacheHierarchy uniqueName="[Measures].[Co-Created Savings]" caption="Co-Created Savings" measure="1" displayFolder="Savings\Co-Created" measureGroup="Savings" count="0"/>
    <cacheHierarchy uniqueName="[Measures].[Co-Created Savings 6th Power Plan]" caption="Co-Created Savings 6th Power Plan" measure="1" displayFolder="Savings\Co-Created" measureGroup="Savings" count="0"/>
    <cacheHierarchy uniqueName="[Measures].[Reportable Co-Created Savings]" caption="Reportable Co-Created Savings" measure="1" displayFolder="Savings\Co-Created" measureGroup="Savings" count="0"/>
    <cacheHierarchy uniqueName="[Measures].[Local Programs Units 7th Power Plan]" caption="Local Programs Units 7th Power Plan" measure="1" displayFolder="Savings\Local Program Units" measureGroup="Savings" count="0"/>
    <cacheHierarchy uniqueName="[Measures].[Total Regional Savings 6th Power Plan Adjusted]" caption="Total Regional Savings 6th Power Plan Adjusted" measure="1" displayFolder="Regional" measureGroup="Savings" count="0"/>
    <cacheHierarchy uniqueName="[Measures].[Total Regional Savings 6th Power Plan Original]" caption="Total Regional Savings 6th Power Plan Original" measure="1" displayFolder="Regional" measureGroup="Savings" count="0"/>
    <cacheHierarchy uniqueName="[Measures].[Total Regional Savings 7th Power Plan]" caption="Total Regional Savings 7th Power Plan" measure="1" displayFolder="Regional" measureGroup="Savings" count="0"/>
    <cacheHierarchy uniqueName="[Measures].[Baseline Savings 6th Power Plan Adjusted]" caption="Baseline Savings 6th Power Plan Adjusted" measure="1" displayFolder="Savings\Baseline" measureGroup="Savings" count="0"/>
    <cacheHierarchy uniqueName="[Measures].[Baseline Savings 6th Power Plan Original]" caption="Baseline Savings 6th Power Plan Original" measure="1" displayFolder="Savings\Baseline" measureGroup="Savings" count="0"/>
    <cacheHierarchy uniqueName="[Measures].[Baseline Savings 7th Power Plan]" caption="Baseline Savings 7th Power Plan" measure="1" displayFolder="Savings\Baseline" measureGroup="Savings" count="0"/>
    <cacheHierarchy uniqueName="[Measures].[Local Program Savings 6th Power Plan Adjusted]" caption="Local Program Savings 6th Power Plan Adjusted" measure="1" displayFolder="Savings\Local Program" measureGroup="Savings" count="0"/>
    <cacheHierarchy uniqueName="[Measures].[Local Program Savings 6th Power Plan Original]" caption="Local Program Savings 6th Power Plan Original" measure="1" displayFolder="Savings\Local Program" measureGroup="Savings" count="0"/>
    <cacheHierarchy uniqueName="[Measures].[Local Program Savings 7th Power Plan]" caption="Local Program Savings 7th Power Plan" measure="1" displayFolder="Savings\Local Program" measureGroup="Savings" count="0"/>
    <cacheHierarchy uniqueName="[Measures].[Remaining Savings 6th Power Plan Adjusted]" caption="Remaining Savings 6th Power Plan Adjusted" measure="1" displayFolder="Net Market/Remaining Savings" measureGroup="Savings" count="0"/>
    <cacheHierarchy uniqueName="[Measures].[Remaining Savings 6th Power Plan Original]" caption="Remaining Savings 6th Power Plan Original" measure="1" displayFolder="Net Market/Remaining Savings" measureGroup="Savings" count="0"/>
    <cacheHierarchy uniqueName="[Measures].[Remaining Savings 7th Power Plan]" caption="Remaining Savings 7th Power Plan" measure="1" displayFolder="Net Market/Remaining Savings" measureGroup="Savings" count="0" oneField="1">
      <fieldsUsage count="1">
        <fieldUsage x="6"/>
      </fieldsUsage>
    </cacheHierarchy>
    <cacheHierarchy uniqueName="[Measures].[Co-Created Savings 6th Power Plan Adjusted]" caption="Co-Created Savings 6th Power Plan Adjusted" measure="1" displayFolder="Savings\Co-Created" measureGroup="Savings" count="0"/>
    <cacheHierarchy uniqueName="[Measures].[Co-Created Savings 6th Power Plan Original]" caption="Co-Created Savings 6th Power Plan Original" measure="1" displayFolder="Savings\Co-Created" measureGroup="Savings" count="0"/>
    <cacheHierarchy uniqueName="[Measures].[Co-Created Savings 7th Power Plan]" caption="Co-Created Savings 7th Power Plan" measure="1" displayFolder="Savings\Co-Created" measureGroup="Savings" count="0"/>
    <cacheHierarchy uniqueName="[Measures].[Baseline Units 7th Power Plan]" caption="Baseline Units 7th Power Plan" measure="1" displayFolder="Savings\Baseline Units" measureGroup="Savings" count="0"/>
    <cacheHierarchy uniqueName="[Measures].[Retirements 6th Power Plan Units]" caption="Retirements 6th Power Plan Units" measure="1" displayFolder="Savings\Retirements" measureGroup="Savings" count="0"/>
    <cacheHierarchy uniqueName="[Measures].[Retirements 7th Power Plan Units]" caption="Retirements 7th Power Plan Units" measure="1" displayFolder="Savings\Retirements" measureGroup="Savings" count="0"/>
    <cacheHierarchy uniqueName="[Measures].[Retirements Local Programs 6th Power Plan Units]" caption="Retirements Local Programs 6th Power Plan Units" measure="1" displayFolder="Savings\Retirements" measureGroup="Savings" count="0"/>
    <cacheHierarchy uniqueName="[Measures].[Retirements Local Programs 7th Power Plan Units]" caption="Retirements Local Programs 7th Power Plan Units" measure="1" displayFolder="Savings\Retirements" measureGroup="Savings" count="0"/>
    <cacheHierarchy uniqueName="[Measures].[Retirements Baseline 7th Power Plan Units]" caption="Retirements Baseline 7th Power Plan Units" measure="1" displayFolder="Savings\Retirements" measureGroup="Savings" count="0"/>
    <cacheHierarchy uniqueName="[Measures].[TRS All Funding Cycle]" caption="TRS All Funding Cycle" measure="1" displayFolder="Regional" measureGroup="Savings" count="0"/>
    <cacheHierarchy uniqueName="[Measures].[TRS Funding Cycle Share]" caption="TRS Funding Cycle Share" measure="1" displayFolder="Regional" measureGroup="Savings" count="0"/>
    <cacheHierarchy uniqueName="[Measures].[Equity Rural]" caption="Equity Rural" measure="1" displayFolder="" measureGroup="Portfolio Metrics" count="0"/>
    <cacheHierarchy uniqueName="[Measures].[Equity Urban]" caption="Equity Urban" measure="1" displayFolder="" measureGroup="Portfolio Metrics" count="0"/>
    <cacheHierarchy uniqueName="[Measures].[Regional Equity ID]" caption="Regional Equity ID" measure="1" displayFolder="" measureGroup="Portfolio Metrics" count="0"/>
    <cacheHierarchy uniqueName="[Measures].[Regional Equity MT]" caption="Regional Equity MT" measure="1" displayFolder="" measureGroup="Portfolio Metrics" count="0"/>
    <cacheHierarchy uniqueName="[Measures].[Regional Equity OR]" caption="Regional Equity OR" measure="1" displayFolder="" measureGroup="Portfolio Metrics" count="0"/>
    <cacheHierarchy uniqueName="[Measures].[Regional Equity WA]" caption="Regional Equity WA" measure="1" displayFolder="" measureGroup="Portfolio Metrics" count="0"/>
    <cacheHierarchy uniqueName="[Measures].[Risk Approach]" caption="Risk Approach" measure="1" displayFolder="" measureGroup="Portfolio Metrics" count="0"/>
    <cacheHierarchy uniqueName="[Measures].[Risk CE]" caption="Risk CE" measure="1" displayFolder="" measureGroup="Portfolio Metrics" count="0"/>
    <cacheHierarchy uniqueName="[Measures].[Risk Late Savings]" caption="Risk Late Savings" measure="1" displayFolder="" measureGroup="Portfolio Metrics" count="0"/>
    <cacheHierarchy uniqueName="[Measures].[Risk Measurement]" caption="Risk Measurement" measure="1" displayFolder="" measureGroup="Portfolio Metrics" count="0"/>
    <cacheHierarchy uniqueName="[Measures].[Risk Tech]" caption="Risk Tech" measure="1" displayFolder="" measureGroup="Portfolio Metrics" count="0"/>
    <cacheHierarchy uniqueName="[Measures].[Risk]" caption="Risk" measure="1" displayFolder="" measureGroup="Portfolio Metrics" count="0"/>
    <cacheHierarchy uniqueName="[Measures].[Allocation]" caption="Allocation" measure="1" displayFolder="" measureGroup="Allocation" count="0"/>
    <cacheHierarchy uniqueName="[Measures].[Funder Share]" caption="Funder Share" measure="1" displayFolder="" measureGroup="Funder Share" count="0"/>
    <cacheHierarchy uniqueName="[Measures].[OR Allocation]" caption="OR Allocation" measure="1" displayFolder="" measureGroup="Funder Share" count="0"/>
    <cacheHierarchy uniqueName="[Measures].[WA Allocation]" caption="WA Allocation" measure="1" displayFolder="" measureGroup="Funder Share" count="0"/>
    <cacheHierarchy uniqueName="[Measures].[ID Allocation]" caption="ID Allocation" measure="1" displayFolder="" measureGroup="Funder Share" count="0"/>
    <cacheHierarchy uniqueName="[Measures].[MT Allocation]" caption="MT Allocation" measure="1" displayFolder="" measureGroup="Funder Share" count="0"/>
    <cacheHierarchy uniqueName="[Measures].[Local Programs Survey Units]" caption="Local Programs Survey Units" measure="1" displayFolder="" measureGroup="Local Programs" count="0"/>
    <cacheHierarchy uniqueName="[Measures].[Local Programs Adjustment]" caption="Local Programs Adjustment" measure="1" displayFolder="" measureGroup="Local Programs" count="0"/>
    <cacheHierarchy uniqueName="[Measures].[Local Programs Adjusted Units]" caption="Local Programs Adjusted Units" measure="1" displayFolder="" measureGroup="Local Programs" count="0"/>
    <cacheHierarchy uniqueName="[Measures].[Allocation Share]" caption="Allocation Share" measure="1" displayFolder="" measureGroup="Stakeholder Report" count="0"/>
    <cacheHierarchy uniqueName="[Measures].[Reported Savings]" caption="Reported Savings" measure="1" displayFolder="" measureGroup="Stakeholder Report" count="0"/>
    <cacheHierarchy uniqueName="[Measures].[Local Programs Units]" caption="Local Programs Units" measure="1" displayFolder="" measureGroup="Stakeholder Report" count="0"/>
    <cacheHierarchy uniqueName="[Measures].[Total Regional Units]" caption="Total Regional Units" measure="1" displayFolder="" measureGroup="Stakeholder Report" count="0"/>
    <cacheHierarchy uniqueName="[Measures].[Baseline Units]" caption="Baseline Units" measure="1" displayFolder="" measureGroup="Stakeholder Report" count="0"/>
    <cacheHierarchy uniqueName="[Measures].[Retirement Units]" caption="Retirement Units" measure="1" displayFolder="" measureGroup="Stakeholder Report" count="0"/>
    <cacheHierarchy uniqueName="[Measures].[Savings Rate]" caption="Savings Rate" measure="1" displayFolder="" measureGroup="Stakeholder Report" count="0"/>
    <cacheHierarchy uniqueName="[Measures].[Allocation Selection Count]" caption="Allocation Selection Count" measure="1" displayFolder="" measureGroup="Allocation Selection" count="0"/>
    <cacheHierarchy uniqueName="[Measures].[Market Adoption Count]" caption="Market Adoption Count" measure="1" displayFolder="" measureGroup="Market Adoption" count="0"/>
    <cacheHierarchy uniqueName="[Measures].[Market Adoption Units]" caption="Market Adoption Units" measure="1" displayFolder="" measureGroup="Market Adoption" count="0"/>
    <cacheHierarchy uniqueName="[Measures].[Market Adoption Stock Units]" caption="Market Adoption Stock Units" measure="1" displayFolder="" measureGroup="Market Adoption" count="0"/>
    <cacheHierarchy uniqueName="[Measures].[Market Share]" caption="Market Share" measure="1" displayFolder="" measureGroup="Market Adoption" count="0"/>
    <cacheHierarchy uniqueName="[Measures].[Market Penetration]" caption="Market Penetration" measure="1" displayFolder="" measureGroup="Market Adoption" count="0"/>
    <cacheHierarchy uniqueName="[Measures].[Year Number]" caption="Year Number" measure="1" displayFolder="" measureGroup="Date" count="0"/>
    <cacheHierarchy uniqueName="[Measures].[Funding Cycle Funder Share]" caption="Funding Cycle Funder Share" measure="1" displayFolder="" measureGroup="Funding Cycle Funder Share" count="0"/>
    <cacheHierarchy uniqueName="[Measures].[TRS Funder Share]" caption="TRS Funder Share" measure="1" displayFolder="" measureGroup="Funding Cycle Funder Share" count="0"/>
    <cacheHierarchy uniqueName="[Measures].[OR Funding Cycle Allocation]" caption="OR Funding Cycle Allocation" measure="1" displayFolder="" measureGroup="Funding Cycle Funder Share" count="0"/>
    <cacheHierarchy uniqueName="[Measures].[OR Funder Share]" caption="OR Funder Share" measure="1" displayFolder="" measureGroup="Funding Cycle Funder Share" count="0"/>
    <cacheHierarchy uniqueName="[Measures].[WA Funding Cycle Allocation]" caption="WA Funding Cycle Allocation" measure="1" displayFolder="" measureGroup="Funding Cycle Funder Share" count="0"/>
    <cacheHierarchy uniqueName="[Measures].[WA Funder Share]" caption="WA Funder Share" measure="1" displayFolder="" measureGroup="Funding Cycle Funder Share" count="0"/>
    <cacheHierarchy uniqueName="[Measures].[ID Funding Cycle Allocation]" caption="ID Funding Cycle Allocation" measure="1" displayFolder="" measureGroup="Funding Cycle Funder Share" count="0"/>
    <cacheHierarchy uniqueName="[Measures].[ID Funder Share]" caption="ID Funder Share" measure="1" displayFolder="" measureGroup="Funding Cycle Funder Share" count="0"/>
    <cacheHierarchy uniqueName="[Measures].[MT Funding Cycle Allocation]" caption="MT Funding Cycle Allocation" measure="1" displayFolder="" measureGroup="Funding Cycle Funder Share" count="0"/>
    <cacheHierarchy uniqueName="[Measures].[MT Funder Share]" caption="MT Funder Share" measure="1" displayFolder="" measureGroup="Funding Cycle Funder Share" count="0"/>
    <cacheHierarchy uniqueName="[Measures].[OR TRS Funder Share]" caption="OR TRS Funder Share" measure="1" displayFolder="" measureGroup="Funding Cycle Funder Share" count="0"/>
    <cacheHierarchy uniqueName="[Measures].[WA TRS Funder Share]" caption="WA TRS Funder Share" measure="1" displayFolder="" measureGroup="Funding Cycle Funder Share" count="0"/>
    <cacheHierarchy uniqueName="[Measures].[ID TRS Funder Share]" caption="ID TRS Funder Share" measure="1" displayFolder="" measureGroup="Funding Cycle Funder Share" count="0"/>
    <cacheHierarchy uniqueName="[Measures].[MT TRS Funder Share]" caption="MT TRS Funder Share" measure="1" displayFolder="" measureGroup="Funding Cycle Funder Share" count="0"/>
    <cacheHierarchy uniqueName="[Measures].[MarketSizeBase]" caption="MarketSizeBase" measure="1" displayFolder="" measureGroup="Market Size" count="0" hidden="1"/>
    <cacheHierarchy uniqueName="[Measures].[MarketStockSizeBase]" caption="MarketStockSizeBase" measure="1" displayFolder="" measureGroup="Market Size" count="0" hidden="1"/>
    <cacheHierarchy uniqueName="[Measures].[Cost Effectiveness Count]" caption="Cost Effectiveness Count" measure="1" displayFolder="" measureGroup="Cost Effectiveness" count="0" hidden="1"/>
    <cacheHierarchy uniqueName="[Measures].[Key Assumption Count]" caption="Key Assumption Count" measure="1" displayFolder="" measureGroup="Key Assumption" count="0" hidden="1"/>
    <cacheHierarchy uniqueName="[Measures].[Savings Rate Count]" caption="Savings Rate Count" measure="1" displayFolder="" measureGroup="Savings Rate" count="0" hidden="1"/>
    <cacheHierarchy uniqueName="[Measures].[Units Saved Count]" caption="Units Saved Count" measure="1" displayFolder="" measureGroup="Savings" count="0" hidden="1"/>
    <cacheHierarchy uniqueName="[Measures].[Reportable Local Program Savings 6th Power Plan]" caption="Reportable Local Program Savings 6th Power Plan" measure="1" displayFolder="" measureGroup="Savings" count="0" hidden="1"/>
    <cacheHierarchy uniqueName="[Measures].[Reportable Remaining Savings 6th Power Plan]" caption="Reportable Remaining Savings 6th Power Plan" measure="1" displayFolder="" measureGroup="Savings" count="0" hidden="1"/>
    <cacheHierarchy uniqueName="[Measures].[Reportable Co-Created Savings 6th Power Plan]" caption="Reportable Co-Created Savings 6th Power Plan" measure="1" displayFolder="" measureGroup="Savings" count="0" hidden="1"/>
    <cacheHierarchy uniqueName="[Measures].[Reportable Local Program Savings 6th Power Plan Adjusted]" caption="Reportable Local Program Savings 6th Power Plan Adjusted" measure="1" displayFolder="" measureGroup="Savings" count="0" hidden="1"/>
    <cacheHierarchy uniqueName="[Measures].[Reportable Local Program Savings 6th Power Plan Original]" caption="Reportable Local Program Savings 6th Power Plan Original" measure="1" displayFolder="" measureGroup="Savings" count="0" hidden="1"/>
    <cacheHierarchy uniqueName="[Measures].[Reportable Local Program Savings 7th Power Plan]" caption="Reportable Local Program Savings 7th Power Plan" measure="1" displayFolder="" measureGroup="Savings" count="0" hidden="1"/>
    <cacheHierarchy uniqueName="[Measures].[Reportable Remaining Savings 6th Power Plan Adjusted]" caption="Reportable Remaining Savings 6th Power Plan Adjusted" measure="1" displayFolder="" measureGroup="Savings" count="0" hidden="1"/>
    <cacheHierarchy uniqueName="[Measures].[Reportable Remaining Savings 6th Power Plan Original]" caption="Reportable Remaining Savings 6th Power Plan Original" measure="1" displayFolder="" measureGroup="Savings" count="0" hidden="1"/>
    <cacheHierarchy uniqueName="[Measures].[Reportable Remaining Savings 7th Power Plan]" caption="Reportable Remaining Savings 7th Power Plan" measure="1" displayFolder="" measureGroup="Savings" count="0" hidden="1"/>
    <cacheHierarchy uniqueName="[Measures].[Reportable Co-Created Savings 6th Power Plan Adjusted]" caption="Reportable Co-Created Savings 6th Power Plan Adjusted" measure="1" displayFolder="" measureGroup="Savings" count="0" hidden="1"/>
    <cacheHierarchy uniqueName="[Measures].[Reportable Co-Created Savings 6th Power Plan Original]" caption="Reportable Co-Created Savings 6th Power Plan Original" measure="1" displayFolder="" measureGroup="Savings" count="0" hidden="1"/>
    <cacheHierarchy uniqueName="[Measures].[Reportable Co-Created Savings 7th Power Plan]" caption="Reportable Co-Created Savings 7th Power Plan" measure="1" displayFolder="" measureGroup="Savings" count="0" hidden="1"/>
    <cacheHierarchy uniqueName="[Measures].[Portfolio Metric Count]" caption="Portfolio Metric Count" measure="1" displayFolder="" measureGroup="Portfolio Metrics" count="0" hidden="1"/>
    <cacheHierarchy uniqueName="[Measures].[Allocation Count]" caption="Allocation Count" measure="1" displayFolder="" measureGroup="Allocation" count="0" hidden="1"/>
    <cacheHierarchy uniqueName="[Measures].[Funder Share Count]" caption="Funder Share Count" measure="1" displayFolder="" measureGroup="Funder Share" count="0" hidden="1"/>
    <cacheHierarchy uniqueName="[Measures].[Local Programs Count]" caption="Local Programs Count" measure="1" displayFolder="" measureGroup="Local Programs" count="0" hidden="1"/>
    <cacheHierarchy uniqueName="[Measures].[Stakeholder Report Count]" caption="Stakeholder Report Count" measure="1" displayFolder="" measureGroup="Stakeholder Report" count="0" hidden="1"/>
    <cacheHierarchy uniqueName="[Measures].[__Default measure]" caption="__Default measure" measure="1" displayFolder="" count="0" hidden="1"/>
  </cacheHierarchies>
  <kpis count="0"/>
  <dimensions count="20">
    <dimension name="Ace Model Version" uniqueName="[Ace Model Version]" caption="Ace Model Version"/>
    <dimension name="Allocation" uniqueName="[Allocation]" caption="Allocation"/>
    <dimension name="Allocation Methodology" uniqueName="[Allocation Methodology]" caption="Allocation Methodology"/>
    <dimension name="Allocation Selection" uniqueName="[Allocation Selection]" caption="Allocation Selection"/>
    <dimension name="Calculation Methodology" uniqueName="[Calculation Methodology]" caption="Calculation Methodology"/>
    <dimension name="Date" uniqueName="[Date]" caption="Date"/>
    <dimension name="Flag" uniqueName="[Flag]" caption="Flag"/>
    <dimension name="Funding Cycle" uniqueName="[Funding Cycle]" caption="Funding Cycle"/>
    <dimension name="Initiative" uniqueName="[Initiative]" caption="Initiative"/>
    <dimension name="Key Assumption" uniqueName="[Key Assumption]" caption="Key Assumption"/>
    <dimension name="Key Assumption Type" uniqueName="[Key Assumption Type]" caption="Key Assumption Type"/>
    <dimension name="Local Programs" uniqueName="[Local Programs]" caption="Local Programs"/>
    <dimension name="Measure" uniqueName="[Measure]" caption="Measure"/>
    <dimension measure="1" name="Measures" uniqueName="[Measures]" caption="Measures"/>
    <dimension name="Snapshot" uniqueName="[Snapshot]" caption="Snapshot"/>
    <dimension name="Stakeholder Organization" uniqueName="[Stakeholder Organization]" caption="Stakeholder Organization"/>
    <dimension name="Stakeholder Report" uniqueName="[Stakeholder Report]" caption="Stakeholder Report"/>
    <dimension name="State" uniqueName="[State]" caption="State"/>
    <dimension name="Status" uniqueName="[Status]" caption="Status"/>
    <dimension name="Unit Of Measure" uniqueName="[Unit Of Measure]" caption="Unit Of Measure"/>
  </dimensions>
  <measureGroups count="27">
    <measureGroup name="Ace Model Version" caption="Ace Model Version"/>
    <measureGroup name="Allocation" caption="Allocation"/>
    <measureGroup name="Allocation Methodology" caption="Allocation Methodology"/>
    <measureGroup name="Allocation Selection" caption="Allocation Selection"/>
    <measureGroup name="Calculation Methodology" caption="Calculation Methodology"/>
    <measureGroup name="Cost Effectiveness" caption="Cost Effectiveness"/>
    <measureGroup name="Date" caption="Date"/>
    <measureGroup name="Flag" caption="Flag"/>
    <measureGroup name="Funder Share" caption="Funder Share"/>
    <measureGroup name="Funding Cycle" caption="Funding Cycle"/>
    <measureGroup name="Funding Cycle Funder Share" caption="Funding Cycle Funder Share"/>
    <measureGroup name="Initiative" caption="Initiative"/>
    <measureGroup name="Key Assumption" caption="Key Assumption"/>
    <measureGroup name="Key Assumption Type" caption="Key Assumption Type"/>
    <measureGroup name="Local Programs" caption="Local Programs"/>
    <measureGroup name="Market Adoption" caption="Market Adoption"/>
    <measureGroup name="Market Size" caption="Market Size"/>
    <measureGroup name="Measure" caption="Measure"/>
    <measureGroup name="Portfolio Metrics" caption="Portfolio Metrics"/>
    <measureGroup name="Savings" caption="Savings"/>
    <measureGroup name="Savings Rate" caption="Savings Rate"/>
    <measureGroup name="Snapshot" caption="Snapshot"/>
    <measureGroup name="Stakeholder Organization" caption="Stakeholder Organization"/>
    <measureGroup name="Stakeholder Report" caption="Stakeholder Report"/>
    <measureGroup name="State" caption="State"/>
    <measureGroup name="Status" caption="Status"/>
    <measureGroup name="Unit Of Measure" caption="Unit Of Measure"/>
  </measureGroups>
  <maps count="19">
    <map measureGroup="0" dimension="0"/>
    <map measureGroup="1" dimension="1"/>
    <map measureGroup="2" dimension="2"/>
    <map measureGroup="3" dimension="3"/>
    <map measureGroup="4" dimension="4"/>
    <map measureGroup="6" dimension="5"/>
    <map measureGroup="7" dimension="6"/>
    <map measureGroup="9" dimension="7"/>
    <map measureGroup="11" dimension="8"/>
    <map measureGroup="12" dimension="9"/>
    <map measureGroup="13" dimension="10"/>
    <map measureGroup="14" dimension="11"/>
    <map measureGroup="17" dimension="12"/>
    <map measureGroup="21" dimension="14"/>
    <map measureGroup="22" dimension="15"/>
    <map measureGroup="23" dimension="16"/>
    <map measureGroup="24" dimension="17"/>
    <map measureGroup="25" dimension="18"/>
    <map measureGroup="26" dimension="1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Christina Steinhoff" refreshedDate="43704.340351157407" backgroundQuery="1" createdVersion="6" refreshedVersion="6" minRefreshableVersion="3" recordCount="0" supportSubquery="1" supportAdvancedDrill="1">
  <cacheSource type="external" connectionId="1"/>
  <cacheFields count="11">
    <cacheField name="[Measures].[Market Adoption Stock Units]" caption="Market Adoption Stock Units" numFmtId="0" hierarchy="407" level="32767"/>
    <cacheField name="[Measures].[Market Adoption Units]" caption="Market Adoption Units" numFmtId="0" hierarchy="406" level="32767"/>
    <cacheField name="[Measures].[Market Share]" caption="Market Share" numFmtId="0" hierarchy="408" level="32767"/>
    <cacheField name="[Date].[Year].[Year]" caption="Year" numFmtId="0" hierarchy="14" level="1">
      <sharedItems count="2">
        <s v="[Date].[Year].&amp;[2018]" c="2018"/>
        <s v="[Date].[Year].&amp;[2019]" c="2019"/>
      </sharedItems>
    </cacheField>
    <cacheField name="[Ace Model Version].[Is Current].[Is Current]" caption="Is Current" numFmtId="0" hierarchy="3" level="1">
      <sharedItems containsSemiMixedTypes="0" containsString="0"/>
    </cacheField>
    <cacheField name="[Snapshot].[Snapshot Name].[Snapshot Name]" caption="Snapshot Name" numFmtId="0" hierarchy="55" level="1">
      <sharedItems containsSemiMixedTypes="0" containsString="0"/>
    </cacheField>
    <cacheField name="[Measure].[Initiative].[Initiative]" caption="Initiative" numFmtId="0" hierarchy="39" level="1">
      <sharedItems count="49">
        <s v="[Measure].[Initiative].&amp;[AM400 Data Logger]" c="AM400 Data Logger"/>
        <s v="[Measure].[Initiative].&amp;[Irrigation]" c="Irrigation"/>
        <s v="[Measure].[Initiative].&amp;[Building Operator Certification]" c="Building Operator Certification"/>
        <s v="[Measure].[Initiative].&amp;[Commissioning Buildings]" c="Commissioning Buildings"/>
        <s v="[Measure].[Initiative].&amp;[Other Codes (Commercial)]" c="Other Codes (Commercial)"/>
        <s v="[Measure].[Initiative].&amp;[Verdiem Network Energy Management]" c="Verdiem Network Energy Management"/>
        <s v="[Measure].[Initiative].&amp;[Desktop Power Supplies]" c="Desktop Power Supplies"/>
        <s v="[Measure].[Initiative].&amp;[Grocery]" c="Grocery"/>
        <s v="[Measure].[Initiative].&amp;[Building Operations (Non-target Markets)]" c="Building Operations (Non-target Markets)"/>
        <s v="[Measure].[Initiative].&amp;[Healthcare]" c="Healthcare"/>
        <s v="[Measure].[Initiative].&amp;[Commercial Real Estate]" c="Commercial Real Estate"/>
        <s v="[Measure].[Initiative].&amp;[New Construction (Commercial)]" c="New Construction (Commercial)"/>
        <s v="[Measure].[Initiative].&amp;[Commercial Lighting Solutions]" c="Commercial Lighting Solutions"/>
        <s v="[Measure].[Initiative].&amp;[Building Operator Certification Expansion]" c="Building Operator Certification Expansion"/>
        <s v="[Measure].[Initiative].&amp;[Other Non-Residential Standards]" c="Other Non-Residential Standards"/>
        <s v="[Measure].[Initiative].&amp;[Existing Building Renewal]" c="Existing Building Renewal"/>
        <s v="[Measure].[Initiative].&amp;[Luminaire Level Lighting Controls]" c="Luminaire Level Lighting Controls"/>
        <s v="[Measure].[Initiative].&amp;[Reduced Wattage Lamp Replacement]" c="Reduced Wattage Lamp Replacement"/>
        <s v="[Measure].[Initiative].&amp;[Other Strategic Energy Management]" c="Other Strategic Energy Management"/>
        <s v="[Measure].[Initiative].&amp;[Commercial Code Enhancement]" c="Commercial Code Enhancement"/>
        <s v="[Measure].[Initiative].&amp;[Variable Frequency Drives]" c="Variable Frequency Drives"/>
        <s v="[Measure].[Initiative].&amp;[Microelectronics (Asimi, Silicon Crystal Growing Facilities)]" c="Microelectronics (Asimi, Silicon Crystal Growing Facilities)"/>
        <s v="[Measure].[Initiative].&amp;[BacGen Waste Water Optimization Service]" c="BacGen Waste Water Optimization Service"/>
        <s v="[Measure].[Initiative].&amp;[MagnaDrive Innovative Industrial Speed Control]" c="MagnaDrive Innovative Industrial Speed Control"/>
        <s v="[Measure].[Initiative].&amp;[Pneu-Logic (Sav-Air)]" c="Pneu-Logic (Sav-Air)"/>
        <s v="[Measure].[Initiative].&amp;[Drive Power]" c="Drive Power"/>
        <s v="[Measure].[Initiative].&amp;[Food Processors]" c="Food Processors"/>
        <s v="[Measure].[Initiative].&amp;[Pulp and Paper]" c="Pulp and Paper"/>
        <s v="[Measure].[Initiative].&amp;[Distribution Efficiency]" c="Distribution Efficiency"/>
        <s v="[Measure].[Initiative].&amp;[Certified Refrigeration Energy Specialist (CRES)]" c="Certified Refrigeration Energy Specialist (CRES)"/>
        <s v="[Measure].[Initiative].&amp;[Small/Medium Industrials]" c="Small/Medium Industrials"/>
        <s v="[Measure].[Initiative].&amp;[Other ENERGY STAR Products]" c="Other ENERGY STAR Products"/>
        <s v="[Measure].[Initiative].&amp;[Clothes Washers]" c="Clothes Washers"/>
        <s v="[Measure].[Initiative].&amp;[Residential Lighting]" c="Residential Lighting"/>
        <s v="[Measure].[Initiative].&amp;[Windows]" c="Windows"/>
        <s v="[Measure].[Initiative].&amp;[Super Good Cents Manufactured Homes]" c="Super Good Cents Manufactured Homes"/>
        <s v="[Measure].[Initiative].&amp;[Lighting Fixtures]" c="Lighting Fixtures"/>
        <s v="[Measure].[Initiative].&amp;[Dishwashers]" c="Dishwashers"/>
        <s v="[Measure].[Initiative].&amp;[Refrigerators]" c="Refrigerators"/>
        <s v="[Measure].[Initiative].&amp;[Efficient Homes]" c="Efficient Homes"/>
        <s v="[Measure].[Initiative].&amp;[Other Codes (Multifamily)]" c="Other Codes (Multifamily)"/>
        <s v="[Measure].[Initiative].&amp;[Ductless Heat Pumps]" c="Ductless Heat Pumps"/>
        <s v="[Measure].[Initiative].&amp;[Super-Efficient Dryers]" c="Super-Efficient Dryers"/>
        <s v="[Measure].[Initiative].&amp;[Heat Pump Water Heaters]" c="Heat Pump Water Heaters"/>
        <s v="[Measure].[Initiative].&amp;[Residential New Construction/Next Step Homes]" c="Residential New Construction/Next Step Homes"/>
        <s v="[Measure].[Initiative].&amp;[Other Residential Standards]" c="Other Residential Standards"/>
        <s v="[Measure].[Initiative].&amp;[Retail Product Portfolio]" c="Retail Product Portfolio"/>
        <s v="[Measure].[Initiative].&amp;[Manufactured Homes]" c="Manufactured Homes"/>
        <s v="[Measure].[Initiative].&amp;[Unknown]" c="Unknown"/>
      </sharedItems>
    </cacheField>
    <cacheField name="[Measure].[Product].[Product]" caption="Product" numFmtId="0" hierarchy="47" level="1">
      <sharedItems count="130">
        <s v="[Measure].[Product].&amp;[Ag Data Logger]" c="Ag Data Logger"/>
        <s v="[Measure].[Product].&amp;[Ag Irrigation]" c="Ag Irrigation"/>
        <s v="[Measure].[Product].&amp;[BOC]" c="BOC"/>
        <s v="[Measure].[Product].&amp;[Cx]" c="Cx"/>
        <s v="[Measure].[Product].&amp;[rCx]" c="rCx"/>
        <s v="[Measure].[Product].&amp;[Cx-Industrial]" c="Cx-Industrial"/>
        <s v="[Measure].[Product].&amp;[rCx-Industrial]" c="rCx-Industrial"/>
        <s v="[Measure].[Product].&amp;[ID Commercial Codes]" c="ID Commercial Codes"/>
        <s v="[Measure].[Product].&amp;[MT Commercial Codes]" c="MT Commercial Codes"/>
        <s v="[Measure].[Product].&amp;[OR Commercial Codes]" c="OR Commercial Codes"/>
        <s v="[Measure].[Product].&amp;[WA Commercial Codes]" c="WA Commercial Codes"/>
        <s v="[Measure].[Product].&amp;[Verdiem]" c="Verdiem"/>
        <s v="[Measure].[Product].&amp;[Commercial Desktops]" c="Commercial Desktops"/>
        <s v="[Measure].[Product].&amp;[Groceries]" c="Groceries"/>
        <s v="[Measure].[Product].&amp;[Building Operations]" c="Building Operations"/>
        <s v="[Measure].[Product].&amp;[Healthcare SEM]" c="Healthcare SEM"/>
        <s v="[Measure].[Product].&amp;[CRE SEM]" c="CRE SEM"/>
        <s v="[Measure].[Product].&amp;[WA CRE SEM]" c="WA CRE SEM"/>
        <s v="[Measure].[Product].&amp;[OR CRE SEM]" c="OR CRE SEM"/>
        <s v="[Measure].[Product].&amp;[ID CRE SEM]" c="ID CRE SEM"/>
        <s v="[Measure].[Product].&amp;[New Commercial Construction]" c="New Commercial Construction"/>
        <s v="[Measure].[Product].&amp;[Commercial Lighting]" c="Commercial Lighting"/>
        <s v="[Measure].[Product].&amp;[BOC_Expansion]" c="BOC_Expansion"/>
        <s v="[Measure].[Product].&amp;[Pre-rinse Spray Valves]" c="Pre-rinse Spray Valves"/>
        <s v="[Measure].[Product].&amp;[Fluorescent Lamp Ballasts]" c="Fluorescent Lamp Ballasts"/>
        <s v="[Measure].[Product].&amp;[Small Electric Motors]" c="Small Electric Motors"/>
        <s v="[Measure].[Product].&amp;[Rooftop Units]" c="Rooftop Units"/>
        <s v="[Measure].[Product].&amp;[Deep Energy Retrofits]" c="Deep Energy Retrofits"/>
        <s v="[Measure].[Product].&amp;[Lighting Controls]" c="Lighting Controls"/>
        <s v="[Measure].[Product].&amp;[T8 Fluorescent 28W- Commercial]" c="T8 Fluorescent 28W- Commercial"/>
        <s v="[Measure].[Product].&amp;[T8 Fluorescent 25W- Commercial]" c="T8 Fluorescent 25W- Commercial"/>
        <s v="[Measure].[Product].&amp;[T8 Fluorescent 28W- Industrial]" c="T8 Fluorescent 28W- Industrial"/>
        <s v="[Measure].[Product].&amp;[T8 Fluorescent 25W- Industrial]" c="T8 Fluorescent 25W- Industrial"/>
        <s v="[Measure].[Product].&amp;[Industrial SEM]" c="Industrial SEM"/>
        <s v="[Measure].[Product].&amp;[Commercial SEM]" c="Commercial SEM"/>
        <s v="[Measure].[Product].&amp;[VFD]" c="VFD"/>
        <s v="[Measure].[Product].&amp;[ASiMI And Silicon]" c="ASiMI And Silicon"/>
        <s v="[Measure].[Product].&amp;[BacGen]" c="BacGen"/>
        <s v="[Measure].[Product].&amp;[MagnaDrive ASD]" c="MagnaDrive ASD"/>
        <s v="[Measure].[Product].&amp;[MagnaDrive Couplings]" c="MagnaDrive Couplings"/>
        <s v="[Measure].[Product].&amp;[Pneu-Logic]" c="Pneu-Logic"/>
        <s v="[Measure].[Product].&amp;[NEMA Premium Motors (Non-Standard)]" c="NEMA Premium Motors (Non-Standard)"/>
        <s v="[Measure].[Product].&amp;[Efficient Motor Rewinds]" c="Efficient Motor Rewinds"/>
        <s v="[Measure].[Product].&amp;[Motors Federal Standard]" c="Motors Federal Standard"/>
        <s v="[Measure].[Product].&amp;[Food Processors SEM]" c="Food Processors SEM"/>
        <s v="[Measure].[Product].&amp;[Pulp and Paper Sem]" c="Pulp and Paper Sem"/>
        <s v="[Measure].[Product].&amp;[DEI]" c="DEI"/>
        <s v="[Measure].[Product].&amp;[CRES Certified Operator]" c="CRES Certified Operator"/>
        <s v="[Measure].[Product].&amp;[Small Medium Industrial SEM]" c="Small Medium Industrial SEM"/>
        <s v="[Measure].[Product].&amp;[Commercial Laptops]" c="Commercial Laptops"/>
        <s v="[Measure].[Product].&amp;[Residential Desktops]" c="Residential Desktops"/>
        <s v="[Measure].[Product].&amp;[Residential Laptops]" c="Residential Laptops"/>
        <s v="[Measure].[Product].&amp;[Clothes Washers]" c="Clothes Washers"/>
        <s v="[Measure].[Product].&amp;[CFL General Purpose]" c="CFL General Purpose"/>
        <s v="[Measure].[Product].&amp;[CFL Specialty]" c="CFL Specialty"/>
        <s v="[Measure].[Product].&amp;[LED General Purpose]" c="LED General Purpose"/>
        <s v="[Measure].[Product].&amp;[LED Specialty]" c="LED Specialty"/>
        <s v="[Measure].[Product].&amp;[Other General Purpose]" c="Other General Purpose"/>
        <s v="[Measure].[Product].&amp;[Other Specialty]" c="Other Specialty"/>
        <s v="[Measure].[Product].&amp;[Residential Windows (New and Existing Construction)]" c="Residential Windows (New and Existing Construction)"/>
        <s v="[Measure].[Product].&amp;[Super Good Cents Manufactured Homes]" c="Super Good Cents Manufactured Homes"/>
        <s v="[Measure].[Product].&amp;[Residential Fixtures]" c="Residential Fixtures"/>
        <s v="[Measure].[Product].&amp;[Dishwashers]" c="Dishwashers"/>
        <s v="[Measure].[Product].&amp;[Refrigerators]" c="Refrigerators"/>
        <s v="[Measure].[Product].&amp;[WA Homes (ENERGY STAR Northwest Homes)]" c="WA Homes (ENERGY STAR Northwest Homes)"/>
        <s v="[Measure].[Product].&amp;[ID Multifamily Homes]" c="ID Multifamily Homes"/>
        <s v="[Measure].[Product].&amp;[Northwest]" c="Northwest"/>
        <s v="[Measure].[Product].&amp;[WA Multifamily Homes]" c="WA Multifamily Homes"/>
        <s v="[Measure].[Product].&amp;[ID Code]" c="ID Code"/>
        <s v="[Measure].[Product].&amp;[MT Code]" c="MT Code"/>
        <s v="[Measure].[Product].&amp;[OR Code]" c="OR Code"/>
        <s v="[Measure].[Product].&amp;[WA Code]" c="WA Code"/>
        <s v="[Measure].[Product].&amp;[ID Homes (ENERGY STAR Northwest Homes)]" c="ID Homes (ENERGY STAR Northwest Homes)"/>
        <s v="[Measure].[Product].&amp;[MT Homes (ENERGY STAR Northwest Homes)]" c="MT Homes (ENERGY STAR Northwest Homes)"/>
        <s v="[Measure].[Product].&amp;[OR Homes (ENERGY STAR Northwest Homes)]" c="OR Homes (ENERGY STAR Northwest Homes)"/>
        <s v="[Measure].[Product].&amp;[ID Multifamily Code]" c="ID Multifamily Code"/>
        <s v="[Measure].[Product].&amp;[MT Multifamily Code]" c="MT Multifamily Code"/>
        <s v="[Measure].[Product].&amp;[OR Multifamily Code]" c="OR Multifamily Code"/>
        <s v="[Measure].[Product].&amp;[WA Multifamily Code]" c="WA Multifamily Code"/>
        <s v="[Measure].[Product].&amp;[DHP Zonal]" c="DHP Zonal"/>
        <s v="[Measure].[Product].&amp;[DHP FAF]" c="DHP FAF"/>
        <s v="[Measure].[Product].&amp;[DHP MH FAF]" c="DHP MH FAF"/>
        <s v="[Measure].[Product].&amp;[Clothes Dryers]" c="Clothes Dryers"/>
        <s v="[Measure].[Product].&amp;[HPWH (&lt;=55 gallons) Existing Construction]" c="HPWH (&lt;=55 gallons) Existing Construction"/>
        <s v="[Measure].[Product].&amp;[HPWH (&gt;55 gallons) Existing Construction]" c="HPWH (&gt;55 gallons) Existing Construction"/>
        <s v="[Measure].[Product].&amp;[HPWH (&lt;=55 gallons) New Construction]" c="HPWH (&lt;=55 gallons) New Construction"/>
        <s v="[Measure].[Product].&amp;[HPWH (&gt;55 gallons) New Construction]" c="HPWH (&gt;55 gallons) New Construction"/>
        <s v="[Measure].[Product].&amp;[OR Homes (Next Step)]" c="OR Homes (Next Step)"/>
        <s v="[Measure].[Product].&amp;[WA Homes (Next Step)]" c="WA Homes (Next Step)"/>
        <s v="[Measure].[Product].&amp;[ID National Green Building Standard  Single-family]" c="ID National Green Building Standard  Single-family"/>
        <s v="[Measure].[Product].&amp;[MT National Green Building Standard  Single-family]" c="MT National Green Building Standard  Single-family"/>
        <s v="[Measure].[Product].&amp;[OR National Green Building Standard  Single-family]" c="OR National Green Building Standard  Single-family"/>
        <s v="[Measure].[Product].&amp;[WA National Green Building Standard Single-family]" c="WA National Green Building Standard Single-family"/>
        <s v="[Measure].[Product].&amp;[WA BuiltGreen Single-family]" c="WA BuiltGreen Single-family"/>
        <s v="[Measure].[Product].&amp;[ID HERS and National ENERGY STAR Homes]" c="ID HERS and National ENERGY STAR Homes"/>
        <s v="[Measure].[Product].&amp;[MT HERS and National ENERGY STAR Homes]" c="MT HERS and National ENERGY STAR Homes"/>
        <s v="[Measure].[Product].&amp;[OR HERS and National ENERGY STAR Homes]" c="OR HERS and National ENERGY STAR Homes"/>
        <s v="[Measure].[Product].&amp;[WA HERS and National ENERGY STAR Homes]" c="WA HERS and National ENERGY STAR Homes"/>
        <s v="[Measure].[Product].&amp;[Energy Performance Score]" c="Energy Performance Score"/>
        <s v="[Measure].[Product].&amp;[WA BuiltGreen Multifamily]" c="WA BuiltGreen Multifamily"/>
        <s v="[Measure].[Product].&amp;[ID Performance Path]" c="ID Performance Path"/>
        <s v="[Measure].[Product].&amp;[MT Performance Path]" c="MT Performance Path"/>
        <s v="[Measure].[Product].&amp;[OR Performance Path]" c="OR Performance Path"/>
        <s v="[Measure].[Product].&amp;[WA Performance Path]" c="WA Performance Path"/>
        <s v="[Measure].[Product].&amp;[WA National Green Building Standard Multifamily]" c="WA National Green Building Standard Multifamily"/>
        <s v="[Measure].[Product].&amp;[OR Earth Advantage]" c="OR Earth Advantage"/>
        <s v="[Measure].[Product].&amp;[ID Homes (Next Step)]" c="ID Homes (Next Step)"/>
        <s v="[Measure].[Product].&amp;[MT Homes (Next Step)]" c="MT Homes (Next Step)"/>
        <s v="[Measure].[Product].&amp;[Residential Central AC]" c="Residential Central AC"/>
        <s v="[Measure].[Product].&amp;[Battery Chargers]" c="Battery Chargers"/>
        <s v="[Measure].[Product].&amp;[Residential Heat Pumps]" c="Residential Heat Pumps"/>
        <s v="[Measure].[Product].&amp;[External Power Supplies]" c="External Power Supplies"/>
        <s v="[Measure].[Product].&amp;[Freezers- Compact]" c="Freezers- Compact"/>
        <s v="[Measure].[Product].&amp;[Clothes Washers Top Loading]" c="Clothes Washers Top Loading"/>
        <s v="[Measure].[Product].&amp;[Refrigerators- Bottom Freezers]" c="Refrigerators- Bottom Freezers"/>
        <s v="[Measure].[Product].&amp;[Refrigerators- Side Freezers]" c="Refrigerators- Side Freezers"/>
        <s v="[Measure].[Product].&amp;[Air Cleaner]" c="Air Cleaner"/>
        <s v="[Measure].[Product].&amp;[Room AC]" c="Room AC"/>
        <s v="[Measure].[Product].&amp;[Soundbars]" c="Soundbars"/>
        <s v="[Measure].[Product].&amp;[Freezers- Upright]" c="Freezers- Upright"/>
        <s v="[Measure].[Product].&amp;[Refrigerators- Other]" c="Refrigerators- Other"/>
        <s v="[Measure].[Product].&amp;[UHD Televisions]" c="UHD Televisions"/>
        <s v="[Measure].[Product].&amp;[Clothes Washers Front Loading]" c="Clothes Washers Front Loading"/>
        <s v="[Measure].[Product].&amp;[Freezers- Chest]" c="Freezers- Chest"/>
        <s v="[Measure].[Product].&amp;[ID Manufactured Home]" c="ID Manufactured Home"/>
        <s v="[Measure].[Product].&amp;[MT Manufactured Home]" c="MT Manufactured Home"/>
        <s v="[Measure].[Product].&amp;[OR Manufactured Home]" c="OR Manufactured Home"/>
        <s v="[Measure].[Product].&amp;[WA Manufactured Home]" c="WA Manufactured Home"/>
        <s v="[Measure].[Product].&amp;[Unknown]" c="Unknown"/>
        <s v="[Measure].[Product].&amp;[Furnace Fans]" c="Furnace Fans"/>
      </sharedItems>
    </cacheField>
    <cacheField name="[Measure].[Tier].[Tier]" caption="Tier" numFmtId="0" hierarchy="50" level="1">
      <sharedItems count="109">
        <s v="[Measure].[Tier].&amp;[AM 400]" c="AM 400"/>
        <s v="[Measure].[Tier].&amp;[Level 1]" c="Level 1"/>
        <s v="[Measure].[Tier].&amp;[Single Tier]" c="Single Tier"/>
        <s v="[Measure].[Tier].&amp;[ID 2000 &amp; 2003 IECC]" c="ID 2000 &amp; 2003 IECC"/>
        <s v="[Measure].[Tier].&amp;[IECC 2030]" c="IECC 2030"/>
        <s v="[Measure].[Tier].&amp;[ID 2006 IECC]" c="ID 2006 IECC"/>
        <s v="[Measure].[Tier].&amp;[ID 2009 IECC]" c="ID 2009 IECC"/>
        <s v="[Measure].[Tier].&amp;[ID 2012 IECC]" c="ID 2012 IECC"/>
        <s v="[Measure].[Tier].&amp;[ID Code 2018-2021]" c="ID Code 2018-2021"/>
        <s v="[Measure].[Tier].&amp;[IECC 2021]" c="IECC 2021"/>
        <s v="[Measure].[Tier].&amp;[IECC 2024]" c="IECC 2024"/>
        <s v="[Measure].[Tier].&amp;[IECC 2027]" c="IECC 2027"/>
        <s v="[Measure].[Tier].&amp;[MT 2003 IECC w/ Amend]" c="MT 2003 IECC w/ Amend"/>
        <s v="[Measure].[Tier].&amp;[MT 2009 IECC w/ Amend]" c="MT 2009 IECC w/ Amend"/>
        <s v="[Measure].[Tier].&amp;[MT 2012 IECC]" c="MT 2012 IECC"/>
        <s v="[Measure].[Tier].&amp;[IECC 2018]" c="IECC 2018"/>
        <s v="[Measure].[Tier].&amp;[OR 2004 OSSC]" c="OR 2004 OSSC"/>
        <s v="[Measure].[Tier].&amp;[OEESC 2029]" c="OEESC 2029"/>
        <s v="[Measure].[Tier].&amp;[OR 2007 OSSC]" c="OR 2007 OSSC"/>
        <s v="[Measure].[Tier].&amp;[OR 2009 OEESC]" c="OR 2009 OEESC"/>
        <s v="[Measure].[Tier].&amp;[OR 2014 OEESC]" c="OR 2014 OEESC"/>
        <s v="[Measure].[Tier].&amp;[OR Code 2017-2020]" c="OR Code 2017-2020"/>
        <s v="[Measure].[Tier].&amp;[OEESC 2023]" c="OEESC 2023"/>
        <s v="[Measure].[Tier].&amp;[WA 2000 &amp; 2003 WSEC]" c="WA 2000 &amp; 2003 WSEC"/>
        <s v="[Measure].[Tier].&amp;[WA 2004 WSEC]" c="WA 2004 WSEC"/>
        <s v="[Measure].[Tier].&amp;[WA 2006 WSEC]" c="WA 2006 WSEC"/>
        <s v="[Measure].[Tier].&amp;[WA 2009 WSEC]" c="WA 2009 WSEC"/>
        <s v="[Measure].[Tier].&amp;[WA 2012 WSEC]" c="WA 2012 WSEC"/>
        <s v="[Measure].[Tier].&amp;[WA 2015 WSEC]" c="WA 2015 WSEC"/>
        <s v="[Measure].[Tier].&amp;[WSEC 2018]" c="WSEC 2018"/>
        <s v="[Measure].[Tier].&amp;[WSEC 2021]" c="WSEC 2021"/>
        <s v="[Measure].[Tier].&amp;[80 PLUS]" c="80 PLUS"/>
        <s v="[Measure].[Tier].&amp;[ENERGY STAR 5.0]" c="ENERGY STAR 5.0"/>
        <s v="[Measure].[Tier].&amp;[ENERGY STAR 6.0]" c="ENERGY STAR 6.0"/>
        <s v="[Measure].[Tier].&amp;[ENERGY STAR 7.0]" c="ENERGY STAR 7.0"/>
        <s v="[Measure].[Tier].&amp;[Tier 1]" c="Tier 1"/>
        <s v="[Measure].[Tier].&amp;[Pilot]" c="Pilot"/>
        <s v="[Measure].[Tier].&amp;[All Product Classes]" c="All Product Classes"/>
        <s v="[Measure].[Tier].&amp;[LLC]" c="LLC"/>
        <s v="[Measure].[Tier].&amp;[WSEC 2024]" c="WSEC 2024"/>
        <s v="[Measure].[Tier].&amp;[WSEC 2027]" c="WSEC 2027"/>
        <s v="[Measure].[Tier].&amp;[WSEC 2030]" c="WSEC 2030"/>
        <s v="[Measure].[Tier].&amp;[Non-Qualifying]" c="Non-Qualifying"/>
        <s v="[Measure].[Tier].&amp;[Below Fed Stnd (IMEF 0.88-1.02)]" c="Below Fed Stnd (IMEF 0.88-1.02)"/>
        <s v="[Measure].[Tier].&amp;[Below Fed Stnd (IMEF 1.03-1.31)]" c="Below Fed Stnd (IMEF 1.03-1.31)"/>
        <s v="[Measure].[Tier].&amp;[Fed Standard (IMEF 1.32-1.58)]" c="Fed Standard (IMEF 1.32-1.58)"/>
        <s v="[Measure].[Tier].&amp;[Fed Standard (IMEF 1.59-2.05)]" c="Fed Standard (IMEF 1.59-2.05)"/>
        <s v="[Measure].[Tier].&amp;[Energy Star (IMEF 2.06-2.37)]" c="Energy Star (IMEF 2.06-2.37)"/>
        <s v="[Measure].[Tier].&amp;[CEE Tier 1]" c="CEE Tier 1"/>
        <s v="[Measure].[Tier].&amp;[CEE Tier 2]" c="CEE Tier 2"/>
        <s v="[Measure].[Tier].&amp;[CEE Tier 3]" c="CEE Tier 3"/>
        <s v="[Measure].[Tier].&amp;[U Factor 0.35]" c="U Factor 0.35"/>
        <s v="[Measure].[Tier].&amp;[Energy Factor 52]" c="Energy Factor 52"/>
        <s v="[Measure].[Tier].&amp;[Energy Factor 58]" c="Energy Factor 58"/>
        <s v="[Measure].[Tier].&amp;[Energy Factor 65]" c="Energy Factor 65"/>
        <s v="[Measure].[Tier].&amp;[Energy Factor 68]" c="Energy Factor 68"/>
        <s v="[Measure].[Tier].&amp;[ENERGY STAR 2003]" c="ENERGY STAR 2003"/>
        <s v="[Measure].[Tier].&amp;[ENERGY STAR 2008]" c="ENERGY STAR 2008"/>
        <s v="[Measure].[Tier].&amp;[ENERGY STAR +10-15% above Standard (CEE Tier 1)]" c="ENERGY STAR +10-15% above Standard (CEE Tier 1)"/>
        <s v="[Measure].[Tier].&amp;[ENERGY STAR +15-20% above Standard (CEE Tier 2; 2016 and 2017 ENERGY STAR Most Efficient)]" c="ENERGY STAR +15-20% above Standard (CEE Tier 2; 2016 and 2017 ENERGY STAR Most Efficient)"/>
        <s v="[Measure].[Tier].&amp;[ENERGY STAR +20% or better above Standard (CEE Tier 3)]" c="ENERGY STAR +20% or better above Standard (CEE Tier 3)"/>
        <s v="[Measure].[Tier].&amp;[Energy Star]" c="Energy Star"/>
        <s v="[Measure].[Tier].&amp;[IECC 2006]" c="IECC 2006"/>
        <s v="[Measure].[Tier].&amp;[IECC 2009]" c="IECC 2009"/>
        <s v="[Measure].[Tier].&amp;[IECC 2012 w ID amend.]" c="IECC 2012 w ID amend."/>
        <s v="[Measure].[Tier].&amp;[IECC 2003 w MT amend.]" c="IECC 2003 w MT amend."/>
        <s v="[Measure].[Tier].&amp;[IECC 2009 w MT amend.]" c="IECC 2009 w MT amend."/>
        <s v="[Measure].[Tier].&amp;[IECC 2012 w MT amend.]" c="IECC 2012 w MT amend."/>
        <s v="[Measure].[Tier].&amp;[Or. Res Specialty 2008]" c="Or. Res Specialty 2008"/>
        <s v="[Measure].[Tier].&amp;[Or. Res Specialty 2012]" c="Or. Res Specialty 2012"/>
        <s v="[Measure].[Tier].&amp;[WSEC 2006]" c="WSEC 2006"/>
        <s v="[Measure].[Tier].&amp;[WSEC 2009]" c="WSEC 2009"/>
        <s v="[Measure].[Tier].&amp;[WSEC 2012]" c="WSEC 2012"/>
        <s v="[Measure].[Tier].&amp;[UCEF 3.00 to 3.39]" c="UCEF 3.00 to 3.39"/>
        <s v="[Measure].[Tier].&amp;[UCEF 3.40 to 3.99]" c="UCEF 3.40 to 3.99"/>
        <s v="[Measure].[Tier].&amp;[UCEF 4.00 to 4.99]" c="UCEF 4.00 to 4.99"/>
        <s v="[Measure].[Tier].&amp;[UCEF 5.00 to 5.99]" c="UCEF 5.00 to 5.99"/>
        <s v="[Measure].[Tier].&amp;[UCEF 6.00 to 6.99]" c="UCEF 6.00 to 6.99"/>
        <s v="[Measure].[Tier].&amp;[UCEF 7.00 to 7.99]" c="UCEF 7.00 to 7.99"/>
        <s v="[Measure].[Tier].&amp;[Tier 2]" c="Tier 2"/>
        <s v="[Measure].[Tier].&amp;[Tier 3]" c="Tier 3"/>
        <s v="[Measure].[Tier].&amp;[Tier 4]" c="Tier 4"/>
        <s v="[Measure].[Tier].&amp;[Tier 5]" c="Tier 5"/>
        <s v="[Measure].[Tier].&amp;[Next Step Home]" c="Next Step Home"/>
        <s v="[Measure].[Tier].&amp;[Above Code Building]" c="Above Code Building"/>
        <s v="[Measure].[Tier].&amp;[IECC 2015]" c="IECC 2015"/>
        <s v="[Measure].[Tier].&amp;[Or. Specialty Code 2017]" c="Or. Specialty Code 2017"/>
        <s v="[Measure].[Tier].&amp;[Or. Specialty Code 2020]" c="Or. Specialty Code 2020"/>
        <s v="[Measure].[Tier].&amp;[Or. Specialty Code 2023]" c="Or. Specialty Code 2023"/>
        <s v="[Measure].[Tier].&amp;[WSEC 2015]" c="WSEC 2015"/>
        <s v="[Measure].[Tier].&amp;[WSEC 2021-2023]" c="WSEC 2021-2023"/>
        <s v="[Measure].[Tier].&amp;[ENERGY STAR V5.0 +5%]" c="ENERGY STAR V5.0 +5%"/>
        <s v="[Measure].[Tier].&amp;[ENERGY STAR 7]" c="ENERGY STAR 7"/>
        <s v="[Measure].[Tier].&amp;[ENERGY STAR Most Efficient 2017]" c="ENERGY STAR Most Efficient 2017"/>
        <s v="[Measure].[Tier].&amp;[ENERGY STAR Most Efficient +5%]" c="ENERGY STAR Most Efficient +5%"/>
        <s v="[Measure].[Tier].&amp;[ENERGY STAR 1.2]" c="ENERGY STAR 1.2"/>
        <s v="[Measure].[Tier].&amp;[ENERGY STAR 1.2 +30%]" c="ENERGY STAR 1.2 +30%"/>
        <s v="[Measure].[Tier].&amp;[ENERGY STAR 1.2 +50%]" c="ENERGY STAR 1.2 +50%"/>
        <s v="[Measure].[Tier].&amp;[ENERGY STAR V4]" c="ENERGY STAR V4"/>
        <s v="[Measure].[Tier].&amp;[ENERGY STAR V3]" c="ENERGY STAR V3"/>
        <s v="[Measure].[Tier].&amp;[ENERGY STAR V3 +15%]" c="ENERGY STAR V3 +15%"/>
        <s v="[Measure].[Tier].&amp;[ENERGY STAR V3 +50%]" c="ENERGY STAR V3 +50%"/>
        <s v="[Measure].[Tier].&amp;[TBD]" c="TBD"/>
        <s v="[Measure].[Tier].&amp;[ENERGY STAR +20%]" c="ENERGY STAR +20%"/>
        <s v="[Measure].[Tier].&amp;[ENERGY STAR +35%]" c="ENERGY STAR +35%"/>
        <s v="[Measure].[Tier].&amp;[ENERGY STAR Most Efficient 2018]" c="ENERGY STAR Most Efficient 2018"/>
        <s v="[Measure].[Tier].&amp;[HUD Code]" c="HUD Code"/>
        <s v="[Measure].[Tier].&amp;[NEEM Plus]" c="NEEM Plus"/>
        <s v="[Measure].[Tier].&amp;[Unknown]" c="Unknown"/>
      </sharedItems>
    </cacheField>
    <cacheField name="[Measure].[Measure Index].[Measure Index]" caption="Measure Index" numFmtId="0" hierarchy="45" level="1">
      <sharedItems count="270">
        <s v="[Measure].[Measure Index].&amp;[AGR_200201_P1T1]" c="AGR_200201_P1T1"/>
        <s v="[Measure].[Measure Index].&amp;[AGR_201401_P1T1]" c="AGR_201401_P1T1"/>
        <s v="[Measure].[Measure Index].&amp;[COM_199701_P1T1]" c="COM_199701_P1T1"/>
        <s v="[Measure].[Measure Index].&amp;[COM_200002_P1T1]" c="COM_200002_P1T1"/>
        <s v="[Measure].[Measure Index].&amp;[COM_200002_P2T1]" c="COM_200002_P2T1"/>
        <s v="[Measure].[Measure Index].&amp;[COM_200002_P3T1]" c="COM_200002_P3T1"/>
        <s v="[Measure].[Measure Index].&amp;[COM_200002_P4T1]" c="COM_200002_P4T1"/>
        <s v="[Measure].[Measure Index].&amp;[COM_200202_P1T1]" c="COM_200202_P1T1"/>
        <s v="[Measure].[Measure Index].&amp;[COM_200202_P1T10]" c="COM_200202_P1T10"/>
        <s v="[Measure].[Measure Index].&amp;[COM_200202_P1T2]" c="COM_200202_P1T2"/>
        <s v="[Measure].[Measure Index].&amp;[COM_200202_P1T3]" c="COM_200202_P1T3"/>
        <s v="[Measure].[Measure Index].&amp;[COM_200202_P1T4]" c="COM_200202_P1T4"/>
        <s v="[Measure].[Measure Index].&amp;[COM_200202_P1T5]" c="COM_200202_P1T5"/>
        <s v="[Measure].[Measure Index].&amp;[COM_200202_P1T7]" c="COM_200202_P1T7"/>
        <s v="[Measure].[Measure Index].&amp;[COM_200202_P1T8]" c="COM_200202_P1T8"/>
        <s v="[Measure].[Measure Index].&amp;[COM_200202_P1T9]" c="COM_200202_P1T9"/>
        <s v="[Measure].[Measure Index].&amp;[COM_200202_P2T1]" c="COM_200202_P2T1"/>
        <s v="[Measure].[Measure Index].&amp;[COM_200202_P2T10]" c="COM_200202_P2T10"/>
        <s v="[Measure].[Measure Index].&amp;[COM_200202_P2T2]" c="COM_200202_P2T2"/>
        <s v="[Measure].[Measure Index].&amp;[COM_200202_P2T3]" c="COM_200202_P2T3"/>
        <s v="[Measure].[Measure Index].&amp;[COM_200202_P2T6]" c="COM_200202_P2T6"/>
        <s v="[Measure].[Measure Index].&amp;[COM_200202_P2T7]" c="COM_200202_P2T7"/>
        <s v="[Measure].[Measure Index].&amp;[COM_200202_P2T8]" c="COM_200202_P2T8"/>
        <s v="[Measure].[Measure Index].&amp;[COM_200202_P2T9]" c="COM_200202_P2T9"/>
        <s v="[Measure].[Measure Index].&amp;[COM_200202_P3T1]" c="COM_200202_P3T1"/>
        <s v="[Measure].[Measure Index].&amp;[COM_200202_P3T10]" c="COM_200202_P3T10"/>
        <s v="[Measure].[Measure Index].&amp;[COM_200202_P3T2]" c="COM_200202_P3T2"/>
        <s v="[Measure].[Measure Index].&amp;[COM_200202_P3T3]" c="COM_200202_P3T3"/>
        <s v="[Measure].[Measure Index].&amp;[COM_200202_P3T4]" c="COM_200202_P3T4"/>
        <s v="[Measure].[Measure Index].&amp;[COM_200202_P3T5]" c="COM_200202_P3T5"/>
        <s v="[Measure].[Measure Index].&amp;[COM_200202_P3T8]" c="COM_200202_P3T8"/>
        <s v="[Measure].[Measure Index].&amp;[COM_200202_P4T1]" c="COM_200202_P4T1"/>
        <s v="[Measure].[Measure Index].&amp;[COM_200202_P4T2]" c="COM_200202_P4T2"/>
        <s v="[Measure].[Measure Index].&amp;[COM_200202_P4T3]" c="COM_200202_P4T3"/>
        <s v="[Measure].[Measure Index].&amp;[COM_200202_P4T4]" c="COM_200202_P4T4"/>
        <s v="[Measure].[Measure Index].&amp;[COM_200202_P4T5]" c="COM_200202_P4T5"/>
        <s v="[Measure].[Measure Index].&amp;[COM_200202_P4T6]" c="COM_200202_P4T6"/>
        <s v="[Measure].[Measure Index].&amp;[COM_200202_P4T8]" c="COM_200202_P4T8"/>
        <s v="[Measure].[Measure Index].&amp;[COM_200202_P4T9]" c="COM_200202_P4T9"/>
        <s v="[Measure].[Measure Index].&amp;[COM_200203_P1T1]" c="COM_200203_P1T1"/>
        <s v="[Measure].[Measure Index].&amp;[COM_200701_P1T1]" c="COM_200701_P1T1"/>
        <s v="[Measure].[Measure Index].&amp;[COM_200701_P1T2]" c="COM_200701_P1T2"/>
        <s v="[Measure].[Measure Index].&amp;[COM_200701_P1T3]" c="COM_200701_P1T3"/>
        <s v="[Measure].[Measure Index].&amp;[COM_200701_P1T4]" c="COM_200701_P1T4"/>
        <s v="[Measure].[Measure Index].&amp;[COM_200702_P1T1]" c="COM_200702_P1T1"/>
        <s v="[Measure].[Measure Index].&amp;[COM_200801_P1T1]" c="COM_200801_P1T1"/>
        <s v="[Measure].[Measure Index].&amp;[COM_200802_P1T1]" c="COM_200802_P1T1"/>
        <s v="[Measure].[Measure Index].&amp;[COM_200803_P1T1]" c="COM_200803_P1T1"/>
        <s v="[Measure].[Measure Index].&amp;[COM_200803_P2T1]" c="COM_200803_P2T1"/>
        <s v="[Measure].[Measure Index].&amp;[COM_200803_P3T1]" c="COM_200803_P3T1"/>
        <s v="[Measure].[Measure Index].&amp;[COM_200803_P4T1]" c="COM_200803_P4T1"/>
        <s v="[Measure].[Measure Index].&amp;[COM_200901_P1T1]" c="COM_200901_P1T1"/>
        <s v="[Measure].[Measure Index].&amp;[COM_201101_P1T1]" c="COM_201101_P1T1"/>
        <s v="[Measure].[Measure Index].&amp;[COM_201201_P1T1]" c="COM_201201_P1T1"/>
        <s v="[Measure].[Measure Index].&amp;[COM_201304_P12T1]" c="COM_201304_P12T1"/>
        <s v="[Measure].[Measure Index].&amp;[COM_201304_P2T1]" c="COM_201304_P2T1"/>
        <s v="[Measure].[Measure Index].&amp;[COM_201304_P4T1]" c="COM_201304_P4T1"/>
        <s v="[Measure].[Measure Index].&amp;[COM_201304_P7T1]" c="COM_201304_P7T1"/>
        <s v="[Measure].[Measure Index].&amp;[COM_201305_P1T1]" c="COM_201305_P1T1"/>
        <s v="[Measure].[Measure Index].&amp;[COM_201401_P1T1]" c="COM_201401_P1T1"/>
        <s v="[Measure].[Measure Index].&amp;[COM_201403_P1T1]" c="COM_201403_P1T1"/>
        <s v="[Measure].[Measure Index].&amp;[COM_201403_P2T1]" c="COM_201403_P2T1"/>
        <s v="[Measure].[Measure Index].&amp;[COM_201403_P3T1]" c="COM_201403_P3T1"/>
        <s v="[Measure].[Measure Index].&amp;[COM_201403_P4T1]" c="COM_201403_P4T1"/>
        <s v="[Measure].[Measure Index].&amp;[COM_201405_P1T1]" c="COM_201405_P1T1"/>
        <s v="[Measure].[Measure Index].&amp;[COM_201405_P2T1]" c="COM_201405_P2T1"/>
        <s v="[Measure].[Measure Index].&amp;[COM_201602_P1T1]" c="COM_201602_P1T1"/>
        <s v="[Measure].[Measure Index].&amp;[COM_201602_P1T2]" c="COM_201602_P1T2"/>
        <s v="[Measure].[Measure Index].&amp;[COM_201602_P1T3]" c="COM_201602_P1T3"/>
        <s v="[Measure].[Measure Index].&amp;[COM_201602_P1T4]" c="COM_201602_P1T4"/>
        <s v="[Measure].[Measure Index].&amp;[COM_201602_P2T1]" c="COM_201602_P2T1"/>
        <s v="[Measure].[Measure Index].&amp;[COM_201602_P2T2]" c="COM_201602_P2T2"/>
        <s v="[Measure].[Measure Index].&amp;[COM_201602_P2T3]" c="COM_201602_P2T3"/>
        <s v="[Measure].[Measure Index].&amp;[COM_201602_P2T4]" c="COM_201602_P2T4"/>
        <s v="[Measure].[Measure Index].&amp;[COM_201602_P2T5]" c="COM_201602_P2T5"/>
        <s v="[Measure].[Measure Index].&amp;[COM_201602_P3T2]" c="COM_201602_P3T2"/>
        <s v="[Measure].[Measure Index].&amp;[COM_201602_P3T4]" c="COM_201602_P3T4"/>
        <s v="[Measure].[Measure Index].&amp;[COM_201602_P4T1]" c="COM_201602_P4T1"/>
        <s v="[Measure].[Measure Index].&amp;[COM_201602_P4T10]" c="COM_201602_P4T10"/>
        <s v="[Measure].[Measure Index].&amp;[COM_201602_P4T11]" c="COM_201602_P4T11"/>
        <s v="[Measure].[Measure Index].&amp;[COM_201602_P4T12]" c="COM_201602_P4T12"/>
        <s v="[Measure].[Measure Index].&amp;[COM_201602_P4T2]" c="COM_201602_P4T2"/>
        <s v="[Measure].[Measure Index].&amp;[COM_201602_P4T3]" c="COM_201602_P4T3"/>
        <s v="[Measure].[Measure Index].&amp;[COM_201602_P4T4]" c="COM_201602_P4T4"/>
        <s v="[Measure].[Measure Index].&amp;[COM_201602_P4T5]" c="COM_201602_P4T5"/>
        <s v="[Measure].[Measure Index].&amp;[IND_199801_P1T1]" c="IND_199801_P1T1"/>
        <s v="[Measure].[Measure Index].&amp;[IND_199802_P1T1]" c="IND_199802_P1T1"/>
        <s v="[Measure].[Measure Index].&amp;[IND_199901_P1T1]" c="IND_199901_P1T1"/>
        <s v="[Measure].[Measure Index].&amp;[IND_199902_P1T1]" c="IND_199902_P1T1"/>
        <s v="[Measure].[Measure Index].&amp;[IND_199902_P2T1]" c="IND_199902_P2T1"/>
        <s v="[Measure].[Measure Index].&amp;[IND_200004_P1T1]" c="IND_200004_P1T1"/>
        <s v="[Measure].[Measure Index].&amp;[IND_200402_P1T1]" c="IND_200402_P1T1"/>
        <s v="[Measure].[Measure Index].&amp;[IND_200402_P2T1]" c="IND_200402_P2T1"/>
        <s v="[Measure].[Measure Index].&amp;[IND_200402_P3T1]" c="IND_200402_P3T1"/>
        <s v="[Measure].[Measure Index].&amp;[IND_200602_P1T1]" c="IND_200602_P1T1"/>
        <s v="[Measure].[Measure Index].&amp;[IND_200603_P1T1]" c="IND_200603_P1T1"/>
        <s v="[Measure].[Measure Index].&amp;[IND_200702_P1T1]" c="IND_200702_P1T1"/>
        <s v="[Measure].[Measure Index].&amp;[IND_201301_P1T1]" c="IND_201301_P1T1"/>
        <s v="[Measure].[Measure Index].&amp;[IND_201302_P1T1]" c="IND_201302_P1T1"/>
        <s v="[Measure].[Measure Index].&amp;[OTH_201601_P1T0]" c="OTH_201601_P1T0"/>
        <s v="[Measure].[Measure Index].&amp;[OTH_201601_P1T1]" c="OTH_201601_P1T1"/>
        <s v="[Measure].[Measure Index].&amp;[OTH_201601_P2T0]" c="OTH_201601_P2T0"/>
        <s v="[Measure].[Measure Index].&amp;[OTH_201601_P2T1]" c="OTH_201601_P2T1"/>
        <s v="[Measure].[Measure Index].&amp;[OTH_201601_P3T0]" c="OTH_201601_P3T0"/>
        <s v="[Measure].[Measure Index].&amp;[OTH_201601_P3T1]" c="OTH_201601_P3T1"/>
        <s v="[Measure].[Measure Index].&amp;[RES_199702_P1T1]" c="RES_199702_P1T1"/>
        <s v="[Measure].[Measure Index].&amp;[RES_199702_P1T2]" c="RES_199702_P1T2"/>
        <s v="[Measure].[Measure Index].&amp;[RES_199702_P1T3]" c="RES_199702_P1T3"/>
        <s v="[Measure].[Measure Index].&amp;[RES_199702_P1T4]" c="RES_199702_P1T4"/>
        <s v="[Measure].[Measure Index].&amp;[RES_199702_P1T5]" c="RES_199702_P1T5"/>
        <s v="[Measure].[Measure Index].&amp;[RES_199702_P1T6]" c="RES_199702_P1T6"/>
        <s v="[Measure].[Measure Index].&amp;[RES_199702_P1T7]" c="RES_199702_P1T7"/>
        <s v="[Measure].[Measure Index].&amp;[RES_199702_P1T8]" c="RES_199702_P1T8"/>
        <s v="[Measure].[Measure Index].&amp;[RES_199703_P1T1]" c="RES_199703_P1T1"/>
        <s v="[Measure].[Measure Index].&amp;[RES_199703_P2T1]" c="RES_199703_P2T1"/>
        <s v="[Measure].[Measure Index].&amp;[RES_199703_P3T1]" c="RES_199703_P3T1"/>
        <s v="[Measure].[Measure Index].&amp;[RES_199703_P4T1]" c="RES_199703_P4T1"/>
        <s v="[Measure].[Measure Index].&amp;[RES_199703_P5T1]" c="RES_199703_P5T1"/>
        <s v="[Measure].[Measure Index].&amp;[RES_199703_P6T1]" c="RES_199703_P6T1"/>
        <s v="[Measure].[Measure Index].&amp;[RES_199705_P1T1]" c="RES_199705_P1T1"/>
        <s v="[Measure].[Measure Index].&amp;[RES_199706_P1T1]" c="RES_199706_P1T1"/>
        <s v="[Measure].[Measure Index].&amp;[RES_199802_P1T1]" c="RES_199802_P1T1"/>
        <s v="[Measure].[Measure Index].&amp;[RES_200005_P1T1]" c="RES_200005_P1T1"/>
        <s v="[Measure].[Measure Index].&amp;[RES_200005_P1T2]" c="RES_200005_P1T2"/>
        <s v="[Measure].[Measure Index].&amp;[RES_200005_P1T3]" c="RES_200005_P1T3"/>
        <s v="[Measure].[Measure Index].&amp;[RES_200005_P1T4]" c="RES_200005_P1T4"/>
        <s v="[Measure].[Measure Index].&amp;[RES_200006_P1T1]" c="RES_200006_P1T1"/>
        <s v="[Measure].[Measure Index].&amp;[RES_200006_P1T2]" c="RES_200006_P1T2"/>
        <s v="[Measure].[Measure Index].&amp;[RES_200006_P1T3]" c="RES_200006_P1T3"/>
        <s v="[Measure].[Measure Index].&amp;[RES_200006_P1T4]" c="RES_200006_P1T4"/>
        <s v="[Measure].[Measure Index].&amp;[RES_200006_P1T5]" c="RES_200006_P1T5"/>
        <s v="[Measure].[Measure Index].&amp;[RES_200401_P11T1]" c="RES_200401_P11T1"/>
        <s v="[Measure].[Measure Index].&amp;[RES_200401_P12T1]" c="RES_200401_P12T1"/>
        <s v="[Measure].[Measure Index].&amp;[RES_200401_P13T1]" c="RES_200401_P13T1"/>
        <s v="[Measure].[Measure Index].&amp;[RES_200401_P15T1]" c="RES_200401_P15T1"/>
        <s v="[Measure].[Measure Index].&amp;[RES_200401_P1T1]" c="RES_200401_P1T1"/>
        <s v="[Measure].[Measure Index].&amp;[RES_200401_P1T2]" c="RES_200401_P1T2"/>
        <s v="[Measure].[Measure Index].&amp;[RES_200401_P1T3]" c="RES_200401_P1T3"/>
        <s v="[Measure].[Measure Index].&amp;[RES_200401_P2T1]" c="RES_200401_P2T1"/>
        <s v="[Measure].[Measure Index].&amp;[RES_200401_P2T2]" c="RES_200401_P2T2"/>
        <s v="[Measure].[Measure Index].&amp;[RES_200401_P2T3]" c="RES_200401_P2T3"/>
        <s v="[Measure].[Measure Index].&amp;[RES_200401_P3T1]" c="RES_200401_P3T1"/>
        <s v="[Measure].[Measure Index].&amp;[RES_200401_P3T2]" c="RES_200401_P3T2"/>
        <s v="[Measure].[Measure Index].&amp;[RES_200401_P4T1]" c="RES_200401_P4T1"/>
        <s v="[Measure].[Measure Index].&amp;[RES_200401_P4T2]" c="RES_200401_P4T2"/>
        <s v="[Measure].[Measure Index].&amp;[RES_200401_P4T3]" c="RES_200401_P4T3"/>
        <s v="[Measure].[Measure Index].&amp;[RES_200401_P5T1]" c="RES_200401_P5T1"/>
        <s v="[Measure].[Measure Index].&amp;[RES_200401_P6T1]" c="RES_200401_P6T1"/>
        <s v="[Measure].[Measure Index].&amp;[RES_200401_P7T1]" c="RES_200401_P7T1"/>
        <s v="[Measure].[Measure Index].&amp;[RES_200601_P1T1]" c="RES_200601_P1T1"/>
        <s v="[Measure].[Measure Index].&amp;[RES_200601_P1T2]" c="RES_200601_P1T2"/>
        <s v="[Measure].[Measure Index].&amp;[RES_200601_P1T3]" c="RES_200601_P1T3"/>
        <s v="[Measure].[Measure Index].&amp;[RES_200601_P2T1]" c="RES_200601_P2T1"/>
        <s v="[Measure].[Measure Index].&amp;[RES_200601_P2T2]" c="RES_200601_P2T2"/>
        <s v="[Measure].[Measure Index].&amp;[RES_200601_P2T3]" c="RES_200601_P2T3"/>
        <s v="[Measure].[Measure Index].&amp;[RES_200601_P3T1]" c="RES_200601_P3T1"/>
        <s v="[Measure].[Measure Index].&amp;[RES_200601_P4T1]" c="RES_200601_P4T1"/>
        <s v="[Measure].[Measure Index].&amp;[RES_200601_P4T2]" c="RES_200601_P4T2"/>
        <s v="[Measure].[Measure Index].&amp;[RES_200601_P4T3]" c="RES_200601_P4T3"/>
        <s v="[Measure].[Measure Index].&amp;[RES_200804_P1T1]" c="RES_200804_P1T1"/>
        <s v="[Measure].[Measure Index].&amp;[RES_200804_P2T1]" c="RES_200804_P2T1"/>
        <s v="[Measure].[Measure Index].&amp;[RES_200804_P3T1]" c="RES_200804_P3T1"/>
        <s v="[Measure].[Measure Index].&amp;[RES_201101_P1T1]" c="RES_201101_P1T1"/>
        <s v="[Measure].[Measure Index].&amp;[RES_201101_P1T2]" c="RES_201101_P1T2"/>
        <s v="[Measure].[Measure Index].&amp;[RES_201101_P1T3]" c="RES_201101_P1T3"/>
        <s v="[Measure].[Measure Index].&amp;[RES_201101_P1T4]" c="RES_201101_P1T4"/>
        <s v="[Measure].[Measure Index].&amp;[RES_201101_P1T5]" c="RES_201101_P1T5"/>
        <s v="[Measure].[Measure Index].&amp;[RES_201101_P1T6]" c="RES_201101_P1T6"/>
        <s v="[Measure].[Measure Index].&amp;[RES_201202_P1T1]" c="RES_201202_P1T1"/>
        <s v="[Measure].[Measure Index].&amp;[RES_201202_P1T2]" c="RES_201202_P1T2"/>
        <s v="[Measure].[Measure Index].&amp;[RES_201202_P1T3]" c="RES_201202_P1T3"/>
        <s v="[Measure].[Measure Index].&amp;[RES_201202_P1T4]" c="RES_201202_P1T4"/>
        <s v="[Measure].[Measure Index].&amp;[RES_201202_P1T5]" c="RES_201202_P1T5"/>
        <s v="[Measure].[Measure Index].&amp;[RES_201202_P2T1]" c="RES_201202_P2T1"/>
        <s v="[Measure].[Measure Index].&amp;[RES_201202_P2T2]" c="RES_201202_P2T2"/>
        <s v="[Measure].[Measure Index].&amp;[RES_201202_P2T3]" c="RES_201202_P2T3"/>
        <s v="[Measure].[Measure Index].&amp;[RES_201202_P2T4]" c="RES_201202_P2T4"/>
        <s v="[Measure].[Measure Index].&amp;[RES_201202_P2T5]" c="RES_201202_P2T5"/>
        <s v="[Measure].[Measure Index].&amp;[RES_201202_P3T1]" c="RES_201202_P3T1"/>
        <s v="[Measure].[Measure Index].&amp;[RES_201202_P3T2]" c="RES_201202_P3T2"/>
        <s v="[Measure].[Measure Index].&amp;[RES_201202_P3T3]" c="RES_201202_P3T3"/>
        <s v="[Measure].[Measure Index].&amp;[RES_201202_P3T4]" c="RES_201202_P3T4"/>
        <s v="[Measure].[Measure Index].&amp;[RES_201202_P3T5]" c="RES_201202_P3T5"/>
        <s v="[Measure].[Measure Index].&amp;[RES_201202_P4T1]" c="RES_201202_P4T1"/>
        <s v="[Measure].[Measure Index].&amp;[RES_201202_P4T2]" c="RES_201202_P4T2"/>
        <s v="[Measure].[Measure Index].&amp;[RES_201202_P4T3]" c="RES_201202_P4T3"/>
        <s v="[Measure].[Measure Index].&amp;[RES_201202_P4T4]" c="RES_201202_P4T4"/>
        <s v="[Measure].[Measure Index].&amp;[RES_201202_P4T5]" c="RES_201202_P4T5"/>
        <s v="[Measure].[Measure Index].&amp;[RES_201301_P10T1]" c="RES_201301_P10T1"/>
        <s v="[Measure].[Measure Index].&amp;[RES_201301_P11T1]" c="RES_201301_P11T1"/>
        <s v="[Measure].[Measure Index].&amp;[RES_201301_P12T1]" c="RES_201301_P12T1"/>
        <s v="[Measure].[Measure Index].&amp;[RES_201301_P13T1]" c="RES_201301_P13T1"/>
        <s v="[Measure].[Measure Index].&amp;[RES_201301_P13T2]" c="RES_201301_P13T2"/>
        <s v="[Measure].[Measure Index].&amp;[RES_201301_P13T3]" c="RES_201301_P13T3"/>
        <s v="[Measure].[Measure Index].&amp;[RES_201301_P13T4]" c="RES_201301_P13T4"/>
        <s v="[Measure].[Measure Index].&amp;[RES_201301_P14T1]" c="RES_201301_P14T1"/>
        <s v="[Measure].[Measure Index].&amp;[RES_201301_P15T1]" c="RES_201301_P15T1"/>
        <s v="[Measure].[Measure Index].&amp;[RES_201301_P15T2]" c="RES_201301_P15T2"/>
        <s v="[Measure].[Measure Index].&amp;[RES_201301_P15T3]" c="RES_201301_P15T3"/>
        <s v="[Measure].[Measure Index].&amp;[RES_201301_P15T4]" c="RES_201301_P15T4"/>
        <s v="[Measure].[Measure Index].&amp;[RES_201301_P17T1]" c="RES_201301_P17T1"/>
        <s v="[Measure].[Measure Index].&amp;[RES_201301_P18T1]" c="RES_201301_P18T1"/>
        <s v="[Measure].[Measure Index].&amp;[Res_201301_P19T1]" c="Res_201301_P19T1"/>
        <s v="[Measure].[Measure Index].&amp;[RES_201301_P1T4]" c="RES_201301_P1T4"/>
        <s v="[Measure].[Measure Index].&amp;[RES_201301_P1T5]" c="RES_201301_P1T5"/>
        <s v="[Measure].[Measure Index].&amp;[Res_201301_P20T3]" c="Res_201301_P20T3"/>
        <s v="[Measure].[Measure Index].&amp;[RES_201301_P21T1]" c="RES_201301_P21T1"/>
        <s v="[Measure].[Measure Index].&amp;[RES_201301_P22T1]" c="RES_201301_P22T1"/>
        <s v="[Measure].[Measure Index].&amp;[RES_201301_P23T1]" c="RES_201301_P23T1"/>
        <s v="[Measure].[Measure Index].&amp;[RES_201301_P24T1]" c="RES_201301_P24T1"/>
        <s v="[Measure].[Measure Index].&amp;[RES_201301_P25T1]" c="RES_201301_P25T1"/>
        <s v="[Measure].[Measure Index].&amp;[RES_201301_P26T5]" c="RES_201301_P26T5"/>
        <s v="[Measure].[Measure Index].&amp;[RES_201301_P2T4]" c="RES_201301_P2T4"/>
        <s v="[Measure].[Measure Index].&amp;[RES_201301_P2T5]" c="RES_201301_P2T5"/>
        <s v="[Measure].[Measure Index].&amp;[Res_201301_P3T3]" c="Res_201301_P3T3"/>
        <s v="[Measure].[Measure Index].&amp;[RES_201301_P3T4]" c="RES_201301_P3T4"/>
        <s v="[Measure].[Measure Index].&amp;[RES_201301_P3T5]" c="RES_201301_P3T5"/>
        <s v="[Measure].[Measure Index].&amp;[RES_201301_P4T4]" c="RES_201301_P4T4"/>
        <s v="[Measure].[Measure Index].&amp;[RES_201301_P4T5]" c="RES_201301_P4T5"/>
        <s v="[Measure].[Measure Index].&amp;[RES_201301_P4T6]" c="RES_201301_P4T6"/>
        <s v="[Measure].[Measure Index].&amp;[RES_201301_P5T1]" c="RES_201301_P5T1"/>
        <s v="[Measure].[Measure Index].&amp;[RES_201301_P6T1]" c="RES_201301_P6T1"/>
        <s v="[Measure].[Measure Index].&amp;[RES_201301_P7T1]" c="RES_201301_P7T1"/>
        <s v="[Measure].[Measure Index].&amp;[RES_201301_P8T1]" c="RES_201301_P8T1"/>
        <s v="[Measure].[Measure Index].&amp;[RES_201301_P9T1]" c="RES_201301_P9T1"/>
        <s v="[Measure].[Measure Index].&amp;[RES_201402_P2T1]" c="RES_201402_P2T1"/>
        <s v="[Measure].[Measure Index].&amp;[RES_201402_P3T1]" c="RES_201402_P3T1"/>
        <s v="[Measure].[Measure Index].&amp;[RES_201402_P4T1]" c="RES_201402_P4T1"/>
        <s v="[Measure].[Measure Index].&amp;[RES_201402_P6T1]" c="RES_201402_P6T1"/>
        <s v="[Measure].[Measure Index].&amp;[RES_201402_P7T1]" c="RES_201402_P7T1"/>
        <s v="[Measure].[Measure Index].&amp;[RES_201402_P8T1]" c="RES_201402_P8T1"/>
        <s v="[Measure].[Measure Index].&amp;[RES_201403_P10T1]" c="RES_201403_P10T1"/>
        <s v="[Measure].[Measure Index].&amp;[RES_201403_P10T2]" c="RES_201403_P10T2"/>
        <s v="[Measure].[Measure Index].&amp;[RES_201403_P11T1]" c="RES_201403_P11T1"/>
        <s v="[Measure].[Measure Index].&amp;[RES_201403_P11T2]" c="RES_201403_P11T2"/>
        <s v="[Measure].[Measure Index].&amp;[RES_201403_P11T3]" c="RES_201403_P11T3"/>
        <s v="[Measure].[Measure Index].&amp;[RES_201403_P12T1]" c="RES_201403_P12T1"/>
        <s v="[Measure].[Measure Index].&amp;[RES_201403_P12T2]" c="RES_201403_P12T2"/>
        <s v="[Measure].[Measure Index].&amp;[RES_201403_P13T1]" c="RES_201403_P13T1"/>
        <s v="[Measure].[Measure Index].&amp;[RES_201403_P13T2]" c="RES_201403_P13T2"/>
        <s v="[Measure].[Measure Index].&amp;[RES_201403_P2T0]" c="RES_201403_P2T0"/>
        <s v="[Measure].[Measure Index].&amp;[RES_201403_P2T1]" c="RES_201403_P2T1"/>
        <s v="[Measure].[Measure Index].&amp;[RES_201403_P2T2]" c="RES_201403_P2T2"/>
        <s v="[Measure].[Measure Index].&amp;[RES_201403_P2T3]" c="RES_201403_P2T3"/>
        <s v="[Measure].[Measure Index].&amp;[RES_201403_P3T1]" c="RES_201403_P3T1"/>
        <s v="[Measure].[Measure Index].&amp;[RES_201403_P4T1]" c="RES_201403_P4T1"/>
        <s v="[Measure].[Measure Index].&amp;[RES_201403_P4T2]" c="RES_201403_P4T2"/>
        <s v="[Measure].[Measure Index].&amp;[RES_201403_P4T3]" c="RES_201403_P4T3"/>
        <s v="[Measure].[Measure Index].&amp;[RES_201403_P5T1]" c="RES_201403_P5T1"/>
        <s v="[Measure].[Measure Index].&amp;[RES_201403_P5T2]" c="RES_201403_P5T2"/>
        <s v="[Measure].[Measure Index].&amp;[RES_201403_P5T3]" c="RES_201403_P5T3"/>
        <s v="[Measure].[Measure Index].&amp;[RES_201403_P6T1]" c="RES_201403_P6T1"/>
        <s v="[Measure].[Measure Index].&amp;[RES_201403_P6T2]" c="RES_201403_P6T2"/>
        <s v="[Measure].[Measure Index].&amp;[RES_201403_P7T1]" c="RES_201403_P7T1"/>
        <s v="[Measure].[Measure Index].&amp;[RES_201403_P7T2]" c="RES_201403_P7T2"/>
        <s v="[Measure].[Measure Index].&amp;[RES_201403_P8T1]" c="RES_201403_P8T1"/>
        <s v="[Measure].[Measure Index].&amp;[RES_201403_P8T2]" c="RES_201403_P8T2"/>
        <s v="[Measure].[Measure Index].&amp;[RES_201403_P8T3]" c="RES_201403_P8T3"/>
        <s v="[Measure].[Measure Index].&amp;[RES_201403_P9T1]" c="RES_201403_P9T1"/>
        <s v="[Measure].[Measure Index].&amp;[RES_201403_P9T2]" c="RES_201403_P9T2"/>
        <s v="[Measure].[Measure Index].&amp;[RES_201601_P1T1]" c="RES_201601_P1T1"/>
        <s v="[Measure].[Measure Index].&amp;[RES_201601_P1T3]" c="RES_201601_P1T3"/>
        <s v="[Measure].[Measure Index].&amp;[RES_201601_P2T1]" c="RES_201601_P2T1"/>
        <s v="[Measure].[Measure Index].&amp;[RES_201601_P2T3]" c="RES_201601_P2T3"/>
        <s v="[Measure].[Measure Index].&amp;[RES_201601_P3T1]" c="RES_201601_P3T1"/>
        <s v="[Measure].[Measure Index].&amp;[RES_201601_P3T3]" c="RES_201601_P3T3"/>
        <s v="[Measure].[Measure Index].&amp;[RES_201601_P4T1]" c="RES_201601_P4T1"/>
        <s v="[Measure].[Measure Index].&amp;[RES_201601_P4T3]" c="RES_201601_P4T3"/>
        <s v="[Measure].[Measure Index].&amp;[Unknown]" c="Unknown"/>
        <s v="[Measure].[Measure Index].&amp;[RES_201402_P5T1]" c="RES_201402_P5T1"/>
      </sharedItems>
    </cacheField>
    <cacheField name="[Measures].[Local Programs Units NEEA]" caption="Local Programs Units NEEA" numFmtId="0" hierarchy="331" level="32767"/>
  </cacheFields>
  <cacheHierarchies count="449">
    <cacheHierarchy uniqueName="[Ace Model Version].[ACE Model Owner]" caption="ACE Model Owner" attribute="1" defaultMemberUniqueName="[Ace Model Version].[ACE Model Owner].[All]" allUniqueName="[Ace Model Version].[ACE Model Owner].[All]" dimensionUniqueName="[Ace Model Version]" displayFolder="" count="0" unbalanced="0"/>
    <cacheHierarchy uniqueName="[Ace Model Version].[Initiative]" caption="Initiative" attribute="1" defaultMemberUniqueName="[Ace Model Version].[Initiative].[All]" allUniqueName="[Ace Model Version].[Initiative].[All]" dimensionUniqueName="[Ace Model Version]" displayFolder="" count="0" unbalanced="0"/>
    <cacheHierarchy uniqueName="[Ace Model Version].[Initiatives]" caption="Initiatives" defaultMemberUniqueName="[Ace Model Version].[Initiatives].[All]" allUniqueName="[Ace Model Version].[Initiatives].[All]" dimensionUniqueName="[Ace Model Version]" displayFolder="" count="0" unbalanced="0"/>
    <cacheHierarchy uniqueName="[Ace Model Version].[Is Current]" caption="Is Current" attribute="1" defaultMemberUniqueName="[Ace Model Version].[Is Current].[All]" allUniqueName="[Ace Model Version].[Is Current].[All]" dimensionUniqueName="[Ace Model Version]" displayFolder="" count="2" unbalanced="0">
      <fieldsUsage count="2">
        <fieldUsage x="-1"/>
        <fieldUsage x="4"/>
      </fieldsUsage>
    </cacheHierarchy>
    <cacheHierarchy uniqueName="[Ace Model Version].[Planning Analyst]" caption="Planning Analyst" attribute="1" defaultMemberUniqueName="[Ace Model Version].[Planning Analyst].[All]" allUniqueName="[Ace Model Version].[Planning Analyst].[All]" dimensionUniqueName="[Ace Model Version]" displayFolder="" count="0" unbalanced="0"/>
    <cacheHierarchy uniqueName="[Ace Model Version].[Report Group]" caption="Report Group" attribute="1" defaultMemberUniqueName="[Ace Model Version].[Report Group].[All]" allUniqueName="[Ace Model Version].[Report Group].[All]" dimensionUniqueName="[Ace Model Version]" displayFolder="" count="0" unbalanced="0"/>
    <cacheHierarchy uniqueName="[Ace Model Version].[Version]" caption="Version" attribute="1" defaultMemberUniqueName="[Ace Model Version].[Version].[All]" allUniqueName="[Ace Model Version].[Version].[All]" dimensionUniqueName="[Ace Model Version]" displayFolder="" count="0" unbalanced="0"/>
    <cacheHierarchy uniqueName="[Ace Model Version].[Version Description]" caption="Version Description" attribute="1" defaultMemberUniqueName="[Ace Model Version].[Version Description].[All]" allUniqueName="[Ace Model Version].[Version Description].[All]" dimensionUniqueName="[Ace Model Version]" displayFolder="" count="0" unbalanced="0"/>
    <cacheHierarchy uniqueName="[Allocation].[Allocation Details]" caption="Allocation Details" attribute="1" defaultMemberUniqueName="[Allocation].[Allocation Details].[All]" allUniqueName="[Allocation].[Allocation Details].[All]" dimensionUniqueName="[Allocation]" displayFolder="" count="0" unbalanced="0"/>
    <cacheHierarchy uniqueName="[Allocation Methodology].[Allocation Methodology]" caption="Allocation Methodology" attribute="1" defaultMemberUniqueName="[Allocation Methodology].[Allocation Methodology].[All]" allUniqueName="[Allocation Methodology].[Allocation Methodology].[All]" dimensionUniqueName="[Allocation Methodology]" displayFolder="" count="0" unbalanced="0"/>
    <cacheHierarchy uniqueName="[Allocation Methodology].[Allocation Methodology Description]" caption="Allocation Methodology Description" attribute="1" defaultMemberUniqueName="[Allocation Methodology].[Allocation Methodology Description].[All]" allUniqueName="[Allocation Methodology].[Allocation Methodology Description].[All]" dimensionUniqueName="[Allocation Methodology]" displayFolder="" count="0" unbalanced="0"/>
    <cacheHierarchy uniqueName="[Allocation Selection].[Comment]" caption="Comment" attribute="1" defaultMemberUniqueName="[Allocation Selection].[Comment].[All]" allUniqueName="[Allocation Selection].[Comment].[All]" dimensionUniqueName="[Allocation Selection]" displayFolder="" count="0" unbalanced="0"/>
    <cacheHierarchy uniqueName="[Calculation Methodology].[Calculation Methodology]" caption="Calculation Methodology" attribute="1" defaultMemberUniqueName="[Calculation Methodology].[Calculation Methodology].[All]" allUniqueName="[Calculation Methodology].[Calculation Methodology].[All]" dimensionUniqueName="[Calculation Methodology]" displayFolder="" count="0" unbalanced="0"/>
    <cacheHierarchy uniqueName="[Calculation Methodology].[Calculation Methodology Description]" caption="Calculation Methodology Description" attribute="1" defaultMemberUniqueName="[Calculation Methodology].[Calculation Methodology Description].[All]" allUniqueName="[Calculation Methodology].[Calculation Methodology Description].[All]" dimensionUniqueName="[Calculation Methodology]" displayFolder="" count="0" unbalanced="0"/>
    <cacheHierarchy uniqueName="[Date].[Year]" caption="Year" attribute="1" defaultMemberUniqueName="[Date].[Year].[All]" allUniqueName="[Date].[Year].[All]" dimensionUniqueName="[Date]" displayFolder="" count="2" unbalanced="0">
      <fieldsUsage count="2">
        <fieldUsage x="-1"/>
        <fieldUsage x="3"/>
      </fieldsUsage>
    </cacheHierarchy>
    <cacheHierarchy uniqueName="[Flag].[IsCode]" caption="IsCode" attribute="1" defaultMemberUniqueName="[Flag].[IsCode].[All]" allUniqueName="[Flag].[IsCode].[All]" dimensionUniqueName="[Flag]" displayFolder="" count="0" unbalanced="0"/>
    <cacheHierarchy uniqueName="[Flag].[IsNEEAInfluenced]" caption="IsNEEAInfluenced" attribute="1" defaultMemberUniqueName="[Flag].[IsNEEAInfluenced].[All]" allUniqueName="[Flag].[IsNEEAInfluenced].[All]" dimensionUniqueName="[Flag]" displayFolder="" count="0" unbalanced="0"/>
    <cacheHierarchy uniqueName="[Flag].[IsReportableExternally]" caption="IsReportableExternally" attribute="1" defaultMemberUniqueName="[Flag].[IsReportableExternally].[All]" allUniqueName="[Flag].[IsReportableExternally].[All]" dimensionUniqueName="[Flag]" displayFolder="" count="0" unbalanced="0"/>
    <cacheHierarchy uniqueName="[Flag].[IsReportableNegativeLocalPrograms]" caption="IsReportableNegativeLocalPrograms" attribute="1" defaultMemberUniqueName="[Flag].[IsReportableNegativeLocalPrograms].[All]" allUniqueName="[Flag].[IsReportableNegativeLocalPrograms].[All]" dimensionUniqueName="[Flag]" displayFolder="" count="0" unbalanced="0"/>
    <cacheHierarchy uniqueName="[Flag].[IsReportableNegativeNetMarketEffects]" caption="IsReportableNegativeNetMarketEffects" attribute="1" defaultMemberUniqueName="[Flag].[IsReportableNegativeNetMarketEffects].[All]" allUniqueName="[Flag].[IsReportableNegativeNetMarketEffects].[All]" dimensionUniqueName="[Flag]" displayFolder="" count="0" unbalanced="0"/>
    <cacheHierarchy uniqueName="[Flag].[IsStandard]" caption="IsStandard" attribute="1" defaultMemberUniqueName="[Flag].[IsStandard].[All]" allUniqueName="[Flag].[IsStandard].[All]" dimensionUniqueName="[Flag]" displayFolder="" count="0" unbalanced="0"/>
    <cacheHierarchy uniqueName="[Funding Cycle].[Funding Cycle]" caption="Funding Cycle" attribute="1" defaultMemberUniqueName="[Funding Cycle].[Funding Cycle].[All]" allUniqueName="[Funding Cycle].[Funding Cycle].[All]" dimensionUniqueName="[Funding Cycle]" displayFolder="" count="0" unbalanced="0"/>
    <cacheHierarchy uniqueName="[Funding Cycle].[Funding Cycle Description]" caption="Funding Cycle Description" attribute="1" defaultMemberUniqueName="[Funding Cycle].[Funding Cycle Description].[All]" allUniqueName="[Funding Cycle].[Funding Cycle Description].[All]" dimensionUniqueName="[Funding Cycle]" displayFolder="" count="0" unbalanced="0"/>
    <cacheHierarchy uniqueName="[Funding Cycle].[Funding Cycle Type]" caption="Funding Cycle Type" attribute="1" defaultMemberUniqueName="[Funding Cycle].[Funding Cycle Type].[All]" allUniqueName="[Funding Cycle].[Funding Cycle Type].[All]" dimensionUniqueName="[Funding Cycle]" displayFolder="" count="0" unbalanced="0"/>
    <cacheHierarchy uniqueName="[Initiative].[Grade]" caption="Grade" attribute="1" defaultMemberUniqueName="[Initiative].[Grade].[All]" allUniqueName="[Initiative].[Grade].[All]" dimensionUniqueName="[Initiative]" displayFolder="" count="0" unbalanced="0"/>
    <cacheHierarchy uniqueName="[Initiative].[Initiative]" caption="Initiative" attribute="1" defaultMemberUniqueName="[Initiative].[Initiative].[All]" allUniqueName="[Initiative].[Initiative].[All]" dimensionUniqueName="[Initiative]" displayFolder="" count="0" unbalanced="0"/>
    <cacheHierarchy uniqueName="[Initiative].[Initiative Description]" caption="Initiative Description" attribute="1" defaultMemberUniqueName="[Initiative].[Initiative Description].[All]" allUniqueName="[Initiative].[Initiative Description].[All]" dimensionUniqueName="[Initiative]" displayFolder="" count="0" unbalanced="0"/>
    <cacheHierarchy uniqueName="[Initiative].[Initiative Index]" caption="Initiative Index" attribute="1" defaultMemberUniqueName="[Initiative].[Initiative Index].[All]" allUniqueName="[Initiative].[Initiative Index].[All]" dimensionUniqueName="[Initiative]" displayFolder="" count="0" unbalanced="0"/>
    <cacheHierarchy uniqueName="[Initiative].[Initiatives By Index]" caption="Initiatives By Index" defaultMemberUniqueName="[Initiative].[Initiatives By Index].[All]" allUniqueName="[Initiative].[Initiatives By Index].[All]" dimensionUniqueName="[Initiative]" displayFolder="" count="0" unbalanced="0"/>
    <cacheHierarchy uniqueName="[Initiative].[Milestone]" caption="Milestone" attribute="1" defaultMemberUniqueName="[Initiative].[Milestone].[All]" allUniqueName="[Initiative].[Milestone].[All]" dimensionUniqueName="[Initiative]" displayFolder="" count="0" unbalanced="0"/>
    <cacheHierarchy uniqueName="[Initiative].[Phase]" caption="Phase" attribute="1" defaultMemberUniqueName="[Initiative].[Phase].[All]" allUniqueName="[Initiative].[Phase].[All]" dimensionUniqueName="[Initiative]" displayFolder="" count="0" unbalanced="0"/>
    <cacheHierarchy uniqueName="[Initiative].[Retirement Detail Level]" caption="Retirement Detail Level" attribute="1" defaultMemberUniqueName="[Initiative].[Retirement Detail Level].[All]" allUniqueName="[Initiative].[Retirement Detail Level].[All]" dimensionUniqueName="[Initiative]" displayFolder="" count="0" unbalanced="0"/>
    <cacheHierarchy uniqueName="[Initiative].[Sector Name]" caption="Sector Name" attribute="1" defaultMemberUniqueName="[Initiative].[Sector Name].[All]" allUniqueName="[Initiative].[Sector Name].[All]" dimensionUniqueName="[Initiative]" displayFolder="" count="0" unbalanced="0"/>
    <cacheHierarchy uniqueName="[Initiative].[StrategicMarket]" caption="StrategicMarket" attribute="1" defaultMemberUniqueName="[Initiative].[StrategicMarket].[All]" allUniqueName="[Initiative].[StrategicMarket].[All]" dimensionUniqueName="[Initiative]" displayFolder="" count="0" unbalanced="0"/>
    <cacheHierarchy uniqueName="[Key Assumption].[Drivers]" caption="Drivers" attribute="1" defaultMemberUniqueName="[Key Assumption].[Drivers].[All]" allUniqueName="[Key Assumption].[Drivers].[All]" dimensionUniqueName="[Key Assumption]" displayFolder="" count="0" unbalanced="0"/>
    <cacheHierarchy uniqueName="[Key Assumption].[Source]" caption="Source" attribute="1" defaultMemberUniqueName="[Key Assumption].[Source].[All]" allUniqueName="[Key Assumption].[Source].[All]" dimensionUniqueName="[Key Assumption]" displayFolder="" count="0" unbalanced="0"/>
    <cacheHierarchy uniqueName="[Key Assumption Type].[Key Assumption Type]" caption="Key Assumption Type" attribute="1" defaultMemberUniqueName="[Key Assumption Type].[Key Assumption Type].[All]" allUniqueName="[Key Assumption Type].[Key Assumption Type].[All]" dimensionUniqueName="[Key Assumption Type]" displayFolder="" count="0" unbalanced="0"/>
    <cacheHierarchy uniqueName="[Local Programs].[Adjustment Source]" caption="Adjustment Source" attribute="1" defaultMemberUniqueName="[Local Programs].[Adjustment Source].[All]" allUniqueName="[Local Programs].[Adjustment Source].[All]" dimensionUniqueName="[Local Programs]" displayFolder="" count="0" unbalanced="0"/>
    <cacheHierarchy uniqueName="[Local Programs].[Comment]" caption="Comment" attribute="1" defaultMemberUniqueName="[Local Programs].[Comment].[All]" allUniqueName="[Local Programs].[Comment].[All]" dimensionUniqueName="[Local Programs]" displayFolder="" count="0" unbalanced="0"/>
    <cacheHierarchy uniqueName="[Measure].[Initiative]" caption="Initiative" attribute="1" defaultMemberUniqueName="[Measure].[Initiative].[All]" allUniqueName="[Measure].[Initiative].[All]" dimensionUniqueName="[Measure]" displayFolder="" count="2" unbalanced="0">
      <fieldsUsage count="2">
        <fieldUsage x="-1"/>
        <fieldUsage x="6"/>
      </fieldsUsage>
    </cacheHierarchy>
    <cacheHierarchy uniqueName="[Measure].[Measure]" caption="Measure" attribute="1" defaultMemberUniqueName="[Measure].[Measure].[All]" allUniqueName="[Measure].[Measure].[All]" dimensionUniqueName="[Measure]" displayFolder="" count="0" unbalanced="0"/>
    <cacheHierarchy uniqueName="[Measure].[Measure By Index]" caption="Measure By Index" defaultMemberUniqueName="[Measure].[Measure By Index].[All]" allUniqueName="[Measure].[Measure By Index].[All]" dimensionUniqueName="[Measure]" displayFolder="" count="0" unbalanced="0"/>
    <cacheHierarchy uniqueName="[Measure].[Measure by Initiative]" caption="Measure by Initiative" defaultMemberUniqueName="[Measure].[Measure by Initiative].[All]" allUniqueName="[Measure].[Measure by Initiative].[All]" dimensionUniqueName="[Measure]" displayFolder="" count="0" unbalanced="0"/>
    <cacheHierarchy uniqueName="[Measure].[Measure by Product]" caption="Measure by Product" defaultMemberUniqueName="[Measure].[Measure by Product].[All]" allUniqueName="[Measure].[Measure by Product].[All]" dimensionUniqueName="[Measure]" displayFolder="" count="0" unbalanced="0"/>
    <cacheHierarchy uniqueName="[Measure].[Measure Description]" caption="Measure Description" attribute="1" defaultMemberUniqueName="[Measure].[Measure Description].[All]" allUniqueName="[Measure].[Measure Description].[All]" dimensionUniqueName="[Measure]" displayFolder="" count="0" unbalanced="0"/>
    <cacheHierarchy uniqueName="[Measure].[Measure Index]" caption="Measure Index" attribute="1" defaultMemberUniqueName="[Measure].[Measure Index].[All]" allUniqueName="[Measure].[Measure Index].[All]" dimensionUniqueName="[Measure]" displayFolder="" count="2" unbalanced="0">
      <fieldsUsage count="2">
        <fieldUsage x="-1"/>
        <fieldUsage x="9"/>
      </fieldsUsage>
    </cacheHierarchy>
    <cacheHierarchy uniqueName="[Measure].[Measure Life]" caption="Measure Life" attribute="1" defaultMemberUniqueName="[Measure].[Measure Life].[All]" allUniqueName="[Measure].[Measure Life].[All]" dimensionUniqueName="[Measure]" displayFolder="" count="0" unbalanced="0"/>
    <cacheHierarchy uniqueName="[Measure].[Product]" caption="Product" attribute="1" defaultMemberUniqueName="[Measure].[Product].[All]" allUniqueName="[Measure].[Product].[All]" dimensionUniqueName="[Measure]" displayFolder="" count="2" unbalanced="0">
      <fieldsUsage count="2">
        <fieldUsage x="-1"/>
        <fieldUsage x="7"/>
      </fieldsUsage>
    </cacheHierarchy>
    <cacheHierarchy uniqueName="[Measure].[Product Description]" caption="Product Description" attribute="1" defaultMemberUniqueName="[Measure].[Product Description].[All]" allUniqueName="[Measure].[Product Description].[All]" dimensionUniqueName="[Measure]" displayFolder="" count="0" unbalanced="0"/>
    <cacheHierarchy uniqueName="[Measure].[Sector]" caption="Sector" attribute="1" defaultMemberUniqueName="[Measure].[Sector].[All]" allUniqueName="[Measure].[Sector].[All]" dimensionUniqueName="[Measure]" displayFolder="" count="0" unbalanced="0"/>
    <cacheHierarchy uniqueName="[Measure].[Tier]" caption="Tier" attribute="1" defaultMemberUniqueName="[Measure].[Tier].[All]" allUniqueName="[Measure].[Tier].[All]" dimensionUniqueName="[Measure]" displayFolder="" count="2" unbalanced="0">
      <fieldsUsage count="2">
        <fieldUsage x="-1"/>
        <fieldUsage x="8"/>
      </fieldsUsage>
    </cacheHierarchy>
    <cacheHierarchy uniqueName="[Measure].[Tier Description]" caption="Tier Description" attribute="1" defaultMemberUniqueName="[Measure].[Tier Description].[All]" allUniqueName="[Measure].[Tier Description].[All]" dimensionUniqueName="[Measure]" displayFolder="" count="0" unbalanced="0"/>
    <cacheHierarchy uniqueName="[Snapshot].[Created By]" caption="Created By" attribute="1" defaultMemberUniqueName="[Snapshot].[Created By].[All]" allUniqueName="[Snapshot].[Created By].[All]" dimensionUniqueName="[Snapshot]" displayFolder="" count="0" unbalanced="0"/>
    <cacheHierarchy uniqueName="[Snapshot].[Date Created]" caption="Date Created" attribute="1" defaultMemberUniqueName="[Snapshot].[Date Created].[All]" allUniqueName="[Snapshot].[Date Created].[All]" dimensionUniqueName="[Snapshot]" displayFolder="" count="0" unbalanced="0"/>
    <cacheHierarchy uniqueName="[Snapshot].[Snapshot Description]" caption="Snapshot Description" attribute="1" defaultMemberUniqueName="[Snapshot].[Snapshot Description].[All]" allUniqueName="[Snapshot].[Snapshot Description].[All]" dimensionUniqueName="[Snapshot]" displayFolder="" count="0" unbalanced="0"/>
    <cacheHierarchy uniqueName="[Snapshot].[Snapshot Name]" caption="Snapshot Name" attribute="1" defaultMemberUniqueName="[Snapshot].[Snapshot Name].[All]" allUniqueName="[Snapshot].[Snapshot Name].[All]" dimensionUniqueName="[Snapshot]" displayFolder="" count="2" unbalanced="0">
      <fieldsUsage count="2">
        <fieldUsage x="-1"/>
        <fieldUsage x="5"/>
      </fieldsUsage>
    </cacheHierarchy>
    <cacheHierarchy uniqueName="[Snapshot].[Snapshot Status]" caption="Snapshot Status" attribute="1" defaultMemberUniqueName="[Snapshot].[Snapshot Status].[All]" allUniqueName="[Snapshot].[Snapshot Status].[All]" dimensionUniqueName="[Snapshot]" displayFolder="" count="0" unbalanced="0"/>
    <cacheHierarchy uniqueName="[Stakeholder Organization].[Business Type]" caption="Business Type" attribute="1" defaultMemberUniqueName="[Stakeholder Organization].[Business Type].[All]" allUniqueName="[Stakeholder Organization].[Business Type].[All]" dimensionUniqueName="[Stakeholder Organization]" displayFolder="" count="0" unbalanced="0"/>
    <cacheHierarchy uniqueName="[Stakeholder Organization].[Funding Group Name]" caption="Funding Group Name" attribute="1" defaultMemberUniqueName="[Stakeholder Organization].[Funding Group Name].[All]" allUniqueName="[Stakeholder Organization].[Funding Group Name].[All]" dimensionUniqueName="[Stakeholder Organization]" displayFolder="" count="0" unbalanced="0"/>
    <cacheHierarchy uniqueName="[Stakeholder Organization].[Partner Type]" caption="Partner Type" attribute="1" defaultMemberUniqueName="[Stakeholder Organization].[Partner Type].[All]" allUniqueName="[Stakeholder Organization].[Partner Type].[All]" dimensionUniqueName="[Stakeholder Organization]" displayFolder="" count="0" unbalanced="0"/>
    <cacheHierarchy uniqueName="[Stakeholder Organization].[Planning Contact Name]" caption="Planning Contact Name" attribute="1" defaultMemberUniqueName="[Stakeholder Organization].[Planning Contact Name].[All]" allUniqueName="[Stakeholder Organization].[Planning Contact Name].[All]" dimensionUniqueName="[Stakeholder Organization]" displayFolder="" count="0" unbalanced="0"/>
    <cacheHierarchy uniqueName="[Stakeholder Organization].[Stakeholder Organization]" caption="Stakeholder Organization" attribute="1" defaultMemberUniqueName="[Stakeholder Organization].[Stakeholder Organization].[All]" allUniqueName="[Stakeholder Organization].[Stakeholder Organization].[All]" dimensionUniqueName="[Stakeholder Organization]" displayFolder="" count="0" unbalanced="0"/>
    <cacheHierarchy uniqueName="[Stakeholder Organization].[Stakeholder Organization Name Long]" caption="Stakeholder Organization Name Long" attribute="1" defaultMemberUniqueName="[Stakeholder Organization].[Stakeholder Organization Name Long].[All]" allUniqueName="[Stakeholder Organization].[Stakeholder Organization Name Long].[All]" dimensionUniqueName="[Stakeholder Organization]" displayFolder="" count="0" unbalanced="0"/>
    <cacheHierarchy uniqueName="[Stakeholder Report].[Comment]" caption="Comment" attribute="1" defaultMemberUniqueName="[Stakeholder Report].[Comment].[All]" allUniqueName="[Stakeholder Report].[Comment].[All]" dimensionUniqueName="[Stakeholder Report]" displayFolder="" count="0" unbalanced="0"/>
    <cacheHierarchy uniqueName="[Stakeholder Report].[Stakeholder Report]" caption="Stakeholder Report" attribute="1" defaultMemberUniqueName="[Stakeholder Report].[Stakeholder Report].[All]" allUniqueName="[Stakeholder Report].[Stakeholder Report].[All]" dimensionUniqueName="[Stakeholder Report]" displayFolder="" count="0" unbalanced="0"/>
    <cacheHierarchy uniqueName="[Stakeholder Report].[Stakeholder Report Description]" caption="Stakeholder Report Description" attribute="1" defaultMemberUniqueName="[Stakeholder Report].[Stakeholder Report Description].[All]" allUniqueName="[Stakeholder Report].[Stakeholder Report Description].[All]" dimensionUniqueName="[Stakeholder Report]" displayFolder="" count="0" unbalanced="0"/>
    <cacheHierarchy uniqueName="[State].[State]" caption="State" attribute="1" defaultMemberUniqueName="[State].[State].[All]" allUniqueName="[State].[State].[All]" dimensionUniqueName="[State]" displayFolder="" count="0" unbalanced="0"/>
    <cacheHierarchy uniqueName="[State].[State Abbreviation]" caption="State Abbreviation" attribute="1" defaultMemberUniqueName="[State].[State Abbreviation].[All]" allUniqueName="[State].[State Abbreviation].[All]" dimensionUniqueName="[State]" displayFolder="" count="0" unbalanced="0"/>
    <cacheHierarchy uniqueName="[Status].[Status]" caption="Status" attribute="1" defaultMemberUniqueName="[Status].[Status].[All]" allUniqueName="[Status].[Status].[All]" dimensionUniqueName="[Status]" displayFolder="" count="0" unbalanced="0"/>
    <cacheHierarchy uniqueName="[Status].[Status Type]" caption="Status Type" attribute="1" defaultMemberUniqueName="[Status].[Status Type].[All]" allUniqueName="[Status].[Status Type].[All]" dimensionUniqueName="[Status]" displayFolder="" count="0" unbalanced="0"/>
    <cacheHierarchy uniqueName="[Unit Of Measure].[Unit Of Measure]" caption="Unit Of Measure" attribute="1" defaultMemberUniqueName="[Unit Of Measure].[Unit Of Measure].[All]" allUniqueName="[Unit Of Measure].[Unit Of Measure].[All]" dimensionUniqueName="[Unit Of Measure]" displayFolder="" count="0" unbalanced="0"/>
    <cacheHierarchy uniqueName="[Unit Of Measure].[Unit Type]" caption="Unit Type" attribute="1" defaultMemberUniqueName="[Unit Of Measure].[Unit Type].[All]" allUniqueName="[Unit Of Measure].[Unit Type].[All]" dimensionUniqueName="[Unit Of Measure]" displayFolder="" count="0" unbalanced="0"/>
    <cacheHierarchy uniqueName="[Ace Model Version].[AceModelVersionKey]" caption="AceModelVersionKey" attribute="1" defaultMemberUniqueName="[Ace Model Version].[AceModelVersionKey].[All]" allUniqueName="[Ace Model Version].[AceModelVersionKey].[All]" dimensionUniqueName="[Ace Model Version]" displayFolder="" count="0" unbalanced="0" hidden="1"/>
    <cacheHierarchy uniqueName="[Ace Model Version].[SnapshotKey]" caption="SnapshotKey" attribute="1" defaultMemberUniqueName="[Ace Model Version].[SnapshotKey].[All]" allUniqueName="[Ace Model Version].[SnapshotKey].[All]" dimensionUniqueName="[Ace Model Version]" displayFolder="" count="0" unbalanced="0" hidden="1"/>
    <cacheHierarchy uniqueName="[Allocation].[AllocationKey]" caption="AllocationKey" attribute="1" defaultMemberUniqueName="[Allocation].[AllocationKey].[All]" allUniqueName="[Allocation].[AllocationKey].[All]" dimensionUniqueName="[Allocation]" displayFolder="" count="0" unbalanced="0" hidden="1"/>
    <cacheHierarchy uniqueName="[Allocation].[AllocationMethodologyKey]" caption="AllocationMethodologyKey" attribute="1" defaultMemberUniqueName="[Allocation].[AllocationMethodologyKey].[All]" allUniqueName="[Allocation].[AllocationMethodologyKey].[All]" dimensionUniqueName="[Allocation]" displayFolder="" count="0" unbalanced="0" hidden="1"/>
    <cacheHierarchy uniqueName="[Allocation].[AllocationValue]" caption="AllocationValue" attribute="1" defaultMemberUniqueName="[Allocation].[AllocationValue].[All]" allUniqueName="[Allocation].[AllocationValue].[All]" dimensionUniqueName="[Allocation]" displayFolder="" count="0" unbalanced="0" hidden="1"/>
    <cacheHierarchy uniqueName="[Allocation].[CalendarYearKey]" caption="CalendarYearKey" attribute="1" defaultMemberUniqueName="[Allocation].[CalendarYearKey].[All]" allUniqueName="[Allocation].[CalendarYearKey].[All]" dimensionUniqueName="[Allocation]" displayFolder="" count="0" unbalanced="0" hidden="1"/>
    <cacheHierarchy uniqueName="[Allocation].[DateKey]" caption="DateKey" attribute="1" defaultMemberUniqueName="[Allocation].[DateKey].[All]" allUniqueName="[Allocation].[DateKey].[All]" dimensionUniqueName="[Allocation]" displayFolder="" count="0" unbalanced="0" hidden="1"/>
    <cacheHierarchy uniqueName="[Allocation].[InitiativeKey]" caption="InitiativeKey" attribute="1" defaultMemberUniqueName="[Allocation].[InitiativeKey].[All]" allUniqueName="[Allocation].[InitiativeKey].[All]" dimensionUniqueName="[Allocation]" displayFolder="" count="0" unbalanced="0" hidden="1"/>
    <cacheHierarchy uniqueName="[Allocation].[MeasureKey]" caption="MeasureKey" attribute="1" defaultMemberUniqueName="[Allocation].[MeasureKey].[All]" allUniqueName="[Allocation].[MeasureKey].[All]" dimensionUniqueName="[Allocation]" displayFolder="" count="0" unbalanced="0" hidden="1"/>
    <cacheHierarchy uniqueName="[Allocation].[SnapshotKey]" caption="SnapshotKey" attribute="1" defaultMemberUniqueName="[Allocation].[SnapshotKey].[All]" allUniqueName="[Allocation].[SnapshotKey].[All]" dimensionUniqueName="[Allocation]" displayFolder="" count="0" unbalanced="0" hidden="1"/>
    <cacheHierarchy uniqueName="[Allocation].[StakeholderOrganizationKey]" caption="StakeholderOrganizationKey" attribute="1" defaultMemberUniqueName="[Allocation].[StakeholderOrganizationKey].[All]" allUniqueName="[Allocation].[StakeholderOrganizationKey].[All]" dimensionUniqueName="[Allocation]" displayFolder="" count="0" unbalanced="0" hidden="1"/>
    <cacheHierarchy uniqueName="[Allocation].[StateKey]" caption="StateKey" attribute="1" defaultMemberUniqueName="[Allocation].[StateKey].[All]" allUniqueName="[Allocation].[StateKey].[All]" dimensionUniqueName="[Allocation]" displayFolder="" count="0" unbalanced="0" hidden="1"/>
    <cacheHierarchy uniqueName="[Allocation].[StatusKey]" caption="StatusKey" attribute="1" defaultMemberUniqueName="[Allocation].[StatusKey].[All]" allUniqueName="[Allocation].[StatusKey].[All]" dimensionUniqueName="[Allocation]" displayFolder="" count="0" unbalanced="0" hidden="1"/>
    <cacheHierarchy uniqueName="[Allocation Methodology].[AllocationMethodologyKey]" caption="AllocationMethodologyKey" attribute="1" defaultMemberUniqueName="[Allocation Methodology].[AllocationMethodologyKey].[All]" allUniqueName="[Allocation Methodology].[AllocationMethodologyKey].[All]" dimensionUniqueName="[Allocation Methodology]" displayFolder="" count="0" unbalanced="0" hidden="1"/>
    <cacheHierarchy uniqueName="[Allocation Selection].[AllocationMethodologyKey]" caption="AllocationMethodologyKey" attribute="1" defaultMemberUniqueName="[Allocation Selection].[AllocationMethodologyKey].[All]" allUniqueName="[Allocation Selection].[AllocationMethodologyKey].[All]" dimensionUniqueName="[Allocation Selection]" displayFolder="" count="0" unbalanced="0" hidden="1"/>
    <cacheHierarchy uniqueName="[Allocation Selection].[AllocationSelectionKey]" caption="AllocationSelectionKey" attribute="1" defaultMemberUniqueName="[Allocation Selection].[AllocationSelectionKey].[All]" allUniqueName="[Allocation Selection].[AllocationSelectionKey].[All]" dimensionUniqueName="[Allocation Selection]" displayFolder="" count="0" unbalanced="0" hidden="1"/>
    <cacheHierarchy uniqueName="[Allocation Selection].[CalendarYearKey]" caption="CalendarYearKey" attribute="1" defaultMemberUniqueName="[Allocation Selection].[CalendarYearKey].[All]" allUniqueName="[Allocation Selection].[CalendarYearKey].[All]" dimensionUniqueName="[Allocation Selection]" displayFolder="" count="0" unbalanced="0" hidden="1"/>
    <cacheHierarchy uniqueName="[Allocation Selection].[DateKey]" caption="DateKey" attribute="1" defaultMemberUniqueName="[Allocation Selection].[DateKey].[All]" allUniqueName="[Allocation Selection].[DateKey].[All]" dimensionUniqueName="[Allocation Selection]" displayFolder="" count="0" unbalanced="0" hidden="1"/>
    <cacheHierarchy uniqueName="[Allocation Selection].[InitiativeKey]" caption="InitiativeKey" attribute="1" defaultMemberUniqueName="[Allocation Selection].[InitiativeKey].[All]" allUniqueName="[Allocation Selection].[InitiativeKey].[All]" dimensionUniqueName="[Allocation Selection]" displayFolder="" count="0" unbalanced="0" hidden="1"/>
    <cacheHierarchy uniqueName="[Allocation Selection].[MeasureKey]" caption="MeasureKey" attribute="1" defaultMemberUniqueName="[Allocation Selection].[MeasureKey].[All]" allUniqueName="[Allocation Selection].[MeasureKey].[All]" dimensionUniqueName="[Allocation Selection]" displayFolder="" count="0" unbalanced="0" hidden="1"/>
    <cacheHierarchy uniqueName="[Allocation Selection].[SnapshotKey]" caption="SnapshotKey" attribute="1" defaultMemberUniqueName="[Allocation Selection].[SnapshotKey].[All]" allUniqueName="[Allocation Selection].[SnapshotKey].[All]" dimensionUniqueName="[Allocation Selection]" displayFolder="" count="0" unbalanced="0" hidden="1"/>
    <cacheHierarchy uniqueName="[Allocation Selection].[StakeholderOrganizationKey]" caption="StakeholderOrganizationKey" attribute="1" defaultMemberUniqueName="[Allocation Selection].[StakeholderOrganizationKey].[All]" allUniqueName="[Allocation Selection].[StakeholderOrganizationKey].[All]" dimensionUniqueName="[Allocation Selection]" displayFolder="" count="0" unbalanced="0" hidden="1"/>
    <cacheHierarchy uniqueName="[Allocation Selection].[StateKey]" caption="StateKey" attribute="1" defaultMemberUniqueName="[Allocation Selection].[StateKey].[All]" allUniqueName="[Allocation Selection].[StateKey].[All]" dimensionUniqueName="[Allocation Selection]" displayFolder="" count="0" unbalanced="0" hidden="1"/>
    <cacheHierarchy uniqueName="[Calculation Methodology].[CalculationMethodologyKey]" caption="CalculationMethodologyKey" attribute="1" defaultMemberUniqueName="[Calculation Methodology].[CalculationMethodologyKey].[All]" allUniqueName="[Calculation Methodology].[CalculationMethodologyKey].[All]" dimensionUniqueName="[Calculation Methodology]" displayFolder="" count="0" unbalanced="0" hidden="1"/>
    <cacheHierarchy uniqueName="[Calculation Methodology].[SnapshotKey]" caption="SnapshotKey" attribute="1" defaultMemberUniqueName="[Calculation Methodology].[SnapshotKey].[All]" allUniqueName="[Calculation Methodology].[SnapshotKey].[All]" dimensionUniqueName="[Calculation Methodology]" displayFolder="" count="0" unbalanced="0" hidden="1"/>
    <cacheHierarchy uniqueName="[Cost Effectiveness].[AceModelVersionKey]" caption="AceModelVersionKey" attribute="1" defaultMemberUniqueName="[Cost Effectiveness].[AceModelVersionKey].[All]" allUniqueName="[Cost Effectiveness].[AceModelVersionKey].[All]" dimensionUniqueName="[Cost Effectiveness]" displayFolder="" count="0" unbalanced="0" hidden="1"/>
    <cacheHierarchy uniqueName="[Cost Effectiveness].[Benefit_Cost_Ratio_Co_Created]" caption="Benefit_Cost_Ratio_Co_Created" attribute="1" defaultMemberUniqueName="[Cost Effectiveness].[Benefit_Cost_Ratio_Co_Created].[All]" allUniqueName="[Cost Effectiveness].[Benefit_Cost_Ratio_Co_Created].[All]" dimensionUniqueName="[Cost Effectiveness]" displayFolder="" count="0" unbalanced="0" hidden="1"/>
    <cacheHierarchy uniqueName="[Cost Effectiveness].[Benefit_Cost_Ratio_Total_Resource_Cost]" caption="Benefit_Cost_Ratio_Total_Resource_Cost" attribute="1" defaultMemberUniqueName="[Cost Effectiveness].[Benefit_Cost_Ratio_Total_Resource_Cost].[All]" allUniqueName="[Cost Effectiveness].[Benefit_Cost_Ratio_Total_Resource_Cost].[All]" dimensionUniqueName="[Cost Effectiveness]" displayFolder="" count="0" unbalanced="0" hidden="1"/>
    <cacheHierarchy uniqueName="[Cost Effectiveness].[Benefit_Cost_Ratio_Total_Resource_Cost_Act_Credit]" caption="Benefit_Cost_Ratio_Total_Resource_Cost_Act_Credit" attribute="1" defaultMemberUniqueName="[Cost Effectiveness].[Benefit_Cost_Ratio_Total_Resource_Cost_Act_Credit].[All]" allUniqueName="[Cost Effectiveness].[Benefit_Cost_Ratio_Total_Resource_Cost_Act_Credit].[All]" dimensionUniqueName="[Cost Effectiveness]" displayFolder="" count="0" unbalanced="0" hidden="1"/>
    <cacheHierarchy uniqueName="[Cost Effectiveness].[Cost_Capacity]" caption="Cost_Capacity" attribute="1" defaultMemberUniqueName="[Cost Effectiveness].[Cost_Capacity].[All]" allUniqueName="[Cost Effectiveness].[Cost_Capacity].[All]" dimensionUniqueName="[Cost Effectiveness]" displayFolder="" count="0" unbalanced="0" hidden="1"/>
    <cacheHierarchy uniqueName="[Cost Effectiveness].[Electric_System_CO2_Avoided]" caption="Electric_System_CO2_Avoided" attribute="1" defaultMemberUniqueName="[Cost Effectiveness].[Electric_System_CO2_Avoided].[All]" allUniqueName="[Cost Effectiveness].[Electric_System_CO2_Avoided].[All]" dimensionUniqueName="[Cost Effectiveness]" displayFolder="" count="0" unbalanced="0" hidden="1"/>
    <cacheHierarchy uniqueName="[Cost Effectiveness].[Electric_System_Physical_CO2_Avoided]" caption="Electric_System_Physical_CO2_Avoided" attribute="1" defaultMemberUniqueName="[Cost Effectiveness].[Electric_System_Physical_CO2_Avoided].[All]" allUniqueName="[Cost Effectiveness].[Electric_System_Physical_CO2_Avoided].[All]" dimensionUniqueName="[Cost Effectiveness]" displayFolder="" count="0" unbalanced="0" hidden="1"/>
    <cacheHierarchy uniqueName="[Cost Effectiveness].[Gas_System_Physical_CO2_Avoided]" caption="Gas_System_Physical_CO2_Avoided" attribute="1" defaultMemberUniqueName="[Cost Effectiveness].[Gas_System_Physical_CO2_Avoided].[All]" allUniqueName="[Cost Effectiveness].[Gas_System_Physical_CO2_Avoided].[All]" dimensionUniqueName="[Cost Effectiveness]" displayFolder="" count="0" unbalanced="0" hidden="1"/>
    <cacheHierarchy uniqueName="[Cost Effectiveness].[InitiativeKey]" caption="InitiativeKey" attribute="1" defaultMemberUniqueName="[Cost Effectiveness].[InitiativeKey].[All]" allUniqueName="[Cost Effectiveness].[InitiativeKey].[All]" dimensionUniqueName="[Cost Effectiveness]" displayFolder="" count="0" unbalanced="0" hidden="1"/>
    <cacheHierarchy uniqueName="[Cost Effectiveness].[Levelized_Cost_Co_Created]" caption="Levelized_Cost_Co_Created" attribute="1" defaultMemberUniqueName="[Cost Effectiveness].[Levelized_Cost_Co_Created].[All]" allUniqueName="[Cost Effectiveness].[Levelized_Cost_Co_Created].[All]" dimensionUniqueName="[Cost Effectiveness]" displayFolder="" count="0" unbalanced="0" hidden="1"/>
    <cacheHierarchy uniqueName="[Cost Effectiveness].[Levelized_Cost_Total_Resource_Cost]" caption="Levelized_Cost_Total_Resource_Cost" attribute="1" defaultMemberUniqueName="[Cost Effectiveness].[Levelized_Cost_Total_Resource_Cost].[All]" allUniqueName="[Cost Effectiveness].[Levelized_Cost_Total_Resource_Cost].[All]" dimensionUniqueName="[Cost Effectiveness]" displayFolder="" count="0" unbalanced="0" hidden="1"/>
    <cacheHierarchy uniqueName="[Cost Effectiveness].[Levelized_Cost_Total_Resource_Cost_Act_Credit]" caption="Levelized_Cost_Total_Resource_Cost_Act_Credit" attribute="1" defaultMemberUniqueName="[Cost Effectiveness].[Levelized_Cost_Total_Resource_Cost_Act_Credit].[All]" allUniqueName="[Cost Effectiveness].[Levelized_Cost_Total_Resource_Cost_Act_Credit].[All]" dimensionUniqueName="[Cost Effectiveness]" displayFolder="" count="0" unbalanced="0" hidden="1"/>
    <cacheHierarchy uniqueName="[Cost Effectiveness].[Levelized_Cost_Total_Resource_Cost_Act_Credit_6thPP]" caption="Levelized_Cost_Total_Resource_Cost_Act_Credit_6thPP" attribute="1" defaultMemberUniqueName="[Cost Effectiveness].[Levelized_Cost_Total_Resource_Cost_Act_Credit_6thPP].[All]" allUniqueName="[Cost Effectiveness].[Levelized_Cost_Total_Resource_Cost_Act_Credit_6thPP].[All]" dimensionUniqueName="[Cost Effectiveness]" displayFolder="" count="0" unbalanced="0" hidden="1"/>
    <cacheHierarchy uniqueName="[Cost Effectiveness].[Levelized_Cost_Total_Resource_Cost_Act_Credit_7thPP]" caption="Levelized_Cost_Total_Resource_Cost_Act_Credit_7thPP" attribute="1" defaultMemberUniqueName="[Cost Effectiveness].[Levelized_Cost_Total_Resource_Cost_Act_Credit_7thPP].[All]" allUniqueName="[Cost Effectiveness].[Levelized_Cost_Total_Resource_Cost_Act_Credit_7thPP].[All]" dimensionUniqueName="[Cost Effectiveness]" displayFolder="" count="0" unbalanced="0" hidden="1"/>
    <cacheHierarchy uniqueName="[Cost Effectiveness].[SnapshotKey]" caption="SnapshotKey" attribute="1" defaultMemberUniqueName="[Cost Effectiveness].[SnapshotKey].[All]" allUniqueName="[Cost Effectiveness].[SnapshotKey].[All]" dimensionUniqueName="[Cost Effectiveness]" displayFolder="" count="0" unbalanced="0" hidden="1"/>
    <cacheHierarchy uniqueName="[Cost Effectiveness].[Source]" caption="Source" attribute="1" defaultMemberUniqueName="[Cost Effectiveness].[Source].[All]" allUniqueName="[Cost Effectiveness].[Source].[All]" dimensionUniqueName="[Cost Effectiveness]" displayFolder="" count="0" unbalanced="0" hidden="1"/>
    <cacheHierarchy uniqueName="[Cost Effectiveness].[UnitOfMeasureKey]" caption="UnitOfMeasureKey" attribute="1" defaultMemberUniqueName="[Cost Effectiveness].[UnitOfMeasureKey].[All]" allUniqueName="[Cost Effectiveness].[UnitOfMeasureKey].[All]" dimensionUniqueName="[Cost Effectiveness]" displayFolder="" count="0" unbalanced="0" hidden="1"/>
    <cacheHierarchy uniqueName="[Date].[DateKey]" caption="DateKey" attribute="1" defaultMemberUniqueName="[Date].[DateKey].[All]" allUniqueName="[Date].[DateKey].[All]" dimensionUniqueName="[Date]" displayFolder="" count="0" unbalanced="0" hidden="1"/>
    <cacheHierarchy uniqueName="[Flag].[DateKey]" caption="DateKey" attribute="1" defaultMemberUniqueName="[Flag].[DateKey].[All]" allUniqueName="[Flag].[DateKey].[All]" dimensionUniqueName="[Flag]" displayFolder="" count="0" unbalanced="0" hidden="1"/>
    <cacheHierarchy uniqueName="[Flag].[Flag]" caption="Flag" attribute="1" defaultMemberUniqueName="[Flag].[Flag].[All]" allUniqueName="[Flag].[Flag].[All]" dimensionUniqueName="[Flag]" displayFolder="" count="0" unbalanced="0" hidden="1"/>
    <cacheHierarchy uniqueName="[Flag].[FlagKey]" caption="FlagKey" attribute="1" defaultMemberUniqueName="[Flag].[FlagKey].[All]" allUniqueName="[Flag].[FlagKey].[All]" dimensionUniqueName="[Flag]" displayFolder="" count="0" unbalanced="0" hidden="1"/>
    <cacheHierarchy uniqueName="[Flag].[InitiativeIndex]" caption="InitiativeIndex" attribute="1" defaultMemberUniqueName="[Flag].[InitiativeIndex].[All]" allUniqueName="[Flag].[InitiativeIndex].[All]" dimensionUniqueName="[Flag]" displayFolder="" count="0" unbalanced="0" hidden="1"/>
    <cacheHierarchy uniqueName="[Flag].[Measure]" caption="Measure" attribute="1" defaultMemberUniqueName="[Flag].[Measure].[All]" allUniqueName="[Flag].[Measure].[All]" dimensionUniqueName="[Flag]" displayFolder="" count="0" unbalanced="0" hidden="1"/>
    <cacheHierarchy uniqueName="[Flag].[MeasureIndex]" caption="MeasureIndex" attribute="1" defaultMemberUniqueName="[Flag].[MeasureIndex].[All]" allUniqueName="[Flag].[MeasureIndex].[All]" dimensionUniqueName="[Flag]" displayFolder="" count="0" unbalanced="0" hidden="1"/>
    <cacheHierarchy uniqueName="[Flag].[Product]" caption="Product" attribute="1" defaultMemberUniqueName="[Flag].[Product].[All]" allUniqueName="[Flag].[Product].[All]" dimensionUniqueName="[Flag]" displayFolder="" count="0" unbalanced="0" hidden="1"/>
    <cacheHierarchy uniqueName="[Flag].[Tier]" caption="Tier" attribute="1" defaultMemberUniqueName="[Flag].[Tier].[All]" allUniqueName="[Flag].[Tier].[All]" dimensionUniqueName="[Flag]" displayFolder="" count="0" unbalanced="0" hidden="1"/>
    <cacheHierarchy uniqueName="[Funder Share].[CalendarYearKey]" caption="CalendarYearKey" attribute="1" defaultMemberUniqueName="[Funder Share].[CalendarYearKey].[All]" allUniqueName="[Funder Share].[CalendarYearKey].[All]" dimensionUniqueName="[Funder Share]" displayFolder="" count="0" unbalanced="0" hidden="1"/>
    <cacheHierarchy uniqueName="[Funder Share].[DateKey]" caption="DateKey" attribute="1" defaultMemberUniqueName="[Funder Share].[DateKey].[All]" allUniqueName="[Funder Share].[DateKey].[All]" dimensionUniqueName="[Funder Share]" displayFolder="" count="0" unbalanced="0" hidden="1"/>
    <cacheHierarchy uniqueName="[Funder Share].[FunderShare]" caption="FunderShare" attribute="1" defaultMemberUniqueName="[Funder Share].[FunderShare].[All]" allUniqueName="[Funder Share].[FunderShare].[All]" dimensionUniqueName="[Funder Share]" displayFolder="" count="0" unbalanced="0" hidden="1"/>
    <cacheHierarchy uniqueName="[Funder Share].[FunderShareKey]" caption="FunderShareKey" attribute="1" defaultMemberUniqueName="[Funder Share].[FunderShareKey].[All]" allUniqueName="[Funder Share].[FunderShareKey].[All]" dimensionUniqueName="[Funder Share]" displayFolder="" count="0" unbalanced="0" hidden="1"/>
    <cacheHierarchy uniqueName="[Funder Share].[IDAllocation]" caption="IDAllocation" attribute="1" defaultMemberUniqueName="[Funder Share].[IDAllocation].[All]" allUniqueName="[Funder Share].[IDAllocation].[All]" dimensionUniqueName="[Funder Share]" displayFolder="" count="0" unbalanced="0" hidden="1"/>
    <cacheHierarchy uniqueName="[Funder Share].[MTAllocation]" caption="MTAllocation" attribute="1" defaultMemberUniqueName="[Funder Share].[MTAllocation].[All]" allUniqueName="[Funder Share].[MTAllocation].[All]" dimensionUniqueName="[Funder Share]" displayFolder="" count="0" unbalanced="0" hidden="1"/>
    <cacheHierarchy uniqueName="[Funder Share].[ORAllocation]" caption="ORAllocation" attribute="1" defaultMemberUniqueName="[Funder Share].[ORAllocation].[All]" allUniqueName="[Funder Share].[ORAllocation].[All]" dimensionUniqueName="[Funder Share]" displayFolder="" count="0" unbalanced="0" hidden="1"/>
    <cacheHierarchy uniqueName="[Funder Share].[SnapshotKey]" caption="SnapshotKey" attribute="1" defaultMemberUniqueName="[Funder Share].[SnapshotKey].[All]" allUniqueName="[Funder Share].[SnapshotKey].[All]" dimensionUniqueName="[Funder Share]" displayFolder="" count="0" unbalanced="0" hidden="1"/>
    <cacheHierarchy uniqueName="[Funder Share].[StakeHolderOrganizationKey]" caption="StakeHolderOrganizationKey" attribute="1" defaultMemberUniqueName="[Funder Share].[StakeHolderOrganizationKey].[All]" allUniqueName="[Funder Share].[StakeHolderOrganizationKey].[All]" dimensionUniqueName="[Funder Share]" displayFolder="" count="0" unbalanced="0" hidden="1"/>
    <cacheHierarchy uniqueName="[Funder Share].[WAAllocation]" caption="WAAllocation" attribute="1" defaultMemberUniqueName="[Funder Share].[WAAllocation].[All]" allUniqueName="[Funder Share].[WAAllocation].[All]" dimensionUniqueName="[Funder Share]" displayFolder="" count="0" unbalanced="0" hidden="1"/>
    <cacheHierarchy uniqueName="[Funding Cycle].[FundingCycleKey]" caption="FundingCycleKey" attribute="1" defaultMemberUniqueName="[Funding Cycle].[FundingCycleKey].[All]" allUniqueName="[Funding Cycle].[FundingCycleKey].[All]" dimensionUniqueName="[Funding Cycle]" displayFolder="" count="0" unbalanced="0" hidden="1"/>
    <cacheHierarchy uniqueName="[Funding Cycle Funder Share].[CalendarYearKey]" caption="CalendarYearKey" attribute="1" defaultMemberUniqueName="[Funding Cycle Funder Share].[CalendarYearKey].[All]" allUniqueName="[Funding Cycle Funder Share].[CalendarYearKey].[All]" dimensionUniqueName="[Funding Cycle Funder Share]" displayFolder="" count="0" unbalanced="0" hidden="1"/>
    <cacheHierarchy uniqueName="[Funding Cycle Funder Share].[DateKey]" caption="DateKey" attribute="1" defaultMemberUniqueName="[Funding Cycle Funder Share].[DateKey].[All]" allUniqueName="[Funding Cycle Funder Share].[DateKey].[All]" dimensionUniqueName="[Funding Cycle Funder Share]" displayFolder="" count="0" unbalanced="0" hidden="1"/>
    <cacheHierarchy uniqueName="[Funding Cycle Funder Share].[FundingCycleFunderShare]" caption="FundingCycleFunderShare" attribute="1" defaultMemberUniqueName="[Funding Cycle Funder Share].[FundingCycleFunderShare].[All]" allUniqueName="[Funding Cycle Funder Share].[FundingCycleFunderShare].[All]" dimensionUniqueName="[Funding Cycle Funder Share]" displayFolder="" count="0" unbalanced="0" hidden="1"/>
    <cacheHierarchy uniqueName="[Funding Cycle Funder Share].[FundingCycleKey]" caption="FundingCycleKey" attribute="1" defaultMemberUniqueName="[Funding Cycle Funder Share].[FundingCycleKey].[All]" allUniqueName="[Funding Cycle Funder Share].[FundingCycleKey].[All]" dimensionUniqueName="[Funding Cycle Funder Share]" displayFolder="" count="0" unbalanced="0" hidden="1"/>
    <cacheHierarchy uniqueName="[Funding Cycle Funder Share].[IDFundingCycleAllocation]" caption="IDFundingCycleAllocation" attribute="1" defaultMemberUniqueName="[Funding Cycle Funder Share].[IDFundingCycleAllocation].[All]" allUniqueName="[Funding Cycle Funder Share].[IDFundingCycleAllocation].[All]" dimensionUniqueName="[Funding Cycle Funder Share]" displayFolder="" count="0" unbalanced="0" hidden="1"/>
    <cacheHierarchy uniqueName="[Funding Cycle Funder Share].[MTFundingCycleAllocation]" caption="MTFundingCycleAllocation" attribute="1" defaultMemberUniqueName="[Funding Cycle Funder Share].[MTFundingCycleAllocation].[All]" allUniqueName="[Funding Cycle Funder Share].[MTFundingCycleAllocation].[All]" dimensionUniqueName="[Funding Cycle Funder Share]" displayFolder="" count="0" unbalanced="0" hidden="1"/>
    <cacheHierarchy uniqueName="[Funding Cycle Funder Share].[ORFundingCycleAllocation]" caption="ORFundingCycleAllocation" attribute="1" defaultMemberUniqueName="[Funding Cycle Funder Share].[ORFundingCycleAllocation].[All]" allUniqueName="[Funding Cycle Funder Share].[ORFundingCycleAllocation].[All]" dimensionUniqueName="[Funding Cycle Funder Share]" displayFolder="" count="0" unbalanced="0" hidden="1"/>
    <cacheHierarchy uniqueName="[Funding Cycle Funder Share].[SnapshotKey]" caption="SnapshotKey" attribute="1" defaultMemberUniqueName="[Funding Cycle Funder Share].[SnapshotKey].[All]" allUniqueName="[Funding Cycle Funder Share].[SnapshotKey].[All]" dimensionUniqueName="[Funding Cycle Funder Share]" displayFolder="" count="0" unbalanced="0" hidden="1"/>
    <cacheHierarchy uniqueName="[Funding Cycle Funder Share].[StakeHolderOrganizationKey]" caption="StakeHolderOrganizationKey" attribute="1" defaultMemberUniqueName="[Funding Cycle Funder Share].[StakeHolderOrganizationKey].[All]" allUniqueName="[Funding Cycle Funder Share].[StakeHolderOrganizationKey].[All]" dimensionUniqueName="[Funding Cycle Funder Share]" displayFolder="" count="0" unbalanced="0" hidden="1"/>
    <cacheHierarchy uniqueName="[Funding Cycle Funder Share].[WAFundingCycleAllocation]" caption="WAFundingCycleAllocation" attribute="1" defaultMemberUniqueName="[Funding Cycle Funder Share].[WAFundingCycleAllocation].[All]" allUniqueName="[Funding Cycle Funder Share].[WAFundingCycleAllocation].[All]" dimensionUniqueName="[Funding Cycle Funder Share]" displayFolder="" count="0" unbalanced="0" hidden="1"/>
    <cacheHierarchy uniqueName="[Initiative].[InitiativeKey]" caption="InitiativeKey" attribute="1" defaultMemberUniqueName="[Initiative].[InitiativeKey].[All]" allUniqueName="[Initiative].[InitiativeKey].[All]" dimensionUniqueName="[Initiative]" displayFolder="" count="0" unbalanced="0" hidden="1"/>
    <cacheHierarchy uniqueName="[Key Assumption].[AceModelVersionKey]" caption="AceModelVersionKey" attribute="1" defaultMemberUniqueName="[Key Assumption].[AceModelVersionKey].[All]" allUniqueName="[Key Assumption].[AceModelVersionKey].[All]" dimensionUniqueName="[Key Assumption]" displayFolder="" count="0" unbalanced="0" hidden="1"/>
    <cacheHierarchy uniqueName="[Key Assumption].[CalendarYearKey]" caption="CalendarYearKey" attribute="1" defaultMemberUniqueName="[Key Assumption].[CalendarYearKey].[All]" allUniqueName="[Key Assumption].[CalendarYearKey].[All]" dimensionUniqueName="[Key Assumption]" displayFolder="" count="0" unbalanced="0" hidden="1"/>
    <cacheHierarchy uniqueName="[Key Assumption].[DateKey]" caption="DateKey" attribute="1" defaultMemberUniqueName="[Key Assumption].[DateKey].[All]" allUniqueName="[Key Assumption].[DateKey].[All]" dimensionUniqueName="[Key Assumption]" displayFolder="" count="0" unbalanced="0" hidden="1"/>
    <cacheHierarchy uniqueName="[Key Assumption].[InitiativeKey]" caption="InitiativeKey" attribute="1" defaultMemberUniqueName="[Key Assumption].[InitiativeKey].[All]" allUniqueName="[Key Assumption].[InitiativeKey].[All]" dimensionUniqueName="[Key Assumption]" displayFolder="" count="0" unbalanced="0" hidden="1"/>
    <cacheHierarchy uniqueName="[Key Assumption].[KeyAssumptionKey]" caption="KeyAssumptionKey" attribute="1" defaultMemberUniqueName="[Key Assumption].[KeyAssumptionKey].[All]" allUniqueName="[Key Assumption].[KeyAssumptionKey].[All]" dimensionUniqueName="[Key Assumption]" displayFolder="" count="0" unbalanced="0" hidden="1"/>
    <cacheHierarchy uniqueName="[Key Assumption].[KeyAssumptionNumber]" caption="KeyAssumptionNumber" attribute="1" defaultMemberUniqueName="[Key Assumption].[KeyAssumptionNumber].[All]" allUniqueName="[Key Assumption].[KeyAssumptionNumber].[All]" dimensionUniqueName="[Key Assumption]" displayFolder="" count="0" unbalanced="0" hidden="1"/>
    <cacheHierarchy uniqueName="[Key Assumption].[KeyAssumptionTypeKey]" caption="KeyAssumptionTypeKey" attribute="1" defaultMemberUniqueName="[Key Assumption].[KeyAssumptionTypeKey].[All]" allUniqueName="[Key Assumption].[KeyAssumptionTypeKey].[All]" dimensionUniqueName="[Key Assumption]" displayFolder="" count="0" unbalanced="0" hidden="1"/>
    <cacheHierarchy uniqueName="[Key Assumption].[MeasureKey]" caption="MeasureKey" attribute="1" defaultMemberUniqueName="[Key Assumption].[MeasureKey].[All]" allUniqueName="[Key Assumption].[MeasureKey].[All]" dimensionUniqueName="[Key Assumption]" displayFolder="" count="0" unbalanced="0" hidden="1"/>
    <cacheHierarchy uniqueName="[Key Assumption].[SnapshotKey]" caption="SnapshotKey" attribute="1" defaultMemberUniqueName="[Key Assumption].[SnapshotKey].[All]" allUniqueName="[Key Assumption].[SnapshotKey].[All]" dimensionUniqueName="[Key Assumption]" displayFolder="" count="0" unbalanced="0" hidden="1"/>
    <cacheHierarchy uniqueName="[Key Assumption].[UnitOfMeasureKey]" caption="UnitOfMeasureKey" attribute="1" defaultMemberUniqueName="[Key Assumption].[UnitOfMeasureKey].[All]" allUniqueName="[Key Assumption].[UnitOfMeasureKey].[All]" dimensionUniqueName="[Key Assumption]" displayFolder="" count="0" unbalanced="0" hidden="1"/>
    <cacheHierarchy uniqueName="[Key Assumption Type].[KeyAssumptionTypeKey]" caption="KeyAssumptionTypeKey" attribute="1" defaultMemberUniqueName="[Key Assumption Type].[KeyAssumptionTypeKey].[All]" allUniqueName="[Key Assumption Type].[KeyAssumptionTypeKey].[All]" dimensionUniqueName="[Key Assumption Type]" displayFolder="" count="0" unbalanced="0" hidden="1"/>
    <cacheHierarchy uniqueName="[Local Programs].[CalendarYearKey]" caption="CalendarYearKey" attribute="1" defaultMemberUniqueName="[Local Programs].[CalendarYearKey].[All]" allUniqueName="[Local Programs].[CalendarYearKey].[All]" dimensionUniqueName="[Local Programs]" displayFolder="" count="0" unbalanced="0" hidden="1"/>
    <cacheHierarchy uniqueName="[Local Programs].[DateKey]" caption="DateKey" attribute="1" defaultMemberUniqueName="[Local Programs].[DateKey].[All]" allUniqueName="[Local Programs].[DateKey].[All]" dimensionUniqueName="[Local Programs]" displayFolder="" count="0" unbalanced="0" hidden="1"/>
    <cacheHierarchy uniqueName="[Local Programs].[InitiativeKey]" caption="InitiativeKey" attribute="1" defaultMemberUniqueName="[Local Programs].[InitiativeKey].[All]" allUniqueName="[Local Programs].[InitiativeKey].[All]" dimensionUniqueName="[Local Programs]" displayFolder="" count="0" unbalanced="0" hidden="1"/>
    <cacheHierarchy uniqueName="[Local Programs].[LocalProgramsAdjustment]" caption="LocalProgramsAdjustment" attribute="1" defaultMemberUniqueName="[Local Programs].[LocalProgramsAdjustment].[All]" allUniqueName="[Local Programs].[LocalProgramsAdjustment].[All]" dimensionUniqueName="[Local Programs]" displayFolder="" count="0" unbalanced="0" hidden="1"/>
    <cacheHierarchy uniqueName="[Local Programs].[LocalProgramsSurveyUnits]" caption="LocalProgramsSurveyUnits" attribute="1" defaultMemberUniqueName="[Local Programs].[LocalProgramsSurveyUnits].[All]" allUniqueName="[Local Programs].[LocalProgramsSurveyUnits].[All]" dimensionUniqueName="[Local Programs]" displayFolder="" count="0" unbalanced="0" hidden="1"/>
    <cacheHierarchy uniqueName="[Local Programs].[MeasureKey]" caption="MeasureKey" attribute="1" defaultMemberUniqueName="[Local Programs].[MeasureKey].[All]" allUniqueName="[Local Programs].[MeasureKey].[All]" dimensionUniqueName="[Local Programs]" displayFolder="" count="0" unbalanced="0" hidden="1"/>
    <cacheHierarchy uniqueName="[Local Programs].[SnapshotKey]" caption="SnapshotKey" attribute="1" defaultMemberUniqueName="[Local Programs].[SnapshotKey].[All]" allUniqueName="[Local Programs].[SnapshotKey].[All]" dimensionUniqueName="[Local Programs]" displayFolder="" count="0" unbalanced="0" hidden="1"/>
    <cacheHierarchy uniqueName="[Local Programs].[StakeholderOrganizationKey]" caption="StakeholderOrganizationKey" attribute="1" defaultMemberUniqueName="[Local Programs].[StakeholderOrganizationKey].[All]" allUniqueName="[Local Programs].[StakeholderOrganizationKey].[All]" dimensionUniqueName="[Local Programs]" displayFolder="" count="0" unbalanced="0" hidden="1"/>
    <cacheHierarchy uniqueName="[Local Programs].[StateKey]" caption="StateKey" attribute="1" defaultMemberUniqueName="[Local Programs].[StateKey].[All]" allUniqueName="[Local Programs].[StateKey].[All]" dimensionUniqueName="[Local Programs]" displayFolder="" count="0" unbalanced="0" hidden="1"/>
    <cacheHierarchy uniqueName="[Local Programs].[UnitOfMeasureKey]" caption="UnitOfMeasureKey" attribute="1" defaultMemberUniqueName="[Local Programs].[UnitOfMeasureKey].[All]" allUniqueName="[Local Programs].[UnitOfMeasureKey].[All]" dimensionUniqueName="[Local Programs]" displayFolder="" count="0" unbalanced="0" hidden="1"/>
    <cacheHierarchy uniqueName="[Market Adoption].[ACEModelVersionKey]" caption="ACEModelVersionKey" attribute="1" defaultMemberUniqueName="[Market Adoption].[ACEModelVersionKey].[All]" allUniqueName="[Market Adoption].[ACEModelVersionKey].[All]" dimensionUniqueName="[Market Adoption]" displayFolder="" count="0" unbalanced="0" hidden="1"/>
    <cacheHierarchy uniqueName="[Market Adoption].[CalendarYearKey]" caption="CalendarYearKey" attribute="1" defaultMemberUniqueName="[Market Adoption].[CalendarYearKey].[All]" allUniqueName="[Market Adoption].[CalendarYearKey].[All]" dimensionUniqueName="[Market Adoption]" displayFolder="" count="0" unbalanced="0" hidden="1"/>
    <cacheHierarchy uniqueName="[Market Adoption].[DateKey]" caption="DateKey" attribute="1" defaultMemberUniqueName="[Market Adoption].[DateKey].[All]" allUniqueName="[Market Adoption].[DateKey].[All]" dimensionUniqueName="[Market Adoption]" displayFolder="" count="0" unbalanced="0" hidden="1"/>
    <cacheHierarchy uniqueName="[Market Adoption].[InitiativeKey]" caption="InitiativeKey" attribute="1" defaultMemberUniqueName="[Market Adoption].[InitiativeKey].[All]" allUniqueName="[Market Adoption].[InitiativeKey].[All]" dimensionUniqueName="[Market Adoption]" displayFolder="" count="0" unbalanced="0" hidden="1"/>
    <cacheHierarchy uniqueName="[Market Adoption].[MarketAdoptionStockUnits]" caption="MarketAdoptionStockUnits" attribute="1" defaultMemberUniqueName="[Market Adoption].[MarketAdoptionStockUnits].[All]" allUniqueName="[Market Adoption].[MarketAdoptionStockUnits].[All]" dimensionUniqueName="[Market Adoption]" displayFolder="" count="0" unbalanced="0" hidden="1"/>
    <cacheHierarchy uniqueName="[Market Adoption].[MarketAdoptionUnits]" caption="MarketAdoptionUnits" attribute="1" defaultMemberUniqueName="[Market Adoption].[MarketAdoptionUnits].[All]" allUniqueName="[Market Adoption].[MarketAdoptionUnits].[All]" dimensionUniqueName="[Market Adoption]" displayFolder="" count="0" unbalanced="0" hidden="1"/>
    <cacheHierarchy uniqueName="[Market Adoption].[MeasureKey]" caption="MeasureKey" attribute="1" defaultMemberUniqueName="[Market Adoption].[MeasureKey].[All]" allUniqueName="[Market Adoption].[MeasureKey].[All]" dimensionUniqueName="[Market Adoption]" displayFolder="" count="0" unbalanced="0" hidden="1"/>
    <cacheHierarchy uniqueName="[Market Adoption].[ProductKey]" caption="ProductKey" attribute="1" defaultMemberUniqueName="[Market Adoption].[ProductKey].[All]" allUniqueName="[Market Adoption].[ProductKey].[All]" dimensionUniqueName="[Market Adoption]" displayFolder="" count="0" unbalanced="0" hidden="1"/>
    <cacheHierarchy uniqueName="[Market Adoption].[ProductMarketSize]" caption="ProductMarketSize" attribute="1" defaultMemberUniqueName="[Market Adoption].[ProductMarketSize].[All]" allUniqueName="[Market Adoption].[ProductMarketSize].[All]" dimensionUniqueName="[Market Adoption]" displayFolder="" count="0" unbalanced="0" hidden="1"/>
    <cacheHierarchy uniqueName="[Market Adoption].[ProductMarketSizeStock]" caption="ProductMarketSizeStock" attribute="1" defaultMemberUniqueName="[Market Adoption].[ProductMarketSizeStock].[All]" allUniqueName="[Market Adoption].[ProductMarketSizeStock].[All]" dimensionUniqueName="[Market Adoption]" displayFolder="" count="0" unbalanced="0" hidden="1"/>
    <cacheHierarchy uniqueName="[Market Adoption].[SnapshotKey]" caption="SnapshotKey" attribute="1" defaultMemberUniqueName="[Market Adoption].[SnapshotKey].[All]" allUniqueName="[Market Adoption].[SnapshotKey].[All]" dimensionUniqueName="[Market Adoption]" displayFolder="" count="0" unbalanced="0" hidden="1"/>
    <cacheHierarchy uniqueName="[Market Adoption].[UnitOfMeasureKey]" caption="UnitOfMeasureKey" attribute="1" defaultMemberUniqueName="[Market Adoption].[UnitOfMeasureKey].[All]" allUniqueName="[Market Adoption].[UnitOfMeasureKey].[All]" dimensionUniqueName="[Market Adoption]" displayFolder="" count="0" unbalanced="0" hidden="1"/>
    <cacheHierarchy uniqueName="[Market Size].[AceModelVersionKey]" caption="AceModelVersionKey" attribute="1" defaultMemberUniqueName="[Market Size].[AceModelVersionKey].[All]" allUniqueName="[Market Size].[AceModelVersionKey].[All]" dimensionUniqueName="[Market Size]" displayFolder="" count="0" unbalanced="0" hidden="1"/>
    <cacheHierarchy uniqueName="[Market Size].[CalendarYearKey]" caption="CalendarYearKey" attribute="1" defaultMemberUniqueName="[Market Size].[CalendarYearKey].[All]" allUniqueName="[Market Size].[CalendarYearKey].[All]" dimensionUniqueName="[Market Size]" displayFolder="" count="0" unbalanced="0" hidden="1"/>
    <cacheHierarchy uniqueName="[Market Size].[DateKey]" caption="DateKey" attribute="1" defaultMemberUniqueName="[Market Size].[DateKey].[All]" allUniqueName="[Market Size].[DateKey].[All]" dimensionUniqueName="[Market Size]" displayFolder="" count="0" unbalanced="0" hidden="1"/>
    <cacheHierarchy uniqueName="[Market Size].[InitiativeIndex]" caption="InitiativeIndex" attribute="1" defaultMemberUniqueName="[Market Size].[InitiativeIndex].[All]" allUniqueName="[Market Size].[InitiativeIndex].[All]" dimensionUniqueName="[Market Size]" displayFolder="" count="0" unbalanced="0" hidden="1"/>
    <cacheHierarchy uniqueName="[Market Size].[InitiativeKey]" caption="InitiativeKey" attribute="1" defaultMemberUniqueName="[Market Size].[InitiativeKey].[All]" allUniqueName="[Market Size].[InitiativeKey].[All]" dimensionUniqueName="[Market Size]" displayFolder="" count="0" unbalanced="0" hidden="1"/>
    <cacheHierarchy uniqueName="[Market Size].[MarketSize]" caption="MarketSize" attribute="1" defaultMemberUniqueName="[Market Size].[MarketSize].[All]" allUniqueName="[Market Size].[MarketSize].[All]" dimensionUniqueName="[Market Size]" displayFolder="" count="0" unbalanced="0" hidden="1"/>
    <cacheHierarchy uniqueName="[Market Size].[MarketSizeKey]" caption="MarketSizeKey" attribute="1" defaultMemberUniqueName="[Market Size].[MarketSizeKey].[All]" allUniqueName="[Market Size].[MarketSizeKey].[All]" dimensionUniqueName="[Market Size]" displayFolder="" count="0" unbalanced="0" hidden="1"/>
    <cacheHierarchy uniqueName="[Market Size].[MarketSizeStock]" caption="MarketSizeStock" attribute="1" defaultMemberUniqueName="[Market Size].[MarketSizeStock].[All]" allUniqueName="[Market Size].[MarketSizeStock].[All]" dimensionUniqueName="[Market Size]" displayFolder="" count="0" unbalanced="0" hidden="1"/>
    <cacheHierarchy uniqueName="[Market Size].[MeasureKey]" caption="MeasureKey" attribute="1" defaultMemberUniqueName="[Market Size].[MeasureKey].[All]" allUniqueName="[Market Size].[MeasureKey].[All]" dimensionUniqueName="[Market Size]" displayFolder="" count="0" unbalanced="0" hidden="1"/>
    <cacheHierarchy uniqueName="[Market Size].[ProductKey]" caption="ProductKey" attribute="1" defaultMemberUniqueName="[Market Size].[ProductKey].[All]" allUniqueName="[Market Size].[ProductKey].[All]" dimensionUniqueName="[Market Size]" displayFolder="" count="0" unbalanced="0" hidden="1"/>
    <cacheHierarchy uniqueName="[Market Size].[SnapshotKey]" caption="SnapshotKey" attribute="1" defaultMemberUniqueName="[Market Size].[SnapshotKey].[All]" allUniqueName="[Market Size].[SnapshotKey].[All]" dimensionUniqueName="[Market Size]" displayFolder="" count="0" unbalanced="0" hidden="1"/>
    <cacheHierarchy uniqueName="[Market Size].[UnitOfMeasureKey]" caption="UnitOfMeasureKey" attribute="1" defaultMemberUniqueName="[Market Size].[UnitOfMeasureKey].[All]" allUniqueName="[Market Size].[UnitOfMeasureKey].[All]" dimensionUniqueName="[Market Size]" displayFolder="" count="0" unbalanced="0" hidden="1"/>
    <cacheHierarchy uniqueName="[Measure].[InitiativeKey]" caption="InitiativeKey" attribute="1" defaultMemberUniqueName="[Measure].[InitiativeKey].[All]" allUniqueName="[Measure].[InitiativeKey].[All]" dimensionUniqueName="[Measure]" displayFolder="" count="0" unbalanced="0" hidden="1"/>
    <cacheHierarchy uniqueName="[Measure].[MeasureKey]" caption="MeasureKey" attribute="1" defaultMemberUniqueName="[Measure].[MeasureKey].[All]" allUniqueName="[Measure].[MeasureKey].[All]" dimensionUniqueName="[Measure]" displayFolder="" count="0" unbalanced="0" hidden="1"/>
    <cacheHierarchy uniqueName="[Measure].[ProductKey]" caption="ProductKey" attribute="1" defaultMemberUniqueName="[Measure].[ProductKey].[All]" allUniqueName="[Measure].[ProductKey].[All]" dimensionUniqueName="[Measure]" displayFolder="" count="0" unbalanced="0" hidden="1"/>
    <cacheHierarchy uniqueName="[Measure].[SnapshotKey]" caption="SnapshotKey" attribute="1" defaultMemberUniqueName="[Measure].[SnapshotKey].[All]" allUniqueName="[Measure].[SnapshotKey].[All]" dimensionUniqueName="[Measure]" displayFolder="" count="0" unbalanced="0" hidden="1"/>
    <cacheHierarchy uniqueName="[Portfolio Metrics].[EquityRural]" caption="EquityRural" attribute="1" defaultMemberUniqueName="[Portfolio Metrics].[EquityRural].[All]" allUniqueName="[Portfolio Metrics].[EquityRural].[All]" dimensionUniqueName="[Portfolio Metrics]" displayFolder="" count="0" unbalanced="0" hidden="1"/>
    <cacheHierarchy uniqueName="[Portfolio Metrics].[EquityUrban]" caption="EquityUrban" attribute="1" defaultMemberUniqueName="[Portfolio Metrics].[EquityUrban].[All]" allUniqueName="[Portfolio Metrics].[EquityUrban].[All]" dimensionUniqueName="[Portfolio Metrics]" displayFolder="" count="0" unbalanced="0" hidden="1"/>
    <cacheHierarchy uniqueName="[Portfolio Metrics].[InitiativeKey]" caption="InitiativeKey" attribute="1" defaultMemberUniqueName="[Portfolio Metrics].[InitiativeKey].[All]" allUniqueName="[Portfolio Metrics].[InitiativeKey].[All]" dimensionUniqueName="[Portfolio Metrics]" displayFolder="" count="0" unbalanced="0" hidden="1"/>
    <cacheHierarchy uniqueName="[Portfolio Metrics].[RegionalEquityID]" caption="RegionalEquityID" attribute="1" defaultMemberUniqueName="[Portfolio Metrics].[RegionalEquityID].[All]" allUniqueName="[Portfolio Metrics].[RegionalEquityID].[All]" dimensionUniqueName="[Portfolio Metrics]" displayFolder="" count="0" unbalanced="0" hidden="1"/>
    <cacheHierarchy uniqueName="[Portfolio Metrics].[RegionalEquityMT]" caption="RegionalEquityMT" attribute="1" defaultMemberUniqueName="[Portfolio Metrics].[RegionalEquityMT].[All]" allUniqueName="[Portfolio Metrics].[RegionalEquityMT].[All]" dimensionUniqueName="[Portfolio Metrics]" displayFolder="" count="0" unbalanced="0" hidden="1"/>
    <cacheHierarchy uniqueName="[Portfolio Metrics].[RegionalEquityOR]" caption="RegionalEquityOR" attribute="1" defaultMemberUniqueName="[Portfolio Metrics].[RegionalEquityOR].[All]" allUniqueName="[Portfolio Metrics].[RegionalEquityOR].[All]" dimensionUniqueName="[Portfolio Metrics]" displayFolder="" count="0" unbalanced="0" hidden="1"/>
    <cacheHierarchy uniqueName="[Portfolio Metrics].[RegionalEquityWA]" caption="RegionalEquityWA" attribute="1" defaultMemberUniqueName="[Portfolio Metrics].[RegionalEquityWA].[All]" allUniqueName="[Portfolio Metrics].[RegionalEquityWA].[All]" dimensionUniqueName="[Portfolio Metrics]" displayFolder="" count="0" unbalanced="0" hidden="1"/>
    <cacheHierarchy uniqueName="[Portfolio Metrics].[RiskApproach]" caption="RiskApproach" attribute="1" defaultMemberUniqueName="[Portfolio Metrics].[RiskApproach].[All]" allUniqueName="[Portfolio Metrics].[RiskApproach].[All]" dimensionUniqueName="[Portfolio Metrics]" displayFolder="" count="0" unbalanced="0" hidden="1"/>
    <cacheHierarchy uniqueName="[Portfolio Metrics].[RiskCE]" caption="RiskCE" attribute="1" defaultMemberUniqueName="[Portfolio Metrics].[RiskCE].[All]" allUniqueName="[Portfolio Metrics].[RiskCE].[All]" dimensionUniqueName="[Portfolio Metrics]" displayFolder="" count="0" unbalanced="0" hidden="1"/>
    <cacheHierarchy uniqueName="[Portfolio Metrics].[RiskColumnCalc]" caption="RiskColumnCalc" attribute="1" defaultMemberUniqueName="[Portfolio Metrics].[RiskColumnCalc].[All]" allUniqueName="[Portfolio Metrics].[RiskColumnCalc].[All]" dimensionUniqueName="[Portfolio Metrics]" displayFolder="" count="0" unbalanced="0" hidden="1"/>
    <cacheHierarchy uniqueName="[Portfolio Metrics].[RiskLateSavings]" caption="RiskLateSavings" attribute="1" defaultMemberUniqueName="[Portfolio Metrics].[RiskLateSavings].[All]" allUniqueName="[Portfolio Metrics].[RiskLateSavings].[All]" dimensionUniqueName="[Portfolio Metrics]" displayFolder="" count="0" unbalanced="0" hidden="1"/>
    <cacheHierarchy uniqueName="[Portfolio Metrics].[RiskMeasurement]" caption="RiskMeasurement" attribute="1" defaultMemberUniqueName="[Portfolio Metrics].[RiskMeasurement].[All]" allUniqueName="[Portfolio Metrics].[RiskMeasurement].[All]" dimensionUniqueName="[Portfolio Metrics]" displayFolder="" count="0" unbalanced="0" hidden="1"/>
    <cacheHierarchy uniqueName="[Portfolio Metrics].[RiskTech]" caption="RiskTech" attribute="1" defaultMemberUniqueName="[Portfolio Metrics].[RiskTech].[All]" allUniqueName="[Portfolio Metrics].[RiskTech].[All]" dimensionUniqueName="[Portfolio Metrics]" displayFolder="" count="0" unbalanced="0" hidden="1"/>
    <cacheHierarchy uniqueName="[Portfolio Metrics].[SnapshotKey]" caption="SnapshotKey" attribute="1" defaultMemberUniqueName="[Portfolio Metrics].[SnapshotKey].[All]" allUniqueName="[Portfolio Metrics].[SnapshotKey].[All]" dimensionUniqueName="[Portfolio Metrics]" displayFolder="" count="0" unbalanced="0" hidden="1"/>
    <cacheHierarchy uniqueName="[Savings].[AceModelVersionKey]" caption="AceModelVersionKey" attribute="1" defaultMemberUniqueName="[Savings].[AceModelVersionKey].[All]" allUniqueName="[Savings].[AceModelVersionKey].[All]" dimensionUniqueName="[Savings]" displayFolder="" count="0" unbalanced="0" hidden="1"/>
    <cacheHierarchy uniqueName="[Savings].[Baseline_Units_6thPP]" caption="Baseline_Units_6thPP" attribute="1" defaultMemberUniqueName="[Savings].[Baseline_Units_6thPP].[All]" allUniqueName="[Savings].[Baseline_Units_6thPP].[All]" dimensionUniqueName="[Savings]" displayFolder="" count="0" unbalanced="0" hidden="1"/>
    <cacheHierarchy uniqueName="[Savings].[Baseline_Units_7thPP]" caption="Baseline_Units_7thPP" attribute="1" defaultMemberUniqueName="[Savings].[Baseline_Units_7thPP].[All]" allUniqueName="[Savings].[Baseline_Units_7thPP].[All]" dimensionUniqueName="[Savings]" displayFolder="" count="0" unbalanced="0" hidden="1"/>
    <cacheHierarchy uniqueName="[Savings].[Baseline_Units_NEEA]" caption="Baseline_Units_NEEA" attribute="1" defaultMemberUniqueName="[Savings].[Baseline_Units_NEEA].[All]" allUniqueName="[Savings].[Baseline_Units_NEEA].[All]" dimensionUniqueName="[Savings]" displayFolder="" count="0" unbalanced="0" hidden="1"/>
    <cacheHierarchy uniqueName="[Savings].[BaselineSavings]" caption="BaselineSavings" attribute="1" defaultMemberUniqueName="[Savings].[BaselineSavings].[All]" allUniqueName="[Savings].[BaselineSavings].[All]" dimensionUniqueName="[Savings]" displayFolder="" count="0" unbalanced="0" hidden="1"/>
    <cacheHierarchy uniqueName="[Savings].[BaselineSavings6thPowerPlan]" caption="BaselineSavings6thPowerPlan" attribute="1" defaultMemberUniqueName="[Savings].[BaselineSavings6thPowerPlan].[All]" allUniqueName="[Savings].[BaselineSavings6thPowerPlan].[All]" dimensionUniqueName="[Savings]" displayFolder="" count="0" unbalanced="0" hidden="1"/>
    <cacheHierarchy uniqueName="[Savings].[BaselineSavings6thPowerPlanAdjusted]" caption="BaselineSavings6thPowerPlanAdjusted" attribute="1" defaultMemberUniqueName="[Savings].[BaselineSavings6thPowerPlanAdjusted].[All]" allUniqueName="[Savings].[BaselineSavings6thPowerPlanAdjusted].[All]" dimensionUniqueName="[Savings]" displayFolder="" count="0" unbalanced="0" hidden="1"/>
    <cacheHierarchy uniqueName="[Savings].[BaselineSavings6thPowerPlanOriginal]" caption="BaselineSavings6thPowerPlanOriginal" attribute="1" defaultMemberUniqueName="[Savings].[BaselineSavings6thPowerPlanOriginal].[All]" allUniqueName="[Savings].[BaselineSavings6thPowerPlanOriginal].[All]" dimensionUniqueName="[Savings]" displayFolder="" count="0" unbalanced="0" hidden="1"/>
    <cacheHierarchy uniqueName="[Savings].[BaselineSavings7thPowerPlan]" caption="BaselineSavings7thPowerPlan" attribute="1" defaultMemberUniqueName="[Savings].[BaselineSavings7thPowerPlan].[All]" allUniqueName="[Savings].[BaselineSavings7thPowerPlan].[All]" dimensionUniqueName="[Savings]" displayFolder="" count="0" unbalanced="0" hidden="1"/>
    <cacheHierarchy uniqueName="[Savings].[CalendarYearKey]" caption="CalendarYearKey" attribute="1" defaultMemberUniqueName="[Savings].[CalendarYearKey].[All]" allUniqueName="[Savings].[CalendarYearKey].[All]" dimensionUniqueName="[Savings]" displayFolder="" count="0" unbalanced="0" hidden="1"/>
    <cacheHierarchy uniqueName="[Savings].[DateKey]" caption="DateKey" attribute="1" defaultMemberUniqueName="[Savings].[DateKey].[All]" allUniqueName="[Savings].[DateKey].[All]" dimensionUniqueName="[Savings]" displayFolder="" count="0" unbalanced="0" hidden="1"/>
    <cacheHierarchy uniqueName="[Savings].[FlagKey]" caption="FlagKey" attribute="1" defaultMemberUniqueName="[Savings].[FlagKey].[All]" allUniqueName="[Savings].[FlagKey].[All]" dimensionUniqueName="[Savings]" displayFolder="" count="0" unbalanced="0" hidden="1"/>
    <cacheHierarchy uniqueName="[Savings].[FundingCycleKey]" caption="FundingCycleKey" attribute="1" defaultMemberUniqueName="[Savings].[FundingCycleKey].[All]" allUniqueName="[Savings].[FundingCycleKey].[All]" dimensionUniqueName="[Savings]" displayFolder="" count="0" unbalanced="0" hidden="1"/>
    <cacheHierarchy uniqueName="[Savings].[InitiativeKey]" caption="InitiativeKey" attribute="1" defaultMemberUniqueName="[Savings].[InitiativeKey].[All]" allUniqueName="[Savings].[InitiativeKey].[All]" dimensionUniqueName="[Savings]" displayFolder="" count="0" unbalanced="0" hidden="1"/>
    <cacheHierarchy uniqueName="[Savings].[Local_Programs_Units_6thPP]" caption="Local_Programs_Units_6thPP" attribute="1" defaultMemberUniqueName="[Savings].[Local_Programs_Units_6thPP].[All]" allUniqueName="[Savings].[Local_Programs_Units_6thPP].[All]" dimensionUniqueName="[Savings]" displayFolder="" count="0" unbalanced="0" hidden="1"/>
    <cacheHierarchy uniqueName="[Savings].[Local_Programs_Units_7thPP]" caption="Local_Programs_Units_7thPP" attribute="1" defaultMemberUniqueName="[Savings].[Local_Programs_Units_7thPP].[All]" allUniqueName="[Savings].[Local_Programs_Units_7thPP].[All]" dimensionUniqueName="[Savings]" displayFolder="" count="0" unbalanced="0" hidden="1"/>
    <cacheHierarchy uniqueName="[Savings].[Local_Programs_Units_NEEA]" caption="Local_Programs_Units_NEEA" attribute="1" defaultMemberUniqueName="[Savings].[Local_Programs_Units_NEEA].[All]" allUniqueName="[Savings].[Local_Programs_Units_NEEA].[All]" dimensionUniqueName="[Savings]" displayFolder="" count="0" unbalanced="0" hidden="1"/>
    <cacheHierarchy uniqueName="[Savings].[LocalProgramSavings]" caption="LocalProgramSavings" attribute="1" defaultMemberUniqueName="[Savings].[LocalProgramSavings].[All]" allUniqueName="[Savings].[LocalProgramSavings].[All]" dimensionUniqueName="[Savings]" displayFolder="" count="0" unbalanced="0" hidden="1"/>
    <cacheHierarchy uniqueName="[Savings].[LocalProgramSavings6thPowerPlan]" caption="LocalProgramSavings6thPowerPlan" attribute="1" defaultMemberUniqueName="[Savings].[LocalProgramSavings6thPowerPlan].[All]" allUniqueName="[Savings].[LocalProgramSavings6thPowerPlan].[All]" dimensionUniqueName="[Savings]" displayFolder="" count="0" unbalanced="0" hidden="1"/>
    <cacheHierarchy uniqueName="[Savings].[LocalProgramSavings6thPowerPlanAdjusted]" caption="LocalProgramSavings6thPowerPlanAdjusted" attribute="1" defaultMemberUniqueName="[Savings].[LocalProgramSavings6thPowerPlanAdjusted].[All]" allUniqueName="[Savings].[LocalProgramSavings6thPowerPlanAdjusted].[All]" dimensionUniqueName="[Savings]" displayFolder="" count="0" unbalanced="0" hidden="1"/>
    <cacheHierarchy uniqueName="[Savings].[LocalProgramSavings6thPowerPlanOriginal]" caption="LocalProgramSavings6thPowerPlanOriginal" attribute="1" defaultMemberUniqueName="[Savings].[LocalProgramSavings6thPowerPlanOriginal].[All]" allUniqueName="[Savings].[LocalProgramSavings6thPowerPlanOriginal].[All]" dimensionUniqueName="[Savings]" displayFolder="" count="0" unbalanced="0" hidden="1"/>
    <cacheHierarchy uniqueName="[Savings].[LocalProgramSavings7thPowerPlan]" caption="LocalProgramSavings7thPowerPlan" attribute="1" defaultMemberUniqueName="[Savings].[LocalProgramSavings7thPowerPlan].[All]" allUniqueName="[Savings].[LocalProgramSavings7thPowerPlan].[All]" dimensionUniqueName="[Savings]" displayFolder="" count="0" unbalanced="0" hidden="1"/>
    <cacheHierarchy uniqueName="[Savings].[MeasureKey]" caption="MeasureKey" attribute="1" defaultMemberUniqueName="[Savings].[MeasureKey].[All]" allUniqueName="[Savings].[MeasureKey].[All]" dimensionUniqueName="[Savings]" displayFolder="" count="0" unbalanced="0" hidden="1"/>
    <cacheHierarchy uniqueName="[Savings].[NetMarketEffects]" caption="NetMarketEffects" attribute="1" defaultMemberUniqueName="[Savings].[NetMarketEffects].[All]" allUniqueName="[Savings].[NetMarketEffects].[All]" dimensionUniqueName="[Savings]" displayFolder="" count="0" unbalanced="0" hidden="1"/>
    <cacheHierarchy uniqueName="[Savings].[Regional_Market_Units]" caption="Regional_Market_Units" attribute="1" defaultMemberUniqueName="[Savings].[Regional_Market_Units].[All]" allUniqueName="[Savings].[Regional_Market_Units].[All]" dimensionUniqueName="[Savings]" displayFolder="" count="0" unbalanced="0" hidden="1"/>
    <cacheHierarchy uniqueName="[Savings].[Regional_Market_Units_6thPP]" caption="Regional_Market_Units_6thPP" attribute="1" defaultMemberUniqueName="[Savings].[Regional_Market_Units_6thPP].[All]" allUniqueName="[Savings].[Regional_Market_Units_6thPP].[All]" dimensionUniqueName="[Savings]" displayFolder="" count="0" unbalanced="0" hidden="1"/>
    <cacheHierarchy uniqueName="[Savings].[Regional_Market_Units_7thPP]" caption="Regional_Market_Units_7thPP" attribute="1" defaultMemberUniqueName="[Savings].[Regional_Market_Units_7thPP].[All]" allUniqueName="[Savings].[Regional_Market_Units_7thPP].[All]" dimensionUniqueName="[Savings]" displayFolder="" count="0" unbalanced="0" hidden="1"/>
    <cacheHierarchy uniqueName="[Savings].[RemainingSavings6thPowerPlan]" caption="RemainingSavings6thPowerPlan" attribute="1" defaultMemberUniqueName="[Savings].[RemainingSavings6thPowerPlan].[All]" allUniqueName="[Savings].[RemainingSavings6thPowerPlan].[All]" dimensionUniqueName="[Savings]" displayFolder="" count="0" unbalanced="0" hidden="1"/>
    <cacheHierarchy uniqueName="[Savings].[RemainingSavings6thPowerPlanAdjusted]" caption="RemainingSavings6thPowerPlanAdjusted" attribute="1" defaultMemberUniqueName="[Savings].[RemainingSavings6thPowerPlanAdjusted].[All]" allUniqueName="[Savings].[RemainingSavings6thPowerPlanAdjusted].[All]" dimensionUniqueName="[Savings]" displayFolder="" count="0" unbalanced="0" hidden="1"/>
    <cacheHierarchy uniqueName="[Savings].[RemainingSavings6thPowerPlanOriginal]" caption="RemainingSavings6thPowerPlanOriginal" attribute="1" defaultMemberUniqueName="[Savings].[RemainingSavings6thPowerPlanOriginal].[All]" allUniqueName="[Savings].[RemainingSavings6thPowerPlanOriginal].[All]" dimensionUniqueName="[Savings]" displayFolder="" count="0" unbalanced="0" hidden="1"/>
    <cacheHierarchy uniqueName="[Savings].[RemainingSavings7thPowerPlan]" caption="RemainingSavings7thPowerPlan" attribute="1" defaultMemberUniqueName="[Savings].[RemainingSavings7thPowerPlan].[All]" allUniqueName="[Savings].[RemainingSavings7thPowerPlan].[All]" dimensionUniqueName="[Savings]" displayFolder="" count="0" unbalanced="0" hidden="1"/>
    <cacheHierarchy uniqueName="[Savings].[ReportableLocalProgramSavings]" caption="ReportableLocalProgramSavings" attribute="1" defaultMemberUniqueName="[Savings].[ReportableLocalProgramSavings].[All]" allUniqueName="[Savings].[ReportableLocalProgramSavings].[All]" dimensionUniqueName="[Savings]" displayFolder="" count="0" unbalanced="0" hidden="1"/>
    <cacheHierarchy uniqueName="[Savings].[ReportableLocalProgramSavings6thPowerPlan]" caption="ReportableLocalProgramSavings6thPowerPlan" attribute="1" defaultMemberUniqueName="[Savings].[ReportableLocalProgramSavings6thPowerPlan].[All]" allUniqueName="[Savings].[ReportableLocalProgramSavings6thPowerPlan].[All]" dimensionUniqueName="[Savings]" displayFolder="" count="0" unbalanced="0" hidden="1"/>
    <cacheHierarchy uniqueName="[Savings].[ReportableLocalProgramSavings6thPowerPlanAdjusted]" caption="ReportableLocalProgramSavings6thPowerPlanAdjusted" attribute="1" defaultMemberUniqueName="[Savings].[ReportableLocalProgramSavings6thPowerPlanAdjusted].[All]" allUniqueName="[Savings].[ReportableLocalProgramSavings6thPowerPlanAdjusted].[All]" dimensionUniqueName="[Savings]" displayFolder="" count="0" unbalanced="0" hidden="1"/>
    <cacheHierarchy uniqueName="[Savings].[ReportableLocalProgramSavings6thPowerPlanOriginal]" caption="ReportableLocalProgramSavings6thPowerPlanOriginal" attribute="1" defaultMemberUniqueName="[Savings].[ReportableLocalProgramSavings6thPowerPlanOriginal].[All]" allUniqueName="[Savings].[ReportableLocalProgramSavings6thPowerPlanOriginal].[All]" dimensionUniqueName="[Savings]" displayFolder="" count="0" unbalanced="0" hidden="1"/>
    <cacheHierarchy uniqueName="[Savings].[ReportableLocalProgramSavings7thPowerPlan]" caption="ReportableLocalProgramSavings7thPowerPlan" attribute="1" defaultMemberUniqueName="[Savings].[ReportableLocalProgramSavings7thPowerPlan].[All]" allUniqueName="[Savings].[ReportableLocalProgramSavings7thPowerPlan].[All]" dimensionUniqueName="[Savings]" displayFolder="" count="0" unbalanced="0" hidden="1"/>
    <cacheHierarchy uniqueName="[Savings].[ReportableNetMarketEffects]" caption="ReportableNetMarketEffects" attribute="1" defaultMemberUniqueName="[Savings].[ReportableNetMarketEffects].[All]" allUniqueName="[Savings].[ReportableNetMarketEffects].[All]" dimensionUniqueName="[Savings]" displayFolder="" count="0" unbalanced="0" hidden="1"/>
    <cacheHierarchy uniqueName="[Savings].[ReportableRemainingSavings6thPowerPlan]" caption="ReportableRemainingSavings6thPowerPlan" attribute="1" defaultMemberUniqueName="[Savings].[ReportableRemainingSavings6thPowerPlan].[All]" allUniqueName="[Savings].[ReportableRemainingSavings6thPowerPlan].[All]" dimensionUniqueName="[Savings]" displayFolder="" count="0" unbalanced="0" hidden="1"/>
    <cacheHierarchy uniqueName="[Savings].[ReportableRemainingSavings6thPowerPlanAdjusted]" caption="ReportableRemainingSavings6thPowerPlanAdjusted" attribute="1" defaultMemberUniqueName="[Savings].[ReportableRemainingSavings6thPowerPlanAdjusted].[All]" allUniqueName="[Savings].[ReportableRemainingSavings6thPowerPlanAdjusted].[All]" dimensionUniqueName="[Savings]" displayFolder="" count="0" unbalanced="0" hidden="1"/>
    <cacheHierarchy uniqueName="[Savings].[ReportableRemainingSavings6thPowerPlanOriginal]" caption="ReportableRemainingSavings6thPowerPlanOriginal" attribute="1" defaultMemberUniqueName="[Savings].[ReportableRemainingSavings6thPowerPlanOriginal].[All]" allUniqueName="[Savings].[ReportableRemainingSavings6thPowerPlanOriginal].[All]" dimensionUniqueName="[Savings]" displayFolder="" count="0" unbalanced="0" hidden="1"/>
    <cacheHierarchy uniqueName="[Savings].[ReportableRemainingSavings7thPowerPlan]" caption="ReportableRemainingSavings7thPowerPlan" attribute="1" defaultMemberUniqueName="[Savings].[ReportableRemainingSavings7thPowerPlan].[All]" allUniqueName="[Savings].[ReportableRemainingSavings7thPowerPlan].[All]" dimensionUniqueName="[Savings]" displayFolder="" count="0" unbalanced="0" hidden="1"/>
    <cacheHierarchy uniqueName="[Savings].[RetirementDetailLevel]" caption="RetirementDetailLevel" attribute="1" defaultMemberUniqueName="[Savings].[RetirementDetailLevel].[All]" allUniqueName="[Savings].[RetirementDetailLevel].[All]" dimensionUniqueName="[Savings]" displayFolder="" count="0" unbalanced="0" hidden="1"/>
    <cacheHierarchy uniqueName="[Savings].[Retirements_6thPP_Units]" caption="Retirements_6thPP_Units" attribute="1" defaultMemberUniqueName="[Savings].[Retirements_6thPP_Units].[All]" allUniqueName="[Savings].[Retirements_6thPP_Units].[All]" dimensionUniqueName="[Savings]" displayFolder="" count="0" unbalanced="0" hidden="1"/>
    <cacheHierarchy uniqueName="[Savings].[Retirements_7thPP_Units]" caption="Retirements_7thPP_Units" attribute="1" defaultMemberUniqueName="[Savings].[Retirements_7thPP_Units].[All]" allUniqueName="[Savings].[Retirements_7thPP_Units].[All]" dimensionUniqueName="[Savings]" displayFolder="" count="0" unbalanced="0" hidden="1"/>
    <cacheHierarchy uniqueName="[Savings].[Retirements_Baseline_7thPP_Units]" caption="Retirements_Baseline_7thPP_Units" attribute="1" defaultMemberUniqueName="[Savings].[Retirements_Baseline_7thPP_Units].[All]" allUniqueName="[Savings].[Retirements_Baseline_7thPP_Units].[All]" dimensionUniqueName="[Savings]" displayFolder="" count="0" unbalanced="0" hidden="1"/>
    <cacheHierarchy uniqueName="[Savings].[Retirements_Baseline_Units]" caption="Retirements_Baseline_Units" attribute="1" defaultMemberUniqueName="[Savings].[Retirements_Baseline_Units].[All]" allUniqueName="[Savings].[Retirements_Baseline_Units].[All]" dimensionUniqueName="[Savings]" displayFolder="" count="0" unbalanced="0" hidden="1"/>
    <cacheHierarchy uniqueName="[Savings].[Retirements_Gross_Units_NEEA]" caption="Retirements_Gross_Units_NEEA" attribute="1" defaultMemberUniqueName="[Savings].[Retirements_Gross_Units_NEEA].[All]" allUniqueName="[Savings].[Retirements_Gross_Units_NEEA].[All]" dimensionUniqueName="[Savings]" displayFolder="" count="0" unbalanced="0" hidden="1"/>
    <cacheHierarchy uniqueName="[Savings].[Retirements_Local_Programs_6thPP_Units]" caption="Retirements_Local_Programs_6thPP_Units" attribute="1" defaultMemberUniqueName="[Savings].[Retirements_Local_Programs_6thPP_Units].[All]" allUniqueName="[Savings].[Retirements_Local_Programs_6thPP_Units].[All]" dimensionUniqueName="[Savings]" displayFolder="" count="0" unbalanced="0" hidden="1"/>
    <cacheHierarchy uniqueName="[Savings].[Retirements_Local_Programs_7thPP_Units]" caption="Retirements_Local_Programs_7thPP_Units" attribute="1" defaultMemberUniqueName="[Savings].[Retirements_Local_Programs_7thPP_Units].[All]" allUniqueName="[Savings].[Retirements_Local_Programs_7thPP_Units].[All]" dimensionUniqueName="[Savings]" displayFolder="" count="0" unbalanced="0" hidden="1"/>
    <cacheHierarchy uniqueName="[Savings].[Retirements_Local_Programs_Units]" caption="Retirements_Local_Programs_Units" attribute="1" defaultMemberUniqueName="[Savings].[Retirements_Local_Programs_Units].[All]" allUniqueName="[Savings].[Retirements_Local_Programs_Units].[All]" dimensionUniqueName="[Savings]" displayFolder="" count="0" unbalanced="0" hidden="1"/>
    <cacheHierarchy uniqueName="[Savings].[Savings_Rate_6thPP]" caption="Savings_Rate_6thPP" attribute="1" defaultMemberUniqueName="[Savings].[Savings_Rate_6thPP].[All]" allUniqueName="[Savings].[Savings_Rate_6thPP].[All]" dimensionUniqueName="[Savings]" displayFolder="" count="0" unbalanced="0" hidden="1"/>
    <cacheHierarchy uniqueName="[Savings].[Savings_Rate_6thPPAdjusted]" caption="Savings_Rate_6thPPAdjusted" attribute="1" defaultMemberUniqueName="[Savings].[Savings_Rate_6thPPAdjusted].[All]" allUniqueName="[Savings].[Savings_Rate_6thPPAdjusted].[All]" dimensionUniqueName="[Savings]" displayFolder="" count="0" unbalanced="0" hidden="1"/>
    <cacheHierarchy uniqueName="[Savings].[Savings_Rate_6thPPOriginal]" caption="Savings_Rate_6thPPOriginal" attribute="1" defaultMemberUniqueName="[Savings].[Savings_Rate_6thPPOriginal].[All]" allUniqueName="[Savings].[Savings_Rate_6thPPOriginal].[All]" dimensionUniqueName="[Savings]" displayFolder="" count="0" unbalanced="0" hidden="1"/>
    <cacheHierarchy uniqueName="[Savings].[Savings_Rate_7thPP]" caption="Savings_Rate_7thPP" attribute="1" defaultMemberUniqueName="[Savings].[Savings_Rate_7thPP].[All]" allUniqueName="[Savings].[Savings_Rate_7thPP].[All]" dimensionUniqueName="[Savings]" displayFolder="" count="0" unbalanced="0" hidden="1"/>
    <cacheHierarchy uniqueName="[Savings].[Savings_Rate_NEEA]" caption="Savings_Rate_NEEA" attribute="1" defaultMemberUniqueName="[Savings].[Savings_Rate_NEEA].[All]" allUniqueName="[Savings].[Savings_Rate_NEEA].[All]" dimensionUniqueName="[Savings]" displayFolder="" count="0" unbalanced="0" hidden="1"/>
    <cacheHierarchy uniqueName="[Savings].[SnapshotKey]" caption="SnapshotKey" attribute="1" defaultMemberUniqueName="[Savings].[SnapshotKey].[All]" allUniqueName="[Savings].[SnapshotKey].[All]" dimensionUniqueName="[Savings]" displayFolder="" count="0" unbalanced="0" hidden="1"/>
    <cacheHierarchy uniqueName="[Savings].[TotalRegionalSavings]" caption="TotalRegionalSavings" attribute="1" defaultMemberUniqueName="[Savings].[TotalRegionalSavings].[All]" allUniqueName="[Savings].[TotalRegionalSavings].[All]" dimensionUniqueName="[Savings]" displayFolder="" count="0" unbalanced="0" hidden="1"/>
    <cacheHierarchy uniqueName="[Savings].[TotalRegionalSavings6thPowerPlan]" caption="TotalRegionalSavings6thPowerPlan" attribute="1" defaultMemberUniqueName="[Savings].[TotalRegionalSavings6thPowerPlan].[All]" allUniqueName="[Savings].[TotalRegionalSavings6thPowerPlan].[All]" dimensionUniqueName="[Savings]" displayFolder="" count="0" unbalanced="0" hidden="1"/>
    <cacheHierarchy uniqueName="[Savings].[TotalRegionalSavings6thPowerPlanAdjusted]" caption="TotalRegionalSavings6thPowerPlanAdjusted" attribute="1" defaultMemberUniqueName="[Savings].[TotalRegionalSavings6thPowerPlanAdjusted].[All]" allUniqueName="[Savings].[TotalRegionalSavings6thPowerPlanAdjusted].[All]" dimensionUniqueName="[Savings]" displayFolder="" count="0" unbalanced="0" hidden="1"/>
    <cacheHierarchy uniqueName="[Savings].[TotalRegionalSavings6thPowerPlanOriginal]" caption="TotalRegionalSavings6thPowerPlanOriginal" attribute="1" defaultMemberUniqueName="[Savings].[TotalRegionalSavings6thPowerPlanOriginal].[All]" allUniqueName="[Savings].[TotalRegionalSavings6thPowerPlanOriginal].[All]" dimensionUniqueName="[Savings]" displayFolder="" count="0" unbalanced="0" hidden="1"/>
    <cacheHierarchy uniqueName="[Savings].[TotalRegionalSavings7thPowerPlan]" caption="TotalRegionalSavings7thPowerPlan" attribute="1" defaultMemberUniqueName="[Savings].[TotalRegionalSavings7thPowerPlan].[All]" allUniqueName="[Savings].[TotalRegionalSavings7thPowerPlan].[All]" dimensionUniqueName="[Savings]" displayFolder="" count="0" unbalanced="0" hidden="1"/>
    <cacheHierarchy uniqueName="[Savings].[UnitOfMeasureKey]" caption="UnitOfMeasureKey" attribute="1" defaultMemberUniqueName="[Savings].[UnitOfMeasureKey].[All]" allUniqueName="[Savings].[UnitOfMeasureKey].[All]" dimensionUniqueName="[Savings]" displayFolder="" count="0" unbalanced="0" hidden="1"/>
    <cacheHierarchy uniqueName="[Savings Rate].[AceModelVersionKey]" caption="AceModelVersionKey" attribute="1" defaultMemberUniqueName="[Savings Rate].[AceModelVersionKey].[All]" allUniqueName="[Savings Rate].[AceModelVersionKey].[All]" dimensionUniqueName="[Savings Rate]" displayFolder="" count="0" unbalanced="0" hidden="1"/>
    <cacheHierarchy uniqueName="[Savings Rate].[CalendarYearKey]" caption="CalendarYearKey" attribute="1" defaultMemberUniqueName="[Savings Rate].[CalendarYearKey].[All]" allUniqueName="[Savings Rate].[CalendarYearKey].[All]" dimensionUniqueName="[Savings Rate]" displayFolder="" count="0" unbalanced="0" hidden="1"/>
    <cacheHierarchy uniqueName="[Savings Rate].[DateKey]" caption="DateKey" attribute="1" defaultMemberUniqueName="[Savings Rate].[DateKey].[All]" allUniqueName="[Savings Rate].[DateKey].[All]" dimensionUniqueName="[Savings Rate]" displayFolder="" count="0" unbalanced="0" hidden="1"/>
    <cacheHierarchy uniqueName="[Savings Rate].[InitiativeKey]" caption="InitiativeKey" attribute="1" defaultMemberUniqueName="[Savings Rate].[InitiativeKey].[All]" allUniqueName="[Savings Rate].[InitiativeKey].[All]" dimensionUniqueName="[Savings Rate]" displayFolder="" count="0" unbalanced="0" hidden="1"/>
    <cacheHierarchy uniqueName="[Savings Rate].[MeasureKey]" caption="MeasureKey" attribute="1" defaultMemberUniqueName="[Savings Rate].[MeasureKey].[All]" allUniqueName="[Savings Rate].[MeasureKey].[All]" dimensionUniqueName="[Savings Rate]" displayFolder="" count="0" unbalanced="0" hidden="1"/>
    <cacheHierarchy uniqueName="[Savings Rate].[Savings_Rate_6thPP]" caption="Savings_Rate_6thPP" attribute="1" defaultMemberUniqueName="[Savings Rate].[Savings_Rate_6thPP].[All]" allUniqueName="[Savings Rate].[Savings_Rate_6thPP].[All]" dimensionUniqueName="[Savings Rate]" displayFolder="" count="0" unbalanced="0" hidden="1"/>
    <cacheHierarchy uniqueName="[Savings Rate].[Savings_Rate_6thPPAdjusted]" caption="Savings_Rate_6thPPAdjusted" attribute="1" defaultMemberUniqueName="[Savings Rate].[Savings_Rate_6thPPAdjusted].[All]" allUniqueName="[Savings Rate].[Savings_Rate_6thPPAdjusted].[All]" dimensionUniqueName="[Savings Rate]" displayFolder="" count="0" unbalanced="0" hidden="1"/>
    <cacheHierarchy uniqueName="[Savings Rate].[Savings_Rate_6thPPOriginal]" caption="Savings_Rate_6thPPOriginal" attribute="1" defaultMemberUniqueName="[Savings Rate].[Savings_Rate_6thPPOriginal].[All]" allUniqueName="[Savings Rate].[Savings_Rate_6thPPOriginal].[All]" dimensionUniqueName="[Savings Rate]" displayFolder="" count="0" unbalanced="0" hidden="1"/>
    <cacheHierarchy uniqueName="[Savings Rate].[Savings_Rate_7thPP]" caption="Savings_Rate_7thPP" attribute="1" defaultMemberUniqueName="[Savings Rate].[Savings_Rate_7thPP].[All]" allUniqueName="[Savings Rate].[Savings_Rate_7thPP].[All]" dimensionUniqueName="[Savings Rate]" displayFolder="" count="0" unbalanced="0" hidden="1"/>
    <cacheHierarchy uniqueName="[Savings Rate].[Savings_Rate_NEEA]" caption="Savings_Rate_NEEA" attribute="1" defaultMemberUniqueName="[Savings Rate].[Savings_Rate_NEEA].[All]" allUniqueName="[Savings Rate].[Savings_Rate_NEEA].[All]" dimensionUniqueName="[Savings Rate]" displayFolder="" count="0" unbalanced="0" hidden="1"/>
    <cacheHierarchy uniqueName="[Savings Rate].[SnapshotKey]" caption="SnapshotKey" attribute="1" defaultMemberUniqueName="[Savings Rate].[SnapshotKey].[All]" allUniqueName="[Savings Rate].[SnapshotKey].[All]" dimensionUniqueName="[Savings Rate]" displayFolder="" count="0" unbalanced="0" hidden="1"/>
    <cacheHierarchy uniqueName="[Savings Rate].[UnitOfMeasureKey]" caption="UnitOfMeasureKey" attribute="1" defaultMemberUniqueName="[Savings Rate].[UnitOfMeasureKey].[All]" allUniqueName="[Savings Rate].[UnitOfMeasureKey].[All]" dimensionUniqueName="[Savings Rate]" displayFolder="" count="0" unbalanced="0" hidden="1"/>
    <cacheHierarchy uniqueName="[Snapshot].[DateModified]" caption="DateModified" attribute="1" defaultMemberUniqueName="[Snapshot].[DateModified].[All]" allUniqueName="[Snapshot].[DateModified].[All]" dimensionUniqueName="[Snapshot]" displayFolder="" count="0" unbalanced="0" hidden="1"/>
    <cacheHierarchy uniqueName="[Snapshot].[LineageId]" caption="LineageId" attribute="1" defaultMemberUniqueName="[Snapshot].[LineageId].[All]" allUniqueName="[Snapshot].[LineageId].[All]" dimensionUniqueName="[Snapshot]" displayFolder="" count="0" unbalanced="0" hidden="1"/>
    <cacheHierarchy uniqueName="[Snapshot].[SnapshotKey]" caption="SnapshotKey" attribute="1" defaultMemberUniqueName="[Snapshot].[SnapshotKey].[All]" allUniqueName="[Snapshot].[SnapshotKey].[All]" dimensionUniqueName="[Snapshot]" displayFolder="" count="0" unbalanced="0" hidden="1"/>
    <cacheHierarchy uniqueName="[Snapshot].[SortOrder]" caption="SortOrder" attribute="1" defaultMemberUniqueName="[Snapshot].[SortOrder].[All]" allUniqueName="[Snapshot].[SortOrder].[All]" dimensionUniqueName="[Snapshot]" displayFolder="" count="0" unbalanced="0" hidden="1"/>
    <cacheHierarchy uniqueName="[Stakeholder Organization].[StakeholderOrganizationKey]" caption="StakeholderOrganizationKey" attribute="1" defaultMemberUniqueName="[Stakeholder Organization].[StakeholderOrganizationKey].[All]" allUniqueName="[Stakeholder Organization].[StakeholderOrganizationKey].[All]" dimensionUniqueName="[Stakeholder Organization]" displayFolder="" count="0" unbalanced="0" hidden="1"/>
    <cacheHierarchy uniqueName="[Stakeholder Report].[AllocationMethodologyKey]" caption="AllocationMethodologyKey" attribute="1" defaultMemberUniqueName="[Stakeholder Report].[AllocationMethodologyKey].[All]" allUniqueName="[Stakeholder Report].[AllocationMethodologyKey].[All]" dimensionUniqueName="[Stakeholder Report]" displayFolder="" count="0" unbalanced="0" hidden="1"/>
    <cacheHierarchy uniqueName="[Stakeholder Report].[AllocationShare]" caption="AllocationShare" attribute="1" defaultMemberUniqueName="[Stakeholder Report].[AllocationShare].[All]" allUniqueName="[Stakeholder Report].[AllocationShare].[All]" dimensionUniqueName="[Stakeholder Report]" displayFolder="" count="0" unbalanced="0" hidden="1"/>
    <cacheHierarchy uniqueName="[Stakeholder Report].[BaselineUnits]" caption="BaselineUnits" attribute="1" defaultMemberUniqueName="[Stakeholder Report].[BaselineUnits].[All]" allUniqueName="[Stakeholder Report].[BaselineUnits].[All]" dimensionUniqueName="[Stakeholder Report]" displayFolder="" count="0" unbalanced="0" hidden="1"/>
    <cacheHierarchy uniqueName="[Stakeholder Report].[CalculationMethodologyKey]" caption="CalculationMethodologyKey" attribute="1" defaultMemberUniqueName="[Stakeholder Report].[CalculationMethodologyKey].[All]" allUniqueName="[Stakeholder Report].[CalculationMethodologyKey].[All]" dimensionUniqueName="[Stakeholder Report]" displayFolder="" count="0" unbalanced="0" hidden="1"/>
    <cacheHierarchy uniqueName="[Stakeholder Report].[CalendarYearKey]" caption="CalendarYearKey" attribute="1" defaultMemberUniqueName="[Stakeholder Report].[CalendarYearKey].[All]" allUniqueName="[Stakeholder Report].[CalendarYearKey].[All]" dimensionUniqueName="[Stakeholder Report]" displayFolder="" count="0" unbalanced="0" hidden="1"/>
    <cacheHierarchy uniqueName="[Stakeholder Report].[DateKey]" caption="DateKey" attribute="1" defaultMemberUniqueName="[Stakeholder Report].[DateKey].[All]" allUniqueName="[Stakeholder Report].[DateKey].[All]" dimensionUniqueName="[Stakeholder Report]" displayFolder="" count="0" unbalanced="0" hidden="1"/>
    <cacheHierarchy uniqueName="[Stakeholder Report].[InitiativeKey]" caption="InitiativeKey" attribute="1" defaultMemberUniqueName="[Stakeholder Report].[InitiativeKey].[All]" allUniqueName="[Stakeholder Report].[InitiativeKey].[All]" dimensionUniqueName="[Stakeholder Report]" displayFolder="" count="0" unbalanced="0" hidden="1"/>
    <cacheHierarchy uniqueName="[Stakeholder Report].[LocalProgramsUnits]" caption="LocalProgramsUnits" attribute="1" defaultMemberUniqueName="[Stakeholder Report].[LocalProgramsUnits].[All]" allUniqueName="[Stakeholder Report].[LocalProgramsUnits].[All]" dimensionUniqueName="[Stakeholder Report]" displayFolder="" count="0" unbalanced="0" hidden="1"/>
    <cacheHierarchy uniqueName="[Stakeholder Report].[MeasureKey]" caption="MeasureKey" attribute="1" defaultMemberUniqueName="[Stakeholder Report].[MeasureKey].[All]" allUniqueName="[Stakeholder Report].[MeasureKey].[All]" dimensionUniqueName="[Stakeholder Report]" displayFolder="" count="0" unbalanced="0" hidden="1"/>
    <cacheHierarchy uniqueName="[Stakeholder Report].[ProductKey]" caption="ProductKey" attribute="1" defaultMemberUniqueName="[Stakeholder Report].[ProductKey].[All]" allUniqueName="[Stakeholder Report].[ProductKey].[All]" dimensionUniqueName="[Stakeholder Report]" displayFolder="" count="0" unbalanced="0" hidden="1"/>
    <cacheHierarchy uniqueName="[Stakeholder Report].[ReportedSavings]" caption="ReportedSavings" attribute="1" defaultMemberUniqueName="[Stakeholder Report].[ReportedSavings].[All]" allUniqueName="[Stakeholder Report].[ReportedSavings].[All]" dimensionUniqueName="[Stakeholder Report]" displayFolder="" count="0" unbalanced="0" hidden="1"/>
    <cacheHierarchy uniqueName="[Stakeholder Report].[RetirementUnits]" caption="RetirementUnits" attribute="1" defaultMemberUniqueName="[Stakeholder Report].[RetirementUnits].[All]" allUniqueName="[Stakeholder Report].[RetirementUnits].[All]" dimensionUniqueName="[Stakeholder Report]" displayFolder="" count="0" unbalanced="0" hidden="1"/>
    <cacheHierarchy uniqueName="[Stakeholder Report].[SavingsRate]" caption="SavingsRate" attribute="1" defaultMemberUniqueName="[Stakeholder Report].[SavingsRate].[All]" allUniqueName="[Stakeholder Report].[SavingsRate].[All]" dimensionUniqueName="[Stakeholder Report]" displayFolder="" count="0" unbalanced="0" hidden="1"/>
    <cacheHierarchy uniqueName="[Stakeholder Report].[SnapshotKey]" caption="SnapshotKey" attribute="1" defaultMemberUniqueName="[Stakeholder Report].[SnapshotKey].[All]" allUniqueName="[Stakeholder Report].[SnapshotKey].[All]" dimensionUniqueName="[Stakeholder Report]" displayFolder="" count="0" unbalanced="0" hidden="1"/>
    <cacheHierarchy uniqueName="[Stakeholder Report].[StakeholderOrganizationKey]" caption="StakeholderOrganizationKey" attribute="1" defaultMemberUniqueName="[Stakeholder Report].[StakeholderOrganizationKey].[All]" allUniqueName="[Stakeholder Report].[StakeholderOrganizationKey].[All]" dimensionUniqueName="[Stakeholder Report]" displayFolder="" count="0" unbalanced="0" hidden="1"/>
    <cacheHierarchy uniqueName="[Stakeholder Report].[StakeholderReportKey]" caption="StakeholderReportKey" attribute="1" defaultMemberUniqueName="[Stakeholder Report].[StakeholderReportKey].[All]" allUniqueName="[Stakeholder Report].[StakeholderReportKey].[All]" dimensionUniqueName="[Stakeholder Report]" displayFolder="" count="0" unbalanced="0" hidden="1"/>
    <cacheHierarchy uniqueName="[Stakeholder Report].[StateKey]" caption="StateKey" attribute="1" defaultMemberUniqueName="[Stakeholder Report].[StateKey].[All]" allUniqueName="[Stakeholder Report].[StateKey].[All]" dimensionUniqueName="[Stakeholder Report]" displayFolder="" count="0" unbalanced="0" hidden="1"/>
    <cacheHierarchy uniqueName="[Stakeholder Report].[TotalRegionalUnits]" caption="TotalRegionalUnits" attribute="1" defaultMemberUniqueName="[Stakeholder Report].[TotalRegionalUnits].[All]" allUniqueName="[Stakeholder Report].[TotalRegionalUnits].[All]" dimensionUniqueName="[Stakeholder Report]" displayFolder="" count="0" unbalanced="0" hidden="1"/>
    <cacheHierarchy uniqueName="[State].[StateKey]" caption="StateKey" attribute="1" defaultMemberUniqueName="[State].[StateKey].[All]" allUniqueName="[State].[StateKey].[All]" dimensionUniqueName="[State]" displayFolder="" count="0" unbalanced="0" hidden="1"/>
    <cacheHierarchy uniqueName="[Status].[StatusKey]" caption="StatusKey" attribute="1" defaultMemberUniqueName="[Status].[StatusKey].[All]" allUniqueName="[Status].[StatusKey].[All]" dimensionUniqueName="[Status]" displayFolder="" count="0" unbalanced="0" hidden="1"/>
    <cacheHierarchy uniqueName="[Unit Of Measure].[UnitOfMeasureKey]" caption="UnitOfMeasureKey" attribute="1" defaultMemberUniqueName="[Unit Of Measure].[UnitOfMeasureKey].[All]" allUniqueName="[Unit Of Measure].[UnitOfMeasureKey].[All]" dimensionUniqueName="[Unit Of Measure]" displayFolder="" count="0" unbalanced="0" hidden="1"/>
    <cacheHierarchy uniqueName="[Measures].[Market Size Count]" caption="Market Size Count" measure="1" displayFolder="" measureGroup="Market Size" count="0"/>
    <cacheHierarchy uniqueName="[Measures].[Market Size]" caption="Market Size" measure="1" displayFolder="" measureGroup="Market Size" count="0"/>
    <cacheHierarchy uniqueName="[Measures].[Market Stock Size]" caption="Market Stock Size" measure="1" displayFolder="" measureGroup="Market Size" count="0"/>
    <cacheHierarchy uniqueName="[Measures].[Co-Created B/C Ratio]" caption="Co-Created B/C Ratio" measure="1" displayFolder="" measureGroup="Cost Effectiveness" count="0"/>
    <cacheHierarchy uniqueName="[Measures].[TRC B/C Ratio]" caption="TRC B/C Ratio" measure="1" displayFolder="" measureGroup="Cost Effectiveness" count="0"/>
    <cacheHierarchy uniqueName="[Measures].[TRC B/C Ratio w/ Act Credit]" caption="TRC B/C Ratio w/ Act Credit" measure="1" displayFolder="" measureGroup="Cost Effectiveness" count="0"/>
    <cacheHierarchy uniqueName="[Measures].[Co-Created Levelized Cost]" caption="Co-Created Levelized Cost" measure="1" displayFolder="" measureGroup="Cost Effectiveness" count="0"/>
    <cacheHierarchy uniqueName="[Measures].[TRC Levelized Cost]" caption="TRC Levelized Cost" measure="1" displayFolder="" measureGroup="Cost Effectiveness" count="0"/>
    <cacheHierarchy uniqueName="[Measures].[TRC Levelized Cost w/ Act Credit]" caption="TRC Levelized Cost w/ Act Credit" measure="1" displayFolder="" measureGroup="Cost Effectiveness" count="0"/>
    <cacheHierarchy uniqueName="[Measures].[TRC Levelized Cost, 6th PP]" caption="TRC Levelized Cost, 6th PP" measure="1" displayFolder="" measureGroup="Cost Effectiveness" count="0"/>
    <cacheHierarchy uniqueName="[Measures].[TRC Levelized Cost, 7th PP]" caption="TRC Levelized Cost, 7th PP" measure="1" displayFolder="" measureGroup="Cost Effectiveness" count="0"/>
    <cacheHierarchy uniqueName="[Measures].[Electric System CO2 Avoided]" caption="Electric System CO2 Avoided" measure="1" displayFolder="" measureGroup="Cost Effectiveness" count="0"/>
    <cacheHierarchy uniqueName="[Measures].[Gas System Physical CO2 Avoided]" caption="Gas System Physical CO2 Avoided" measure="1" displayFolder="" measureGroup="Cost Effectiveness" count="0"/>
    <cacheHierarchy uniqueName="[Measures].[Electric System Physical CO2 Avoided]" caption="Electric System Physical CO2 Avoided" measure="1" displayFolder="" measureGroup="Cost Effectiveness" count="0"/>
    <cacheHierarchy uniqueName="[Measures].[Capacity]" caption="Capacity" measure="1" displayFolder="" measureGroup="Cost Effectiveness" count="0"/>
    <cacheHierarchy uniqueName="[Measures].[Key Assumption]" caption="Key Assumption" measure="1" displayFolder="" measureGroup="Key Assumption" count="0"/>
    <cacheHierarchy uniqueName="[Measures].[Savings Rate 6th Power Plan]" caption="Savings Rate 6th Power Plan" measure="1" displayFolder="" measureGroup="Savings Rate" count="0"/>
    <cacheHierarchy uniqueName="[Measures].[Savings Rate 6th Power Plan Adjusted]" caption="Savings Rate 6th Power Plan Adjusted" measure="1" displayFolder="" measureGroup="Savings Rate" count="0"/>
    <cacheHierarchy uniqueName="[Measures].[Savings Rate 6th Power Plan Original]" caption="Savings Rate 6th Power Plan Original" measure="1" displayFolder="" measureGroup="Savings Rate" count="0"/>
    <cacheHierarchy uniqueName="[Measures].[Savings Rate 7th Power Plan]" caption="Savings Rate 7th Power Plan" measure="1" displayFolder="" measureGroup="Savings Rate" count="0"/>
    <cacheHierarchy uniqueName="[Measures].[Savings Rate NEEA]" caption="Savings Rate NEEA" measure="1" displayFolder="" measureGroup="Savings Rate" count="0"/>
    <cacheHierarchy uniqueName="[Measures].[Baseline Units NEEA]" caption="Baseline Units NEEA" measure="1" displayFolder="Savings\Baseline Units" measureGroup="Savings" count="0"/>
    <cacheHierarchy uniqueName="[Measures].[Baseline Units 6th Power Plan]" caption="Baseline Units 6th Power Plan" measure="1" displayFolder="Savings\Baseline Units" measureGroup="Savings" count="0"/>
    <cacheHierarchy uniqueName="[Measures].[Local Programs Units NEEA]" caption="Local Programs Units NEEA" measure="1" displayFolder="Savings\Local Program Units" measureGroup="Savings" count="0" oneField="1">
      <fieldsUsage count="1">
        <fieldUsage x="10"/>
      </fieldsUsage>
    </cacheHierarchy>
    <cacheHierarchy uniqueName="[Measures].[Local Programs Units 6th Power Plan]" caption="Local Programs Units 6th Power Plan" measure="1" displayFolder="Savings\Local Program Units" measureGroup="Savings" count="0"/>
    <cacheHierarchy uniqueName="[Measures].[Regional Market Units]" caption="Regional Market Units" measure="1" displayFolder="Regional" measureGroup="Savings" count="0"/>
    <cacheHierarchy uniqueName="[Measures].[Regional Market Units 6th Power Plan]" caption="Regional Market Units 6th Power Plan" measure="1" displayFolder="Regional" measureGroup="Savings" count="0"/>
    <cacheHierarchy uniqueName="[Measures].[Regional Market Units 7th Power Plan]" caption="Regional Market Units 7th Power Plan" measure="1" displayFolder="Regional" measureGroup="Savings" count="0"/>
    <cacheHierarchy uniqueName="[Measures].[Retirements Gross Units NEEA]" caption="Retirements Gross Units NEEA" measure="1" displayFolder="Savings\Retirements" measureGroup="Savings" count="0"/>
    <cacheHierarchy uniqueName="[Measures].[Retirements Baseline Units]" caption="Retirements Baseline Units" measure="1" displayFolder="Savings\Retirements" measureGroup="Savings" count="0"/>
    <cacheHierarchy uniqueName="[Measures].[Retirements Local Programs Units]" caption="Retirements Local Programs Units" measure="1" displayFolder="Savings\Retirements" measureGroup="Savings" count="0"/>
    <cacheHierarchy uniqueName="[Measures].[Total Regional Savings]" caption="Total Regional Savings" measure="1" displayFolder="Regional" measureGroup="Savings" count="0"/>
    <cacheHierarchy uniqueName="[Measures].[Total Regional Savings 6th Power Plan]" caption="Total Regional Savings 6th Power Plan" measure="1" displayFolder="Regional" measureGroup="Savings" count="0"/>
    <cacheHierarchy uniqueName="[Measures].[Baseline Savings]" caption="Baseline Savings" measure="1" displayFolder="Savings\Baseline" measureGroup="Savings" count="0"/>
    <cacheHierarchy uniqueName="[Measures].[Baseline Savings 6th Power Plan]" caption="Baseline Savings 6th Power Plan" measure="1" displayFolder="Savings\Baseline" measureGroup="Savings" count="0"/>
    <cacheHierarchy uniqueName="[Measures].[Local Program Savings]" caption="Local Program Savings" measure="1" displayFolder="Savings\Local Program" measureGroup="Savings" count="0"/>
    <cacheHierarchy uniqueName="[Measures].[Local Program Savings 6th Power Plan]" caption="Local Program Savings 6th Power Plan" measure="1" displayFolder="Savings\Local Program" measureGroup="Savings" count="0"/>
    <cacheHierarchy uniqueName="[Measures].[Reportable Local Program Savings]" caption="Reportable Local Program Savings" measure="1" displayFolder="Savings\Local Program" measureGroup="Savings" count="0"/>
    <cacheHierarchy uniqueName="[Measures].[Net Market Effects]" caption="Net Market Effects" measure="1" displayFolder="Net Market/Remaining Savings" measureGroup="Savings" count="0"/>
    <cacheHierarchy uniqueName="[Measures].[Remaining Savings 6th Power Plan]" caption="Remaining Savings 6th Power Plan" measure="1" displayFolder="Net Market/Remaining Savings" measureGroup="Savings" count="0"/>
    <cacheHierarchy uniqueName="[Measures].[Reportable Net Market Effects]" caption="Reportable Net Market Effects" measure="1" displayFolder="Net Market/Remaining Savings" measureGroup="Savings" count="0"/>
    <cacheHierarchy uniqueName="[Measures].[Co-Created Savings]" caption="Co-Created Savings" measure="1" displayFolder="Savings\Co-Created" measureGroup="Savings" count="0"/>
    <cacheHierarchy uniqueName="[Measures].[Co-Created Savings 6th Power Plan]" caption="Co-Created Savings 6th Power Plan" measure="1" displayFolder="Savings\Co-Created" measureGroup="Savings" count="0"/>
    <cacheHierarchy uniqueName="[Measures].[Reportable Co-Created Savings]" caption="Reportable Co-Created Savings" measure="1" displayFolder="Savings\Co-Created" measureGroup="Savings" count="0"/>
    <cacheHierarchy uniqueName="[Measures].[Local Programs Units 7th Power Plan]" caption="Local Programs Units 7th Power Plan" measure="1" displayFolder="Savings\Local Program Units" measureGroup="Savings" count="0"/>
    <cacheHierarchy uniqueName="[Measures].[Total Regional Savings 6th Power Plan Adjusted]" caption="Total Regional Savings 6th Power Plan Adjusted" measure="1" displayFolder="Regional" measureGroup="Savings" count="0"/>
    <cacheHierarchy uniqueName="[Measures].[Total Regional Savings 6th Power Plan Original]" caption="Total Regional Savings 6th Power Plan Original" measure="1" displayFolder="Regional" measureGroup="Savings" count="0"/>
    <cacheHierarchy uniqueName="[Measures].[Total Regional Savings 7th Power Plan]" caption="Total Regional Savings 7th Power Plan" measure="1" displayFolder="Regional" measureGroup="Savings" count="0"/>
    <cacheHierarchy uniqueName="[Measures].[Baseline Savings 6th Power Plan Adjusted]" caption="Baseline Savings 6th Power Plan Adjusted" measure="1" displayFolder="Savings\Baseline" measureGroup="Savings" count="0"/>
    <cacheHierarchy uniqueName="[Measures].[Baseline Savings 6th Power Plan Original]" caption="Baseline Savings 6th Power Plan Original" measure="1" displayFolder="Savings\Baseline" measureGroup="Savings" count="0"/>
    <cacheHierarchy uniqueName="[Measures].[Baseline Savings 7th Power Plan]" caption="Baseline Savings 7th Power Plan" measure="1" displayFolder="Savings\Baseline" measureGroup="Savings" count="0"/>
    <cacheHierarchy uniqueName="[Measures].[Local Program Savings 6th Power Plan Adjusted]" caption="Local Program Savings 6th Power Plan Adjusted" measure="1" displayFolder="Savings\Local Program" measureGroup="Savings" count="0"/>
    <cacheHierarchy uniqueName="[Measures].[Local Program Savings 6th Power Plan Original]" caption="Local Program Savings 6th Power Plan Original" measure="1" displayFolder="Savings\Local Program" measureGroup="Savings" count="0"/>
    <cacheHierarchy uniqueName="[Measures].[Local Program Savings 7th Power Plan]" caption="Local Program Savings 7th Power Plan" measure="1" displayFolder="Savings\Local Program" measureGroup="Savings" count="0"/>
    <cacheHierarchy uniqueName="[Measures].[Remaining Savings 6th Power Plan Adjusted]" caption="Remaining Savings 6th Power Plan Adjusted" measure="1" displayFolder="Net Market/Remaining Savings" measureGroup="Savings" count="0"/>
    <cacheHierarchy uniqueName="[Measures].[Remaining Savings 6th Power Plan Original]" caption="Remaining Savings 6th Power Plan Original" measure="1" displayFolder="Net Market/Remaining Savings" measureGroup="Savings" count="0"/>
    <cacheHierarchy uniqueName="[Measures].[Remaining Savings 7th Power Plan]" caption="Remaining Savings 7th Power Plan" measure="1" displayFolder="Net Market/Remaining Savings" measureGroup="Savings" count="0"/>
    <cacheHierarchy uniqueName="[Measures].[Co-Created Savings 6th Power Plan Adjusted]" caption="Co-Created Savings 6th Power Plan Adjusted" measure="1" displayFolder="Savings\Co-Created" measureGroup="Savings" count="0"/>
    <cacheHierarchy uniqueName="[Measures].[Co-Created Savings 6th Power Plan Original]" caption="Co-Created Savings 6th Power Plan Original" measure="1" displayFolder="Savings\Co-Created" measureGroup="Savings" count="0"/>
    <cacheHierarchy uniqueName="[Measures].[Co-Created Savings 7th Power Plan]" caption="Co-Created Savings 7th Power Plan" measure="1" displayFolder="Savings\Co-Created" measureGroup="Savings" count="0"/>
    <cacheHierarchy uniqueName="[Measures].[Baseline Units 7th Power Plan]" caption="Baseline Units 7th Power Plan" measure="1" displayFolder="Savings\Baseline Units" measureGroup="Savings" count="0"/>
    <cacheHierarchy uniqueName="[Measures].[Retirements 6th Power Plan Units]" caption="Retirements 6th Power Plan Units" measure="1" displayFolder="Savings\Retirements" measureGroup="Savings" count="0"/>
    <cacheHierarchy uniqueName="[Measures].[Retirements 7th Power Plan Units]" caption="Retirements 7th Power Plan Units" measure="1" displayFolder="Savings\Retirements" measureGroup="Savings" count="0"/>
    <cacheHierarchy uniqueName="[Measures].[Retirements Local Programs 6th Power Plan Units]" caption="Retirements Local Programs 6th Power Plan Units" measure="1" displayFolder="Savings\Retirements" measureGroup="Savings" count="0"/>
    <cacheHierarchy uniqueName="[Measures].[Retirements Local Programs 7th Power Plan Units]" caption="Retirements Local Programs 7th Power Plan Units" measure="1" displayFolder="Savings\Retirements" measureGroup="Savings" count="0"/>
    <cacheHierarchy uniqueName="[Measures].[Retirements Baseline 7th Power Plan Units]" caption="Retirements Baseline 7th Power Plan Units" measure="1" displayFolder="Savings\Retirements" measureGroup="Savings" count="0"/>
    <cacheHierarchy uniqueName="[Measures].[TRS All Funding Cycle]" caption="TRS All Funding Cycle" measure="1" displayFolder="Regional" measureGroup="Savings" count="0"/>
    <cacheHierarchy uniqueName="[Measures].[TRS Funding Cycle Share]" caption="TRS Funding Cycle Share" measure="1" displayFolder="Regional" measureGroup="Savings" count="0"/>
    <cacheHierarchy uniqueName="[Measures].[Equity Rural]" caption="Equity Rural" measure="1" displayFolder="" measureGroup="Portfolio Metrics" count="0"/>
    <cacheHierarchy uniqueName="[Measures].[Equity Urban]" caption="Equity Urban" measure="1" displayFolder="" measureGroup="Portfolio Metrics" count="0"/>
    <cacheHierarchy uniqueName="[Measures].[Regional Equity ID]" caption="Regional Equity ID" measure="1" displayFolder="" measureGroup="Portfolio Metrics" count="0"/>
    <cacheHierarchy uniqueName="[Measures].[Regional Equity MT]" caption="Regional Equity MT" measure="1" displayFolder="" measureGroup="Portfolio Metrics" count="0"/>
    <cacheHierarchy uniqueName="[Measures].[Regional Equity OR]" caption="Regional Equity OR" measure="1" displayFolder="" measureGroup="Portfolio Metrics" count="0"/>
    <cacheHierarchy uniqueName="[Measures].[Regional Equity WA]" caption="Regional Equity WA" measure="1" displayFolder="" measureGroup="Portfolio Metrics" count="0"/>
    <cacheHierarchy uniqueName="[Measures].[Risk Approach]" caption="Risk Approach" measure="1" displayFolder="" measureGroup="Portfolio Metrics" count="0"/>
    <cacheHierarchy uniqueName="[Measures].[Risk CE]" caption="Risk CE" measure="1" displayFolder="" measureGroup="Portfolio Metrics" count="0"/>
    <cacheHierarchy uniqueName="[Measures].[Risk Late Savings]" caption="Risk Late Savings" measure="1" displayFolder="" measureGroup="Portfolio Metrics" count="0"/>
    <cacheHierarchy uniqueName="[Measures].[Risk Measurement]" caption="Risk Measurement" measure="1" displayFolder="" measureGroup="Portfolio Metrics" count="0"/>
    <cacheHierarchy uniqueName="[Measures].[Risk Tech]" caption="Risk Tech" measure="1" displayFolder="" measureGroup="Portfolio Metrics" count="0"/>
    <cacheHierarchy uniqueName="[Measures].[Risk]" caption="Risk" measure="1" displayFolder="" measureGroup="Portfolio Metrics" count="0"/>
    <cacheHierarchy uniqueName="[Measures].[Allocation]" caption="Allocation" measure="1" displayFolder="" measureGroup="Allocation" count="0"/>
    <cacheHierarchy uniqueName="[Measures].[Funder Share]" caption="Funder Share" measure="1" displayFolder="" measureGroup="Funder Share" count="0"/>
    <cacheHierarchy uniqueName="[Measures].[OR Allocation]" caption="OR Allocation" measure="1" displayFolder="" measureGroup="Funder Share" count="0"/>
    <cacheHierarchy uniqueName="[Measures].[WA Allocation]" caption="WA Allocation" measure="1" displayFolder="" measureGroup="Funder Share" count="0"/>
    <cacheHierarchy uniqueName="[Measures].[ID Allocation]" caption="ID Allocation" measure="1" displayFolder="" measureGroup="Funder Share" count="0"/>
    <cacheHierarchy uniqueName="[Measures].[MT Allocation]" caption="MT Allocation" measure="1" displayFolder="" measureGroup="Funder Share" count="0"/>
    <cacheHierarchy uniqueName="[Measures].[Local Programs Survey Units]" caption="Local Programs Survey Units" measure="1" displayFolder="" measureGroup="Local Programs" count="0"/>
    <cacheHierarchy uniqueName="[Measures].[Local Programs Adjustment]" caption="Local Programs Adjustment" measure="1" displayFolder="" measureGroup="Local Programs" count="0"/>
    <cacheHierarchy uniqueName="[Measures].[Local Programs Adjusted Units]" caption="Local Programs Adjusted Units" measure="1" displayFolder="" measureGroup="Local Programs" count="0"/>
    <cacheHierarchy uniqueName="[Measures].[Allocation Share]" caption="Allocation Share" measure="1" displayFolder="" measureGroup="Stakeholder Report" count="0"/>
    <cacheHierarchy uniqueName="[Measures].[Reported Savings]" caption="Reported Savings" measure="1" displayFolder="" measureGroup="Stakeholder Report" count="0"/>
    <cacheHierarchy uniqueName="[Measures].[Local Programs Units]" caption="Local Programs Units" measure="1" displayFolder="" measureGroup="Stakeholder Report" count="0"/>
    <cacheHierarchy uniqueName="[Measures].[Total Regional Units]" caption="Total Regional Units" measure="1" displayFolder="" measureGroup="Stakeholder Report" count="0"/>
    <cacheHierarchy uniqueName="[Measures].[Baseline Units]" caption="Baseline Units" measure="1" displayFolder="" measureGroup="Stakeholder Report" count="0"/>
    <cacheHierarchy uniqueName="[Measures].[Retirement Units]" caption="Retirement Units" measure="1" displayFolder="" measureGroup="Stakeholder Report" count="0"/>
    <cacheHierarchy uniqueName="[Measures].[Savings Rate]" caption="Savings Rate" measure="1" displayFolder="" measureGroup="Stakeholder Report" count="0"/>
    <cacheHierarchy uniqueName="[Measures].[Allocation Selection Count]" caption="Allocation Selection Count" measure="1" displayFolder="" measureGroup="Allocation Selection" count="0"/>
    <cacheHierarchy uniqueName="[Measures].[Market Adoption Count]" caption="Market Adoption Count" measure="1" displayFolder="" measureGroup="Market Adoption" count="0"/>
    <cacheHierarchy uniqueName="[Measures].[Market Adoption Units]" caption="Market Adoption Units" measure="1" displayFolder="" measureGroup="Market Adoption" count="0" oneField="1">
      <fieldsUsage count="1">
        <fieldUsage x="1"/>
      </fieldsUsage>
    </cacheHierarchy>
    <cacheHierarchy uniqueName="[Measures].[Market Adoption Stock Units]" caption="Market Adoption Stock Units" measure="1" displayFolder="" measureGroup="Market Adoption" count="0" oneField="1">
      <fieldsUsage count="1">
        <fieldUsage x="0"/>
      </fieldsUsage>
    </cacheHierarchy>
    <cacheHierarchy uniqueName="[Measures].[Market Share]" caption="Market Share" measure="1" displayFolder="" measureGroup="Market Adoption" count="0" oneField="1">
      <fieldsUsage count="1">
        <fieldUsage x="2"/>
      </fieldsUsage>
    </cacheHierarchy>
    <cacheHierarchy uniqueName="[Measures].[Market Penetration]" caption="Market Penetration" measure="1" displayFolder="" measureGroup="Market Adoption" count="0"/>
    <cacheHierarchy uniqueName="[Measures].[Year Number]" caption="Year Number" measure="1" displayFolder="" measureGroup="Date" count="0"/>
    <cacheHierarchy uniqueName="[Measures].[Funding Cycle Funder Share]" caption="Funding Cycle Funder Share" measure="1" displayFolder="" measureGroup="Funding Cycle Funder Share" count="0"/>
    <cacheHierarchy uniqueName="[Measures].[TRS Funder Share]" caption="TRS Funder Share" measure="1" displayFolder="" measureGroup="Funding Cycle Funder Share" count="0"/>
    <cacheHierarchy uniqueName="[Measures].[OR Funding Cycle Allocation]" caption="OR Funding Cycle Allocation" measure="1" displayFolder="" measureGroup="Funding Cycle Funder Share" count="0"/>
    <cacheHierarchy uniqueName="[Measures].[OR Funder Share]" caption="OR Funder Share" measure="1" displayFolder="" measureGroup="Funding Cycle Funder Share" count="0"/>
    <cacheHierarchy uniqueName="[Measures].[WA Funding Cycle Allocation]" caption="WA Funding Cycle Allocation" measure="1" displayFolder="" measureGroup="Funding Cycle Funder Share" count="0"/>
    <cacheHierarchy uniqueName="[Measures].[WA Funder Share]" caption="WA Funder Share" measure="1" displayFolder="" measureGroup="Funding Cycle Funder Share" count="0"/>
    <cacheHierarchy uniqueName="[Measures].[ID Funding Cycle Allocation]" caption="ID Funding Cycle Allocation" measure="1" displayFolder="" measureGroup="Funding Cycle Funder Share" count="0"/>
    <cacheHierarchy uniqueName="[Measures].[ID Funder Share]" caption="ID Funder Share" measure="1" displayFolder="" measureGroup="Funding Cycle Funder Share" count="0"/>
    <cacheHierarchy uniqueName="[Measures].[MT Funding Cycle Allocation]" caption="MT Funding Cycle Allocation" measure="1" displayFolder="" measureGroup="Funding Cycle Funder Share" count="0"/>
    <cacheHierarchy uniqueName="[Measures].[MT Funder Share]" caption="MT Funder Share" measure="1" displayFolder="" measureGroup="Funding Cycle Funder Share" count="0"/>
    <cacheHierarchy uniqueName="[Measures].[OR TRS Funder Share]" caption="OR TRS Funder Share" measure="1" displayFolder="" measureGroup="Funding Cycle Funder Share" count="0"/>
    <cacheHierarchy uniqueName="[Measures].[WA TRS Funder Share]" caption="WA TRS Funder Share" measure="1" displayFolder="" measureGroup="Funding Cycle Funder Share" count="0"/>
    <cacheHierarchy uniqueName="[Measures].[ID TRS Funder Share]" caption="ID TRS Funder Share" measure="1" displayFolder="" measureGroup="Funding Cycle Funder Share" count="0"/>
    <cacheHierarchy uniqueName="[Measures].[MT TRS Funder Share]" caption="MT TRS Funder Share" measure="1" displayFolder="" measureGroup="Funding Cycle Funder Share" count="0"/>
    <cacheHierarchy uniqueName="[Measures].[MarketSizeBase]" caption="MarketSizeBase" measure="1" displayFolder="" measureGroup="Market Size" count="0" hidden="1"/>
    <cacheHierarchy uniqueName="[Measures].[MarketStockSizeBase]" caption="MarketStockSizeBase" measure="1" displayFolder="" measureGroup="Market Size" count="0" hidden="1"/>
    <cacheHierarchy uniqueName="[Measures].[Cost Effectiveness Count]" caption="Cost Effectiveness Count" measure="1" displayFolder="" measureGroup="Cost Effectiveness" count="0" hidden="1"/>
    <cacheHierarchy uniqueName="[Measures].[Key Assumption Count]" caption="Key Assumption Count" measure="1" displayFolder="" measureGroup="Key Assumption" count="0" hidden="1"/>
    <cacheHierarchy uniqueName="[Measures].[Savings Rate Count]" caption="Savings Rate Count" measure="1" displayFolder="" measureGroup="Savings Rate" count="0" hidden="1"/>
    <cacheHierarchy uniqueName="[Measures].[Units Saved Count]" caption="Units Saved Count" measure="1" displayFolder="" measureGroup="Savings" count="0" hidden="1"/>
    <cacheHierarchy uniqueName="[Measures].[Reportable Local Program Savings 6th Power Plan]" caption="Reportable Local Program Savings 6th Power Plan" measure="1" displayFolder="" measureGroup="Savings" count="0" hidden="1"/>
    <cacheHierarchy uniqueName="[Measures].[Reportable Remaining Savings 6th Power Plan]" caption="Reportable Remaining Savings 6th Power Plan" measure="1" displayFolder="" measureGroup="Savings" count="0" hidden="1"/>
    <cacheHierarchy uniqueName="[Measures].[Reportable Co-Created Savings 6th Power Plan]" caption="Reportable Co-Created Savings 6th Power Plan" measure="1" displayFolder="" measureGroup="Savings" count="0" hidden="1"/>
    <cacheHierarchy uniqueName="[Measures].[Reportable Local Program Savings 6th Power Plan Adjusted]" caption="Reportable Local Program Savings 6th Power Plan Adjusted" measure="1" displayFolder="" measureGroup="Savings" count="0" hidden="1"/>
    <cacheHierarchy uniqueName="[Measures].[Reportable Local Program Savings 6th Power Plan Original]" caption="Reportable Local Program Savings 6th Power Plan Original" measure="1" displayFolder="" measureGroup="Savings" count="0" hidden="1"/>
    <cacheHierarchy uniqueName="[Measures].[Reportable Local Program Savings 7th Power Plan]" caption="Reportable Local Program Savings 7th Power Plan" measure="1" displayFolder="" measureGroup="Savings" count="0" hidden="1"/>
    <cacheHierarchy uniqueName="[Measures].[Reportable Remaining Savings 6th Power Plan Adjusted]" caption="Reportable Remaining Savings 6th Power Plan Adjusted" measure="1" displayFolder="" measureGroup="Savings" count="0" hidden="1"/>
    <cacheHierarchy uniqueName="[Measures].[Reportable Remaining Savings 6th Power Plan Original]" caption="Reportable Remaining Savings 6th Power Plan Original" measure="1" displayFolder="" measureGroup="Savings" count="0" hidden="1"/>
    <cacheHierarchy uniqueName="[Measures].[Reportable Remaining Savings 7th Power Plan]" caption="Reportable Remaining Savings 7th Power Plan" measure="1" displayFolder="" measureGroup="Savings" count="0" hidden="1"/>
    <cacheHierarchy uniqueName="[Measures].[Reportable Co-Created Savings 6th Power Plan Adjusted]" caption="Reportable Co-Created Savings 6th Power Plan Adjusted" measure="1" displayFolder="" measureGroup="Savings" count="0" hidden="1"/>
    <cacheHierarchy uniqueName="[Measures].[Reportable Co-Created Savings 6th Power Plan Original]" caption="Reportable Co-Created Savings 6th Power Plan Original" measure="1" displayFolder="" measureGroup="Savings" count="0" hidden="1"/>
    <cacheHierarchy uniqueName="[Measures].[Reportable Co-Created Savings 7th Power Plan]" caption="Reportable Co-Created Savings 7th Power Plan" measure="1" displayFolder="" measureGroup="Savings" count="0" hidden="1"/>
    <cacheHierarchy uniqueName="[Measures].[Portfolio Metric Count]" caption="Portfolio Metric Count" measure="1" displayFolder="" measureGroup="Portfolio Metrics" count="0" hidden="1"/>
    <cacheHierarchy uniqueName="[Measures].[Allocation Count]" caption="Allocation Count" measure="1" displayFolder="" measureGroup="Allocation" count="0" hidden="1"/>
    <cacheHierarchy uniqueName="[Measures].[Funder Share Count]" caption="Funder Share Count" measure="1" displayFolder="" measureGroup="Funder Share" count="0" hidden="1"/>
    <cacheHierarchy uniqueName="[Measures].[Local Programs Count]" caption="Local Programs Count" measure="1" displayFolder="" measureGroup="Local Programs" count="0" hidden="1"/>
    <cacheHierarchy uniqueName="[Measures].[Stakeholder Report Count]" caption="Stakeholder Report Count" measure="1" displayFolder="" measureGroup="Stakeholder Report" count="0" hidden="1"/>
    <cacheHierarchy uniqueName="[Measures].[__Default measure]" caption="__Default measure" measure="1" displayFolder="" count="0" hidden="1"/>
  </cacheHierarchies>
  <kpis count="0"/>
  <dimensions count="20">
    <dimension name="Ace Model Version" uniqueName="[Ace Model Version]" caption="Ace Model Version"/>
    <dimension name="Allocation" uniqueName="[Allocation]" caption="Allocation"/>
    <dimension name="Allocation Methodology" uniqueName="[Allocation Methodology]" caption="Allocation Methodology"/>
    <dimension name="Allocation Selection" uniqueName="[Allocation Selection]" caption="Allocation Selection"/>
    <dimension name="Calculation Methodology" uniqueName="[Calculation Methodology]" caption="Calculation Methodology"/>
    <dimension name="Date" uniqueName="[Date]" caption="Date"/>
    <dimension name="Flag" uniqueName="[Flag]" caption="Flag"/>
    <dimension name="Funding Cycle" uniqueName="[Funding Cycle]" caption="Funding Cycle"/>
    <dimension name="Initiative" uniqueName="[Initiative]" caption="Initiative"/>
    <dimension name="Key Assumption" uniqueName="[Key Assumption]" caption="Key Assumption"/>
    <dimension name="Key Assumption Type" uniqueName="[Key Assumption Type]" caption="Key Assumption Type"/>
    <dimension name="Local Programs" uniqueName="[Local Programs]" caption="Local Programs"/>
    <dimension name="Measure" uniqueName="[Measure]" caption="Measure"/>
    <dimension measure="1" name="Measures" uniqueName="[Measures]" caption="Measures"/>
    <dimension name="Snapshot" uniqueName="[Snapshot]" caption="Snapshot"/>
    <dimension name="Stakeholder Organization" uniqueName="[Stakeholder Organization]" caption="Stakeholder Organization"/>
    <dimension name="Stakeholder Report" uniqueName="[Stakeholder Report]" caption="Stakeholder Report"/>
    <dimension name="State" uniqueName="[State]" caption="State"/>
    <dimension name="Status" uniqueName="[Status]" caption="Status"/>
    <dimension name="Unit Of Measure" uniqueName="[Unit Of Measure]" caption="Unit Of Measure"/>
  </dimensions>
  <measureGroups count="27">
    <measureGroup name="Ace Model Version" caption="Ace Model Version"/>
    <measureGroup name="Allocation" caption="Allocation"/>
    <measureGroup name="Allocation Methodology" caption="Allocation Methodology"/>
    <measureGroup name="Allocation Selection" caption="Allocation Selection"/>
    <measureGroup name="Calculation Methodology" caption="Calculation Methodology"/>
    <measureGroup name="Cost Effectiveness" caption="Cost Effectiveness"/>
    <measureGroup name="Date" caption="Date"/>
    <measureGroup name="Flag" caption="Flag"/>
    <measureGroup name="Funder Share" caption="Funder Share"/>
    <measureGroup name="Funding Cycle" caption="Funding Cycle"/>
    <measureGroup name="Funding Cycle Funder Share" caption="Funding Cycle Funder Share"/>
    <measureGroup name="Initiative" caption="Initiative"/>
    <measureGroup name="Key Assumption" caption="Key Assumption"/>
    <measureGroup name="Key Assumption Type" caption="Key Assumption Type"/>
    <measureGroup name="Local Programs" caption="Local Programs"/>
    <measureGroup name="Market Adoption" caption="Market Adoption"/>
    <measureGroup name="Market Size" caption="Market Size"/>
    <measureGroup name="Measure" caption="Measure"/>
    <measureGroup name="Portfolio Metrics" caption="Portfolio Metrics"/>
    <measureGroup name="Savings" caption="Savings"/>
    <measureGroup name="Savings Rate" caption="Savings Rate"/>
    <measureGroup name="Snapshot" caption="Snapshot"/>
    <measureGroup name="Stakeholder Organization" caption="Stakeholder Organization"/>
    <measureGroup name="Stakeholder Report" caption="Stakeholder Report"/>
    <measureGroup name="State" caption="State"/>
    <measureGroup name="Status" caption="Status"/>
    <measureGroup name="Unit Of Measure" caption="Unit Of Measure"/>
  </measureGroups>
  <maps count="19">
    <map measureGroup="0" dimension="0"/>
    <map measureGroup="1" dimension="1"/>
    <map measureGroup="2" dimension="2"/>
    <map measureGroup="3" dimension="3"/>
    <map measureGroup="4" dimension="4"/>
    <map measureGroup="6" dimension="5"/>
    <map measureGroup="7" dimension="6"/>
    <map measureGroup="9" dimension="7"/>
    <map measureGroup="11" dimension="8"/>
    <map measureGroup="12" dimension="9"/>
    <map measureGroup="13" dimension="10"/>
    <map measureGroup="14" dimension="11"/>
    <map measureGroup="17" dimension="12"/>
    <map measureGroup="21" dimension="14"/>
    <map measureGroup="22" dimension="15"/>
    <map measureGroup="23" dimension="16"/>
    <map measureGroup="24" dimension="17"/>
    <map measureGroup="25" dimension="18"/>
    <map measureGroup="26" dimension="19"/>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subtotalHiddenItems="1" rowGrandTotals="0" colGrandTotals="0" itemPrintTitles="1" createdVersion="6" indent="0" compact="0" compactData="0" multipleFieldFilters="0" fieldListSortAscending="1">
  <location ref="B4:F27" firstHeaderRow="1" firstDataRow="1" firstDataCol="4" rowPageCount="2" colPageCount="1"/>
  <pivotFields count="8">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compact="0" allDrilled="1" outline="0" showAll="0" dataSourceSort="1" defaultSubtotal="0" defaultAttributeDrillState="1">
      <items count="2">
        <item s="1" x="0"/>
        <item s="1" x="1"/>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3">
        <item x="0"/>
        <item x="1"/>
        <item x="2"/>
        <item x="3"/>
        <item x="4"/>
        <item x="5"/>
        <item x="6"/>
        <item x="7"/>
        <item x="8"/>
        <item x="9"/>
        <item x="10"/>
        <item x="11"/>
        <item x="12"/>
        <item x="13"/>
        <item x="14"/>
        <item x="15"/>
        <item x="16"/>
        <item x="17"/>
        <item x="18"/>
        <item x="19"/>
        <item x="20"/>
        <item x="21"/>
        <item x="22"/>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5">
        <item x="0"/>
        <item x="1"/>
        <item x="2"/>
        <item x="3"/>
        <item x="4"/>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Row" compact="0" allDrilled="1" outline="0" showAll="0" dataSourceSort="1" defaultAttributeDrillState="1">
      <items count="24">
        <item x="0"/>
        <item x="1"/>
        <item x="2"/>
        <item x="3"/>
        <item x="4"/>
        <item x="5"/>
        <item x="6"/>
        <item x="7"/>
        <item x="8"/>
        <item x="9"/>
        <item x="10"/>
        <item x="11"/>
        <item x="12"/>
        <item x="13"/>
        <item x="14"/>
        <item x="15"/>
        <item x="16"/>
        <item x="17"/>
        <item x="18"/>
        <item x="19"/>
        <item x="20"/>
        <item x="21"/>
        <item x="22"/>
        <item t="default"/>
      </items>
      <extLst>
        <ext xmlns:x14="http://schemas.microsoft.com/office/spreadsheetml/2009/9/main" uri="{2946ED86-A175-432a-8AC1-64E0C546D7DE}">
          <x14:pivotField fillDownLabels="1"/>
        </ext>
      </extLst>
    </pivotField>
  </pivotFields>
  <rowFields count="4">
    <field x="3"/>
    <field x="4"/>
    <field x="5"/>
    <field x="7"/>
  </rowFields>
  <rowItems count="23">
    <i>
      <x/>
      <x/>
      <x/>
      <x/>
    </i>
    <i>
      <x v="1"/>
      <x v="1"/>
      <x/>
      <x v="1"/>
    </i>
    <i>
      <x v="2"/>
      <x v="2"/>
      <x/>
      <x v="2"/>
    </i>
    <i>
      <x v="3"/>
      <x v="3"/>
      <x v="1"/>
      <x v="3"/>
    </i>
    <i>
      <x v="4"/>
      <x v="4"/>
      <x/>
      <x v="4"/>
    </i>
    <i>
      <x v="5"/>
      <x v="5"/>
      <x/>
      <x v="5"/>
    </i>
    <i>
      <x v="6"/>
      <x v="6"/>
      <x/>
      <x v="6"/>
    </i>
    <i>
      <x v="7"/>
      <x v="7"/>
      <x v="2"/>
      <x v="7"/>
    </i>
    <i>
      <x v="8"/>
      <x v="8"/>
      <x v="1"/>
      <x v="8"/>
    </i>
    <i>
      <x v="9"/>
      <x v="9"/>
      <x v="2"/>
      <x v="9"/>
    </i>
    <i>
      <x v="10"/>
      <x v="10"/>
      <x v="2"/>
      <x v="10"/>
    </i>
    <i>
      <x v="11"/>
      <x v="11"/>
      <x v="3"/>
      <x v="11"/>
    </i>
    <i>
      <x v="12"/>
      <x v="12"/>
      <x v="2"/>
      <x v="12"/>
    </i>
    <i>
      <x v="13"/>
      <x v="12"/>
      <x v="2"/>
      <x v="13"/>
    </i>
    <i>
      <x v="14"/>
      <x v="13"/>
      <x/>
      <x v="14"/>
    </i>
    <i>
      <x v="15"/>
      <x v="14"/>
      <x v="2"/>
      <x v="15"/>
    </i>
    <i>
      <x v="16"/>
      <x v="15"/>
      <x/>
      <x v="16"/>
    </i>
    <i>
      <x v="17"/>
      <x v="16"/>
      <x/>
      <x v="17"/>
    </i>
    <i>
      <x v="18"/>
      <x v="17"/>
      <x/>
      <x v="18"/>
    </i>
    <i>
      <x v="19"/>
      <x v="18"/>
      <x/>
      <x v="19"/>
    </i>
    <i>
      <x v="20"/>
      <x v="19"/>
      <x v="4"/>
      <x v="20"/>
    </i>
    <i>
      <x v="21"/>
      <x v="20"/>
      <x v="4"/>
      <x v="21"/>
    </i>
    <i>
      <x v="22"/>
      <x v="21"/>
      <x v="4"/>
      <x v="22"/>
    </i>
  </rowItems>
  <colItems count="1">
    <i/>
  </colItems>
  <pageFields count="2">
    <pageField fld="1" hier="55" name="[Snapshot].[Snapshot Name].&amp;[Current Data]" cap="Current Data"/>
    <pageField fld="0" hier="3" name="[Ace Model Version].[Is Current].&amp;[Yes]" cap="Yes"/>
  </pageFields>
  <dataFields count="1">
    <dataField fld="6" baseField="0" baseItem="0"/>
  </dataFields>
  <pivotHierarchies count="44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Snapshot].[Snapshot Name].&amp;[Current Data]"/>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4">
    <rowHierarchyUsage hierarchyUsage="39"/>
    <rowHierarchyUsage hierarchyUsage="26"/>
    <rowHierarchyUsage hierarchyUsage="30"/>
    <rowHierarchyUsage hierarchyUsage="27"/>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subtotalHiddenItems="1" rowGrandTotals="0" colGrandTotals="0" itemPrintTitles="1" createdVersion="6" indent="0" compact="0" compactData="0" multipleFieldFilters="0" fieldListSortAscending="1">
  <location ref="B5:J544" firstHeaderRow="0" firstDataRow="1" firstDataCol="5" rowPageCount="2" colPageCount="1"/>
  <pivotFields count="11">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
        <item s="1" x="0"/>
        <item s="1" x="1"/>
      </items>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3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s>
  <rowFields count="5">
    <field x="3"/>
    <field x="9"/>
    <field x="6"/>
    <field x="7"/>
    <field x="8"/>
  </rowFields>
  <rowItems count="539">
    <i>
      <x/>
      <x/>
      <x/>
      <x/>
      <x/>
    </i>
    <i r="1">
      <x v="1"/>
      <x v="1"/>
      <x v="1"/>
      <x v="1"/>
    </i>
    <i r="1">
      <x v="2"/>
      <x v="2"/>
      <x v="2"/>
      <x v="2"/>
    </i>
    <i r="1">
      <x v="3"/>
      <x v="3"/>
      <x v="3"/>
      <x v="2"/>
    </i>
    <i r="1">
      <x v="4"/>
      <x v="3"/>
      <x v="4"/>
      <x v="2"/>
    </i>
    <i r="1">
      <x v="5"/>
      <x v="3"/>
      <x v="5"/>
      <x v="2"/>
    </i>
    <i r="1">
      <x v="6"/>
      <x v="3"/>
      <x v="6"/>
      <x v="2"/>
    </i>
    <i r="1">
      <x v="7"/>
      <x v="4"/>
      <x v="7"/>
      <x v="3"/>
    </i>
    <i r="1">
      <x v="8"/>
      <x v="4"/>
      <x v="7"/>
      <x v="4"/>
    </i>
    <i r="1">
      <x v="9"/>
      <x v="4"/>
      <x v="7"/>
      <x v="5"/>
    </i>
    <i r="1">
      <x v="10"/>
      <x v="4"/>
      <x v="7"/>
      <x v="6"/>
    </i>
    <i r="1">
      <x v="11"/>
      <x v="4"/>
      <x v="7"/>
      <x v="7"/>
    </i>
    <i r="1">
      <x v="12"/>
      <x v="4"/>
      <x v="7"/>
      <x v="8"/>
    </i>
    <i r="1">
      <x v="13"/>
      <x v="4"/>
      <x v="7"/>
      <x v="9"/>
    </i>
    <i r="1">
      <x v="14"/>
      <x v="4"/>
      <x v="7"/>
      <x v="10"/>
    </i>
    <i r="1">
      <x v="15"/>
      <x v="4"/>
      <x v="7"/>
      <x v="11"/>
    </i>
    <i r="1">
      <x v="16"/>
      <x v="4"/>
      <x v="8"/>
      <x v="12"/>
    </i>
    <i r="1">
      <x v="17"/>
      <x v="4"/>
      <x v="8"/>
      <x v="4"/>
    </i>
    <i r="1">
      <x v="18"/>
      <x v="4"/>
      <x v="8"/>
      <x v="13"/>
    </i>
    <i r="1">
      <x v="19"/>
      <x v="4"/>
      <x v="8"/>
      <x v="14"/>
    </i>
    <i r="1">
      <x v="20"/>
      <x v="4"/>
      <x v="8"/>
      <x v="15"/>
    </i>
    <i r="1">
      <x v="21"/>
      <x v="4"/>
      <x v="8"/>
      <x v="9"/>
    </i>
    <i r="1">
      <x v="22"/>
      <x v="4"/>
      <x v="8"/>
      <x v="10"/>
    </i>
    <i r="1">
      <x v="23"/>
      <x v="4"/>
      <x v="8"/>
      <x v="11"/>
    </i>
    <i r="1">
      <x v="24"/>
      <x v="4"/>
      <x v="9"/>
      <x v="16"/>
    </i>
    <i r="1">
      <x v="25"/>
      <x v="4"/>
      <x v="9"/>
      <x v="17"/>
    </i>
    <i r="1">
      <x v="26"/>
      <x v="4"/>
      <x v="9"/>
      <x v="18"/>
    </i>
    <i r="1">
      <x v="27"/>
      <x v="4"/>
      <x v="9"/>
      <x v="19"/>
    </i>
    <i r="1">
      <x v="28"/>
      <x v="4"/>
      <x v="9"/>
      <x v="20"/>
    </i>
    <i r="1">
      <x v="29"/>
      <x v="4"/>
      <x v="9"/>
      <x v="21"/>
    </i>
    <i r="1">
      <x v="30"/>
      <x v="4"/>
      <x v="9"/>
      <x v="22"/>
    </i>
    <i r="1">
      <x v="31"/>
      <x v="4"/>
      <x v="10"/>
      <x v="23"/>
    </i>
    <i r="1">
      <x v="32"/>
      <x v="4"/>
      <x v="10"/>
      <x v="24"/>
    </i>
    <i r="1">
      <x v="33"/>
      <x v="4"/>
      <x v="10"/>
      <x v="25"/>
    </i>
    <i r="1">
      <x v="34"/>
      <x v="4"/>
      <x v="10"/>
      <x v="26"/>
    </i>
    <i r="1">
      <x v="35"/>
      <x v="4"/>
      <x v="10"/>
      <x v="27"/>
    </i>
    <i r="1">
      <x v="36"/>
      <x v="4"/>
      <x v="10"/>
      <x v="28"/>
    </i>
    <i r="1">
      <x v="37"/>
      <x v="4"/>
      <x v="10"/>
      <x v="29"/>
    </i>
    <i r="1">
      <x v="38"/>
      <x v="4"/>
      <x v="10"/>
      <x v="30"/>
    </i>
    <i r="1">
      <x v="39"/>
      <x v="5"/>
      <x v="11"/>
      <x v="2"/>
    </i>
    <i r="1">
      <x v="40"/>
      <x v="6"/>
      <x v="12"/>
      <x v="31"/>
    </i>
    <i r="1">
      <x v="41"/>
      <x v="6"/>
      <x v="12"/>
      <x v="32"/>
    </i>
    <i r="1">
      <x v="42"/>
      <x v="6"/>
      <x v="12"/>
      <x v="33"/>
    </i>
    <i r="1">
      <x v="43"/>
      <x v="6"/>
      <x v="12"/>
      <x v="34"/>
    </i>
    <i r="1">
      <x v="44"/>
      <x v="7"/>
      <x v="13"/>
      <x v="35"/>
    </i>
    <i r="1">
      <x v="45"/>
      <x v="8"/>
      <x v="14"/>
      <x v="35"/>
    </i>
    <i r="1">
      <x v="46"/>
      <x v="9"/>
      <x v="15"/>
      <x v="2"/>
    </i>
    <i r="1">
      <x v="47"/>
      <x v="10"/>
      <x v="16"/>
      <x v="2"/>
    </i>
    <i r="1">
      <x v="48"/>
      <x v="10"/>
      <x v="17"/>
      <x v="2"/>
    </i>
    <i r="1">
      <x v="49"/>
      <x v="10"/>
      <x v="18"/>
      <x v="2"/>
    </i>
    <i r="1">
      <x v="50"/>
      <x v="10"/>
      <x v="19"/>
      <x v="2"/>
    </i>
    <i r="1">
      <x v="51"/>
      <x v="11"/>
      <x v="20"/>
      <x v="35"/>
    </i>
    <i r="1">
      <x v="52"/>
      <x v="12"/>
      <x v="21"/>
      <x v="36"/>
    </i>
    <i r="1">
      <x v="53"/>
      <x v="13"/>
      <x v="22"/>
      <x v="2"/>
    </i>
    <i r="1">
      <x v="54"/>
      <x v="14"/>
      <x v="23"/>
      <x v="37"/>
    </i>
    <i r="1">
      <x v="55"/>
      <x v="14"/>
      <x v="24"/>
      <x v="37"/>
    </i>
    <i r="1">
      <x v="56"/>
      <x v="14"/>
      <x v="25"/>
      <x v="37"/>
    </i>
    <i r="1">
      <x v="57"/>
      <x v="14"/>
      <x v="26"/>
      <x v="37"/>
    </i>
    <i r="1">
      <x v="58"/>
      <x v="15"/>
      <x v="27"/>
      <x v="2"/>
    </i>
    <i r="1">
      <x v="59"/>
      <x v="16"/>
      <x v="28"/>
      <x v="38"/>
    </i>
    <i r="1">
      <x v="60"/>
      <x v="17"/>
      <x v="29"/>
      <x v="35"/>
    </i>
    <i r="1">
      <x v="61"/>
      <x v="17"/>
      <x v="30"/>
      <x v="35"/>
    </i>
    <i r="1">
      <x v="62"/>
      <x v="17"/>
      <x v="31"/>
      <x v="35"/>
    </i>
    <i r="1">
      <x v="63"/>
      <x v="17"/>
      <x v="32"/>
      <x v="35"/>
    </i>
    <i r="1">
      <x v="64"/>
      <x v="18"/>
      <x v="33"/>
      <x v="2"/>
    </i>
    <i r="1">
      <x v="65"/>
      <x v="18"/>
      <x v="34"/>
      <x v="2"/>
    </i>
    <i r="1">
      <x v="66"/>
      <x v="19"/>
      <x v="7"/>
      <x v="9"/>
    </i>
    <i r="1">
      <x v="67"/>
      <x v="19"/>
      <x v="7"/>
      <x v="10"/>
    </i>
    <i r="1">
      <x v="68"/>
      <x v="19"/>
      <x v="7"/>
      <x v="11"/>
    </i>
    <i r="1">
      <x v="69"/>
      <x v="19"/>
      <x v="7"/>
      <x v="4"/>
    </i>
    <i r="1">
      <x v="70"/>
      <x v="19"/>
      <x v="8"/>
      <x v="15"/>
    </i>
    <i r="1">
      <x v="71"/>
      <x v="19"/>
      <x v="8"/>
      <x v="9"/>
    </i>
    <i r="1">
      <x v="72"/>
      <x v="19"/>
      <x v="8"/>
      <x v="10"/>
    </i>
    <i r="1">
      <x v="73"/>
      <x v="19"/>
      <x v="8"/>
      <x v="11"/>
    </i>
    <i r="1">
      <x v="74"/>
      <x v="19"/>
      <x v="8"/>
      <x v="4"/>
    </i>
    <i r="1">
      <x v="75"/>
      <x v="19"/>
      <x v="9"/>
      <x v="22"/>
    </i>
    <i r="1">
      <x v="76"/>
      <x v="19"/>
      <x v="9"/>
      <x v="17"/>
    </i>
    <i r="1">
      <x v="77"/>
      <x v="19"/>
      <x v="10"/>
      <x v="29"/>
    </i>
    <i r="1">
      <x v="78"/>
      <x v="4"/>
      <x v="10"/>
      <x v="39"/>
    </i>
    <i r="1">
      <x v="79"/>
      <x v="4"/>
      <x v="10"/>
      <x v="40"/>
    </i>
    <i r="1">
      <x v="80"/>
      <x v="4"/>
      <x v="10"/>
      <x v="41"/>
    </i>
    <i r="1">
      <x v="81"/>
      <x v="19"/>
      <x v="10"/>
      <x v="30"/>
    </i>
    <i r="1">
      <x v="82"/>
      <x v="19"/>
      <x v="10"/>
      <x v="39"/>
    </i>
    <i r="1">
      <x v="83"/>
      <x v="19"/>
      <x v="10"/>
      <x v="40"/>
    </i>
    <i r="1">
      <x v="84"/>
      <x v="19"/>
      <x v="10"/>
      <x v="41"/>
    </i>
    <i r="1">
      <x v="85"/>
      <x v="20"/>
      <x v="35"/>
      <x v="2"/>
    </i>
    <i r="1">
      <x v="86"/>
      <x v="21"/>
      <x v="36"/>
      <x v="35"/>
    </i>
    <i r="1">
      <x v="87"/>
      <x v="22"/>
      <x v="37"/>
      <x v="35"/>
    </i>
    <i r="1">
      <x v="88"/>
      <x v="23"/>
      <x v="38"/>
      <x v="2"/>
    </i>
    <i r="1">
      <x v="89"/>
      <x v="23"/>
      <x v="39"/>
      <x v="2"/>
    </i>
    <i r="1">
      <x v="90"/>
      <x v="24"/>
      <x v="40"/>
      <x v="2"/>
    </i>
    <i r="1">
      <x v="91"/>
      <x v="25"/>
      <x v="41"/>
      <x v="2"/>
    </i>
    <i r="1">
      <x v="92"/>
      <x v="25"/>
      <x v="42"/>
      <x v="2"/>
    </i>
    <i r="1">
      <x v="93"/>
      <x v="25"/>
      <x v="43"/>
      <x v="2"/>
    </i>
    <i r="1">
      <x v="94"/>
      <x v="26"/>
      <x v="44"/>
      <x v="2"/>
    </i>
    <i r="1">
      <x v="95"/>
      <x v="27"/>
      <x v="45"/>
      <x v="35"/>
    </i>
    <i r="1">
      <x v="96"/>
      <x v="28"/>
      <x v="46"/>
      <x v="35"/>
    </i>
    <i r="1">
      <x v="97"/>
      <x v="29"/>
      <x v="47"/>
      <x v="2"/>
    </i>
    <i r="1">
      <x v="98"/>
      <x v="30"/>
      <x v="48"/>
      <x v="2"/>
    </i>
    <i r="1">
      <x v="99"/>
      <x v="31"/>
      <x v="49"/>
      <x v="42"/>
    </i>
    <i r="1">
      <x v="100"/>
      <x v="31"/>
      <x v="49"/>
      <x v="33"/>
    </i>
    <i r="1">
      <x v="101"/>
      <x v="31"/>
      <x v="50"/>
      <x v="42"/>
    </i>
    <i r="1">
      <x v="102"/>
      <x v="31"/>
      <x v="50"/>
      <x v="33"/>
    </i>
    <i r="1">
      <x v="103"/>
      <x v="31"/>
      <x v="51"/>
      <x v="42"/>
    </i>
    <i r="1">
      <x v="104"/>
      <x v="31"/>
      <x v="51"/>
      <x v="33"/>
    </i>
    <i r="1">
      <x v="105"/>
      <x v="32"/>
      <x v="52"/>
      <x v="43"/>
    </i>
    <i r="1">
      <x v="106"/>
      <x v="32"/>
      <x v="52"/>
      <x v="44"/>
    </i>
    <i r="1">
      <x v="107"/>
      <x v="32"/>
      <x v="52"/>
      <x v="45"/>
    </i>
    <i r="1">
      <x v="108"/>
      <x v="32"/>
      <x v="52"/>
      <x v="46"/>
    </i>
    <i r="1">
      <x v="109"/>
      <x v="32"/>
      <x v="52"/>
      <x v="47"/>
    </i>
    <i r="1">
      <x v="110"/>
      <x v="32"/>
      <x v="52"/>
      <x v="48"/>
    </i>
    <i r="1">
      <x v="111"/>
      <x v="32"/>
      <x v="52"/>
      <x v="49"/>
    </i>
    <i r="1">
      <x v="112"/>
      <x v="32"/>
      <x v="52"/>
      <x v="50"/>
    </i>
    <i r="1">
      <x v="113"/>
      <x v="33"/>
      <x v="53"/>
      <x v="35"/>
    </i>
    <i r="1">
      <x v="114"/>
      <x v="33"/>
      <x v="54"/>
      <x v="35"/>
    </i>
    <i r="1">
      <x v="115"/>
      <x v="33"/>
      <x v="55"/>
      <x v="35"/>
    </i>
    <i r="1">
      <x v="116"/>
      <x v="33"/>
      <x v="56"/>
      <x v="35"/>
    </i>
    <i r="1">
      <x v="117"/>
      <x v="33"/>
      <x v="57"/>
      <x v="35"/>
    </i>
    <i r="1">
      <x v="118"/>
      <x v="33"/>
      <x v="58"/>
      <x v="35"/>
    </i>
    <i r="1">
      <x v="119"/>
      <x v="34"/>
      <x v="59"/>
      <x v="51"/>
    </i>
    <i r="1">
      <x v="120"/>
      <x v="35"/>
      <x v="60"/>
      <x v="35"/>
    </i>
    <i r="1">
      <x v="121"/>
      <x v="36"/>
      <x v="61"/>
      <x v="35"/>
    </i>
    <i r="1">
      <x v="122"/>
      <x v="37"/>
      <x v="62"/>
      <x v="52"/>
    </i>
    <i r="1">
      <x v="123"/>
      <x v="37"/>
      <x v="62"/>
      <x v="53"/>
    </i>
    <i r="1">
      <x v="124"/>
      <x v="37"/>
      <x v="62"/>
      <x v="54"/>
    </i>
    <i r="1">
      <x v="125"/>
      <x v="37"/>
      <x v="62"/>
      <x v="55"/>
    </i>
    <i r="1">
      <x v="126"/>
      <x v="38"/>
      <x v="63"/>
      <x v="56"/>
    </i>
    <i r="1">
      <x v="127"/>
      <x v="38"/>
      <x v="63"/>
      <x v="57"/>
    </i>
    <i r="1">
      <x v="128"/>
      <x v="38"/>
      <x v="63"/>
      <x v="58"/>
    </i>
    <i r="1">
      <x v="129"/>
      <x v="38"/>
      <x v="63"/>
      <x v="59"/>
    </i>
    <i r="1">
      <x v="130"/>
      <x v="38"/>
      <x v="63"/>
      <x v="60"/>
    </i>
    <i r="1">
      <x v="131"/>
      <x v="39"/>
      <x v="64"/>
      <x v="61"/>
    </i>
    <i r="1">
      <x v="132"/>
      <x v="39"/>
      <x v="65"/>
      <x v="61"/>
    </i>
    <i r="1">
      <x v="133"/>
      <x v="39"/>
      <x v="66"/>
      <x v="61"/>
    </i>
    <i r="1">
      <x v="134"/>
      <x v="39"/>
      <x v="67"/>
      <x v="61"/>
    </i>
    <i r="1">
      <x v="135"/>
      <x v="39"/>
      <x v="68"/>
      <x v="62"/>
    </i>
    <i r="1">
      <x v="136"/>
      <x v="39"/>
      <x v="68"/>
      <x v="63"/>
    </i>
    <i r="1">
      <x v="137"/>
      <x v="39"/>
      <x v="68"/>
      <x v="64"/>
    </i>
    <i r="1">
      <x v="138"/>
      <x v="39"/>
      <x v="69"/>
      <x v="65"/>
    </i>
    <i r="1">
      <x v="139"/>
      <x v="39"/>
      <x v="69"/>
      <x v="66"/>
    </i>
    <i r="1">
      <x v="140"/>
      <x v="39"/>
      <x v="69"/>
      <x v="67"/>
    </i>
    <i r="1">
      <x v="141"/>
      <x v="39"/>
      <x v="70"/>
      <x v="68"/>
    </i>
    <i r="1">
      <x v="142"/>
      <x v="39"/>
      <x v="70"/>
      <x v="69"/>
    </i>
    <i r="1">
      <x v="143"/>
      <x v="39"/>
      <x v="71"/>
      <x v="70"/>
    </i>
    <i r="1">
      <x v="144"/>
      <x v="39"/>
      <x v="71"/>
      <x v="71"/>
    </i>
    <i r="1">
      <x v="145"/>
      <x v="39"/>
      <x v="71"/>
      <x v="72"/>
    </i>
    <i r="1">
      <x v="146"/>
      <x v="39"/>
      <x v="72"/>
      <x v="61"/>
    </i>
    <i r="1">
      <x v="147"/>
      <x v="39"/>
      <x v="73"/>
      <x v="61"/>
    </i>
    <i r="1">
      <x v="148"/>
      <x v="39"/>
      <x v="74"/>
      <x v="61"/>
    </i>
    <i r="1">
      <x v="149"/>
      <x v="40"/>
      <x v="75"/>
      <x v="62"/>
    </i>
    <i r="1">
      <x v="150"/>
      <x v="40"/>
      <x v="75"/>
      <x v="63"/>
    </i>
    <i r="1">
      <x v="151"/>
      <x v="40"/>
      <x v="75"/>
      <x v="64"/>
    </i>
    <i r="1">
      <x v="152"/>
      <x v="40"/>
      <x v="76"/>
      <x v="65"/>
    </i>
    <i r="1">
      <x v="153"/>
      <x v="40"/>
      <x v="76"/>
      <x v="66"/>
    </i>
    <i r="1">
      <x v="154"/>
      <x v="40"/>
      <x v="76"/>
      <x v="67"/>
    </i>
    <i r="1">
      <x v="155"/>
      <x v="40"/>
      <x v="77"/>
      <x v="68"/>
    </i>
    <i r="1">
      <x v="156"/>
      <x v="40"/>
      <x v="78"/>
      <x v="70"/>
    </i>
    <i r="1">
      <x v="157"/>
      <x v="40"/>
      <x v="78"/>
      <x v="71"/>
    </i>
    <i r="1">
      <x v="158"/>
      <x v="40"/>
      <x v="78"/>
      <x v="72"/>
    </i>
    <i r="1">
      <x v="159"/>
      <x v="41"/>
      <x v="79"/>
      <x v="35"/>
    </i>
    <i r="1">
      <x v="160"/>
      <x v="41"/>
      <x v="80"/>
      <x v="35"/>
    </i>
    <i r="1">
      <x v="161"/>
      <x v="41"/>
      <x v="81"/>
      <x v="35"/>
    </i>
    <i r="1">
      <x v="162"/>
      <x v="42"/>
      <x v="82"/>
      <x v="73"/>
    </i>
    <i r="1">
      <x v="163"/>
      <x v="42"/>
      <x v="82"/>
      <x v="74"/>
    </i>
    <i r="1">
      <x v="164"/>
      <x v="42"/>
      <x v="82"/>
      <x v="75"/>
    </i>
    <i r="1">
      <x v="165"/>
      <x v="42"/>
      <x v="82"/>
      <x v="76"/>
    </i>
    <i r="1">
      <x v="166"/>
      <x v="42"/>
      <x v="82"/>
      <x v="77"/>
    </i>
    <i r="1">
      <x v="167"/>
      <x v="42"/>
      <x v="82"/>
      <x v="78"/>
    </i>
    <i r="1">
      <x v="168"/>
      <x v="43"/>
      <x v="83"/>
      <x v="35"/>
    </i>
    <i r="1">
      <x v="169"/>
      <x v="43"/>
      <x v="83"/>
      <x v="79"/>
    </i>
    <i r="1">
      <x v="170"/>
      <x v="43"/>
      <x v="83"/>
      <x v="80"/>
    </i>
    <i r="1">
      <x v="171"/>
      <x v="43"/>
      <x v="83"/>
      <x v="81"/>
    </i>
    <i r="1">
      <x v="172"/>
      <x v="43"/>
      <x v="83"/>
      <x v="82"/>
    </i>
    <i r="1">
      <x v="173"/>
      <x v="43"/>
      <x v="84"/>
      <x v="35"/>
    </i>
    <i r="1">
      <x v="174"/>
      <x v="43"/>
      <x v="84"/>
      <x v="79"/>
    </i>
    <i r="1">
      <x v="175"/>
      <x v="43"/>
      <x v="84"/>
      <x v="80"/>
    </i>
    <i r="1">
      <x v="176"/>
      <x v="43"/>
      <x v="84"/>
      <x v="81"/>
    </i>
    <i r="1">
      <x v="177"/>
      <x v="43"/>
      <x v="84"/>
      <x v="82"/>
    </i>
    <i r="1">
      <x v="178"/>
      <x v="43"/>
      <x v="85"/>
      <x v="35"/>
    </i>
    <i r="1">
      <x v="179"/>
      <x v="43"/>
      <x v="85"/>
      <x v="79"/>
    </i>
    <i r="1">
      <x v="180"/>
      <x v="43"/>
      <x v="85"/>
      <x v="80"/>
    </i>
    <i r="1">
      <x v="181"/>
      <x v="43"/>
      <x v="85"/>
      <x v="81"/>
    </i>
    <i r="1">
      <x v="182"/>
      <x v="43"/>
      <x v="85"/>
      <x v="82"/>
    </i>
    <i r="1">
      <x v="183"/>
      <x v="43"/>
      <x v="86"/>
      <x v="35"/>
    </i>
    <i r="1">
      <x v="184"/>
      <x v="43"/>
      <x v="86"/>
      <x v="79"/>
    </i>
    <i r="1">
      <x v="185"/>
      <x v="43"/>
      <x v="86"/>
      <x v="80"/>
    </i>
    <i r="1">
      <x v="186"/>
      <x v="43"/>
      <x v="86"/>
      <x v="81"/>
    </i>
    <i r="1">
      <x v="187"/>
      <x v="43"/>
      <x v="86"/>
      <x v="82"/>
    </i>
    <i r="1">
      <x v="188"/>
      <x v="44"/>
      <x v="87"/>
      <x v="83"/>
    </i>
    <i r="1">
      <x v="189"/>
      <x v="44"/>
      <x v="64"/>
      <x v="61"/>
    </i>
    <i r="1">
      <x v="190"/>
      <x v="44"/>
      <x v="88"/>
      <x v="83"/>
    </i>
    <i r="1">
      <x v="191"/>
      <x v="44"/>
      <x v="89"/>
      <x v="84"/>
    </i>
    <i r="1">
      <x v="192"/>
      <x v="44"/>
      <x v="90"/>
      <x v="84"/>
    </i>
    <i r="1">
      <x v="193"/>
      <x v="44"/>
      <x v="91"/>
      <x v="84"/>
    </i>
    <i r="1">
      <x v="194"/>
      <x v="44"/>
      <x v="92"/>
      <x v="84"/>
    </i>
    <i r="1">
      <x v="195"/>
      <x v="44"/>
      <x v="93"/>
      <x v="84"/>
    </i>
    <i r="1">
      <x v="196"/>
      <x v="44"/>
      <x v="94"/>
      <x v="84"/>
    </i>
    <i r="1">
      <x v="197"/>
      <x v="44"/>
      <x v="95"/>
      <x v="84"/>
    </i>
    <i r="1">
      <x v="198"/>
      <x v="44"/>
      <x v="96"/>
      <x v="84"/>
    </i>
    <i r="1">
      <x v="199"/>
      <x v="44"/>
      <x v="97"/>
      <x v="84"/>
    </i>
    <i r="1">
      <x v="200"/>
      <x v="44"/>
      <x v="65"/>
      <x v="61"/>
    </i>
    <i r="1">
      <x v="201"/>
      <x v="44"/>
      <x v="67"/>
      <x v="61"/>
    </i>
    <i r="1">
      <x v="202"/>
      <x v="44"/>
      <x v="98"/>
      <x v="84"/>
    </i>
    <i r="1">
      <x v="203"/>
      <x v="44"/>
      <x v="68"/>
      <x v="85"/>
    </i>
    <i r="1">
      <x v="204"/>
      <x v="44"/>
      <x v="68"/>
      <x v="15"/>
    </i>
    <i r="1">
      <x v="205"/>
      <x v="44"/>
      <x v="99"/>
      <x v="84"/>
    </i>
    <i r="1">
      <x v="206"/>
      <x v="44"/>
      <x v="100"/>
      <x v="84"/>
    </i>
    <i r="1">
      <x v="207"/>
      <x v="44"/>
      <x v="101"/>
      <x v="84"/>
    </i>
    <i r="1">
      <x v="208"/>
      <x v="44"/>
      <x v="102"/>
      <x v="84"/>
    </i>
    <i r="1">
      <x v="209"/>
      <x v="44"/>
      <x v="103"/>
      <x v="84"/>
    </i>
    <i r="1">
      <x v="210"/>
      <x v="44"/>
      <x v="104"/>
      <x v="84"/>
    </i>
    <i r="1">
      <x v="211"/>
      <x v="44"/>
      <x v="105"/>
      <x v="84"/>
    </i>
    <i r="1">
      <x v="212"/>
      <x v="44"/>
      <x v="69"/>
      <x v="15"/>
    </i>
    <i r="1">
      <x v="213"/>
      <x v="44"/>
      <x v="69"/>
      <x v="9"/>
    </i>
    <i r="1">
      <x v="214"/>
      <x v="44"/>
      <x v="70"/>
      <x v="86"/>
    </i>
    <i r="1">
      <x v="215"/>
      <x v="44"/>
      <x v="70"/>
      <x v="87"/>
    </i>
    <i r="1">
      <x v="216"/>
      <x v="44"/>
      <x v="70"/>
      <x v="88"/>
    </i>
    <i r="1">
      <x v="217"/>
      <x v="44"/>
      <x v="71"/>
      <x v="89"/>
    </i>
    <i r="1">
      <x v="218"/>
      <x v="44"/>
      <x v="71"/>
      <x v="29"/>
    </i>
    <i r="1">
      <x v="219"/>
      <x v="44"/>
      <x v="71"/>
      <x v="90"/>
    </i>
    <i r="1">
      <x v="220"/>
      <x v="44"/>
      <x v="72"/>
      <x v="61"/>
    </i>
    <i r="1">
      <x v="221"/>
      <x v="44"/>
      <x v="73"/>
      <x v="61"/>
    </i>
    <i r="1">
      <x v="222"/>
      <x v="44"/>
      <x v="74"/>
      <x v="61"/>
    </i>
    <i r="1">
      <x v="223"/>
      <x v="44"/>
      <x v="106"/>
      <x v="83"/>
    </i>
    <i r="1">
      <x v="224"/>
      <x v="44"/>
      <x v="107"/>
      <x v="83"/>
    </i>
    <i r="1">
      <x v="225"/>
      <x v="45"/>
      <x v="108"/>
      <x v="37"/>
    </i>
    <i r="1">
      <x v="226"/>
      <x v="45"/>
      <x v="109"/>
      <x v="37"/>
    </i>
    <i r="1">
      <x v="227"/>
      <x v="45"/>
      <x v="110"/>
      <x v="37"/>
    </i>
    <i r="1">
      <x v="228"/>
      <x v="45"/>
      <x v="82"/>
      <x v="37"/>
    </i>
    <i r="1">
      <x v="229"/>
      <x v="45"/>
      <x v="111"/>
      <x v="37"/>
    </i>
    <i r="1">
      <x v="230"/>
      <x v="45"/>
      <x v="24"/>
      <x v="37"/>
    </i>
    <i r="1">
      <x v="231"/>
      <x v="46"/>
      <x v="112"/>
      <x v="32"/>
    </i>
    <i r="1">
      <x v="232"/>
      <x v="46"/>
      <x v="112"/>
      <x v="91"/>
    </i>
    <i r="1">
      <x v="233"/>
      <x v="46"/>
      <x v="113"/>
      <x v="92"/>
    </i>
    <i r="1">
      <x v="234"/>
      <x v="46"/>
      <x v="113"/>
      <x v="93"/>
    </i>
    <i r="1">
      <x v="235"/>
      <x v="46"/>
      <x v="113"/>
      <x v="94"/>
    </i>
    <i r="1">
      <x v="236"/>
      <x v="46"/>
      <x v="114"/>
      <x v="32"/>
    </i>
    <i r="1">
      <x v="237"/>
      <x v="46"/>
      <x v="114"/>
      <x v="93"/>
    </i>
    <i r="1">
      <x v="238"/>
      <x v="46"/>
      <x v="115"/>
      <x v="32"/>
    </i>
    <i r="1">
      <x v="239"/>
      <x v="46"/>
      <x v="115"/>
      <x v="93"/>
    </i>
    <i r="1">
      <x v="240"/>
      <x v="46"/>
      <x v="116"/>
      <x v="42"/>
    </i>
    <i r="1">
      <x v="241"/>
      <x v="46"/>
      <x v="116"/>
      <x v="95"/>
    </i>
    <i r="1">
      <x v="242"/>
      <x v="46"/>
      <x v="116"/>
      <x v="96"/>
    </i>
    <i r="1">
      <x v="243"/>
      <x v="46"/>
      <x v="116"/>
      <x v="97"/>
    </i>
    <i r="1">
      <x v="244"/>
      <x v="46"/>
      <x v="117"/>
      <x v="98"/>
    </i>
    <i r="1">
      <x v="245"/>
      <x v="46"/>
      <x v="118"/>
      <x v="99"/>
    </i>
    <i r="1">
      <x v="246"/>
      <x v="46"/>
      <x v="118"/>
      <x v="100"/>
    </i>
    <i r="1">
      <x v="247"/>
      <x v="46"/>
      <x v="118"/>
      <x v="101"/>
    </i>
    <i r="1">
      <x v="248"/>
      <x v="46"/>
      <x v="119"/>
      <x v="32"/>
    </i>
    <i r="1">
      <x v="249"/>
      <x v="46"/>
      <x v="119"/>
      <x v="91"/>
    </i>
    <i r="1">
      <x v="250"/>
      <x v="46"/>
      <x v="119"/>
      <x v="102"/>
    </i>
    <i r="1">
      <x v="251"/>
      <x v="46"/>
      <x v="120"/>
      <x v="32"/>
    </i>
    <i r="1">
      <x v="252"/>
      <x v="46"/>
      <x v="120"/>
      <x v="93"/>
    </i>
    <i r="1">
      <x v="253"/>
      <x v="46"/>
      <x v="121"/>
      <x v="103"/>
    </i>
    <i r="1">
      <x v="254"/>
      <x v="46"/>
      <x v="121"/>
      <x v="104"/>
    </i>
    <i r="1">
      <x v="255"/>
      <x v="46"/>
      <x v="122"/>
      <x v="92"/>
    </i>
    <i r="1">
      <x v="256"/>
      <x v="46"/>
      <x v="122"/>
      <x v="93"/>
    </i>
    <i r="1">
      <x v="257"/>
      <x v="46"/>
      <x v="122"/>
      <x v="105"/>
    </i>
    <i r="1">
      <x v="258"/>
      <x v="46"/>
      <x v="123"/>
      <x v="32"/>
    </i>
    <i r="1">
      <x v="259"/>
      <x v="46"/>
      <x v="123"/>
      <x v="91"/>
    </i>
    <i r="1">
      <x v="260"/>
      <x v="47"/>
      <x v="124"/>
      <x v="106"/>
    </i>
    <i r="1">
      <x v="261"/>
      <x v="47"/>
      <x v="124"/>
      <x v="107"/>
    </i>
    <i r="1">
      <x v="262"/>
      <x v="47"/>
      <x v="125"/>
      <x v="106"/>
    </i>
    <i r="1">
      <x v="263"/>
      <x v="47"/>
      <x v="125"/>
      <x v="107"/>
    </i>
    <i r="1">
      <x v="264"/>
      <x v="47"/>
      <x v="126"/>
      <x v="106"/>
    </i>
    <i r="1">
      <x v="265"/>
      <x v="47"/>
      <x v="126"/>
      <x v="107"/>
    </i>
    <i r="1">
      <x v="266"/>
      <x v="47"/>
      <x v="127"/>
      <x v="106"/>
    </i>
    <i r="1">
      <x v="267"/>
      <x v="47"/>
      <x v="127"/>
      <x v="107"/>
    </i>
    <i r="1">
      <x v="268"/>
      <x v="48"/>
      <x v="128"/>
      <x v="108"/>
    </i>
    <i>
      <x v="1"/>
      <x/>
      <x/>
      <x/>
      <x/>
    </i>
    <i r="1">
      <x v="1"/>
      <x v="1"/>
      <x v="1"/>
      <x v="1"/>
    </i>
    <i r="1">
      <x v="2"/>
      <x v="2"/>
      <x v="2"/>
      <x v="2"/>
    </i>
    <i r="1">
      <x v="3"/>
      <x v="3"/>
      <x v="3"/>
      <x v="2"/>
    </i>
    <i r="1">
      <x v="4"/>
      <x v="3"/>
      <x v="4"/>
      <x v="2"/>
    </i>
    <i r="1">
      <x v="5"/>
      <x v="3"/>
      <x v="5"/>
      <x v="2"/>
    </i>
    <i r="1">
      <x v="6"/>
      <x v="3"/>
      <x v="6"/>
      <x v="2"/>
    </i>
    <i r="1">
      <x v="7"/>
      <x v="4"/>
      <x v="7"/>
      <x v="3"/>
    </i>
    <i r="1">
      <x v="8"/>
      <x v="4"/>
      <x v="7"/>
      <x v="4"/>
    </i>
    <i r="1">
      <x v="9"/>
      <x v="4"/>
      <x v="7"/>
      <x v="5"/>
    </i>
    <i r="1">
      <x v="10"/>
      <x v="4"/>
      <x v="7"/>
      <x v="6"/>
    </i>
    <i r="1">
      <x v="11"/>
      <x v="4"/>
      <x v="7"/>
      <x v="7"/>
    </i>
    <i r="1">
      <x v="12"/>
      <x v="4"/>
      <x v="7"/>
      <x v="8"/>
    </i>
    <i r="1">
      <x v="13"/>
      <x v="4"/>
      <x v="7"/>
      <x v="9"/>
    </i>
    <i r="1">
      <x v="14"/>
      <x v="4"/>
      <x v="7"/>
      <x v="10"/>
    </i>
    <i r="1">
      <x v="15"/>
      <x v="4"/>
      <x v="7"/>
      <x v="11"/>
    </i>
    <i r="1">
      <x v="16"/>
      <x v="4"/>
      <x v="8"/>
      <x v="12"/>
    </i>
    <i r="1">
      <x v="17"/>
      <x v="4"/>
      <x v="8"/>
      <x v="4"/>
    </i>
    <i r="1">
      <x v="18"/>
      <x v="4"/>
      <x v="8"/>
      <x v="13"/>
    </i>
    <i r="1">
      <x v="19"/>
      <x v="4"/>
      <x v="8"/>
      <x v="14"/>
    </i>
    <i r="1">
      <x v="20"/>
      <x v="4"/>
      <x v="8"/>
      <x v="15"/>
    </i>
    <i r="1">
      <x v="21"/>
      <x v="4"/>
      <x v="8"/>
      <x v="9"/>
    </i>
    <i r="1">
      <x v="22"/>
      <x v="4"/>
      <x v="8"/>
      <x v="10"/>
    </i>
    <i r="1">
      <x v="23"/>
      <x v="4"/>
      <x v="8"/>
      <x v="11"/>
    </i>
    <i r="1">
      <x v="24"/>
      <x v="4"/>
      <x v="9"/>
      <x v="16"/>
    </i>
    <i r="1">
      <x v="25"/>
      <x v="4"/>
      <x v="9"/>
      <x v="17"/>
    </i>
    <i r="1">
      <x v="26"/>
      <x v="4"/>
      <x v="9"/>
      <x v="18"/>
    </i>
    <i r="1">
      <x v="27"/>
      <x v="4"/>
      <x v="9"/>
      <x v="19"/>
    </i>
    <i r="1">
      <x v="28"/>
      <x v="4"/>
      <x v="9"/>
      <x v="20"/>
    </i>
    <i r="1">
      <x v="29"/>
      <x v="4"/>
      <x v="9"/>
      <x v="21"/>
    </i>
    <i r="1">
      <x v="30"/>
      <x v="4"/>
      <x v="9"/>
      <x v="22"/>
    </i>
    <i r="1">
      <x v="31"/>
      <x v="4"/>
      <x v="10"/>
      <x v="23"/>
    </i>
    <i r="1">
      <x v="32"/>
      <x v="4"/>
      <x v="10"/>
      <x v="24"/>
    </i>
    <i r="1">
      <x v="33"/>
      <x v="4"/>
      <x v="10"/>
      <x v="25"/>
    </i>
    <i r="1">
      <x v="34"/>
      <x v="4"/>
      <x v="10"/>
      <x v="26"/>
    </i>
    <i r="1">
      <x v="35"/>
      <x v="4"/>
      <x v="10"/>
      <x v="27"/>
    </i>
    <i r="1">
      <x v="36"/>
      <x v="4"/>
      <x v="10"/>
      <x v="28"/>
    </i>
    <i r="1">
      <x v="37"/>
      <x v="4"/>
      <x v="10"/>
      <x v="29"/>
    </i>
    <i r="1">
      <x v="38"/>
      <x v="4"/>
      <x v="10"/>
      <x v="30"/>
    </i>
    <i r="1">
      <x v="39"/>
      <x v="5"/>
      <x v="11"/>
      <x v="2"/>
    </i>
    <i r="1">
      <x v="40"/>
      <x v="6"/>
      <x v="12"/>
      <x v="31"/>
    </i>
    <i r="1">
      <x v="41"/>
      <x v="6"/>
      <x v="12"/>
      <x v="32"/>
    </i>
    <i r="1">
      <x v="42"/>
      <x v="6"/>
      <x v="12"/>
      <x v="33"/>
    </i>
    <i r="1">
      <x v="43"/>
      <x v="6"/>
      <x v="12"/>
      <x v="34"/>
    </i>
    <i r="1">
      <x v="44"/>
      <x v="7"/>
      <x v="13"/>
      <x v="35"/>
    </i>
    <i r="1">
      <x v="45"/>
      <x v="8"/>
      <x v="14"/>
      <x v="35"/>
    </i>
    <i r="1">
      <x v="46"/>
      <x v="9"/>
      <x v="15"/>
      <x v="2"/>
    </i>
    <i r="1">
      <x v="47"/>
      <x v="10"/>
      <x v="16"/>
      <x v="2"/>
    </i>
    <i r="1">
      <x v="48"/>
      <x v="10"/>
      <x v="17"/>
      <x v="2"/>
    </i>
    <i r="1">
      <x v="49"/>
      <x v="10"/>
      <x v="18"/>
      <x v="2"/>
    </i>
    <i r="1">
      <x v="50"/>
      <x v="10"/>
      <x v="19"/>
      <x v="2"/>
    </i>
    <i r="1">
      <x v="51"/>
      <x v="11"/>
      <x v="20"/>
      <x v="35"/>
    </i>
    <i r="1">
      <x v="52"/>
      <x v="12"/>
      <x v="21"/>
      <x v="36"/>
    </i>
    <i r="1">
      <x v="53"/>
      <x v="13"/>
      <x v="22"/>
      <x v="2"/>
    </i>
    <i r="1">
      <x v="54"/>
      <x v="14"/>
      <x v="23"/>
      <x v="37"/>
    </i>
    <i r="1">
      <x v="55"/>
      <x v="14"/>
      <x v="24"/>
      <x v="37"/>
    </i>
    <i r="1">
      <x v="56"/>
      <x v="14"/>
      <x v="25"/>
      <x v="37"/>
    </i>
    <i r="1">
      <x v="57"/>
      <x v="14"/>
      <x v="26"/>
      <x v="37"/>
    </i>
    <i r="1">
      <x v="58"/>
      <x v="15"/>
      <x v="27"/>
      <x v="2"/>
    </i>
    <i r="1">
      <x v="59"/>
      <x v="16"/>
      <x v="28"/>
      <x v="38"/>
    </i>
    <i r="1">
      <x v="60"/>
      <x v="17"/>
      <x v="29"/>
      <x v="35"/>
    </i>
    <i r="1">
      <x v="61"/>
      <x v="17"/>
      <x v="30"/>
      <x v="35"/>
    </i>
    <i r="1">
      <x v="62"/>
      <x v="17"/>
      <x v="31"/>
      <x v="35"/>
    </i>
    <i r="1">
      <x v="63"/>
      <x v="17"/>
      <x v="32"/>
      <x v="35"/>
    </i>
    <i r="1">
      <x v="64"/>
      <x v="18"/>
      <x v="33"/>
      <x v="2"/>
    </i>
    <i r="1">
      <x v="65"/>
      <x v="18"/>
      <x v="34"/>
      <x v="2"/>
    </i>
    <i r="1">
      <x v="66"/>
      <x v="19"/>
      <x v="7"/>
      <x v="9"/>
    </i>
    <i r="1">
      <x v="67"/>
      <x v="19"/>
      <x v="7"/>
      <x v="10"/>
    </i>
    <i r="1">
      <x v="68"/>
      <x v="19"/>
      <x v="7"/>
      <x v="11"/>
    </i>
    <i r="1">
      <x v="69"/>
      <x v="19"/>
      <x v="7"/>
      <x v="4"/>
    </i>
    <i r="1">
      <x v="70"/>
      <x v="19"/>
      <x v="8"/>
      <x v="15"/>
    </i>
    <i r="1">
      <x v="71"/>
      <x v="19"/>
      <x v="8"/>
      <x v="9"/>
    </i>
    <i r="1">
      <x v="72"/>
      <x v="19"/>
      <x v="8"/>
      <x v="10"/>
    </i>
    <i r="1">
      <x v="73"/>
      <x v="19"/>
      <x v="8"/>
      <x v="11"/>
    </i>
    <i r="1">
      <x v="74"/>
      <x v="19"/>
      <x v="8"/>
      <x v="4"/>
    </i>
    <i r="1">
      <x v="75"/>
      <x v="19"/>
      <x v="9"/>
      <x v="22"/>
    </i>
    <i r="1">
      <x v="76"/>
      <x v="19"/>
      <x v="9"/>
      <x v="17"/>
    </i>
    <i r="1">
      <x v="77"/>
      <x v="19"/>
      <x v="10"/>
      <x v="29"/>
    </i>
    <i r="1">
      <x v="78"/>
      <x v="4"/>
      <x v="10"/>
      <x v="39"/>
    </i>
    <i r="1">
      <x v="79"/>
      <x v="4"/>
      <x v="10"/>
      <x v="40"/>
    </i>
    <i r="1">
      <x v="80"/>
      <x v="4"/>
      <x v="10"/>
      <x v="41"/>
    </i>
    <i r="1">
      <x v="81"/>
      <x v="19"/>
      <x v="10"/>
      <x v="30"/>
    </i>
    <i r="1">
      <x v="82"/>
      <x v="19"/>
      <x v="10"/>
      <x v="39"/>
    </i>
    <i r="1">
      <x v="83"/>
      <x v="19"/>
      <x v="10"/>
      <x v="40"/>
    </i>
    <i r="1">
      <x v="84"/>
      <x v="19"/>
      <x v="10"/>
      <x v="41"/>
    </i>
    <i r="1">
      <x v="85"/>
      <x v="20"/>
      <x v="35"/>
      <x v="2"/>
    </i>
    <i r="1">
      <x v="86"/>
      <x v="21"/>
      <x v="36"/>
      <x v="35"/>
    </i>
    <i r="1">
      <x v="87"/>
      <x v="22"/>
      <x v="37"/>
      <x v="35"/>
    </i>
    <i r="1">
      <x v="88"/>
      <x v="23"/>
      <x v="38"/>
      <x v="2"/>
    </i>
    <i r="1">
      <x v="89"/>
      <x v="23"/>
      <x v="39"/>
      <x v="2"/>
    </i>
    <i r="1">
      <x v="90"/>
      <x v="24"/>
      <x v="40"/>
      <x v="2"/>
    </i>
    <i r="1">
      <x v="91"/>
      <x v="25"/>
      <x v="41"/>
      <x v="2"/>
    </i>
    <i r="1">
      <x v="92"/>
      <x v="25"/>
      <x v="42"/>
      <x v="2"/>
    </i>
    <i r="1">
      <x v="93"/>
      <x v="25"/>
      <x v="43"/>
      <x v="2"/>
    </i>
    <i r="1">
      <x v="94"/>
      <x v="26"/>
      <x v="44"/>
      <x v="2"/>
    </i>
    <i r="1">
      <x v="95"/>
      <x v="27"/>
      <x v="45"/>
      <x v="35"/>
    </i>
    <i r="1">
      <x v="96"/>
      <x v="28"/>
      <x v="46"/>
      <x v="35"/>
    </i>
    <i r="1">
      <x v="97"/>
      <x v="29"/>
      <x v="47"/>
      <x v="2"/>
    </i>
    <i r="1">
      <x v="98"/>
      <x v="30"/>
      <x v="48"/>
      <x v="2"/>
    </i>
    <i r="1">
      <x v="99"/>
      <x v="31"/>
      <x v="49"/>
      <x v="42"/>
    </i>
    <i r="1">
      <x v="100"/>
      <x v="31"/>
      <x v="49"/>
      <x v="33"/>
    </i>
    <i r="1">
      <x v="101"/>
      <x v="31"/>
      <x v="50"/>
      <x v="42"/>
    </i>
    <i r="1">
      <x v="102"/>
      <x v="31"/>
      <x v="50"/>
      <x v="33"/>
    </i>
    <i r="1">
      <x v="103"/>
      <x v="31"/>
      <x v="51"/>
      <x v="42"/>
    </i>
    <i r="1">
      <x v="104"/>
      <x v="31"/>
      <x v="51"/>
      <x v="33"/>
    </i>
    <i r="1">
      <x v="105"/>
      <x v="32"/>
      <x v="52"/>
      <x v="43"/>
    </i>
    <i r="1">
      <x v="106"/>
      <x v="32"/>
      <x v="52"/>
      <x v="44"/>
    </i>
    <i r="1">
      <x v="107"/>
      <x v="32"/>
      <x v="52"/>
      <x v="45"/>
    </i>
    <i r="1">
      <x v="108"/>
      <x v="32"/>
      <x v="52"/>
      <x v="46"/>
    </i>
    <i r="1">
      <x v="109"/>
      <x v="32"/>
      <x v="52"/>
      <x v="47"/>
    </i>
    <i r="1">
      <x v="110"/>
      <x v="32"/>
      <x v="52"/>
      <x v="48"/>
    </i>
    <i r="1">
      <x v="111"/>
      <x v="32"/>
      <x v="52"/>
      <x v="49"/>
    </i>
    <i r="1">
      <x v="112"/>
      <x v="32"/>
      <x v="52"/>
      <x v="50"/>
    </i>
    <i r="1">
      <x v="113"/>
      <x v="33"/>
      <x v="53"/>
      <x v="35"/>
    </i>
    <i r="1">
      <x v="114"/>
      <x v="33"/>
      <x v="54"/>
      <x v="35"/>
    </i>
    <i r="1">
      <x v="115"/>
      <x v="33"/>
      <x v="55"/>
      <x v="35"/>
    </i>
    <i r="1">
      <x v="116"/>
      <x v="33"/>
      <x v="56"/>
      <x v="35"/>
    </i>
    <i r="1">
      <x v="117"/>
      <x v="33"/>
      <x v="57"/>
      <x v="35"/>
    </i>
    <i r="1">
      <x v="118"/>
      <x v="33"/>
      <x v="58"/>
      <x v="35"/>
    </i>
    <i r="1">
      <x v="119"/>
      <x v="34"/>
      <x v="59"/>
      <x v="51"/>
    </i>
    <i r="1">
      <x v="120"/>
      <x v="35"/>
      <x v="60"/>
      <x v="35"/>
    </i>
    <i r="1">
      <x v="121"/>
      <x v="36"/>
      <x v="61"/>
      <x v="35"/>
    </i>
    <i r="1">
      <x v="122"/>
      <x v="37"/>
      <x v="62"/>
      <x v="52"/>
    </i>
    <i r="1">
      <x v="123"/>
      <x v="37"/>
      <x v="62"/>
      <x v="53"/>
    </i>
    <i r="1">
      <x v="124"/>
      <x v="37"/>
      <x v="62"/>
      <x v="54"/>
    </i>
    <i r="1">
      <x v="125"/>
      <x v="37"/>
      <x v="62"/>
      <x v="55"/>
    </i>
    <i r="1">
      <x v="126"/>
      <x v="38"/>
      <x v="63"/>
      <x v="56"/>
    </i>
    <i r="1">
      <x v="127"/>
      <x v="38"/>
      <x v="63"/>
      <x v="57"/>
    </i>
    <i r="1">
      <x v="128"/>
      <x v="38"/>
      <x v="63"/>
      <x v="58"/>
    </i>
    <i r="1">
      <x v="129"/>
      <x v="38"/>
      <x v="63"/>
      <x v="59"/>
    </i>
    <i r="1">
      <x v="130"/>
      <x v="38"/>
      <x v="63"/>
      <x v="60"/>
    </i>
    <i r="1">
      <x v="131"/>
      <x v="39"/>
      <x v="64"/>
      <x v="61"/>
    </i>
    <i r="1">
      <x v="132"/>
      <x v="39"/>
      <x v="65"/>
      <x v="61"/>
    </i>
    <i r="1">
      <x v="133"/>
      <x v="39"/>
      <x v="66"/>
      <x v="61"/>
    </i>
    <i r="1">
      <x v="134"/>
      <x v="39"/>
      <x v="67"/>
      <x v="61"/>
    </i>
    <i r="1">
      <x v="135"/>
      <x v="39"/>
      <x v="68"/>
      <x v="62"/>
    </i>
    <i r="1">
      <x v="136"/>
      <x v="39"/>
      <x v="68"/>
      <x v="63"/>
    </i>
    <i r="1">
      <x v="137"/>
      <x v="39"/>
      <x v="68"/>
      <x v="64"/>
    </i>
    <i r="1">
      <x v="138"/>
      <x v="39"/>
      <x v="69"/>
      <x v="65"/>
    </i>
    <i r="1">
      <x v="139"/>
      <x v="39"/>
      <x v="69"/>
      <x v="66"/>
    </i>
    <i r="1">
      <x v="140"/>
      <x v="39"/>
      <x v="69"/>
      <x v="67"/>
    </i>
    <i r="1">
      <x v="141"/>
      <x v="39"/>
      <x v="70"/>
      <x v="68"/>
    </i>
    <i r="1">
      <x v="142"/>
      <x v="39"/>
      <x v="70"/>
      <x v="69"/>
    </i>
    <i r="1">
      <x v="143"/>
      <x v="39"/>
      <x v="71"/>
      <x v="70"/>
    </i>
    <i r="1">
      <x v="144"/>
      <x v="39"/>
      <x v="71"/>
      <x v="71"/>
    </i>
    <i r="1">
      <x v="145"/>
      <x v="39"/>
      <x v="71"/>
      <x v="72"/>
    </i>
    <i r="1">
      <x v="146"/>
      <x v="39"/>
      <x v="72"/>
      <x v="61"/>
    </i>
    <i r="1">
      <x v="147"/>
      <x v="39"/>
      <x v="73"/>
      <x v="61"/>
    </i>
    <i r="1">
      <x v="148"/>
      <x v="39"/>
      <x v="74"/>
      <x v="61"/>
    </i>
    <i r="1">
      <x v="149"/>
      <x v="40"/>
      <x v="75"/>
      <x v="62"/>
    </i>
    <i r="1">
      <x v="150"/>
      <x v="40"/>
      <x v="75"/>
      <x v="63"/>
    </i>
    <i r="1">
      <x v="151"/>
      <x v="40"/>
      <x v="75"/>
      <x v="64"/>
    </i>
    <i r="1">
      <x v="152"/>
      <x v="40"/>
      <x v="76"/>
      <x v="65"/>
    </i>
    <i r="1">
      <x v="153"/>
      <x v="40"/>
      <x v="76"/>
      <x v="66"/>
    </i>
    <i r="1">
      <x v="154"/>
      <x v="40"/>
      <x v="76"/>
      <x v="67"/>
    </i>
    <i r="1">
      <x v="155"/>
      <x v="40"/>
      <x v="77"/>
      <x v="68"/>
    </i>
    <i r="1">
      <x v="156"/>
      <x v="40"/>
      <x v="78"/>
      <x v="70"/>
    </i>
    <i r="1">
      <x v="157"/>
      <x v="40"/>
      <x v="78"/>
      <x v="71"/>
    </i>
    <i r="1">
      <x v="158"/>
      <x v="40"/>
      <x v="78"/>
      <x v="72"/>
    </i>
    <i r="1">
      <x v="159"/>
      <x v="41"/>
      <x v="79"/>
      <x v="35"/>
    </i>
    <i r="1">
      <x v="160"/>
      <x v="41"/>
      <x v="80"/>
      <x v="35"/>
    </i>
    <i r="1">
      <x v="161"/>
      <x v="41"/>
      <x v="81"/>
      <x v="35"/>
    </i>
    <i r="1">
      <x v="162"/>
      <x v="42"/>
      <x v="82"/>
      <x v="73"/>
    </i>
    <i r="1">
      <x v="163"/>
      <x v="42"/>
      <x v="82"/>
      <x v="74"/>
    </i>
    <i r="1">
      <x v="164"/>
      <x v="42"/>
      <x v="82"/>
      <x v="75"/>
    </i>
    <i r="1">
      <x v="165"/>
      <x v="42"/>
      <x v="82"/>
      <x v="76"/>
    </i>
    <i r="1">
      <x v="166"/>
      <x v="42"/>
      <x v="82"/>
      <x v="77"/>
    </i>
    <i r="1">
      <x v="167"/>
      <x v="42"/>
      <x v="82"/>
      <x v="78"/>
    </i>
    <i r="1">
      <x v="168"/>
      <x v="43"/>
      <x v="83"/>
      <x v="35"/>
    </i>
    <i r="1">
      <x v="169"/>
      <x v="43"/>
      <x v="83"/>
      <x v="79"/>
    </i>
    <i r="1">
      <x v="170"/>
      <x v="43"/>
      <x v="83"/>
      <x v="80"/>
    </i>
    <i r="1">
      <x v="171"/>
      <x v="43"/>
      <x v="83"/>
      <x v="81"/>
    </i>
    <i r="1">
      <x v="172"/>
      <x v="43"/>
      <x v="83"/>
      <x v="82"/>
    </i>
    <i r="1">
      <x v="173"/>
      <x v="43"/>
      <x v="84"/>
      <x v="35"/>
    </i>
    <i r="1">
      <x v="174"/>
      <x v="43"/>
      <x v="84"/>
      <x v="79"/>
    </i>
    <i r="1">
      <x v="175"/>
      <x v="43"/>
      <x v="84"/>
      <x v="80"/>
    </i>
    <i r="1">
      <x v="176"/>
      <x v="43"/>
      <x v="84"/>
      <x v="81"/>
    </i>
    <i r="1">
      <x v="177"/>
      <x v="43"/>
      <x v="84"/>
      <x v="82"/>
    </i>
    <i r="1">
      <x v="178"/>
      <x v="43"/>
      <x v="85"/>
      <x v="35"/>
    </i>
    <i r="1">
      <x v="179"/>
      <x v="43"/>
      <x v="85"/>
      <x v="79"/>
    </i>
    <i r="1">
      <x v="180"/>
      <x v="43"/>
      <x v="85"/>
      <x v="80"/>
    </i>
    <i r="1">
      <x v="181"/>
      <x v="43"/>
      <x v="85"/>
      <x v="81"/>
    </i>
    <i r="1">
      <x v="182"/>
      <x v="43"/>
      <x v="85"/>
      <x v="82"/>
    </i>
    <i r="1">
      <x v="183"/>
      <x v="43"/>
      <x v="86"/>
      <x v="35"/>
    </i>
    <i r="1">
      <x v="184"/>
      <x v="43"/>
      <x v="86"/>
      <x v="79"/>
    </i>
    <i r="1">
      <x v="185"/>
      <x v="43"/>
      <x v="86"/>
      <x v="80"/>
    </i>
    <i r="1">
      <x v="186"/>
      <x v="43"/>
      <x v="86"/>
      <x v="81"/>
    </i>
    <i r="1">
      <x v="187"/>
      <x v="43"/>
      <x v="86"/>
      <x v="82"/>
    </i>
    <i r="1">
      <x v="188"/>
      <x v="44"/>
      <x v="87"/>
      <x v="83"/>
    </i>
    <i r="1">
      <x v="189"/>
      <x v="44"/>
      <x v="64"/>
      <x v="61"/>
    </i>
    <i r="1">
      <x v="190"/>
      <x v="44"/>
      <x v="88"/>
      <x v="83"/>
    </i>
    <i r="1">
      <x v="191"/>
      <x v="44"/>
      <x v="89"/>
      <x v="84"/>
    </i>
    <i r="1">
      <x v="192"/>
      <x v="44"/>
      <x v="90"/>
      <x v="84"/>
    </i>
    <i r="1">
      <x v="193"/>
      <x v="44"/>
      <x v="91"/>
      <x v="84"/>
    </i>
    <i r="1">
      <x v="194"/>
      <x v="44"/>
      <x v="92"/>
      <x v="84"/>
    </i>
    <i r="1">
      <x v="195"/>
      <x v="44"/>
      <x v="93"/>
      <x v="84"/>
    </i>
    <i r="1">
      <x v="196"/>
      <x v="44"/>
      <x v="94"/>
      <x v="84"/>
    </i>
    <i r="1">
      <x v="197"/>
      <x v="44"/>
      <x v="95"/>
      <x v="84"/>
    </i>
    <i r="1">
      <x v="198"/>
      <x v="44"/>
      <x v="96"/>
      <x v="84"/>
    </i>
    <i r="1">
      <x v="199"/>
      <x v="44"/>
      <x v="97"/>
      <x v="84"/>
    </i>
    <i r="1">
      <x v="200"/>
      <x v="44"/>
      <x v="65"/>
      <x v="61"/>
    </i>
    <i r="1">
      <x v="201"/>
      <x v="44"/>
      <x v="67"/>
      <x v="61"/>
    </i>
    <i r="1">
      <x v="202"/>
      <x v="44"/>
      <x v="98"/>
      <x v="84"/>
    </i>
    <i r="1">
      <x v="203"/>
      <x v="44"/>
      <x v="68"/>
      <x v="85"/>
    </i>
    <i r="1">
      <x v="204"/>
      <x v="44"/>
      <x v="68"/>
      <x v="15"/>
    </i>
    <i r="1">
      <x v="205"/>
      <x v="44"/>
      <x v="99"/>
      <x v="84"/>
    </i>
    <i r="1">
      <x v="206"/>
      <x v="44"/>
      <x v="100"/>
      <x v="84"/>
    </i>
    <i r="1">
      <x v="207"/>
      <x v="44"/>
      <x v="101"/>
      <x v="84"/>
    </i>
    <i r="1">
      <x v="208"/>
      <x v="44"/>
      <x v="102"/>
      <x v="84"/>
    </i>
    <i r="1">
      <x v="209"/>
      <x v="44"/>
      <x v="103"/>
      <x v="84"/>
    </i>
    <i r="1">
      <x v="210"/>
      <x v="44"/>
      <x v="104"/>
      <x v="84"/>
    </i>
    <i r="1">
      <x v="211"/>
      <x v="44"/>
      <x v="105"/>
      <x v="84"/>
    </i>
    <i r="1">
      <x v="212"/>
      <x v="44"/>
      <x v="69"/>
      <x v="15"/>
    </i>
    <i r="1">
      <x v="213"/>
      <x v="44"/>
      <x v="69"/>
      <x v="9"/>
    </i>
    <i r="1">
      <x v="214"/>
      <x v="44"/>
      <x v="70"/>
      <x v="86"/>
    </i>
    <i r="1">
      <x v="215"/>
      <x v="44"/>
      <x v="70"/>
      <x v="87"/>
    </i>
    <i r="1">
      <x v="216"/>
      <x v="44"/>
      <x v="70"/>
      <x v="88"/>
    </i>
    <i r="1">
      <x v="217"/>
      <x v="44"/>
      <x v="71"/>
      <x v="89"/>
    </i>
    <i r="1">
      <x v="218"/>
      <x v="44"/>
      <x v="71"/>
      <x v="29"/>
    </i>
    <i r="1">
      <x v="219"/>
      <x v="44"/>
      <x v="71"/>
      <x v="90"/>
    </i>
    <i r="1">
      <x v="220"/>
      <x v="44"/>
      <x v="72"/>
      <x v="61"/>
    </i>
    <i r="1">
      <x v="221"/>
      <x v="44"/>
      <x v="73"/>
      <x v="61"/>
    </i>
    <i r="1">
      <x v="222"/>
      <x v="44"/>
      <x v="74"/>
      <x v="61"/>
    </i>
    <i r="1">
      <x v="223"/>
      <x v="44"/>
      <x v="106"/>
      <x v="83"/>
    </i>
    <i r="1">
      <x v="224"/>
      <x v="44"/>
      <x v="107"/>
      <x v="83"/>
    </i>
    <i r="1">
      <x v="225"/>
      <x v="45"/>
      <x v="108"/>
      <x v="37"/>
    </i>
    <i r="1">
      <x v="226"/>
      <x v="45"/>
      <x v="109"/>
      <x v="37"/>
    </i>
    <i r="1">
      <x v="227"/>
      <x v="45"/>
      <x v="110"/>
      <x v="37"/>
    </i>
    <i r="1">
      <x v="269"/>
      <x v="45"/>
      <x v="129"/>
      <x v="37"/>
    </i>
    <i r="1">
      <x v="228"/>
      <x v="45"/>
      <x v="82"/>
      <x v="37"/>
    </i>
    <i r="1">
      <x v="229"/>
      <x v="45"/>
      <x v="111"/>
      <x v="37"/>
    </i>
    <i r="1">
      <x v="230"/>
      <x v="45"/>
      <x v="24"/>
      <x v="37"/>
    </i>
    <i r="1">
      <x v="231"/>
      <x v="46"/>
      <x v="112"/>
      <x v="32"/>
    </i>
    <i r="1">
      <x v="232"/>
      <x v="46"/>
      <x v="112"/>
      <x v="91"/>
    </i>
    <i r="1">
      <x v="233"/>
      <x v="46"/>
      <x v="113"/>
      <x v="92"/>
    </i>
    <i r="1">
      <x v="234"/>
      <x v="46"/>
      <x v="113"/>
      <x v="93"/>
    </i>
    <i r="1">
      <x v="235"/>
      <x v="46"/>
      <x v="113"/>
      <x v="94"/>
    </i>
    <i r="1">
      <x v="236"/>
      <x v="46"/>
      <x v="114"/>
      <x v="32"/>
    </i>
    <i r="1">
      <x v="237"/>
      <x v="46"/>
      <x v="114"/>
      <x v="93"/>
    </i>
    <i r="1">
      <x v="238"/>
      <x v="46"/>
      <x v="115"/>
      <x v="32"/>
    </i>
    <i r="1">
      <x v="239"/>
      <x v="46"/>
      <x v="115"/>
      <x v="93"/>
    </i>
    <i r="1">
      <x v="240"/>
      <x v="46"/>
      <x v="116"/>
      <x v="42"/>
    </i>
    <i r="1">
      <x v="241"/>
      <x v="46"/>
      <x v="116"/>
      <x v="95"/>
    </i>
    <i r="1">
      <x v="242"/>
      <x v="46"/>
      <x v="116"/>
      <x v="96"/>
    </i>
    <i r="1">
      <x v="243"/>
      <x v="46"/>
      <x v="116"/>
      <x v="97"/>
    </i>
    <i r="1">
      <x v="244"/>
      <x v="46"/>
      <x v="117"/>
      <x v="98"/>
    </i>
    <i r="1">
      <x v="245"/>
      <x v="46"/>
      <x v="118"/>
      <x v="99"/>
    </i>
    <i r="1">
      <x v="246"/>
      <x v="46"/>
      <x v="118"/>
      <x v="100"/>
    </i>
    <i r="1">
      <x v="247"/>
      <x v="46"/>
      <x v="118"/>
      <x v="101"/>
    </i>
    <i r="1">
      <x v="248"/>
      <x v="46"/>
      <x v="119"/>
      <x v="32"/>
    </i>
    <i r="1">
      <x v="249"/>
      <x v="46"/>
      <x v="119"/>
      <x v="91"/>
    </i>
    <i r="1">
      <x v="250"/>
      <x v="46"/>
      <x v="119"/>
      <x v="102"/>
    </i>
    <i r="1">
      <x v="251"/>
      <x v="46"/>
      <x v="120"/>
      <x v="32"/>
    </i>
    <i r="1">
      <x v="252"/>
      <x v="46"/>
      <x v="120"/>
      <x v="93"/>
    </i>
    <i r="1">
      <x v="253"/>
      <x v="46"/>
      <x v="121"/>
      <x v="103"/>
    </i>
    <i r="1">
      <x v="254"/>
      <x v="46"/>
      <x v="121"/>
      <x v="104"/>
    </i>
    <i r="1">
      <x v="255"/>
      <x v="46"/>
      <x v="122"/>
      <x v="92"/>
    </i>
    <i r="1">
      <x v="256"/>
      <x v="46"/>
      <x v="122"/>
      <x v="93"/>
    </i>
    <i r="1">
      <x v="257"/>
      <x v="46"/>
      <x v="122"/>
      <x v="105"/>
    </i>
    <i r="1">
      <x v="258"/>
      <x v="46"/>
      <x v="123"/>
      <x v="32"/>
    </i>
    <i r="1">
      <x v="259"/>
      <x v="46"/>
      <x v="123"/>
      <x v="91"/>
    </i>
    <i r="1">
      <x v="260"/>
      <x v="47"/>
      <x v="124"/>
      <x v="106"/>
    </i>
    <i r="1">
      <x v="261"/>
      <x v="47"/>
      <x v="124"/>
      <x v="107"/>
    </i>
    <i r="1">
      <x v="262"/>
      <x v="47"/>
      <x v="125"/>
      <x v="106"/>
    </i>
    <i r="1">
      <x v="263"/>
      <x v="47"/>
      <x v="125"/>
      <x v="107"/>
    </i>
    <i r="1">
      <x v="264"/>
      <x v="47"/>
      <x v="126"/>
      <x v="106"/>
    </i>
    <i r="1">
      <x v="265"/>
      <x v="47"/>
      <x v="126"/>
      <x v="107"/>
    </i>
    <i r="1">
      <x v="266"/>
      <x v="47"/>
      <x v="127"/>
      <x v="106"/>
    </i>
    <i r="1">
      <x v="267"/>
      <x v="47"/>
      <x v="127"/>
      <x v="107"/>
    </i>
    <i r="1">
      <x v="268"/>
      <x v="48"/>
      <x v="128"/>
      <x v="108"/>
    </i>
  </rowItems>
  <colFields count="1">
    <field x="-2"/>
  </colFields>
  <colItems count="4">
    <i>
      <x/>
    </i>
    <i i="1">
      <x v="1"/>
    </i>
    <i i="2">
      <x v="2"/>
    </i>
    <i i="3">
      <x v="3"/>
    </i>
  </colItems>
  <pageFields count="2">
    <pageField fld="4" hier="3" name="[Ace Model Version].[Is Current].&amp;[Yes]" cap="Yes"/>
    <pageField fld="5" hier="55" name="[Snapshot].[Snapshot Name].&amp;[Current Data]" cap="Current Data"/>
  </pageFields>
  <dataFields count="4">
    <dataField fld="0" baseField="0" baseItem="0"/>
    <dataField fld="1" baseField="0" baseItem="0"/>
    <dataField fld="2" baseField="0" baseItem="0"/>
    <dataField fld="10" baseField="0" baseItem="0"/>
  </dataFields>
  <pivotHierarchies count="44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5">
    <rowHierarchyUsage hierarchyUsage="14"/>
    <rowHierarchyUsage hierarchyUsage="45"/>
    <rowHierarchyUsage hierarchyUsage="39"/>
    <rowHierarchyUsage hierarchyUsage="47"/>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19.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8" Type="http://schemas.openxmlformats.org/officeDocument/2006/relationships/hyperlink" Target="https://www.energystar.gov/sites/default/files/Clothes%20Washers%20ENERGY%20STAR%20Most%20Efficient%202017%20Criteria.pdf" TargetMode="External"/><Relationship Id="rId13" Type="http://schemas.openxmlformats.org/officeDocument/2006/relationships/hyperlink" Target="https://library.cee1.org/system/files/library/13445/CEE_ResidentialClothesWasherSpecification_05Feb2018.pdf" TargetMode="External"/><Relationship Id="rId18" Type="http://schemas.openxmlformats.org/officeDocument/2006/relationships/comments" Target="../comments14.xml"/><Relationship Id="rId3" Type="http://schemas.openxmlformats.org/officeDocument/2006/relationships/hyperlink" Target="https://www.energystar.gov/sites/default/files/Clothes%20Washers%20ENERGY%20STAR%20Most%20Efficient%202017%20Criteria.pdf" TargetMode="External"/><Relationship Id="rId7" Type="http://schemas.openxmlformats.org/officeDocument/2006/relationships/hyperlink" Target="https://www.energystar.gov/products/spec/clothes_washers_specification_version_7_0_pd" TargetMode="External"/><Relationship Id="rId12" Type="http://schemas.openxmlformats.org/officeDocument/2006/relationships/hyperlink" Target="https://www.energystar.gov/sites/default/files/Clothes%20Washers%20ENERGY%20STAR%20Most%20Efficient%202018%20Final%20Criteria.pdf" TargetMode="External"/><Relationship Id="rId17" Type="http://schemas.openxmlformats.org/officeDocument/2006/relationships/vmlDrawing" Target="../drawings/vmlDrawing14.vml"/><Relationship Id="rId2" Type="http://schemas.openxmlformats.org/officeDocument/2006/relationships/hyperlink" Target="https://www.energystar.gov/products/clothes_washer_specification_version_8_0" TargetMode="External"/><Relationship Id="rId16" Type="http://schemas.openxmlformats.org/officeDocument/2006/relationships/printerSettings" Target="../printerSettings/printerSettings24.bin"/><Relationship Id="rId1" Type="http://schemas.openxmlformats.org/officeDocument/2006/relationships/hyperlink" Target="https://www.energystar.gov/products/spec/clothes_washers_specification_version_7_0_pd" TargetMode="External"/><Relationship Id="rId6" Type="http://schemas.openxmlformats.org/officeDocument/2006/relationships/hyperlink" Target="https://www.energystar.gov/sites/default/files/Clothes%20Washers%20ENERGY%20STAR%20Most%20Efficient%202018%20Final%20Criteria.pdf" TargetMode="External"/><Relationship Id="rId11" Type="http://schemas.openxmlformats.org/officeDocument/2006/relationships/hyperlink" Target="https://www.energystar.gov/sites/default/files/Clothes%20Washers%20ENERGY%20STAR%20Most%20Efficient%202018%20Final%20Criteria.pdf" TargetMode="External"/><Relationship Id="rId5" Type="http://schemas.openxmlformats.org/officeDocument/2006/relationships/hyperlink" Target="https://www.energystar.gov/sites/default/files/Clothes%20Washers%20ENERGY%20STAR%20Most%20Efficient%202018%20Final%20Criteria.pdf" TargetMode="External"/><Relationship Id="rId15" Type="http://schemas.openxmlformats.org/officeDocument/2006/relationships/hyperlink" Target="https://library.cee1.org/system/files/library/13445/CEE_ResidentialClothesWasherSpecification_05Feb2018.pdf" TargetMode="External"/><Relationship Id="rId10" Type="http://schemas.openxmlformats.org/officeDocument/2006/relationships/hyperlink" Target="https://www.energystar.gov/products/clothes_washer_specification_version_8_0" TargetMode="External"/><Relationship Id="rId4" Type="http://schemas.openxmlformats.org/officeDocument/2006/relationships/hyperlink" Target="https://www.energystar.gov/sites/default/files/Clothes%20Washers%20ENERGY%20STAR%20Most%20Efficient%202017%20Criteria.pdf" TargetMode="External"/><Relationship Id="rId9" Type="http://schemas.openxmlformats.org/officeDocument/2006/relationships/hyperlink" Target="https://www.energystar.gov/sites/default/files/Clothes%20Washers%20ENERGY%20STAR%20Most%20Efficient%202017%20Criteria.pdf" TargetMode="External"/><Relationship Id="rId14" Type="http://schemas.openxmlformats.org/officeDocument/2006/relationships/hyperlink" Target="https://library.cee1.org/system/files/library/13445/CEE_ResidentialClothesWasherSpecification_05Feb2018.pdf"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xml"/><Relationship Id="rId1" Type="http://schemas.openxmlformats.org/officeDocument/2006/relationships/printerSettings" Target="../printerSettings/printerSettings26.bin"/><Relationship Id="rId4"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4.xml"/><Relationship Id="rId1" Type="http://schemas.openxmlformats.org/officeDocument/2006/relationships/printerSettings" Target="../printerSettings/printerSettings27.bin"/><Relationship Id="rId4"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rtf.nwcouncil.org/measures/ag/archive/AgGreenMotorRewind_v2_0.xlsm" TargetMode="External"/><Relationship Id="rId1" Type="http://schemas.openxmlformats.org/officeDocument/2006/relationships/hyperlink" Target="http://rtf.nwcouncil.org/measures/ag/archive/AgGreenMotorRewind_v2_0.xlsm" TargetMode="External"/><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5.xml"/><Relationship Id="rId1" Type="http://schemas.openxmlformats.org/officeDocument/2006/relationships/printerSettings" Target="../printerSettings/printerSettings34.bin"/><Relationship Id="rId4"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hyperlink" Target="https://nwcouncil.app.box.com/v/ComSecGlazingSys-v1-1"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nwcouncil.app.box.com/v/ComIndAgPumpsv1-1"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nwcouncil.app.box.com/v/MHReplaceSavingCostCalcV1-1"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83CA"/>
  </sheetPr>
  <dimension ref="A1:C10"/>
  <sheetViews>
    <sheetView showGridLines="0" workbookViewId="0">
      <selection activeCell="A21" sqref="A21"/>
    </sheetView>
  </sheetViews>
  <sheetFormatPr defaultColWidth="9.109375" defaultRowHeight="13.2"/>
  <cols>
    <col min="1" max="1" width="140.33203125" style="2459" customWidth="1"/>
    <col min="2" max="16384" width="9.109375" style="2459"/>
  </cols>
  <sheetData>
    <row r="1" spans="1:3" ht="130.5" customHeight="1">
      <c r="A1" s="2458" t="str">
        <f ca="1">"©"&amp;YEAR(TODAY())&amp;A7</f>
        <v>©2019 Copyright Northwest Energy Efficiency Alliance, Inc. All Rights Reserved. A limited license to use the report contained herein is hereby granted to the End User, subject to the following terms and conditions: Reproduction, incorporation in any derivative work, or distribution of all or any part of this data is prohibited without express written permission of the Northwest Energy Efficiency Alliance (NEEA) and acknowledgement of copyright ownership of NEEA. End User must ensure that credit is attributed to NEEA in any work derived, in whole or in part, from the data contained herein.</v>
      </c>
    </row>
    <row r="7" spans="1:3" ht="14.25" customHeight="1">
      <c r="A7" s="2460" t="s">
        <v>2325</v>
      </c>
    </row>
    <row r="10" spans="1:3" ht="15">
      <c r="C10" s="246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tint="-0.499984740745262"/>
  </sheetPr>
  <dimension ref="A1:XFD38"/>
  <sheetViews>
    <sheetView showGridLines="0" workbookViewId="0">
      <selection activeCell="A15" sqref="A15:Q15"/>
    </sheetView>
  </sheetViews>
  <sheetFormatPr defaultColWidth="8.6640625" defaultRowHeight="13.8"/>
  <cols>
    <col min="1" max="1" width="21.33203125" style="458" customWidth="1"/>
    <col min="2" max="16384" width="8.6640625" style="458"/>
  </cols>
  <sheetData>
    <row r="1" spans="1:19" ht="14.4">
      <c r="A1" s="2523" t="s">
        <v>2358</v>
      </c>
    </row>
    <row r="2" spans="1:19">
      <c r="A2" s="2794" t="s">
        <v>2468</v>
      </c>
      <c r="B2" s="2794"/>
      <c r="C2" s="2794"/>
      <c r="D2" s="2794"/>
      <c r="E2" s="2794"/>
      <c r="F2" s="2794"/>
      <c r="G2" s="2794"/>
      <c r="H2" s="2794"/>
      <c r="I2" s="2794"/>
      <c r="J2" s="2794"/>
      <c r="K2" s="2794"/>
      <c r="L2" s="2794"/>
      <c r="M2" s="2794"/>
      <c r="N2" s="2794"/>
      <c r="O2" s="2794"/>
      <c r="P2" s="2794"/>
      <c r="Q2" s="2794"/>
    </row>
    <row r="3" spans="1:19">
      <c r="A3" s="2600" t="s">
        <v>2469</v>
      </c>
      <c r="B3" s="1632"/>
      <c r="C3" s="1632"/>
      <c r="D3" s="1632"/>
      <c r="E3" s="1632"/>
      <c r="F3" s="1632"/>
      <c r="G3" s="1632"/>
      <c r="H3" s="1632"/>
      <c r="I3" s="1632"/>
      <c r="J3" s="1632"/>
      <c r="K3" s="1632"/>
      <c r="L3" s="1632"/>
      <c r="M3" s="1632"/>
      <c r="N3" s="1632"/>
      <c r="O3" s="1632"/>
      <c r="P3" s="1632"/>
      <c r="Q3" s="1632"/>
    </row>
    <row r="4" spans="1:19">
      <c r="A4" s="2601" t="s">
        <v>2463</v>
      </c>
      <c r="B4" s="1632"/>
      <c r="C4" s="1632"/>
      <c r="D4" s="1632"/>
      <c r="E4" s="1632"/>
      <c r="F4" s="1632"/>
      <c r="G4" s="1632"/>
      <c r="H4" s="1632"/>
      <c r="I4" s="1632"/>
      <c r="J4" s="1632"/>
      <c r="K4" s="1632"/>
      <c r="L4" s="1632"/>
      <c r="M4" s="1632"/>
      <c r="N4" s="1632"/>
      <c r="O4" s="1632"/>
      <c r="P4" s="1632"/>
      <c r="Q4" s="1632"/>
    </row>
    <row r="5" spans="1:19">
      <c r="A5" s="2602">
        <v>43922</v>
      </c>
      <c r="B5" s="1632"/>
      <c r="C5" s="1632"/>
      <c r="D5" s="1632"/>
      <c r="E5" s="1632"/>
      <c r="F5" s="1632"/>
      <c r="G5" s="1632"/>
      <c r="H5" s="1632"/>
      <c r="I5" s="1632"/>
      <c r="J5" s="1632"/>
      <c r="K5" s="1632"/>
      <c r="L5" s="1632"/>
      <c r="M5" s="1632"/>
      <c r="N5" s="1632"/>
      <c r="O5" s="1632"/>
      <c r="P5" s="1632"/>
      <c r="Q5" s="1632"/>
    </row>
    <row r="6" spans="1:19">
      <c r="A6" s="2601" t="s">
        <v>2464</v>
      </c>
      <c r="B6" s="1632"/>
      <c r="C6" s="1632"/>
      <c r="D6" s="1632"/>
      <c r="E6" s="1632"/>
      <c r="F6" s="1632"/>
      <c r="G6" s="1632"/>
      <c r="H6" s="1632"/>
      <c r="I6" s="1632"/>
      <c r="J6" s="1632"/>
      <c r="K6" s="1632"/>
      <c r="L6" s="1632"/>
      <c r="M6" s="1632"/>
      <c r="N6" s="1632"/>
      <c r="O6" s="1632"/>
      <c r="P6" s="1632"/>
      <c r="Q6" s="1632"/>
    </row>
    <row r="7" spans="1:19">
      <c r="A7" s="2602">
        <v>44287</v>
      </c>
      <c r="B7" s="1632"/>
      <c r="C7" s="1632"/>
      <c r="D7" s="1632"/>
      <c r="E7" s="1632"/>
      <c r="F7" s="1632"/>
      <c r="G7" s="1632"/>
      <c r="H7" s="1632"/>
      <c r="I7" s="1632"/>
      <c r="J7" s="1632"/>
      <c r="K7" s="1632"/>
      <c r="L7" s="1632"/>
      <c r="M7" s="1632"/>
      <c r="N7" s="1632"/>
      <c r="O7" s="1632"/>
      <c r="P7" s="1632"/>
      <c r="Q7" s="1632"/>
    </row>
    <row r="8" spans="1:19">
      <c r="A8" s="2601" t="s">
        <v>2465</v>
      </c>
      <c r="B8" s="1632"/>
      <c r="C8" s="1632"/>
      <c r="D8" s="1632"/>
      <c r="E8" s="1632"/>
      <c r="F8" s="1632"/>
      <c r="G8" s="1632"/>
      <c r="H8" s="1632"/>
      <c r="I8" s="1632"/>
      <c r="J8" s="1632"/>
      <c r="K8" s="1632"/>
      <c r="L8" s="1632"/>
      <c r="M8" s="1632"/>
      <c r="N8" s="1632"/>
      <c r="O8" s="1632"/>
      <c r="P8" s="1632"/>
      <c r="Q8" s="1632"/>
    </row>
    <row r="9" spans="1:19">
      <c r="A9" s="2602">
        <v>44440</v>
      </c>
      <c r="B9" s="1632"/>
      <c r="C9" s="1632"/>
      <c r="D9" s="1632"/>
      <c r="E9" s="1632"/>
      <c r="F9" s="1632"/>
      <c r="G9" s="1632"/>
      <c r="H9" s="1632"/>
      <c r="I9" s="1632"/>
      <c r="J9" s="1632"/>
      <c r="K9" s="1632"/>
      <c r="L9" s="1632"/>
      <c r="M9" s="1632"/>
      <c r="N9" s="1632"/>
      <c r="O9" s="1632"/>
      <c r="P9" s="1632"/>
      <c r="Q9" s="1632"/>
    </row>
    <row r="10" spans="1:19">
      <c r="A10" s="2601" t="s">
        <v>2466</v>
      </c>
      <c r="B10" s="1632"/>
      <c r="C10" s="1632"/>
      <c r="D10" s="1632"/>
      <c r="E10" s="1632"/>
      <c r="F10" s="1632"/>
      <c r="G10" s="1632"/>
      <c r="H10" s="1632"/>
      <c r="I10" s="1632"/>
      <c r="J10" s="1632"/>
      <c r="K10" s="1632"/>
      <c r="L10" s="1632"/>
      <c r="M10" s="1632"/>
      <c r="N10" s="1632"/>
      <c r="O10" s="1632"/>
      <c r="P10" s="1632"/>
      <c r="Q10" s="1632"/>
    </row>
    <row r="11" spans="1:19">
      <c r="A11" s="2602">
        <v>44652</v>
      </c>
      <c r="B11" s="1632"/>
      <c r="C11" s="1632"/>
      <c r="D11" s="1632"/>
      <c r="E11" s="1632"/>
      <c r="F11" s="1632"/>
      <c r="G11" s="1632"/>
      <c r="H11" s="1632"/>
      <c r="I11" s="1632"/>
      <c r="J11" s="1632"/>
      <c r="K11" s="1632"/>
      <c r="L11" s="1632"/>
      <c r="M11" s="1632"/>
      <c r="N11" s="1632"/>
      <c r="O11" s="1632"/>
      <c r="P11" s="1632"/>
      <c r="Q11" s="1632"/>
    </row>
    <row r="12" spans="1:19">
      <c r="A12" s="2601" t="s">
        <v>2467</v>
      </c>
      <c r="B12" s="1632"/>
      <c r="C12" s="1632"/>
      <c r="D12" s="1632"/>
      <c r="E12" s="1632"/>
      <c r="F12" s="1632"/>
      <c r="G12" s="1632"/>
      <c r="H12" s="1632"/>
      <c r="I12" s="1632"/>
      <c r="J12" s="1632"/>
      <c r="K12" s="1632"/>
      <c r="L12" s="1632"/>
      <c r="M12" s="1632"/>
      <c r="N12" s="1632"/>
      <c r="O12" s="1632"/>
      <c r="P12" s="1632"/>
      <c r="Q12" s="1632"/>
    </row>
    <row r="13" spans="1:19">
      <c r="A13" s="1632"/>
      <c r="B13" s="1632"/>
      <c r="C13" s="1632"/>
      <c r="D13" s="1632"/>
      <c r="E13" s="1632"/>
      <c r="F13" s="1632"/>
      <c r="G13" s="1632"/>
      <c r="H13" s="1632"/>
      <c r="I13" s="1632"/>
      <c r="J13" s="1632"/>
      <c r="K13" s="1632"/>
      <c r="L13" s="1632"/>
      <c r="M13" s="1632"/>
      <c r="N13" s="1632"/>
      <c r="O13" s="1632"/>
      <c r="P13" s="1632"/>
      <c r="Q13" s="1632"/>
    </row>
    <row r="14" spans="1:19" ht="28.2" customHeight="1">
      <c r="A14" s="2794" t="s">
        <v>2359</v>
      </c>
      <c r="B14" s="2794"/>
      <c r="C14" s="2794"/>
      <c r="D14" s="2794"/>
      <c r="E14" s="2794"/>
      <c r="F14" s="2794"/>
      <c r="G14" s="2794"/>
      <c r="H14" s="2794"/>
      <c r="I14" s="2794"/>
      <c r="J14" s="2794"/>
      <c r="K14" s="2794"/>
      <c r="L14" s="2794"/>
      <c r="M14" s="2794"/>
      <c r="N14" s="2794"/>
      <c r="O14" s="2794"/>
      <c r="P14" s="2794"/>
      <c r="Q14" s="2794"/>
      <c r="S14" s="804"/>
    </row>
    <row r="15" spans="1:19" ht="56.7" customHeight="1">
      <c r="A15" s="2795" t="s">
        <v>2360</v>
      </c>
      <c r="B15" s="2795"/>
      <c r="C15" s="2795"/>
      <c r="D15" s="2795"/>
      <c r="E15" s="2795"/>
      <c r="F15" s="2795"/>
      <c r="G15" s="2795"/>
      <c r="H15" s="2795"/>
      <c r="I15" s="2795"/>
      <c r="J15" s="2795"/>
      <c r="K15" s="2795"/>
      <c r="L15" s="2795"/>
      <c r="M15" s="2795"/>
      <c r="N15" s="2795"/>
      <c r="O15" s="2795"/>
      <c r="P15" s="2795"/>
      <c r="Q15" s="2795"/>
    </row>
    <row r="16" spans="1:19" ht="15.45" customHeight="1">
      <c r="A16" s="2794" t="s">
        <v>2361</v>
      </c>
      <c r="B16" s="2794"/>
      <c r="C16" s="2794"/>
      <c r="D16" s="2794"/>
      <c r="E16" s="2794"/>
      <c r="F16" s="2794"/>
      <c r="G16" s="2794"/>
      <c r="H16" s="2794"/>
      <c r="I16" s="2794"/>
      <c r="J16" s="2794"/>
      <c r="K16" s="2794"/>
      <c r="L16" s="2794"/>
      <c r="M16" s="2794"/>
      <c r="N16" s="2794"/>
      <c r="O16" s="2794"/>
      <c r="P16" s="2794"/>
      <c r="Q16" s="2794"/>
      <c r="S16" s="804"/>
    </row>
    <row r="17" spans="1:19" ht="49.2" customHeight="1">
      <c r="A17" s="2795" t="s">
        <v>2362</v>
      </c>
      <c r="B17" s="2795"/>
      <c r="C17" s="2795"/>
      <c r="D17" s="2795"/>
      <c r="E17" s="2795"/>
      <c r="F17" s="2795"/>
      <c r="G17" s="2795"/>
      <c r="H17" s="2795"/>
      <c r="I17" s="2795"/>
      <c r="J17" s="2795"/>
      <c r="K17" s="2795"/>
      <c r="L17" s="2795"/>
      <c r="M17" s="2795"/>
      <c r="N17" s="2795"/>
      <c r="O17" s="2795"/>
      <c r="P17" s="2795"/>
      <c r="Q17" s="2795"/>
    </row>
    <row r="18" spans="1:19" ht="74.7" customHeight="1">
      <c r="A18" s="2794" t="s">
        <v>2363</v>
      </c>
      <c r="B18" s="2794"/>
      <c r="C18" s="2794"/>
      <c r="D18" s="2794"/>
      <c r="E18" s="2794"/>
      <c r="F18" s="2794"/>
      <c r="G18" s="2794"/>
      <c r="H18" s="2794"/>
      <c r="I18" s="2794"/>
      <c r="J18" s="2794"/>
      <c r="K18" s="2794"/>
      <c r="L18" s="2794"/>
      <c r="M18" s="2794"/>
      <c r="N18" s="2794"/>
      <c r="O18" s="2794"/>
      <c r="P18" s="2794"/>
      <c r="Q18" s="2794"/>
      <c r="S18" s="804"/>
    </row>
    <row r="19" spans="1:19" ht="93" customHeight="1">
      <c r="A19" s="2795" t="s">
        <v>2364</v>
      </c>
      <c r="B19" s="2795"/>
      <c r="C19" s="2795"/>
      <c r="D19" s="2795"/>
      <c r="E19" s="2795"/>
      <c r="F19" s="2795"/>
      <c r="G19" s="2795"/>
      <c r="H19" s="2795"/>
      <c r="I19" s="2795"/>
      <c r="J19" s="2795"/>
      <c r="K19" s="2795"/>
      <c r="L19" s="2795"/>
      <c r="M19" s="2795"/>
      <c r="N19" s="2795"/>
      <c r="O19" s="2795"/>
      <c r="P19" s="2795"/>
      <c r="Q19" s="2795"/>
    </row>
    <row r="20" spans="1:19" ht="36.450000000000003" customHeight="1">
      <c r="A20" s="2794" t="s">
        <v>2365</v>
      </c>
      <c r="B20" s="2794"/>
      <c r="C20" s="2794"/>
      <c r="D20" s="2794"/>
      <c r="E20" s="2794"/>
      <c r="F20" s="2794"/>
      <c r="G20" s="2794"/>
      <c r="H20" s="2794"/>
      <c r="I20" s="2794"/>
      <c r="J20" s="2794"/>
      <c r="K20" s="2794"/>
      <c r="L20" s="2794"/>
      <c r="M20" s="2794"/>
      <c r="N20" s="2794"/>
      <c r="O20" s="2794"/>
      <c r="P20" s="2794"/>
      <c r="Q20" s="2794"/>
      <c r="S20" s="804"/>
    </row>
    <row r="21" spans="1:19" ht="103.5" customHeight="1">
      <c r="A21" s="2795" t="s">
        <v>2366</v>
      </c>
      <c r="B21" s="2795"/>
      <c r="C21" s="2795"/>
      <c r="D21" s="2795"/>
      <c r="E21" s="2795"/>
      <c r="F21" s="2795"/>
      <c r="G21" s="2795"/>
      <c r="H21" s="2795"/>
      <c r="I21" s="2795"/>
      <c r="J21" s="2795"/>
      <c r="K21" s="2795"/>
      <c r="L21" s="2795"/>
      <c r="M21" s="2795"/>
      <c r="N21" s="2795"/>
      <c r="O21" s="2795"/>
      <c r="P21" s="2795"/>
      <c r="Q21" s="2795"/>
    </row>
    <row r="22" spans="1:19" ht="49.2" customHeight="1">
      <c r="A22" s="2794" t="s">
        <v>2367</v>
      </c>
      <c r="B22" s="2794"/>
      <c r="C22" s="2794"/>
      <c r="D22" s="2794"/>
      <c r="E22" s="2794"/>
      <c r="F22" s="2794"/>
      <c r="G22" s="2794"/>
      <c r="H22" s="2794"/>
      <c r="I22" s="2794"/>
      <c r="J22" s="2794"/>
      <c r="K22" s="2794"/>
      <c r="L22" s="2794"/>
      <c r="M22" s="2794"/>
      <c r="N22" s="2794"/>
      <c r="O22" s="2794"/>
      <c r="P22" s="2794"/>
      <c r="Q22" s="2794"/>
      <c r="S22" s="804"/>
    </row>
    <row r="23" spans="1:19" ht="75" customHeight="1">
      <c r="A23" s="2795" t="s">
        <v>2368</v>
      </c>
      <c r="B23" s="2795"/>
      <c r="C23" s="2795"/>
      <c r="D23" s="2795"/>
      <c r="E23" s="2795"/>
      <c r="F23" s="2795"/>
      <c r="G23" s="2795"/>
      <c r="H23" s="2795"/>
      <c r="I23" s="2795"/>
      <c r="J23" s="2795"/>
      <c r="K23" s="2795"/>
      <c r="L23" s="2795"/>
      <c r="M23" s="2795"/>
      <c r="N23" s="2795"/>
      <c r="O23" s="2795"/>
      <c r="P23" s="2795"/>
      <c r="Q23" s="2795"/>
    </row>
    <row r="24" spans="1:19" ht="49.2" customHeight="1">
      <c r="A24" s="2794" t="s">
        <v>2369</v>
      </c>
      <c r="B24" s="2794"/>
      <c r="C24" s="2794"/>
      <c r="D24" s="2794"/>
      <c r="E24" s="2794"/>
      <c r="F24" s="2794"/>
      <c r="G24" s="2794"/>
      <c r="H24" s="2794"/>
      <c r="I24" s="2794"/>
      <c r="J24" s="2794"/>
      <c r="K24" s="2794"/>
      <c r="L24" s="2794"/>
      <c r="M24" s="2794"/>
      <c r="N24" s="2794"/>
      <c r="O24" s="2794"/>
      <c r="P24" s="2794"/>
      <c r="Q24" s="2794"/>
      <c r="S24" s="804"/>
    </row>
    <row r="25" spans="1:19" ht="49.2" customHeight="1">
      <c r="A25" s="2795" t="s">
        <v>2370</v>
      </c>
      <c r="B25" s="2795"/>
      <c r="C25" s="2795"/>
      <c r="D25" s="2795"/>
      <c r="E25" s="2795"/>
      <c r="F25" s="2795"/>
      <c r="G25" s="2795"/>
      <c r="H25" s="2795"/>
      <c r="I25" s="2795"/>
      <c r="J25" s="2795"/>
      <c r="K25" s="2795"/>
      <c r="L25" s="2795"/>
      <c r="M25" s="2795"/>
      <c r="N25" s="2795"/>
      <c r="O25" s="2795"/>
      <c r="P25" s="2795"/>
      <c r="Q25" s="2795"/>
    </row>
    <row r="26" spans="1:19" ht="49.2" customHeight="1">
      <c r="A26" s="2794" t="s">
        <v>2371</v>
      </c>
      <c r="B26" s="2794"/>
      <c r="C26" s="2794"/>
      <c r="D26" s="2794"/>
      <c r="E26" s="2794"/>
      <c r="F26" s="2796"/>
      <c r="G26" s="2794"/>
      <c r="H26" s="2794"/>
      <c r="I26" s="2794"/>
      <c r="J26" s="2794"/>
      <c r="K26" s="2794"/>
      <c r="L26" s="2794"/>
      <c r="M26" s="2794"/>
      <c r="N26" s="2794"/>
      <c r="O26" s="2794"/>
      <c r="P26" s="2794"/>
      <c r="Q26" s="2794"/>
      <c r="S26" s="804"/>
    </row>
    <row r="27" spans="1:19" ht="49.2" customHeight="1">
      <c r="A27" s="2795" t="s">
        <v>2372</v>
      </c>
      <c r="B27" s="2795"/>
      <c r="C27" s="2795"/>
      <c r="D27" s="2795"/>
      <c r="E27" s="2795"/>
      <c r="F27" s="2795"/>
      <c r="G27" s="2795"/>
      <c r="H27" s="2795"/>
      <c r="I27" s="2795"/>
      <c r="J27" s="2795"/>
      <c r="K27" s="2795"/>
      <c r="L27" s="2795"/>
      <c r="M27" s="2795"/>
      <c r="N27" s="2795"/>
      <c r="O27" s="2795"/>
      <c r="P27" s="2795"/>
      <c r="Q27" s="2795"/>
    </row>
    <row r="28" spans="1:19" ht="49.2" customHeight="1">
      <c r="A28" s="2794" t="s">
        <v>2373</v>
      </c>
      <c r="B28" s="2794"/>
      <c r="C28" s="2794"/>
      <c r="D28" s="2794"/>
      <c r="E28" s="2794"/>
      <c r="F28" s="2794"/>
      <c r="G28" s="2794"/>
      <c r="H28" s="2794"/>
      <c r="I28" s="2794"/>
      <c r="J28" s="2794"/>
      <c r="K28" s="2794"/>
      <c r="L28" s="2794"/>
      <c r="M28" s="2794"/>
      <c r="N28" s="2794"/>
      <c r="O28" s="2794"/>
      <c r="P28" s="2794"/>
      <c r="Q28" s="2794"/>
      <c r="S28" s="804"/>
    </row>
    <row r="29" spans="1:19" ht="49.2" customHeight="1">
      <c r="A29" s="2795" t="s">
        <v>2374</v>
      </c>
      <c r="B29" s="2795"/>
      <c r="C29" s="2795"/>
      <c r="D29" s="2795"/>
      <c r="E29" s="2795"/>
      <c r="F29" s="2795"/>
      <c r="G29" s="2795"/>
      <c r="H29" s="2795"/>
      <c r="I29" s="2795"/>
      <c r="J29" s="2795"/>
      <c r="K29" s="2795"/>
      <c r="L29" s="2795"/>
      <c r="M29" s="2795"/>
      <c r="N29" s="2795"/>
      <c r="O29" s="2795"/>
      <c r="P29" s="2795"/>
      <c r="Q29" s="2795"/>
      <c r="R29" s="920"/>
    </row>
    <row r="30" spans="1:19" ht="66.45" customHeight="1">
      <c r="A30" s="2794" t="s">
        <v>2375</v>
      </c>
      <c r="B30" s="2794"/>
      <c r="C30" s="2794"/>
      <c r="D30" s="2794"/>
      <c r="E30" s="2794"/>
      <c r="F30" s="2794"/>
      <c r="G30" s="2794"/>
      <c r="H30" s="2794"/>
      <c r="I30" s="2794"/>
      <c r="J30" s="2794"/>
      <c r="K30" s="2794"/>
      <c r="L30" s="2794"/>
      <c r="M30" s="2794"/>
      <c r="N30" s="2794"/>
      <c r="O30" s="2794"/>
      <c r="P30" s="2794"/>
      <c r="Q30" s="2794"/>
      <c r="S30" s="804"/>
    </row>
    <row r="31" spans="1:19" ht="91.95" customHeight="1">
      <c r="A31" s="2795" t="s">
        <v>2376</v>
      </c>
      <c r="B31" s="2795"/>
      <c r="C31" s="2795"/>
      <c r="D31" s="2795"/>
      <c r="E31" s="2795"/>
      <c r="F31" s="2795"/>
      <c r="G31" s="2795"/>
      <c r="H31" s="2795"/>
      <c r="I31" s="2795"/>
      <c r="J31" s="2795"/>
      <c r="K31" s="2795"/>
      <c r="L31" s="2795"/>
      <c r="M31" s="2795"/>
      <c r="N31" s="2795"/>
      <c r="O31" s="2795"/>
      <c r="P31" s="2795"/>
      <c r="Q31" s="2795"/>
    </row>
    <row r="32" spans="1:19" ht="49.2" customHeight="1">
      <c r="A32" s="2794" t="s">
        <v>2377</v>
      </c>
      <c r="B32" s="2794"/>
      <c r="C32" s="2794"/>
      <c r="D32" s="2794"/>
      <c r="E32" s="2794"/>
      <c r="F32" s="2794"/>
      <c r="G32" s="2794"/>
      <c r="H32" s="2794"/>
      <c r="I32" s="2794"/>
      <c r="J32" s="2794"/>
      <c r="K32" s="2794"/>
      <c r="L32" s="2794"/>
      <c r="M32" s="2794"/>
      <c r="N32" s="2794"/>
      <c r="O32" s="2794"/>
      <c r="P32" s="2794"/>
      <c r="Q32" s="2794"/>
      <c r="S32" s="804"/>
    </row>
    <row r="33" spans="1:16384" ht="49.2" customHeight="1">
      <c r="A33" s="2795" t="s">
        <v>2378</v>
      </c>
      <c r="B33" s="2795"/>
      <c r="C33" s="2795"/>
      <c r="D33" s="2795"/>
      <c r="E33" s="2795"/>
      <c r="F33" s="2795"/>
      <c r="G33" s="2795"/>
      <c r="H33" s="2795"/>
      <c r="I33" s="2795"/>
      <c r="J33" s="2795"/>
      <c r="K33" s="2795"/>
      <c r="L33" s="2795"/>
      <c r="M33" s="2795"/>
      <c r="N33" s="2795"/>
      <c r="O33" s="2795"/>
      <c r="P33" s="2795"/>
      <c r="Q33" s="2795"/>
      <c r="R33" s="2795"/>
      <c r="S33" s="2795"/>
      <c r="T33" s="2795"/>
      <c r="U33" s="2795"/>
      <c r="V33" s="2795"/>
      <c r="W33" s="2795"/>
      <c r="X33" s="2795"/>
      <c r="Y33" s="2795"/>
      <c r="Z33" s="2795"/>
      <c r="AA33" s="2795"/>
      <c r="AB33" s="2795"/>
      <c r="AC33" s="2795"/>
      <c r="AD33" s="2795"/>
      <c r="AE33" s="2795"/>
      <c r="AF33" s="2795"/>
      <c r="AG33" s="2795"/>
      <c r="AH33" s="2795"/>
      <c r="AI33" s="2795"/>
      <c r="AJ33" s="2795"/>
      <c r="AK33" s="2795"/>
      <c r="AL33" s="2795"/>
      <c r="AM33" s="2795"/>
      <c r="AN33" s="2795"/>
      <c r="AO33" s="2795"/>
      <c r="AP33" s="2795"/>
      <c r="AQ33" s="2795"/>
      <c r="AR33" s="2795"/>
      <c r="AS33" s="2795"/>
      <c r="AT33" s="2795"/>
      <c r="AU33" s="2795"/>
      <c r="AV33" s="2795"/>
      <c r="AW33" s="2795"/>
      <c r="AX33" s="2795"/>
      <c r="AY33" s="2795"/>
      <c r="AZ33" s="2795"/>
      <c r="BA33" s="2795"/>
      <c r="BB33" s="2795"/>
      <c r="BC33" s="2795"/>
      <c r="BD33" s="2795"/>
      <c r="BE33" s="2795"/>
      <c r="BF33" s="2795"/>
      <c r="BG33" s="2795"/>
      <c r="BH33" s="2795"/>
      <c r="BI33" s="2795"/>
      <c r="BJ33" s="2795"/>
      <c r="BK33" s="2795"/>
      <c r="BL33" s="2795"/>
      <c r="BM33" s="2795"/>
      <c r="BN33" s="2795"/>
      <c r="BO33" s="2795"/>
      <c r="BP33" s="2795"/>
      <c r="BQ33" s="2795"/>
      <c r="BR33" s="2795"/>
      <c r="BS33" s="2795"/>
      <c r="BT33" s="2795"/>
      <c r="BU33" s="2795"/>
      <c r="BV33" s="2795"/>
      <c r="BW33" s="2795"/>
      <c r="BX33" s="2795"/>
      <c r="BY33" s="2795"/>
      <c r="BZ33" s="2795"/>
      <c r="CA33" s="2795"/>
      <c r="CB33" s="2795"/>
      <c r="CC33" s="2795"/>
      <c r="CD33" s="2795"/>
      <c r="CE33" s="2795"/>
      <c r="CF33" s="2795"/>
      <c r="CG33" s="2795"/>
      <c r="CH33" s="2795"/>
      <c r="CI33" s="2795"/>
      <c r="CJ33" s="2795"/>
      <c r="CK33" s="2795"/>
      <c r="CL33" s="2795"/>
      <c r="CM33" s="2795"/>
      <c r="CN33" s="2795"/>
      <c r="CO33" s="2795"/>
      <c r="CP33" s="2795"/>
      <c r="CQ33" s="2795"/>
      <c r="CR33" s="2795"/>
      <c r="CS33" s="2795"/>
      <c r="CT33" s="2795"/>
      <c r="CU33" s="2795"/>
      <c r="CV33" s="2795"/>
      <c r="CW33" s="2795"/>
      <c r="CX33" s="2795"/>
      <c r="CY33" s="2795"/>
      <c r="CZ33" s="2795"/>
      <c r="DA33" s="2795"/>
      <c r="DB33" s="2795"/>
      <c r="DC33" s="2795"/>
      <c r="DD33" s="2795"/>
      <c r="DE33" s="2795"/>
      <c r="DF33" s="2795"/>
      <c r="DG33" s="2795"/>
      <c r="DH33" s="2795"/>
      <c r="DI33" s="2795"/>
      <c r="DJ33" s="2795"/>
      <c r="DK33" s="2795"/>
      <c r="DL33" s="2795"/>
      <c r="DM33" s="2795"/>
      <c r="DN33" s="2795"/>
      <c r="DO33" s="2795"/>
      <c r="DP33" s="2795"/>
      <c r="DQ33" s="2795"/>
      <c r="DR33" s="2795"/>
      <c r="DS33" s="2795"/>
      <c r="DT33" s="2795"/>
      <c r="DU33" s="2795"/>
      <c r="DV33" s="2795"/>
      <c r="DW33" s="2795"/>
      <c r="DX33" s="2795"/>
      <c r="DY33" s="2795"/>
      <c r="DZ33" s="2795"/>
      <c r="EA33" s="2795"/>
      <c r="EB33" s="2795"/>
      <c r="EC33" s="2795"/>
      <c r="ED33" s="2795"/>
      <c r="EE33" s="2795"/>
      <c r="EF33" s="2795"/>
      <c r="EG33" s="2795"/>
      <c r="EH33" s="2795"/>
      <c r="EI33" s="2795"/>
      <c r="EJ33" s="2795"/>
      <c r="EK33" s="2795"/>
      <c r="EL33" s="2795"/>
      <c r="EM33" s="2795"/>
      <c r="EN33" s="2795"/>
      <c r="EO33" s="2795"/>
      <c r="EP33" s="2795"/>
      <c r="EQ33" s="2795"/>
      <c r="ER33" s="2795"/>
      <c r="ES33" s="2795"/>
      <c r="ET33" s="2795"/>
      <c r="EU33" s="2795"/>
      <c r="EV33" s="2795"/>
      <c r="EW33" s="2795"/>
      <c r="EX33" s="2795"/>
      <c r="EY33" s="2795"/>
      <c r="EZ33" s="2795"/>
      <c r="FA33" s="2795"/>
      <c r="FB33" s="2795"/>
      <c r="FC33" s="2795"/>
      <c r="FD33" s="2795"/>
      <c r="FE33" s="2795"/>
      <c r="FF33" s="2795"/>
      <c r="FG33" s="2795"/>
      <c r="FH33" s="2795"/>
      <c r="FI33" s="2795"/>
      <c r="FJ33" s="2795"/>
      <c r="FK33" s="2795"/>
      <c r="FL33" s="2795"/>
      <c r="FM33" s="2795"/>
      <c r="FN33" s="2795"/>
      <c r="FO33" s="2795"/>
      <c r="FP33" s="2795"/>
      <c r="FQ33" s="2795"/>
      <c r="FR33" s="2795"/>
      <c r="FS33" s="2795"/>
      <c r="FT33" s="2795"/>
      <c r="FU33" s="2795"/>
      <c r="FV33" s="2795"/>
      <c r="FW33" s="2795"/>
      <c r="FX33" s="2795"/>
      <c r="FY33" s="2795"/>
      <c r="FZ33" s="2795"/>
      <c r="GA33" s="2795"/>
      <c r="GB33" s="2795"/>
      <c r="GC33" s="2795"/>
      <c r="GD33" s="2795"/>
      <c r="GE33" s="2795"/>
      <c r="GF33" s="2795"/>
      <c r="GG33" s="2795"/>
      <c r="GH33" s="2795"/>
      <c r="GI33" s="2795"/>
      <c r="GJ33" s="2795"/>
      <c r="GK33" s="2795"/>
      <c r="GL33" s="2795"/>
      <c r="GM33" s="2795"/>
      <c r="GN33" s="2795"/>
      <c r="GO33" s="2795"/>
      <c r="GP33" s="2795"/>
      <c r="GQ33" s="2795"/>
      <c r="GR33" s="2795"/>
      <c r="GS33" s="2795"/>
      <c r="GT33" s="2795"/>
      <c r="GU33" s="2795"/>
      <c r="GV33" s="2795"/>
      <c r="GW33" s="2795"/>
      <c r="GX33" s="2795"/>
      <c r="GY33" s="2795"/>
      <c r="GZ33" s="2795"/>
      <c r="HA33" s="2795"/>
      <c r="HB33" s="2795"/>
      <c r="HC33" s="2795"/>
      <c r="HD33" s="2795"/>
      <c r="HE33" s="2795"/>
      <c r="HF33" s="2795"/>
      <c r="HG33" s="2795"/>
      <c r="HH33" s="2795"/>
      <c r="HI33" s="2795"/>
      <c r="HJ33" s="2795"/>
      <c r="HK33" s="2795"/>
      <c r="HL33" s="2795"/>
      <c r="HM33" s="2795"/>
      <c r="HN33" s="2795"/>
      <c r="HO33" s="2795"/>
      <c r="HP33" s="2795"/>
      <c r="HQ33" s="2795"/>
      <c r="HR33" s="2795"/>
      <c r="HS33" s="2795"/>
      <c r="HT33" s="2795"/>
      <c r="HU33" s="2795"/>
      <c r="HV33" s="2795"/>
      <c r="HW33" s="2795"/>
      <c r="HX33" s="2795"/>
      <c r="HY33" s="2795"/>
      <c r="HZ33" s="2795"/>
      <c r="IA33" s="2795"/>
      <c r="IB33" s="2795"/>
      <c r="IC33" s="2795"/>
      <c r="ID33" s="2795"/>
      <c r="IE33" s="2795"/>
      <c r="IF33" s="2795"/>
      <c r="IG33" s="2795"/>
      <c r="IH33" s="2795"/>
      <c r="II33" s="2795"/>
      <c r="IJ33" s="2795"/>
      <c r="IK33" s="2795"/>
      <c r="IL33" s="2795"/>
      <c r="IM33" s="2795"/>
      <c r="IN33" s="2795"/>
      <c r="IO33" s="2795"/>
      <c r="IP33" s="2795"/>
      <c r="IQ33" s="2795"/>
      <c r="IR33" s="2795"/>
      <c r="IS33" s="2795"/>
      <c r="IT33" s="2795"/>
      <c r="IU33" s="2795"/>
      <c r="IV33" s="2795"/>
      <c r="IW33" s="2795"/>
      <c r="IX33" s="2795"/>
      <c r="IY33" s="2795"/>
      <c r="IZ33" s="2795"/>
      <c r="JA33" s="2795"/>
      <c r="JB33" s="2795"/>
      <c r="JC33" s="2795"/>
      <c r="JD33" s="2795"/>
      <c r="JE33" s="2795"/>
      <c r="JF33" s="2795"/>
      <c r="JG33" s="2795"/>
      <c r="JH33" s="2795"/>
      <c r="JI33" s="2795"/>
      <c r="JJ33" s="2795"/>
      <c r="JK33" s="2795"/>
      <c r="JL33" s="2795"/>
      <c r="JM33" s="2795"/>
      <c r="JN33" s="2795"/>
      <c r="JO33" s="2795"/>
      <c r="JP33" s="2795"/>
      <c r="JQ33" s="2795"/>
      <c r="JR33" s="2795"/>
      <c r="JS33" s="2795"/>
      <c r="JT33" s="2795"/>
      <c r="JU33" s="2795"/>
      <c r="JV33" s="2795"/>
      <c r="JW33" s="2795"/>
      <c r="JX33" s="2795"/>
      <c r="JY33" s="2795"/>
      <c r="JZ33" s="2795"/>
      <c r="KA33" s="2795"/>
      <c r="KB33" s="2795"/>
      <c r="KC33" s="2795"/>
      <c r="KD33" s="2795"/>
      <c r="KE33" s="2795"/>
      <c r="KF33" s="2795"/>
      <c r="KG33" s="2795"/>
      <c r="KH33" s="2795"/>
      <c r="KI33" s="2795"/>
      <c r="KJ33" s="2795"/>
      <c r="KK33" s="2795"/>
      <c r="KL33" s="2795"/>
      <c r="KM33" s="2795"/>
      <c r="KN33" s="2795"/>
      <c r="KO33" s="2795"/>
      <c r="KP33" s="2795"/>
      <c r="KQ33" s="2795"/>
      <c r="KR33" s="2795"/>
      <c r="KS33" s="2795"/>
      <c r="KT33" s="2795"/>
      <c r="KU33" s="2795"/>
      <c r="KV33" s="2795"/>
      <c r="KW33" s="2795"/>
      <c r="KX33" s="2795"/>
      <c r="KY33" s="2795"/>
      <c r="KZ33" s="2795"/>
      <c r="LA33" s="2795"/>
      <c r="LB33" s="2795"/>
      <c r="LC33" s="2795"/>
      <c r="LD33" s="2795"/>
      <c r="LE33" s="2795"/>
      <c r="LF33" s="2795"/>
      <c r="LG33" s="2795"/>
      <c r="LH33" s="2795"/>
      <c r="LI33" s="2795"/>
      <c r="LJ33" s="2795"/>
      <c r="LK33" s="2795"/>
      <c r="LL33" s="2795"/>
      <c r="LM33" s="2795"/>
      <c r="LN33" s="2795"/>
      <c r="LO33" s="2795"/>
      <c r="LP33" s="2795"/>
      <c r="LQ33" s="2795"/>
      <c r="LR33" s="2795"/>
      <c r="LS33" s="2795"/>
      <c r="LT33" s="2795"/>
      <c r="LU33" s="2795"/>
      <c r="LV33" s="2795"/>
      <c r="LW33" s="2795"/>
      <c r="LX33" s="2795"/>
      <c r="LY33" s="2795"/>
      <c r="LZ33" s="2795"/>
      <c r="MA33" s="2795"/>
      <c r="MB33" s="2795"/>
      <c r="MC33" s="2795"/>
      <c r="MD33" s="2795"/>
      <c r="ME33" s="2795"/>
      <c r="MF33" s="2795"/>
      <c r="MG33" s="2795"/>
      <c r="MH33" s="2795"/>
      <c r="MI33" s="2795"/>
      <c r="MJ33" s="2795"/>
      <c r="MK33" s="2795"/>
      <c r="ML33" s="2795"/>
      <c r="MM33" s="2795"/>
      <c r="MN33" s="2795"/>
      <c r="MO33" s="2795"/>
      <c r="MP33" s="2795"/>
      <c r="MQ33" s="2795"/>
      <c r="MR33" s="2795"/>
      <c r="MS33" s="2795"/>
      <c r="MT33" s="2795"/>
      <c r="MU33" s="2795"/>
      <c r="MV33" s="2795"/>
      <c r="MW33" s="2795"/>
      <c r="MX33" s="2795"/>
      <c r="MY33" s="2795"/>
      <c r="MZ33" s="2795"/>
      <c r="NA33" s="2795"/>
      <c r="NB33" s="2795"/>
      <c r="NC33" s="2795"/>
      <c r="ND33" s="2795"/>
      <c r="NE33" s="2795"/>
      <c r="NF33" s="2795"/>
      <c r="NG33" s="2795"/>
      <c r="NH33" s="2795"/>
      <c r="NI33" s="2795"/>
      <c r="NJ33" s="2795"/>
      <c r="NK33" s="2795"/>
      <c r="NL33" s="2795"/>
      <c r="NM33" s="2795"/>
      <c r="NN33" s="2795"/>
      <c r="NO33" s="2795"/>
      <c r="NP33" s="2795"/>
      <c r="NQ33" s="2795"/>
      <c r="NR33" s="2795"/>
      <c r="NS33" s="2795"/>
      <c r="NT33" s="2795"/>
      <c r="NU33" s="2795"/>
      <c r="NV33" s="2795"/>
      <c r="NW33" s="2795"/>
      <c r="NX33" s="2795"/>
      <c r="NY33" s="2795"/>
      <c r="NZ33" s="2795"/>
      <c r="OA33" s="2795"/>
      <c r="OB33" s="2795"/>
      <c r="OC33" s="2795"/>
      <c r="OD33" s="2795"/>
      <c r="OE33" s="2795"/>
      <c r="OF33" s="2795"/>
      <c r="OG33" s="2795"/>
      <c r="OH33" s="2795"/>
      <c r="OI33" s="2795"/>
      <c r="OJ33" s="2795"/>
      <c r="OK33" s="2795"/>
      <c r="OL33" s="2795"/>
      <c r="OM33" s="2795"/>
      <c r="ON33" s="2795"/>
      <c r="OO33" s="2795"/>
      <c r="OP33" s="2795"/>
      <c r="OQ33" s="2795"/>
      <c r="OR33" s="2795"/>
      <c r="OS33" s="2795"/>
      <c r="OT33" s="2795"/>
      <c r="OU33" s="2795"/>
      <c r="OV33" s="2795"/>
      <c r="OW33" s="2795"/>
      <c r="OX33" s="2795"/>
      <c r="OY33" s="2795"/>
      <c r="OZ33" s="2795"/>
      <c r="PA33" s="2795"/>
      <c r="PB33" s="2795"/>
      <c r="PC33" s="2795"/>
      <c r="PD33" s="2795"/>
      <c r="PE33" s="2795"/>
      <c r="PF33" s="2795"/>
      <c r="PG33" s="2795"/>
      <c r="PH33" s="2795"/>
      <c r="PI33" s="2795"/>
      <c r="PJ33" s="2795"/>
      <c r="PK33" s="2795"/>
      <c r="PL33" s="2795"/>
      <c r="PM33" s="2795"/>
      <c r="PN33" s="2795"/>
      <c r="PO33" s="2795"/>
      <c r="PP33" s="2795"/>
      <c r="PQ33" s="2795"/>
      <c r="PR33" s="2795"/>
      <c r="PS33" s="2795"/>
      <c r="PT33" s="2795"/>
      <c r="PU33" s="2795"/>
      <c r="PV33" s="2795"/>
      <c r="PW33" s="2795"/>
      <c r="PX33" s="2795"/>
      <c r="PY33" s="2795"/>
      <c r="PZ33" s="2795"/>
      <c r="QA33" s="2795"/>
      <c r="QB33" s="2795"/>
      <c r="QC33" s="2795"/>
      <c r="QD33" s="2795"/>
      <c r="QE33" s="2795"/>
      <c r="QF33" s="2795"/>
      <c r="QG33" s="2795"/>
      <c r="QH33" s="2795"/>
      <c r="QI33" s="2795"/>
      <c r="QJ33" s="2795"/>
      <c r="QK33" s="2795"/>
      <c r="QL33" s="2795"/>
      <c r="QM33" s="2795"/>
      <c r="QN33" s="2795"/>
      <c r="QO33" s="2795"/>
      <c r="QP33" s="2795"/>
      <c r="QQ33" s="2795"/>
      <c r="QR33" s="2795"/>
      <c r="QS33" s="2795"/>
      <c r="QT33" s="2795"/>
      <c r="QU33" s="2795"/>
      <c r="QV33" s="2795"/>
      <c r="QW33" s="2795"/>
      <c r="QX33" s="2795"/>
      <c r="QY33" s="2795"/>
      <c r="QZ33" s="2795"/>
      <c r="RA33" s="2795"/>
      <c r="RB33" s="2795"/>
      <c r="RC33" s="2795"/>
      <c r="RD33" s="2795"/>
      <c r="RE33" s="2795"/>
      <c r="RF33" s="2795"/>
      <c r="RG33" s="2795"/>
      <c r="RH33" s="2795"/>
      <c r="RI33" s="2795"/>
      <c r="RJ33" s="2795"/>
      <c r="RK33" s="2795"/>
      <c r="RL33" s="2795"/>
      <c r="RM33" s="2795"/>
      <c r="RN33" s="2795"/>
      <c r="RO33" s="2795"/>
      <c r="RP33" s="2795"/>
      <c r="RQ33" s="2795"/>
      <c r="RR33" s="2795"/>
      <c r="RS33" s="2795"/>
      <c r="RT33" s="2795"/>
      <c r="RU33" s="2795"/>
      <c r="RV33" s="2795"/>
      <c r="RW33" s="2795"/>
      <c r="RX33" s="2795"/>
      <c r="RY33" s="2795"/>
      <c r="RZ33" s="2795"/>
      <c r="SA33" s="2795"/>
      <c r="SB33" s="2795"/>
      <c r="SC33" s="2795"/>
      <c r="SD33" s="2795"/>
      <c r="SE33" s="2795"/>
      <c r="SF33" s="2795"/>
      <c r="SG33" s="2795"/>
      <c r="SH33" s="2795"/>
      <c r="SI33" s="2795"/>
      <c r="SJ33" s="2795"/>
      <c r="SK33" s="2795"/>
      <c r="SL33" s="2795"/>
      <c r="SM33" s="2795"/>
      <c r="SN33" s="2795"/>
      <c r="SO33" s="2795"/>
      <c r="SP33" s="2795"/>
      <c r="SQ33" s="2795"/>
      <c r="SR33" s="2795"/>
      <c r="SS33" s="2795"/>
      <c r="ST33" s="2795"/>
      <c r="SU33" s="2795"/>
      <c r="SV33" s="2795"/>
      <c r="SW33" s="2795"/>
      <c r="SX33" s="2795"/>
      <c r="SY33" s="2795"/>
      <c r="SZ33" s="2795"/>
      <c r="TA33" s="2795"/>
      <c r="TB33" s="2795"/>
      <c r="TC33" s="2795"/>
      <c r="TD33" s="2795"/>
      <c r="TE33" s="2795"/>
      <c r="TF33" s="2795"/>
      <c r="TG33" s="2795"/>
      <c r="TH33" s="2795"/>
      <c r="TI33" s="2795"/>
      <c r="TJ33" s="2795"/>
      <c r="TK33" s="2795"/>
      <c r="TL33" s="2795"/>
      <c r="TM33" s="2795"/>
      <c r="TN33" s="2795"/>
      <c r="TO33" s="2795"/>
      <c r="TP33" s="2795"/>
      <c r="TQ33" s="2795"/>
      <c r="TR33" s="2795"/>
      <c r="TS33" s="2795"/>
      <c r="TT33" s="2795"/>
      <c r="TU33" s="2795"/>
      <c r="TV33" s="2795"/>
      <c r="TW33" s="2795"/>
      <c r="TX33" s="2795"/>
      <c r="TY33" s="2795"/>
      <c r="TZ33" s="2795"/>
      <c r="UA33" s="2795"/>
      <c r="UB33" s="2795"/>
      <c r="UC33" s="2795"/>
      <c r="UD33" s="2795"/>
      <c r="UE33" s="2795"/>
      <c r="UF33" s="2795"/>
      <c r="UG33" s="2795"/>
      <c r="UH33" s="2795"/>
      <c r="UI33" s="2795"/>
      <c r="UJ33" s="2795"/>
      <c r="UK33" s="2795"/>
      <c r="UL33" s="2795"/>
      <c r="UM33" s="2795"/>
      <c r="UN33" s="2795"/>
      <c r="UO33" s="2795"/>
      <c r="UP33" s="2795"/>
      <c r="UQ33" s="2795"/>
      <c r="UR33" s="2795"/>
      <c r="US33" s="2795"/>
      <c r="UT33" s="2795"/>
      <c r="UU33" s="2795"/>
      <c r="UV33" s="2795"/>
      <c r="UW33" s="2795"/>
      <c r="UX33" s="2795"/>
      <c r="UY33" s="2795"/>
      <c r="UZ33" s="2795"/>
      <c r="VA33" s="2795"/>
      <c r="VB33" s="2795"/>
      <c r="VC33" s="2795"/>
      <c r="VD33" s="2795"/>
      <c r="VE33" s="2795"/>
      <c r="VF33" s="2795"/>
      <c r="VG33" s="2795"/>
      <c r="VH33" s="2795"/>
      <c r="VI33" s="2795"/>
      <c r="VJ33" s="2795"/>
      <c r="VK33" s="2795"/>
      <c r="VL33" s="2795"/>
      <c r="VM33" s="2795"/>
      <c r="VN33" s="2795"/>
      <c r="VO33" s="2795"/>
      <c r="VP33" s="2795"/>
      <c r="VQ33" s="2795"/>
      <c r="VR33" s="2795"/>
      <c r="VS33" s="2795"/>
      <c r="VT33" s="2795"/>
      <c r="VU33" s="2795"/>
      <c r="VV33" s="2795"/>
      <c r="VW33" s="2795"/>
      <c r="VX33" s="2795"/>
      <c r="VY33" s="2795"/>
      <c r="VZ33" s="2795"/>
      <c r="WA33" s="2795"/>
      <c r="WB33" s="2795"/>
      <c r="WC33" s="2795"/>
      <c r="WD33" s="2795"/>
      <c r="WE33" s="2795"/>
      <c r="WF33" s="2795"/>
      <c r="WG33" s="2795"/>
      <c r="WH33" s="2795"/>
      <c r="WI33" s="2795"/>
      <c r="WJ33" s="2795"/>
      <c r="WK33" s="2795"/>
      <c r="WL33" s="2795"/>
      <c r="WM33" s="2795"/>
      <c r="WN33" s="2795"/>
      <c r="WO33" s="2795"/>
      <c r="WP33" s="2795"/>
      <c r="WQ33" s="2795"/>
      <c r="WR33" s="2795"/>
      <c r="WS33" s="2795"/>
      <c r="WT33" s="2795"/>
      <c r="WU33" s="2795"/>
      <c r="WV33" s="2795"/>
      <c r="WW33" s="2795"/>
      <c r="WX33" s="2795"/>
      <c r="WY33" s="2795"/>
      <c r="WZ33" s="2795"/>
      <c r="XA33" s="2795"/>
      <c r="XB33" s="2795"/>
      <c r="XC33" s="2795"/>
      <c r="XD33" s="2795"/>
      <c r="XE33" s="2795"/>
      <c r="XF33" s="2795"/>
      <c r="XG33" s="2795"/>
      <c r="XH33" s="2795"/>
      <c r="XI33" s="2795"/>
      <c r="XJ33" s="2795"/>
      <c r="XK33" s="2795"/>
      <c r="XL33" s="2795"/>
      <c r="XM33" s="2795"/>
      <c r="XN33" s="2795"/>
      <c r="XO33" s="2795"/>
      <c r="XP33" s="2795"/>
      <c r="XQ33" s="2795"/>
      <c r="XR33" s="2795"/>
      <c r="XS33" s="2795"/>
      <c r="XT33" s="2795"/>
      <c r="XU33" s="2795"/>
      <c r="XV33" s="2795"/>
      <c r="XW33" s="2795"/>
      <c r="XX33" s="2795"/>
      <c r="XY33" s="2795"/>
      <c r="XZ33" s="2795"/>
      <c r="YA33" s="2795"/>
      <c r="YB33" s="2795"/>
      <c r="YC33" s="2795"/>
      <c r="YD33" s="2795"/>
      <c r="YE33" s="2795"/>
      <c r="YF33" s="2795"/>
      <c r="YG33" s="2795"/>
      <c r="YH33" s="2795"/>
      <c r="YI33" s="2795"/>
      <c r="YJ33" s="2795"/>
      <c r="YK33" s="2795"/>
      <c r="YL33" s="2795"/>
      <c r="YM33" s="2795"/>
      <c r="YN33" s="2795"/>
      <c r="YO33" s="2795"/>
      <c r="YP33" s="2795"/>
      <c r="YQ33" s="2795"/>
      <c r="YR33" s="2795"/>
      <c r="YS33" s="2795"/>
      <c r="YT33" s="2795"/>
      <c r="YU33" s="2795"/>
      <c r="YV33" s="2795"/>
      <c r="YW33" s="2795"/>
      <c r="YX33" s="2795"/>
      <c r="YY33" s="2795"/>
      <c r="YZ33" s="2795"/>
      <c r="ZA33" s="2795"/>
      <c r="ZB33" s="2795"/>
      <c r="ZC33" s="2795"/>
      <c r="ZD33" s="2795"/>
      <c r="ZE33" s="2795"/>
      <c r="ZF33" s="2795"/>
      <c r="ZG33" s="2795"/>
      <c r="ZH33" s="2795"/>
      <c r="ZI33" s="2795"/>
      <c r="ZJ33" s="2795"/>
      <c r="ZK33" s="2795"/>
      <c r="ZL33" s="2795"/>
      <c r="ZM33" s="2795"/>
      <c r="ZN33" s="2795"/>
      <c r="ZO33" s="2795"/>
      <c r="ZP33" s="2795"/>
      <c r="ZQ33" s="2795"/>
      <c r="ZR33" s="2795"/>
      <c r="ZS33" s="2795"/>
      <c r="ZT33" s="2795"/>
      <c r="ZU33" s="2795"/>
      <c r="ZV33" s="2795"/>
      <c r="ZW33" s="2795"/>
      <c r="ZX33" s="2795"/>
      <c r="ZY33" s="2795"/>
      <c r="ZZ33" s="2795"/>
      <c r="AAA33" s="2795"/>
      <c r="AAB33" s="2795"/>
      <c r="AAC33" s="2795"/>
      <c r="AAD33" s="2795"/>
      <c r="AAE33" s="2795"/>
      <c r="AAF33" s="2795"/>
      <c r="AAG33" s="2795"/>
      <c r="AAH33" s="2795"/>
      <c r="AAI33" s="2795"/>
      <c r="AAJ33" s="2795"/>
      <c r="AAK33" s="2795"/>
      <c r="AAL33" s="2795"/>
      <c r="AAM33" s="2795"/>
      <c r="AAN33" s="2795"/>
      <c r="AAO33" s="2795"/>
      <c r="AAP33" s="2795"/>
      <c r="AAQ33" s="2795"/>
      <c r="AAR33" s="2795"/>
      <c r="AAS33" s="2795"/>
      <c r="AAT33" s="2795"/>
      <c r="AAU33" s="2795"/>
      <c r="AAV33" s="2795"/>
      <c r="AAW33" s="2795"/>
      <c r="AAX33" s="2795"/>
      <c r="AAY33" s="2795"/>
      <c r="AAZ33" s="2795"/>
      <c r="ABA33" s="2795"/>
      <c r="ABB33" s="2795"/>
      <c r="ABC33" s="2795"/>
      <c r="ABD33" s="2795"/>
      <c r="ABE33" s="2795"/>
      <c r="ABF33" s="2795"/>
      <c r="ABG33" s="2795"/>
      <c r="ABH33" s="2795"/>
      <c r="ABI33" s="2795"/>
      <c r="ABJ33" s="2795"/>
      <c r="ABK33" s="2795"/>
      <c r="ABL33" s="2795"/>
      <c r="ABM33" s="2795"/>
      <c r="ABN33" s="2795"/>
      <c r="ABO33" s="2795"/>
      <c r="ABP33" s="2795"/>
      <c r="ABQ33" s="2795"/>
      <c r="ABR33" s="2795"/>
      <c r="ABS33" s="2795"/>
      <c r="ABT33" s="2795"/>
      <c r="ABU33" s="2795"/>
      <c r="ABV33" s="2795"/>
      <c r="ABW33" s="2795"/>
      <c r="ABX33" s="2795"/>
      <c r="ABY33" s="2795"/>
      <c r="ABZ33" s="2795"/>
      <c r="ACA33" s="2795"/>
      <c r="ACB33" s="2795"/>
      <c r="ACC33" s="2795"/>
      <c r="ACD33" s="2795"/>
      <c r="ACE33" s="2795"/>
      <c r="ACF33" s="2795"/>
      <c r="ACG33" s="2795"/>
      <c r="ACH33" s="2795"/>
      <c r="ACI33" s="2795"/>
      <c r="ACJ33" s="2795"/>
      <c r="ACK33" s="2795"/>
      <c r="ACL33" s="2795"/>
      <c r="ACM33" s="2795"/>
      <c r="ACN33" s="2795"/>
      <c r="ACO33" s="2795"/>
      <c r="ACP33" s="2795"/>
      <c r="ACQ33" s="2795"/>
      <c r="ACR33" s="2795"/>
      <c r="ACS33" s="2795"/>
      <c r="ACT33" s="2795"/>
      <c r="ACU33" s="2795"/>
      <c r="ACV33" s="2795"/>
      <c r="ACW33" s="2795"/>
      <c r="ACX33" s="2795"/>
      <c r="ACY33" s="2795"/>
      <c r="ACZ33" s="2795"/>
      <c r="ADA33" s="2795"/>
      <c r="ADB33" s="2795"/>
      <c r="ADC33" s="2795"/>
      <c r="ADD33" s="2795"/>
      <c r="ADE33" s="2795"/>
      <c r="ADF33" s="2795"/>
      <c r="ADG33" s="2795"/>
      <c r="ADH33" s="2795"/>
      <c r="ADI33" s="2795"/>
      <c r="ADJ33" s="2795"/>
      <c r="ADK33" s="2795"/>
      <c r="ADL33" s="2795"/>
      <c r="ADM33" s="2795"/>
      <c r="ADN33" s="2795"/>
      <c r="ADO33" s="2795"/>
      <c r="ADP33" s="2795"/>
      <c r="ADQ33" s="2795"/>
      <c r="ADR33" s="2795"/>
      <c r="ADS33" s="2795"/>
      <c r="ADT33" s="2795"/>
      <c r="ADU33" s="2795"/>
      <c r="ADV33" s="2795"/>
      <c r="ADW33" s="2795"/>
      <c r="ADX33" s="2795"/>
      <c r="ADY33" s="2795"/>
      <c r="ADZ33" s="2795"/>
      <c r="AEA33" s="2795"/>
      <c r="AEB33" s="2795"/>
      <c r="AEC33" s="2795"/>
      <c r="AED33" s="2795"/>
      <c r="AEE33" s="2795"/>
      <c r="AEF33" s="2795"/>
      <c r="AEG33" s="2795"/>
      <c r="AEH33" s="2795"/>
      <c r="AEI33" s="2795"/>
      <c r="AEJ33" s="2795"/>
      <c r="AEK33" s="2795"/>
      <c r="AEL33" s="2795"/>
      <c r="AEM33" s="2795"/>
      <c r="AEN33" s="2795"/>
      <c r="AEO33" s="2795"/>
      <c r="AEP33" s="2795"/>
      <c r="AEQ33" s="2795"/>
      <c r="AER33" s="2795"/>
      <c r="AES33" s="2795"/>
      <c r="AET33" s="2795"/>
      <c r="AEU33" s="2795"/>
      <c r="AEV33" s="2795"/>
      <c r="AEW33" s="2795"/>
      <c r="AEX33" s="2795"/>
      <c r="AEY33" s="2795"/>
      <c r="AEZ33" s="2795"/>
      <c r="AFA33" s="2795"/>
      <c r="AFB33" s="2795"/>
      <c r="AFC33" s="2795"/>
      <c r="AFD33" s="2795"/>
      <c r="AFE33" s="2795"/>
      <c r="AFF33" s="2795"/>
      <c r="AFG33" s="2795"/>
      <c r="AFH33" s="2795"/>
      <c r="AFI33" s="2795"/>
      <c r="AFJ33" s="2795"/>
      <c r="AFK33" s="2795"/>
      <c r="AFL33" s="2795"/>
      <c r="AFM33" s="2795"/>
      <c r="AFN33" s="2795"/>
      <c r="AFO33" s="2795"/>
      <c r="AFP33" s="2795"/>
      <c r="AFQ33" s="2795"/>
      <c r="AFR33" s="2795"/>
      <c r="AFS33" s="2795"/>
      <c r="AFT33" s="2795"/>
      <c r="AFU33" s="2795"/>
      <c r="AFV33" s="2795"/>
      <c r="AFW33" s="2795"/>
      <c r="AFX33" s="2795"/>
      <c r="AFY33" s="2795"/>
      <c r="AFZ33" s="2795"/>
      <c r="AGA33" s="2795"/>
      <c r="AGB33" s="2795"/>
      <c r="AGC33" s="2795"/>
      <c r="AGD33" s="2795"/>
      <c r="AGE33" s="2795"/>
      <c r="AGF33" s="2795"/>
      <c r="AGG33" s="2795"/>
      <c r="AGH33" s="2795"/>
      <c r="AGI33" s="2795"/>
      <c r="AGJ33" s="2795"/>
      <c r="AGK33" s="2795"/>
      <c r="AGL33" s="2795"/>
      <c r="AGM33" s="2795"/>
      <c r="AGN33" s="2795"/>
      <c r="AGO33" s="2795"/>
      <c r="AGP33" s="2795"/>
      <c r="AGQ33" s="2795"/>
      <c r="AGR33" s="2795"/>
      <c r="AGS33" s="2795"/>
      <c r="AGT33" s="2795"/>
      <c r="AGU33" s="2795"/>
      <c r="AGV33" s="2795"/>
      <c r="AGW33" s="2795"/>
      <c r="AGX33" s="2795"/>
      <c r="AGY33" s="2795"/>
      <c r="AGZ33" s="2795"/>
      <c r="AHA33" s="2795"/>
      <c r="AHB33" s="2795"/>
      <c r="AHC33" s="2795"/>
      <c r="AHD33" s="2795"/>
      <c r="AHE33" s="2795"/>
      <c r="AHF33" s="2795"/>
      <c r="AHG33" s="2795"/>
      <c r="AHH33" s="2795"/>
      <c r="AHI33" s="2795"/>
      <c r="AHJ33" s="2795"/>
      <c r="AHK33" s="2795"/>
      <c r="AHL33" s="2795"/>
      <c r="AHM33" s="2795"/>
      <c r="AHN33" s="2795"/>
      <c r="AHO33" s="2795"/>
      <c r="AHP33" s="2795"/>
      <c r="AHQ33" s="2795"/>
      <c r="AHR33" s="2795"/>
      <c r="AHS33" s="2795"/>
      <c r="AHT33" s="2795"/>
      <c r="AHU33" s="2795"/>
      <c r="AHV33" s="2795"/>
      <c r="AHW33" s="2795"/>
      <c r="AHX33" s="2795"/>
      <c r="AHY33" s="2795"/>
      <c r="AHZ33" s="2795"/>
      <c r="AIA33" s="2795"/>
      <c r="AIB33" s="2795"/>
      <c r="AIC33" s="2795"/>
      <c r="AID33" s="2795"/>
      <c r="AIE33" s="2795"/>
      <c r="AIF33" s="2795"/>
      <c r="AIG33" s="2795"/>
      <c r="AIH33" s="2795"/>
      <c r="AII33" s="2795"/>
      <c r="AIJ33" s="2795"/>
      <c r="AIK33" s="2795"/>
      <c r="AIL33" s="2795"/>
      <c r="AIM33" s="2795"/>
      <c r="AIN33" s="2795"/>
      <c r="AIO33" s="2795"/>
      <c r="AIP33" s="2795"/>
      <c r="AIQ33" s="2795"/>
      <c r="AIR33" s="2795"/>
      <c r="AIS33" s="2795"/>
      <c r="AIT33" s="2795"/>
      <c r="AIU33" s="2795"/>
      <c r="AIV33" s="2795"/>
      <c r="AIW33" s="2795"/>
      <c r="AIX33" s="2795"/>
      <c r="AIY33" s="2795"/>
      <c r="AIZ33" s="2795"/>
      <c r="AJA33" s="2795"/>
      <c r="AJB33" s="2795"/>
      <c r="AJC33" s="2795"/>
      <c r="AJD33" s="2795"/>
      <c r="AJE33" s="2795"/>
      <c r="AJF33" s="2795"/>
      <c r="AJG33" s="2795"/>
      <c r="AJH33" s="2795"/>
      <c r="AJI33" s="2795"/>
      <c r="AJJ33" s="2795"/>
      <c r="AJK33" s="2795"/>
      <c r="AJL33" s="2795"/>
      <c r="AJM33" s="2795"/>
      <c r="AJN33" s="2795"/>
      <c r="AJO33" s="2795"/>
      <c r="AJP33" s="2795"/>
      <c r="AJQ33" s="2795"/>
      <c r="AJR33" s="2795"/>
      <c r="AJS33" s="2795"/>
      <c r="AJT33" s="2795"/>
      <c r="AJU33" s="2795"/>
      <c r="AJV33" s="2795"/>
      <c r="AJW33" s="2795"/>
      <c r="AJX33" s="2795"/>
      <c r="AJY33" s="2795"/>
      <c r="AJZ33" s="2795"/>
      <c r="AKA33" s="2795"/>
      <c r="AKB33" s="2795"/>
      <c r="AKC33" s="2795"/>
      <c r="AKD33" s="2795"/>
      <c r="AKE33" s="2795"/>
      <c r="AKF33" s="2795"/>
      <c r="AKG33" s="2795"/>
      <c r="AKH33" s="2795"/>
      <c r="AKI33" s="2795"/>
      <c r="AKJ33" s="2795"/>
      <c r="AKK33" s="2795"/>
      <c r="AKL33" s="2795"/>
      <c r="AKM33" s="2795"/>
      <c r="AKN33" s="2795"/>
      <c r="AKO33" s="2795"/>
      <c r="AKP33" s="2795"/>
      <c r="AKQ33" s="2795"/>
      <c r="AKR33" s="2795"/>
      <c r="AKS33" s="2795"/>
      <c r="AKT33" s="2795"/>
      <c r="AKU33" s="2795"/>
      <c r="AKV33" s="2795"/>
      <c r="AKW33" s="2795"/>
      <c r="AKX33" s="2795"/>
      <c r="AKY33" s="2795"/>
      <c r="AKZ33" s="2795"/>
      <c r="ALA33" s="2795"/>
      <c r="ALB33" s="2795"/>
      <c r="ALC33" s="2795"/>
      <c r="ALD33" s="2795"/>
      <c r="ALE33" s="2795"/>
      <c r="ALF33" s="2795"/>
      <c r="ALG33" s="2795"/>
      <c r="ALH33" s="2795"/>
      <c r="ALI33" s="2795"/>
      <c r="ALJ33" s="2795"/>
      <c r="ALK33" s="2795"/>
      <c r="ALL33" s="2795"/>
      <c r="ALM33" s="2795"/>
      <c r="ALN33" s="2795"/>
      <c r="ALO33" s="2795"/>
      <c r="ALP33" s="2795"/>
      <c r="ALQ33" s="2795"/>
      <c r="ALR33" s="2795"/>
      <c r="ALS33" s="2795"/>
      <c r="ALT33" s="2795"/>
      <c r="ALU33" s="2795"/>
      <c r="ALV33" s="2795"/>
      <c r="ALW33" s="2795"/>
      <c r="ALX33" s="2795"/>
      <c r="ALY33" s="2795"/>
      <c r="ALZ33" s="2795"/>
      <c r="AMA33" s="2795"/>
      <c r="AMB33" s="2795"/>
      <c r="AMC33" s="2795"/>
      <c r="AMD33" s="2795"/>
      <c r="AME33" s="2795"/>
      <c r="AMF33" s="2795"/>
      <c r="AMG33" s="2795"/>
      <c r="AMH33" s="2795"/>
      <c r="AMI33" s="2795"/>
      <c r="AMJ33" s="2795"/>
      <c r="AMK33" s="2795"/>
      <c r="AML33" s="2795"/>
      <c r="AMM33" s="2795"/>
      <c r="AMN33" s="2795"/>
      <c r="AMO33" s="2795"/>
      <c r="AMP33" s="2795"/>
      <c r="AMQ33" s="2795"/>
      <c r="AMR33" s="2795"/>
      <c r="AMS33" s="2795"/>
      <c r="AMT33" s="2795"/>
      <c r="AMU33" s="2795"/>
      <c r="AMV33" s="2795"/>
      <c r="AMW33" s="2795"/>
      <c r="AMX33" s="2795"/>
      <c r="AMY33" s="2795"/>
      <c r="AMZ33" s="2795"/>
      <c r="ANA33" s="2795"/>
      <c r="ANB33" s="2795"/>
      <c r="ANC33" s="2795"/>
      <c r="AND33" s="2795"/>
      <c r="ANE33" s="2795"/>
      <c r="ANF33" s="2795"/>
      <c r="ANG33" s="2795"/>
      <c r="ANH33" s="2795"/>
      <c r="ANI33" s="2795"/>
      <c r="ANJ33" s="2795"/>
      <c r="ANK33" s="2795"/>
      <c r="ANL33" s="2795"/>
      <c r="ANM33" s="2795"/>
      <c r="ANN33" s="2795"/>
      <c r="ANO33" s="2795"/>
      <c r="ANP33" s="2795"/>
      <c r="ANQ33" s="2795"/>
      <c r="ANR33" s="2795"/>
      <c r="ANS33" s="2795"/>
      <c r="ANT33" s="2795"/>
      <c r="ANU33" s="2795"/>
      <c r="ANV33" s="2795"/>
      <c r="ANW33" s="2795"/>
      <c r="ANX33" s="2795"/>
      <c r="ANY33" s="2795"/>
      <c r="ANZ33" s="2795"/>
      <c r="AOA33" s="2795"/>
      <c r="AOB33" s="2795"/>
      <c r="AOC33" s="2795"/>
      <c r="AOD33" s="2795"/>
      <c r="AOE33" s="2795"/>
      <c r="AOF33" s="2795"/>
      <c r="AOG33" s="2795"/>
      <c r="AOH33" s="2795"/>
      <c r="AOI33" s="2795"/>
      <c r="AOJ33" s="2795"/>
      <c r="AOK33" s="2795"/>
      <c r="AOL33" s="2795"/>
      <c r="AOM33" s="2795"/>
      <c r="AON33" s="2795"/>
      <c r="AOO33" s="2795"/>
      <c r="AOP33" s="2795"/>
      <c r="AOQ33" s="2795"/>
      <c r="AOR33" s="2795"/>
      <c r="AOS33" s="2795"/>
      <c r="AOT33" s="2795"/>
      <c r="AOU33" s="2795"/>
      <c r="AOV33" s="2795"/>
      <c r="AOW33" s="2795"/>
      <c r="AOX33" s="2795"/>
      <c r="AOY33" s="2795"/>
      <c r="AOZ33" s="2795"/>
      <c r="APA33" s="2795"/>
      <c r="APB33" s="2795"/>
      <c r="APC33" s="2795"/>
      <c r="APD33" s="2795"/>
      <c r="APE33" s="2795"/>
      <c r="APF33" s="2795"/>
      <c r="APG33" s="2795"/>
      <c r="APH33" s="2795"/>
      <c r="API33" s="2795"/>
      <c r="APJ33" s="2795"/>
      <c r="APK33" s="2795"/>
      <c r="APL33" s="2795"/>
      <c r="APM33" s="2795"/>
      <c r="APN33" s="2795"/>
      <c r="APO33" s="2795"/>
      <c r="APP33" s="2795"/>
      <c r="APQ33" s="2795"/>
      <c r="APR33" s="2795"/>
      <c r="APS33" s="2795"/>
      <c r="APT33" s="2795"/>
      <c r="APU33" s="2795"/>
      <c r="APV33" s="2795"/>
      <c r="APW33" s="2795"/>
      <c r="APX33" s="2795"/>
      <c r="APY33" s="2795"/>
      <c r="APZ33" s="2795"/>
      <c r="AQA33" s="2795"/>
      <c r="AQB33" s="2795"/>
      <c r="AQC33" s="2795"/>
      <c r="AQD33" s="2795"/>
      <c r="AQE33" s="2795"/>
      <c r="AQF33" s="2795"/>
      <c r="AQG33" s="2795"/>
      <c r="AQH33" s="2795"/>
      <c r="AQI33" s="2795"/>
      <c r="AQJ33" s="2795"/>
      <c r="AQK33" s="2795"/>
      <c r="AQL33" s="2795"/>
      <c r="AQM33" s="2795"/>
      <c r="AQN33" s="2795"/>
      <c r="AQO33" s="2795"/>
      <c r="AQP33" s="2795"/>
      <c r="AQQ33" s="2795"/>
      <c r="AQR33" s="2795"/>
      <c r="AQS33" s="2795"/>
      <c r="AQT33" s="2795"/>
      <c r="AQU33" s="2795"/>
      <c r="AQV33" s="2795"/>
      <c r="AQW33" s="2795"/>
      <c r="AQX33" s="2795"/>
      <c r="AQY33" s="2795"/>
      <c r="AQZ33" s="2795"/>
      <c r="ARA33" s="2795"/>
      <c r="ARB33" s="2795"/>
      <c r="ARC33" s="2795"/>
      <c r="ARD33" s="2795"/>
      <c r="ARE33" s="2795"/>
      <c r="ARF33" s="2795"/>
      <c r="ARG33" s="2795"/>
      <c r="ARH33" s="2795"/>
      <c r="ARI33" s="2795"/>
      <c r="ARJ33" s="2795"/>
      <c r="ARK33" s="2795"/>
      <c r="ARL33" s="2795"/>
      <c r="ARM33" s="2795"/>
      <c r="ARN33" s="2795"/>
      <c r="ARO33" s="2795"/>
      <c r="ARP33" s="2795"/>
      <c r="ARQ33" s="2795"/>
      <c r="ARR33" s="2795"/>
      <c r="ARS33" s="2795"/>
      <c r="ART33" s="2795"/>
      <c r="ARU33" s="2795"/>
      <c r="ARV33" s="2795"/>
      <c r="ARW33" s="2795"/>
      <c r="ARX33" s="2795"/>
      <c r="ARY33" s="2795"/>
      <c r="ARZ33" s="2795"/>
      <c r="ASA33" s="2795"/>
      <c r="ASB33" s="2795"/>
      <c r="ASC33" s="2795"/>
      <c r="ASD33" s="2795"/>
      <c r="ASE33" s="2795"/>
      <c r="ASF33" s="2795"/>
      <c r="ASG33" s="2795"/>
      <c r="ASH33" s="2795"/>
      <c r="ASI33" s="2795"/>
      <c r="ASJ33" s="2795"/>
      <c r="ASK33" s="2795"/>
      <c r="ASL33" s="2795"/>
      <c r="ASM33" s="2795"/>
      <c r="ASN33" s="2795"/>
      <c r="ASO33" s="2795"/>
      <c r="ASP33" s="2795"/>
      <c r="ASQ33" s="2795"/>
      <c r="ASR33" s="2795"/>
      <c r="ASS33" s="2795"/>
      <c r="AST33" s="2795"/>
      <c r="ASU33" s="2795"/>
      <c r="ASV33" s="2795"/>
      <c r="ASW33" s="2795"/>
      <c r="ASX33" s="2795"/>
      <c r="ASY33" s="2795"/>
      <c r="ASZ33" s="2795"/>
      <c r="ATA33" s="2795"/>
      <c r="ATB33" s="2795"/>
      <c r="ATC33" s="2795"/>
      <c r="ATD33" s="2795"/>
      <c r="ATE33" s="2795"/>
      <c r="ATF33" s="2795"/>
      <c r="ATG33" s="2795"/>
      <c r="ATH33" s="2795"/>
      <c r="ATI33" s="2795"/>
      <c r="ATJ33" s="2795"/>
      <c r="ATK33" s="2795"/>
      <c r="ATL33" s="2795"/>
      <c r="ATM33" s="2795"/>
      <c r="ATN33" s="2795"/>
      <c r="ATO33" s="2795"/>
      <c r="ATP33" s="2795"/>
      <c r="ATQ33" s="2795"/>
      <c r="ATR33" s="2795"/>
      <c r="ATS33" s="2795"/>
      <c r="ATT33" s="2795"/>
      <c r="ATU33" s="2795"/>
      <c r="ATV33" s="2795"/>
      <c r="ATW33" s="2795"/>
      <c r="ATX33" s="2795"/>
      <c r="ATY33" s="2795"/>
      <c r="ATZ33" s="2795"/>
      <c r="AUA33" s="2795"/>
      <c r="AUB33" s="2795"/>
      <c r="AUC33" s="2795"/>
      <c r="AUD33" s="2795"/>
      <c r="AUE33" s="2795"/>
      <c r="AUF33" s="2795"/>
      <c r="AUG33" s="2795"/>
      <c r="AUH33" s="2795"/>
      <c r="AUI33" s="2795"/>
      <c r="AUJ33" s="2795"/>
      <c r="AUK33" s="2795"/>
      <c r="AUL33" s="2795"/>
      <c r="AUM33" s="2795"/>
      <c r="AUN33" s="2795"/>
      <c r="AUO33" s="2795"/>
      <c r="AUP33" s="2795"/>
      <c r="AUQ33" s="2795"/>
      <c r="AUR33" s="2795"/>
      <c r="AUS33" s="2795"/>
      <c r="AUT33" s="2795"/>
      <c r="AUU33" s="2795"/>
      <c r="AUV33" s="2795"/>
      <c r="AUW33" s="2795"/>
      <c r="AUX33" s="2795"/>
      <c r="AUY33" s="2795"/>
      <c r="AUZ33" s="2795"/>
      <c r="AVA33" s="2795"/>
      <c r="AVB33" s="2795"/>
      <c r="AVC33" s="2795"/>
      <c r="AVD33" s="2795"/>
      <c r="AVE33" s="2795"/>
      <c r="AVF33" s="2795"/>
      <c r="AVG33" s="2795"/>
      <c r="AVH33" s="2795"/>
      <c r="AVI33" s="2795"/>
      <c r="AVJ33" s="2795"/>
      <c r="AVK33" s="2795"/>
      <c r="AVL33" s="2795"/>
      <c r="AVM33" s="2795"/>
      <c r="AVN33" s="2795"/>
      <c r="AVO33" s="2795"/>
      <c r="AVP33" s="2795"/>
      <c r="AVQ33" s="2795"/>
      <c r="AVR33" s="2795"/>
      <c r="AVS33" s="2795"/>
      <c r="AVT33" s="2795"/>
      <c r="AVU33" s="2795"/>
      <c r="AVV33" s="2795"/>
      <c r="AVW33" s="2795"/>
      <c r="AVX33" s="2795"/>
      <c r="AVY33" s="2795"/>
      <c r="AVZ33" s="2795"/>
      <c r="AWA33" s="2795"/>
      <c r="AWB33" s="2795"/>
      <c r="AWC33" s="2795"/>
      <c r="AWD33" s="2795"/>
      <c r="AWE33" s="2795"/>
      <c r="AWF33" s="2795"/>
      <c r="AWG33" s="2795"/>
      <c r="AWH33" s="2795"/>
      <c r="AWI33" s="2795"/>
      <c r="AWJ33" s="2795"/>
      <c r="AWK33" s="2795"/>
      <c r="AWL33" s="2795"/>
      <c r="AWM33" s="2795"/>
      <c r="AWN33" s="2795"/>
      <c r="AWO33" s="2795"/>
      <c r="AWP33" s="2795"/>
      <c r="AWQ33" s="2795"/>
      <c r="AWR33" s="2795"/>
      <c r="AWS33" s="2795"/>
      <c r="AWT33" s="2795"/>
      <c r="AWU33" s="2795"/>
      <c r="AWV33" s="2795"/>
      <c r="AWW33" s="2795"/>
      <c r="AWX33" s="2795"/>
      <c r="AWY33" s="2795"/>
      <c r="AWZ33" s="2795"/>
      <c r="AXA33" s="2795"/>
      <c r="AXB33" s="2795"/>
      <c r="AXC33" s="2795"/>
      <c r="AXD33" s="2795"/>
      <c r="AXE33" s="2795"/>
      <c r="AXF33" s="2795"/>
      <c r="AXG33" s="2795"/>
      <c r="AXH33" s="2795"/>
      <c r="AXI33" s="2795"/>
      <c r="AXJ33" s="2795"/>
      <c r="AXK33" s="2795"/>
      <c r="AXL33" s="2795"/>
      <c r="AXM33" s="2795"/>
      <c r="AXN33" s="2795"/>
      <c r="AXO33" s="2795"/>
      <c r="AXP33" s="2795"/>
      <c r="AXQ33" s="2795"/>
      <c r="AXR33" s="2795"/>
      <c r="AXS33" s="2795"/>
      <c r="AXT33" s="2795"/>
      <c r="AXU33" s="2795"/>
      <c r="AXV33" s="2795"/>
      <c r="AXW33" s="2795"/>
      <c r="AXX33" s="2795"/>
      <c r="AXY33" s="2795"/>
      <c r="AXZ33" s="2795"/>
      <c r="AYA33" s="2795"/>
      <c r="AYB33" s="2795"/>
      <c r="AYC33" s="2795"/>
      <c r="AYD33" s="2795"/>
      <c r="AYE33" s="2795"/>
      <c r="AYF33" s="2795"/>
      <c r="AYG33" s="2795"/>
      <c r="AYH33" s="2795"/>
      <c r="AYI33" s="2795"/>
      <c r="AYJ33" s="2795"/>
      <c r="AYK33" s="2795"/>
      <c r="AYL33" s="2795"/>
      <c r="AYM33" s="2795"/>
      <c r="AYN33" s="2795"/>
      <c r="AYO33" s="2795"/>
      <c r="AYP33" s="2795"/>
      <c r="AYQ33" s="2795"/>
      <c r="AYR33" s="2795"/>
      <c r="AYS33" s="2795"/>
      <c r="AYT33" s="2795"/>
      <c r="AYU33" s="2795"/>
      <c r="AYV33" s="2795"/>
      <c r="AYW33" s="2795"/>
      <c r="AYX33" s="2795"/>
      <c r="AYY33" s="2795"/>
      <c r="AYZ33" s="2795"/>
      <c r="AZA33" s="2795"/>
      <c r="AZB33" s="2795"/>
      <c r="AZC33" s="2795"/>
      <c r="AZD33" s="2795"/>
      <c r="AZE33" s="2795"/>
      <c r="AZF33" s="2795"/>
      <c r="AZG33" s="2795"/>
      <c r="AZH33" s="2795"/>
      <c r="AZI33" s="2795"/>
      <c r="AZJ33" s="2795"/>
      <c r="AZK33" s="2795"/>
      <c r="AZL33" s="2795"/>
      <c r="AZM33" s="2795"/>
      <c r="AZN33" s="2795"/>
      <c r="AZO33" s="2795"/>
      <c r="AZP33" s="2795"/>
      <c r="AZQ33" s="2795"/>
      <c r="AZR33" s="2795"/>
      <c r="AZS33" s="2795"/>
      <c r="AZT33" s="2795"/>
      <c r="AZU33" s="2795"/>
      <c r="AZV33" s="2795"/>
      <c r="AZW33" s="2795"/>
      <c r="AZX33" s="2795"/>
      <c r="AZY33" s="2795"/>
      <c r="AZZ33" s="2795"/>
      <c r="BAA33" s="2795"/>
      <c r="BAB33" s="2795"/>
      <c r="BAC33" s="2795"/>
      <c r="BAD33" s="2795"/>
      <c r="BAE33" s="2795"/>
      <c r="BAF33" s="2795"/>
      <c r="BAG33" s="2795"/>
      <c r="BAH33" s="2795"/>
      <c r="BAI33" s="2795"/>
      <c r="BAJ33" s="2795"/>
      <c r="BAK33" s="2795"/>
      <c r="BAL33" s="2795"/>
      <c r="BAM33" s="2795"/>
      <c r="BAN33" s="2795"/>
      <c r="BAO33" s="2795"/>
      <c r="BAP33" s="2795"/>
      <c r="BAQ33" s="2795"/>
      <c r="BAR33" s="2795"/>
      <c r="BAS33" s="2795"/>
      <c r="BAT33" s="2795"/>
      <c r="BAU33" s="2795"/>
      <c r="BAV33" s="2795"/>
      <c r="BAW33" s="2795"/>
      <c r="BAX33" s="2795"/>
      <c r="BAY33" s="2795"/>
      <c r="BAZ33" s="2795"/>
      <c r="BBA33" s="2795"/>
      <c r="BBB33" s="2795"/>
      <c r="BBC33" s="2795"/>
      <c r="BBD33" s="2795"/>
      <c r="BBE33" s="2795"/>
      <c r="BBF33" s="2795"/>
      <c r="BBG33" s="2795"/>
      <c r="BBH33" s="2795"/>
      <c r="BBI33" s="2795"/>
      <c r="BBJ33" s="2795"/>
      <c r="BBK33" s="2795"/>
      <c r="BBL33" s="2795"/>
      <c r="BBM33" s="2795"/>
      <c r="BBN33" s="2795"/>
      <c r="BBO33" s="2795"/>
      <c r="BBP33" s="2795"/>
      <c r="BBQ33" s="2795"/>
      <c r="BBR33" s="2795"/>
      <c r="BBS33" s="2795"/>
      <c r="BBT33" s="2795"/>
      <c r="BBU33" s="2795"/>
      <c r="BBV33" s="2795"/>
      <c r="BBW33" s="2795"/>
      <c r="BBX33" s="2795"/>
      <c r="BBY33" s="2795"/>
      <c r="BBZ33" s="2795"/>
      <c r="BCA33" s="2795"/>
      <c r="BCB33" s="2795"/>
      <c r="BCC33" s="2795"/>
      <c r="BCD33" s="2795"/>
      <c r="BCE33" s="2795"/>
      <c r="BCF33" s="2795"/>
      <c r="BCG33" s="2795"/>
      <c r="BCH33" s="2795"/>
      <c r="BCI33" s="2795"/>
      <c r="BCJ33" s="2795"/>
      <c r="BCK33" s="2795"/>
      <c r="BCL33" s="2795"/>
      <c r="BCM33" s="2795"/>
      <c r="BCN33" s="2795"/>
      <c r="BCO33" s="2795"/>
      <c r="BCP33" s="2795"/>
      <c r="BCQ33" s="2795"/>
      <c r="BCR33" s="2795"/>
      <c r="BCS33" s="2795"/>
      <c r="BCT33" s="2795"/>
      <c r="BCU33" s="2795"/>
      <c r="BCV33" s="2795"/>
      <c r="BCW33" s="2795"/>
      <c r="BCX33" s="2795"/>
      <c r="BCY33" s="2795"/>
      <c r="BCZ33" s="2795"/>
      <c r="BDA33" s="2795"/>
      <c r="BDB33" s="2795"/>
      <c r="BDC33" s="2795"/>
      <c r="BDD33" s="2795"/>
      <c r="BDE33" s="2795"/>
      <c r="BDF33" s="2795"/>
      <c r="BDG33" s="2795"/>
      <c r="BDH33" s="2795"/>
      <c r="BDI33" s="2795"/>
      <c r="BDJ33" s="2795"/>
      <c r="BDK33" s="2795"/>
      <c r="BDL33" s="2795"/>
      <c r="BDM33" s="2795"/>
      <c r="BDN33" s="2795"/>
      <c r="BDO33" s="2795"/>
      <c r="BDP33" s="2795"/>
      <c r="BDQ33" s="2795"/>
      <c r="BDR33" s="2795"/>
      <c r="BDS33" s="2795"/>
      <c r="BDT33" s="2795"/>
      <c r="BDU33" s="2795"/>
      <c r="BDV33" s="2795"/>
      <c r="BDW33" s="2795"/>
      <c r="BDX33" s="2795"/>
      <c r="BDY33" s="2795"/>
      <c r="BDZ33" s="2795"/>
      <c r="BEA33" s="2795"/>
      <c r="BEB33" s="2795"/>
      <c r="BEC33" s="2795"/>
      <c r="BED33" s="2795"/>
      <c r="BEE33" s="2795"/>
      <c r="BEF33" s="2795"/>
      <c r="BEG33" s="2795"/>
      <c r="BEH33" s="2795"/>
      <c r="BEI33" s="2795"/>
      <c r="BEJ33" s="2795"/>
      <c r="BEK33" s="2795"/>
      <c r="BEL33" s="2795"/>
      <c r="BEM33" s="2795"/>
      <c r="BEN33" s="2795"/>
      <c r="BEO33" s="2795"/>
      <c r="BEP33" s="2795"/>
      <c r="BEQ33" s="2795"/>
      <c r="BER33" s="2795"/>
      <c r="BES33" s="2795"/>
      <c r="BET33" s="2795"/>
      <c r="BEU33" s="2795"/>
      <c r="BEV33" s="2795"/>
      <c r="BEW33" s="2795"/>
      <c r="BEX33" s="2795"/>
      <c r="BEY33" s="2795"/>
      <c r="BEZ33" s="2795"/>
      <c r="BFA33" s="2795"/>
      <c r="BFB33" s="2795"/>
      <c r="BFC33" s="2795"/>
      <c r="BFD33" s="2795"/>
      <c r="BFE33" s="2795"/>
      <c r="BFF33" s="2795"/>
      <c r="BFG33" s="2795"/>
      <c r="BFH33" s="2795"/>
      <c r="BFI33" s="2795"/>
      <c r="BFJ33" s="2795"/>
      <c r="BFK33" s="2795"/>
      <c r="BFL33" s="2795"/>
      <c r="BFM33" s="2795"/>
      <c r="BFN33" s="2795"/>
      <c r="BFO33" s="2795"/>
      <c r="BFP33" s="2795"/>
      <c r="BFQ33" s="2795"/>
      <c r="BFR33" s="2795"/>
      <c r="BFS33" s="2795"/>
      <c r="BFT33" s="2795"/>
      <c r="BFU33" s="2795"/>
      <c r="BFV33" s="2795"/>
      <c r="BFW33" s="2795"/>
      <c r="BFX33" s="2795"/>
      <c r="BFY33" s="2795"/>
      <c r="BFZ33" s="2795"/>
      <c r="BGA33" s="2795"/>
      <c r="BGB33" s="2795"/>
      <c r="BGC33" s="2795"/>
      <c r="BGD33" s="2795"/>
      <c r="BGE33" s="2795"/>
      <c r="BGF33" s="2795"/>
      <c r="BGG33" s="2795"/>
      <c r="BGH33" s="2795"/>
      <c r="BGI33" s="2795"/>
      <c r="BGJ33" s="2795"/>
      <c r="BGK33" s="2795"/>
      <c r="BGL33" s="2795"/>
      <c r="BGM33" s="2795"/>
      <c r="BGN33" s="2795"/>
      <c r="BGO33" s="2795"/>
      <c r="BGP33" s="2795"/>
      <c r="BGQ33" s="2795"/>
      <c r="BGR33" s="2795"/>
      <c r="BGS33" s="2795"/>
      <c r="BGT33" s="2795"/>
      <c r="BGU33" s="2795"/>
      <c r="BGV33" s="2795"/>
      <c r="BGW33" s="2795"/>
      <c r="BGX33" s="2795"/>
      <c r="BGY33" s="2795"/>
      <c r="BGZ33" s="2795"/>
      <c r="BHA33" s="2795"/>
      <c r="BHB33" s="2795"/>
      <c r="BHC33" s="2795"/>
      <c r="BHD33" s="2795"/>
      <c r="BHE33" s="2795"/>
      <c r="BHF33" s="2795"/>
      <c r="BHG33" s="2795"/>
      <c r="BHH33" s="2795"/>
      <c r="BHI33" s="2795"/>
      <c r="BHJ33" s="2795"/>
      <c r="BHK33" s="2795"/>
      <c r="BHL33" s="2795"/>
      <c r="BHM33" s="2795"/>
      <c r="BHN33" s="2795"/>
      <c r="BHO33" s="2795"/>
      <c r="BHP33" s="2795"/>
      <c r="BHQ33" s="2795"/>
      <c r="BHR33" s="2795"/>
      <c r="BHS33" s="2795"/>
      <c r="BHT33" s="2795"/>
      <c r="BHU33" s="2795"/>
      <c r="BHV33" s="2795"/>
      <c r="BHW33" s="2795"/>
      <c r="BHX33" s="2795"/>
      <c r="BHY33" s="2795"/>
      <c r="BHZ33" s="2795"/>
      <c r="BIA33" s="2795"/>
      <c r="BIB33" s="2795"/>
      <c r="BIC33" s="2795"/>
      <c r="BID33" s="2795"/>
      <c r="BIE33" s="2795"/>
      <c r="BIF33" s="2795"/>
      <c r="BIG33" s="2795"/>
      <c r="BIH33" s="2795"/>
      <c r="BII33" s="2795"/>
      <c r="BIJ33" s="2795"/>
      <c r="BIK33" s="2795"/>
      <c r="BIL33" s="2795"/>
      <c r="BIM33" s="2795"/>
      <c r="BIN33" s="2795"/>
      <c r="BIO33" s="2795"/>
      <c r="BIP33" s="2795"/>
      <c r="BIQ33" s="2795"/>
      <c r="BIR33" s="2795"/>
      <c r="BIS33" s="2795"/>
      <c r="BIT33" s="2795"/>
      <c r="BIU33" s="2795"/>
      <c r="BIV33" s="2795"/>
      <c r="BIW33" s="2795"/>
      <c r="BIX33" s="2795"/>
      <c r="BIY33" s="2795"/>
      <c r="BIZ33" s="2795"/>
      <c r="BJA33" s="2795"/>
      <c r="BJB33" s="2795"/>
      <c r="BJC33" s="2795"/>
      <c r="BJD33" s="2795"/>
      <c r="BJE33" s="2795"/>
      <c r="BJF33" s="2795"/>
      <c r="BJG33" s="2795"/>
      <c r="BJH33" s="2795"/>
      <c r="BJI33" s="2795"/>
      <c r="BJJ33" s="2795"/>
      <c r="BJK33" s="2795"/>
      <c r="BJL33" s="2795"/>
      <c r="BJM33" s="2795"/>
      <c r="BJN33" s="2795"/>
      <c r="BJO33" s="2795"/>
      <c r="BJP33" s="2795"/>
      <c r="BJQ33" s="2795"/>
      <c r="BJR33" s="2795"/>
      <c r="BJS33" s="2795"/>
      <c r="BJT33" s="2795"/>
      <c r="BJU33" s="2795"/>
      <c r="BJV33" s="2795"/>
      <c r="BJW33" s="2795"/>
      <c r="BJX33" s="2795"/>
      <c r="BJY33" s="2795"/>
      <c r="BJZ33" s="2795"/>
      <c r="BKA33" s="2795"/>
      <c r="BKB33" s="2795"/>
      <c r="BKC33" s="2795"/>
      <c r="BKD33" s="2795"/>
      <c r="BKE33" s="2795"/>
      <c r="BKF33" s="2795"/>
      <c r="BKG33" s="2795"/>
      <c r="BKH33" s="2795"/>
      <c r="BKI33" s="2795"/>
      <c r="BKJ33" s="2795"/>
      <c r="BKK33" s="2795"/>
      <c r="BKL33" s="2795"/>
      <c r="BKM33" s="2795"/>
      <c r="BKN33" s="2795"/>
      <c r="BKO33" s="2795"/>
      <c r="BKP33" s="2795"/>
      <c r="BKQ33" s="2795"/>
      <c r="BKR33" s="2795"/>
      <c r="BKS33" s="2795"/>
      <c r="BKT33" s="2795"/>
      <c r="BKU33" s="2795"/>
      <c r="BKV33" s="2795"/>
      <c r="BKW33" s="2795"/>
      <c r="BKX33" s="2795"/>
      <c r="BKY33" s="2795"/>
      <c r="BKZ33" s="2795"/>
      <c r="BLA33" s="2795"/>
      <c r="BLB33" s="2795"/>
      <c r="BLC33" s="2795"/>
      <c r="BLD33" s="2795"/>
      <c r="BLE33" s="2795"/>
      <c r="BLF33" s="2795"/>
      <c r="BLG33" s="2795"/>
      <c r="BLH33" s="2795"/>
      <c r="BLI33" s="2795"/>
      <c r="BLJ33" s="2795"/>
      <c r="BLK33" s="2795"/>
      <c r="BLL33" s="2795"/>
      <c r="BLM33" s="2795"/>
      <c r="BLN33" s="2795"/>
      <c r="BLO33" s="2795"/>
      <c r="BLP33" s="2795"/>
      <c r="BLQ33" s="2795"/>
      <c r="BLR33" s="2795"/>
      <c r="BLS33" s="2795"/>
      <c r="BLT33" s="2795"/>
      <c r="BLU33" s="2795"/>
      <c r="BLV33" s="2795"/>
      <c r="BLW33" s="2795"/>
      <c r="BLX33" s="2795"/>
      <c r="BLY33" s="2795"/>
      <c r="BLZ33" s="2795"/>
      <c r="BMA33" s="2795"/>
      <c r="BMB33" s="2795"/>
      <c r="BMC33" s="2795"/>
      <c r="BMD33" s="2795"/>
      <c r="BME33" s="2795"/>
      <c r="BMF33" s="2795"/>
      <c r="BMG33" s="2795"/>
      <c r="BMH33" s="2795"/>
      <c r="BMI33" s="2795"/>
      <c r="BMJ33" s="2795"/>
      <c r="BMK33" s="2795"/>
      <c r="BML33" s="2795"/>
      <c r="BMM33" s="2795"/>
      <c r="BMN33" s="2795"/>
      <c r="BMO33" s="2795"/>
      <c r="BMP33" s="2795"/>
      <c r="BMQ33" s="2795"/>
      <c r="BMR33" s="2795"/>
      <c r="BMS33" s="2795"/>
      <c r="BMT33" s="2795"/>
      <c r="BMU33" s="2795"/>
      <c r="BMV33" s="2795"/>
      <c r="BMW33" s="2795"/>
      <c r="BMX33" s="2795"/>
      <c r="BMY33" s="2795"/>
      <c r="BMZ33" s="2795"/>
      <c r="BNA33" s="2795"/>
      <c r="BNB33" s="2795"/>
      <c r="BNC33" s="2795"/>
      <c r="BND33" s="2795"/>
      <c r="BNE33" s="2795"/>
      <c r="BNF33" s="2795"/>
      <c r="BNG33" s="2795"/>
      <c r="BNH33" s="2795"/>
      <c r="BNI33" s="2795"/>
      <c r="BNJ33" s="2795"/>
      <c r="BNK33" s="2795"/>
      <c r="BNL33" s="2795"/>
      <c r="BNM33" s="2795"/>
      <c r="BNN33" s="2795"/>
      <c r="BNO33" s="2795"/>
      <c r="BNP33" s="2795"/>
      <c r="BNQ33" s="2795"/>
      <c r="BNR33" s="2795"/>
      <c r="BNS33" s="2795"/>
      <c r="BNT33" s="2795"/>
      <c r="BNU33" s="2795"/>
      <c r="BNV33" s="2795"/>
      <c r="BNW33" s="2795"/>
      <c r="BNX33" s="2795"/>
      <c r="BNY33" s="2795"/>
      <c r="BNZ33" s="2795"/>
      <c r="BOA33" s="2795"/>
      <c r="BOB33" s="2795"/>
      <c r="BOC33" s="2795"/>
      <c r="BOD33" s="2795"/>
      <c r="BOE33" s="2795"/>
      <c r="BOF33" s="2795"/>
      <c r="BOG33" s="2795"/>
      <c r="BOH33" s="2795"/>
      <c r="BOI33" s="2795"/>
      <c r="BOJ33" s="2795"/>
      <c r="BOK33" s="2795"/>
      <c r="BOL33" s="2795"/>
      <c r="BOM33" s="2795"/>
      <c r="BON33" s="2795"/>
      <c r="BOO33" s="2795"/>
      <c r="BOP33" s="2795"/>
      <c r="BOQ33" s="2795"/>
      <c r="BOR33" s="2795"/>
      <c r="BOS33" s="2795"/>
      <c r="BOT33" s="2795"/>
      <c r="BOU33" s="2795"/>
      <c r="BOV33" s="2795"/>
      <c r="BOW33" s="2795"/>
      <c r="BOX33" s="2795"/>
      <c r="BOY33" s="2795"/>
      <c r="BOZ33" s="2795"/>
      <c r="BPA33" s="2795"/>
      <c r="BPB33" s="2795"/>
      <c r="BPC33" s="2795"/>
      <c r="BPD33" s="2795"/>
      <c r="BPE33" s="2795"/>
      <c r="BPF33" s="2795"/>
      <c r="BPG33" s="2795"/>
      <c r="BPH33" s="2795"/>
      <c r="BPI33" s="2795"/>
      <c r="BPJ33" s="2795"/>
      <c r="BPK33" s="2795"/>
      <c r="BPL33" s="2795"/>
      <c r="BPM33" s="2795"/>
      <c r="BPN33" s="2795"/>
      <c r="BPO33" s="2795"/>
      <c r="BPP33" s="2795"/>
      <c r="BPQ33" s="2795"/>
      <c r="BPR33" s="2795"/>
      <c r="BPS33" s="2795"/>
      <c r="BPT33" s="2795"/>
      <c r="BPU33" s="2795"/>
      <c r="BPV33" s="2795"/>
      <c r="BPW33" s="2795"/>
      <c r="BPX33" s="2795"/>
      <c r="BPY33" s="2795"/>
      <c r="BPZ33" s="2795"/>
      <c r="BQA33" s="2795"/>
      <c r="BQB33" s="2795"/>
      <c r="BQC33" s="2795"/>
      <c r="BQD33" s="2795"/>
      <c r="BQE33" s="2795"/>
      <c r="BQF33" s="2795"/>
      <c r="BQG33" s="2795"/>
      <c r="BQH33" s="2795"/>
      <c r="BQI33" s="2795"/>
      <c r="BQJ33" s="2795"/>
      <c r="BQK33" s="2795"/>
      <c r="BQL33" s="2795"/>
      <c r="BQM33" s="2795"/>
      <c r="BQN33" s="2795"/>
      <c r="BQO33" s="2795"/>
      <c r="BQP33" s="2795"/>
      <c r="BQQ33" s="2795"/>
      <c r="BQR33" s="2795"/>
      <c r="BQS33" s="2795"/>
      <c r="BQT33" s="2795"/>
      <c r="BQU33" s="2795"/>
      <c r="BQV33" s="2795"/>
      <c r="BQW33" s="2795"/>
      <c r="BQX33" s="2795"/>
      <c r="BQY33" s="2795"/>
      <c r="BQZ33" s="2795"/>
      <c r="BRA33" s="2795"/>
      <c r="BRB33" s="2795"/>
      <c r="BRC33" s="2795"/>
      <c r="BRD33" s="2795"/>
      <c r="BRE33" s="2795"/>
      <c r="BRF33" s="2795"/>
      <c r="BRG33" s="2795"/>
      <c r="BRH33" s="2795"/>
      <c r="BRI33" s="2795"/>
      <c r="BRJ33" s="2795"/>
      <c r="BRK33" s="2795"/>
      <c r="BRL33" s="2795"/>
      <c r="BRM33" s="2795"/>
      <c r="BRN33" s="2795"/>
      <c r="BRO33" s="2795"/>
      <c r="BRP33" s="2795"/>
      <c r="BRQ33" s="2795"/>
      <c r="BRR33" s="2795"/>
      <c r="BRS33" s="2795"/>
      <c r="BRT33" s="2795"/>
      <c r="BRU33" s="2795"/>
      <c r="BRV33" s="2795"/>
      <c r="BRW33" s="2795"/>
      <c r="BRX33" s="2795"/>
      <c r="BRY33" s="2795"/>
      <c r="BRZ33" s="2795"/>
      <c r="BSA33" s="2795"/>
      <c r="BSB33" s="2795"/>
      <c r="BSC33" s="2795"/>
      <c r="BSD33" s="2795"/>
      <c r="BSE33" s="2795"/>
      <c r="BSF33" s="2795"/>
      <c r="BSG33" s="2795"/>
      <c r="BSH33" s="2795"/>
      <c r="BSI33" s="2795"/>
      <c r="BSJ33" s="2795"/>
      <c r="BSK33" s="2795"/>
      <c r="BSL33" s="2795"/>
      <c r="BSM33" s="2795"/>
      <c r="BSN33" s="2795"/>
      <c r="BSO33" s="2795"/>
      <c r="BSP33" s="2795"/>
      <c r="BSQ33" s="2795"/>
      <c r="BSR33" s="2795"/>
      <c r="BSS33" s="2795"/>
      <c r="BST33" s="2795"/>
      <c r="BSU33" s="2795"/>
      <c r="BSV33" s="2795"/>
      <c r="BSW33" s="2795"/>
      <c r="BSX33" s="2795"/>
      <c r="BSY33" s="2795"/>
      <c r="BSZ33" s="2795"/>
      <c r="BTA33" s="2795"/>
      <c r="BTB33" s="2795"/>
      <c r="BTC33" s="2795"/>
      <c r="BTD33" s="2795"/>
      <c r="BTE33" s="2795"/>
      <c r="BTF33" s="2795"/>
      <c r="BTG33" s="2795"/>
      <c r="BTH33" s="2795"/>
      <c r="BTI33" s="2795"/>
      <c r="BTJ33" s="2795"/>
      <c r="BTK33" s="2795"/>
      <c r="BTL33" s="2795"/>
      <c r="BTM33" s="2795"/>
      <c r="BTN33" s="2795"/>
      <c r="BTO33" s="2795"/>
      <c r="BTP33" s="2795"/>
      <c r="BTQ33" s="2795"/>
      <c r="BTR33" s="2795"/>
      <c r="BTS33" s="2795"/>
      <c r="BTT33" s="2795"/>
      <c r="BTU33" s="2795"/>
      <c r="BTV33" s="2795"/>
      <c r="BTW33" s="2795"/>
      <c r="BTX33" s="2795"/>
      <c r="BTY33" s="2795"/>
      <c r="BTZ33" s="2795"/>
      <c r="BUA33" s="2795"/>
      <c r="BUB33" s="2795"/>
      <c r="BUC33" s="2795"/>
      <c r="BUD33" s="2795"/>
      <c r="BUE33" s="2795"/>
      <c r="BUF33" s="2795"/>
      <c r="BUG33" s="2795"/>
      <c r="BUH33" s="2795"/>
      <c r="BUI33" s="2795"/>
      <c r="BUJ33" s="2795"/>
      <c r="BUK33" s="2795"/>
      <c r="BUL33" s="2795"/>
      <c r="BUM33" s="2795"/>
      <c r="BUN33" s="2795"/>
      <c r="BUO33" s="2795"/>
      <c r="BUP33" s="2795"/>
      <c r="BUQ33" s="2795"/>
      <c r="BUR33" s="2795"/>
      <c r="BUS33" s="2795"/>
      <c r="BUT33" s="2795"/>
      <c r="BUU33" s="2795"/>
      <c r="BUV33" s="2795"/>
      <c r="BUW33" s="2795"/>
      <c r="BUX33" s="2795"/>
      <c r="BUY33" s="2795"/>
      <c r="BUZ33" s="2795"/>
      <c r="BVA33" s="2795"/>
      <c r="BVB33" s="2795"/>
      <c r="BVC33" s="2795"/>
      <c r="BVD33" s="2795"/>
      <c r="BVE33" s="2795"/>
      <c r="BVF33" s="2795"/>
      <c r="BVG33" s="2795"/>
      <c r="BVH33" s="2795"/>
      <c r="BVI33" s="2795"/>
      <c r="BVJ33" s="2795"/>
      <c r="BVK33" s="2795"/>
      <c r="BVL33" s="2795"/>
      <c r="BVM33" s="2795"/>
      <c r="BVN33" s="2795"/>
      <c r="BVO33" s="2795"/>
      <c r="BVP33" s="2795"/>
      <c r="BVQ33" s="2795"/>
      <c r="BVR33" s="2795"/>
      <c r="BVS33" s="2795"/>
      <c r="BVT33" s="2795"/>
      <c r="BVU33" s="2795"/>
      <c r="BVV33" s="2795"/>
      <c r="BVW33" s="2795"/>
      <c r="BVX33" s="2795"/>
      <c r="BVY33" s="2795"/>
      <c r="BVZ33" s="2795"/>
      <c r="BWA33" s="2795"/>
      <c r="BWB33" s="2795"/>
      <c r="BWC33" s="2795"/>
      <c r="BWD33" s="2795"/>
      <c r="BWE33" s="2795"/>
      <c r="BWF33" s="2795"/>
      <c r="BWG33" s="2795"/>
      <c r="BWH33" s="2795"/>
      <c r="BWI33" s="2795"/>
      <c r="BWJ33" s="2795"/>
      <c r="BWK33" s="2795"/>
      <c r="BWL33" s="2795"/>
      <c r="BWM33" s="2795"/>
      <c r="BWN33" s="2795"/>
      <c r="BWO33" s="2795"/>
      <c r="BWP33" s="2795"/>
      <c r="BWQ33" s="2795"/>
      <c r="BWR33" s="2795"/>
      <c r="BWS33" s="2795"/>
      <c r="BWT33" s="2795"/>
      <c r="BWU33" s="2795"/>
      <c r="BWV33" s="2795"/>
      <c r="BWW33" s="2795"/>
      <c r="BWX33" s="2795"/>
      <c r="BWY33" s="2795"/>
      <c r="BWZ33" s="2795"/>
      <c r="BXA33" s="2795"/>
      <c r="BXB33" s="2795"/>
      <c r="BXC33" s="2795"/>
      <c r="BXD33" s="2795"/>
      <c r="BXE33" s="2795"/>
      <c r="BXF33" s="2795"/>
      <c r="BXG33" s="2795"/>
      <c r="BXH33" s="2795"/>
      <c r="BXI33" s="2795"/>
      <c r="BXJ33" s="2795"/>
      <c r="BXK33" s="2795"/>
      <c r="BXL33" s="2795"/>
      <c r="BXM33" s="2795"/>
      <c r="BXN33" s="2795"/>
      <c r="BXO33" s="2795"/>
      <c r="BXP33" s="2795"/>
      <c r="BXQ33" s="2795"/>
      <c r="BXR33" s="2795"/>
      <c r="BXS33" s="2795"/>
      <c r="BXT33" s="2795"/>
      <c r="BXU33" s="2795"/>
      <c r="BXV33" s="2795"/>
      <c r="BXW33" s="2795"/>
      <c r="BXX33" s="2795"/>
      <c r="BXY33" s="2795"/>
      <c r="BXZ33" s="2795"/>
      <c r="BYA33" s="2795"/>
      <c r="BYB33" s="2795"/>
      <c r="BYC33" s="2795"/>
      <c r="BYD33" s="2795"/>
      <c r="BYE33" s="2795"/>
      <c r="BYF33" s="2795"/>
      <c r="BYG33" s="2795"/>
      <c r="BYH33" s="2795"/>
      <c r="BYI33" s="2795"/>
      <c r="BYJ33" s="2795"/>
      <c r="BYK33" s="2795"/>
      <c r="BYL33" s="2795"/>
      <c r="BYM33" s="2795"/>
      <c r="BYN33" s="2795"/>
      <c r="BYO33" s="2795"/>
      <c r="BYP33" s="2795"/>
      <c r="BYQ33" s="2795"/>
      <c r="BYR33" s="2795"/>
      <c r="BYS33" s="2795"/>
      <c r="BYT33" s="2795"/>
      <c r="BYU33" s="2795"/>
      <c r="BYV33" s="2795"/>
      <c r="BYW33" s="2795"/>
      <c r="BYX33" s="2795"/>
      <c r="BYY33" s="2795"/>
      <c r="BYZ33" s="2795"/>
      <c r="BZA33" s="2795"/>
      <c r="BZB33" s="2795"/>
      <c r="BZC33" s="2795"/>
      <c r="BZD33" s="2795"/>
      <c r="BZE33" s="2795"/>
      <c r="BZF33" s="2795"/>
      <c r="BZG33" s="2795"/>
      <c r="BZH33" s="2795"/>
      <c r="BZI33" s="2795"/>
      <c r="BZJ33" s="2795"/>
      <c r="BZK33" s="2795"/>
      <c r="BZL33" s="2795"/>
      <c r="BZM33" s="2795"/>
      <c r="BZN33" s="2795"/>
      <c r="BZO33" s="2795"/>
      <c r="BZP33" s="2795"/>
      <c r="BZQ33" s="2795"/>
      <c r="BZR33" s="2795"/>
      <c r="BZS33" s="2795"/>
      <c r="BZT33" s="2795"/>
      <c r="BZU33" s="2795"/>
      <c r="BZV33" s="2795"/>
      <c r="BZW33" s="2795"/>
      <c r="BZX33" s="2795"/>
      <c r="BZY33" s="2795"/>
      <c r="BZZ33" s="2795"/>
      <c r="CAA33" s="2795"/>
      <c r="CAB33" s="2795"/>
      <c r="CAC33" s="2795"/>
      <c r="CAD33" s="2795"/>
      <c r="CAE33" s="2795"/>
      <c r="CAF33" s="2795"/>
      <c r="CAG33" s="2795"/>
      <c r="CAH33" s="2795"/>
      <c r="CAI33" s="2795"/>
      <c r="CAJ33" s="2795"/>
      <c r="CAK33" s="2795"/>
      <c r="CAL33" s="2795"/>
      <c r="CAM33" s="2795"/>
      <c r="CAN33" s="2795"/>
      <c r="CAO33" s="2795"/>
      <c r="CAP33" s="2795"/>
      <c r="CAQ33" s="2795"/>
      <c r="CAR33" s="2795"/>
      <c r="CAS33" s="2795"/>
      <c r="CAT33" s="2795"/>
      <c r="CAU33" s="2795"/>
      <c r="CAV33" s="2795"/>
      <c r="CAW33" s="2795"/>
      <c r="CAX33" s="2795"/>
      <c r="CAY33" s="2795"/>
      <c r="CAZ33" s="2795"/>
      <c r="CBA33" s="2795"/>
      <c r="CBB33" s="2795"/>
      <c r="CBC33" s="2795"/>
      <c r="CBD33" s="2795"/>
      <c r="CBE33" s="2795"/>
      <c r="CBF33" s="2795"/>
      <c r="CBG33" s="2795"/>
      <c r="CBH33" s="2795"/>
      <c r="CBI33" s="2795"/>
      <c r="CBJ33" s="2795"/>
      <c r="CBK33" s="2795"/>
      <c r="CBL33" s="2795"/>
      <c r="CBM33" s="2795"/>
      <c r="CBN33" s="2795"/>
      <c r="CBO33" s="2795"/>
      <c r="CBP33" s="2795"/>
      <c r="CBQ33" s="2795"/>
      <c r="CBR33" s="2795"/>
      <c r="CBS33" s="2795"/>
      <c r="CBT33" s="2795"/>
      <c r="CBU33" s="2795"/>
      <c r="CBV33" s="2795"/>
      <c r="CBW33" s="2795"/>
      <c r="CBX33" s="2795"/>
      <c r="CBY33" s="2795"/>
      <c r="CBZ33" s="2795"/>
      <c r="CCA33" s="2795"/>
      <c r="CCB33" s="2795"/>
      <c r="CCC33" s="2795"/>
      <c r="CCD33" s="2795"/>
      <c r="CCE33" s="2795"/>
      <c r="CCF33" s="2795"/>
      <c r="CCG33" s="2795"/>
      <c r="CCH33" s="2795"/>
      <c r="CCI33" s="2795"/>
      <c r="CCJ33" s="2795"/>
      <c r="CCK33" s="2795"/>
      <c r="CCL33" s="2795"/>
      <c r="CCM33" s="2795"/>
      <c r="CCN33" s="2795"/>
      <c r="CCO33" s="2795"/>
      <c r="CCP33" s="2795"/>
      <c r="CCQ33" s="2795"/>
      <c r="CCR33" s="2795"/>
      <c r="CCS33" s="2795"/>
      <c r="CCT33" s="2795"/>
      <c r="CCU33" s="2795"/>
      <c r="CCV33" s="2795"/>
      <c r="CCW33" s="2795"/>
      <c r="CCX33" s="2795"/>
      <c r="CCY33" s="2795"/>
      <c r="CCZ33" s="2795"/>
      <c r="CDA33" s="2795"/>
      <c r="CDB33" s="2795"/>
      <c r="CDC33" s="2795"/>
      <c r="CDD33" s="2795"/>
      <c r="CDE33" s="2795"/>
      <c r="CDF33" s="2795"/>
      <c r="CDG33" s="2795"/>
      <c r="CDH33" s="2795"/>
      <c r="CDI33" s="2795"/>
      <c r="CDJ33" s="2795"/>
      <c r="CDK33" s="2795"/>
      <c r="CDL33" s="2795"/>
      <c r="CDM33" s="2795"/>
      <c r="CDN33" s="2795"/>
      <c r="CDO33" s="2795"/>
      <c r="CDP33" s="2795"/>
      <c r="CDQ33" s="2795"/>
      <c r="CDR33" s="2795"/>
      <c r="CDS33" s="2795"/>
      <c r="CDT33" s="2795"/>
      <c r="CDU33" s="2795"/>
      <c r="CDV33" s="2795"/>
      <c r="CDW33" s="2795"/>
      <c r="CDX33" s="2795"/>
      <c r="CDY33" s="2795"/>
      <c r="CDZ33" s="2795"/>
      <c r="CEA33" s="2795"/>
      <c r="CEB33" s="2795"/>
      <c r="CEC33" s="2795"/>
      <c r="CED33" s="2795"/>
      <c r="CEE33" s="2795"/>
      <c r="CEF33" s="2795"/>
      <c r="CEG33" s="2795"/>
      <c r="CEH33" s="2795"/>
      <c r="CEI33" s="2795"/>
      <c r="CEJ33" s="2795"/>
      <c r="CEK33" s="2795"/>
      <c r="CEL33" s="2795"/>
      <c r="CEM33" s="2795"/>
      <c r="CEN33" s="2795"/>
      <c r="CEO33" s="2795"/>
      <c r="CEP33" s="2795"/>
      <c r="CEQ33" s="2795"/>
      <c r="CER33" s="2795"/>
      <c r="CES33" s="2795"/>
      <c r="CET33" s="2795"/>
      <c r="CEU33" s="2795"/>
      <c r="CEV33" s="2795"/>
      <c r="CEW33" s="2795"/>
      <c r="CEX33" s="2795"/>
      <c r="CEY33" s="2795"/>
      <c r="CEZ33" s="2795"/>
      <c r="CFA33" s="2795"/>
      <c r="CFB33" s="2795"/>
      <c r="CFC33" s="2795"/>
      <c r="CFD33" s="2795"/>
      <c r="CFE33" s="2795"/>
      <c r="CFF33" s="2795"/>
      <c r="CFG33" s="2795"/>
      <c r="CFH33" s="2795"/>
      <c r="CFI33" s="2795"/>
      <c r="CFJ33" s="2795"/>
      <c r="CFK33" s="2795"/>
      <c r="CFL33" s="2795"/>
      <c r="CFM33" s="2795"/>
      <c r="CFN33" s="2795"/>
      <c r="CFO33" s="2795"/>
      <c r="CFP33" s="2795"/>
      <c r="CFQ33" s="2795"/>
      <c r="CFR33" s="2795"/>
      <c r="CFS33" s="2795"/>
      <c r="CFT33" s="2795"/>
      <c r="CFU33" s="2795"/>
      <c r="CFV33" s="2795"/>
      <c r="CFW33" s="2795"/>
      <c r="CFX33" s="2795"/>
      <c r="CFY33" s="2795"/>
      <c r="CFZ33" s="2795"/>
      <c r="CGA33" s="2795"/>
      <c r="CGB33" s="2795"/>
      <c r="CGC33" s="2795"/>
      <c r="CGD33" s="2795"/>
      <c r="CGE33" s="2795"/>
      <c r="CGF33" s="2795"/>
      <c r="CGG33" s="2795"/>
      <c r="CGH33" s="2795"/>
      <c r="CGI33" s="2795"/>
      <c r="CGJ33" s="2795"/>
      <c r="CGK33" s="2795"/>
      <c r="CGL33" s="2795"/>
      <c r="CGM33" s="2795"/>
      <c r="CGN33" s="2795"/>
      <c r="CGO33" s="2795"/>
      <c r="CGP33" s="2795"/>
      <c r="CGQ33" s="2795"/>
      <c r="CGR33" s="2795"/>
      <c r="CGS33" s="2795"/>
      <c r="CGT33" s="2795"/>
      <c r="CGU33" s="2795"/>
      <c r="CGV33" s="2795"/>
      <c r="CGW33" s="2795"/>
      <c r="CGX33" s="2795"/>
      <c r="CGY33" s="2795"/>
      <c r="CGZ33" s="2795"/>
      <c r="CHA33" s="2795"/>
      <c r="CHB33" s="2795"/>
      <c r="CHC33" s="2795"/>
      <c r="CHD33" s="2795"/>
      <c r="CHE33" s="2795"/>
      <c r="CHF33" s="2795"/>
      <c r="CHG33" s="2795"/>
      <c r="CHH33" s="2795"/>
      <c r="CHI33" s="2795"/>
      <c r="CHJ33" s="2795"/>
      <c r="CHK33" s="2795"/>
      <c r="CHL33" s="2795"/>
      <c r="CHM33" s="2795"/>
      <c r="CHN33" s="2795"/>
      <c r="CHO33" s="2795"/>
      <c r="CHP33" s="2795"/>
      <c r="CHQ33" s="2795"/>
      <c r="CHR33" s="2795"/>
      <c r="CHS33" s="2795"/>
      <c r="CHT33" s="2795"/>
      <c r="CHU33" s="2795"/>
      <c r="CHV33" s="2795"/>
      <c r="CHW33" s="2795"/>
      <c r="CHX33" s="2795"/>
      <c r="CHY33" s="2795"/>
      <c r="CHZ33" s="2795"/>
      <c r="CIA33" s="2795"/>
      <c r="CIB33" s="2795"/>
      <c r="CIC33" s="2795"/>
      <c r="CID33" s="2795"/>
      <c r="CIE33" s="2795"/>
      <c r="CIF33" s="2795"/>
      <c r="CIG33" s="2795"/>
      <c r="CIH33" s="2795"/>
      <c r="CII33" s="2795"/>
      <c r="CIJ33" s="2795"/>
      <c r="CIK33" s="2795"/>
      <c r="CIL33" s="2795"/>
      <c r="CIM33" s="2795"/>
      <c r="CIN33" s="2795"/>
      <c r="CIO33" s="2795"/>
      <c r="CIP33" s="2795"/>
      <c r="CIQ33" s="2795"/>
      <c r="CIR33" s="2795"/>
      <c r="CIS33" s="2795"/>
      <c r="CIT33" s="2795"/>
      <c r="CIU33" s="2795"/>
      <c r="CIV33" s="2795"/>
      <c r="CIW33" s="2795"/>
      <c r="CIX33" s="2795"/>
      <c r="CIY33" s="2795"/>
      <c r="CIZ33" s="2795"/>
      <c r="CJA33" s="2795"/>
      <c r="CJB33" s="2795"/>
      <c r="CJC33" s="2795"/>
      <c r="CJD33" s="2795"/>
      <c r="CJE33" s="2795"/>
      <c r="CJF33" s="2795"/>
      <c r="CJG33" s="2795"/>
      <c r="CJH33" s="2795"/>
      <c r="CJI33" s="2795"/>
      <c r="CJJ33" s="2795"/>
      <c r="CJK33" s="2795"/>
      <c r="CJL33" s="2795"/>
      <c r="CJM33" s="2795"/>
      <c r="CJN33" s="2795"/>
      <c r="CJO33" s="2795"/>
      <c r="CJP33" s="2795"/>
      <c r="CJQ33" s="2795"/>
      <c r="CJR33" s="2795"/>
      <c r="CJS33" s="2795"/>
      <c r="CJT33" s="2795"/>
      <c r="CJU33" s="2795"/>
      <c r="CJV33" s="2795"/>
      <c r="CJW33" s="2795"/>
      <c r="CJX33" s="2795"/>
      <c r="CJY33" s="2795"/>
      <c r="CJZ33" s="2795"/>
      <c r="CKA33" s="2795"/>
      <c r="CKB33" s="2795"/>
      <c r="CKC33" s="2795"/>
      <c r="CKD33" s="2795"/>
      <c r="CKE33" s="2795"/>
      <c r="CKF33" s="2795"/>
      <c r="CKG33" s="2795"/>
      <c r="CKH33" s="2795"/>
      <c r="CKI33" s="2795"/>
      <c r="CKJ33" s="2795"/>
      <c r="CKK33" s="2795"/>
      <c r="CKL33" s="2795"/>
      <c r="CKM33" s="2795"/>
      <c r="CKN33" s="2795"/>
      <c r="CKO33" s="2795"/>
      <c r="CKP33" s="2795"/>
      <c r="CKQ33" s="2795"/>
      <c r="CKR33" s="2795"/>
      <c r="CKS33" s="2795"/>
      <c r="CKT33" s="2795"/>
      <c r="CKU33" s="2795"/>
      <c r="CKV33" s="2795"/>
      <c r="CKW33" s="2795"/>
      <c r="CKX33" s="2795"/>
      <c r="CKY33" s="2795"/>
      <c r="CKZ33" s="2795"/>
      <c r="CLA33" s="2795"/>
      <c r="CLB33" s="2795"/>
      <c r="CLC33" s="2795"/>
      <c r="CLD33" s="2795"/>
      <c r="CLE33" s="2795"/>
      <c r="CLF33" s="2795"/>
      <c r="CLG33" s="2795"/>
      <c r="CLH33" s="2795"/>
      <c r="CLI33" s="2795"/>
      <c r="CLJ33" s="2795"/>
      <c r="CLK33" s="2795"/>
      <c r="CLL33" s="2795"/>
      <c r="CLM33" s="2795"/>
      <c r="CLN33" s="2795"/>
      <c r="CLO33" s="2795"/>
      <c r="CLP33" s="2795"/>
      <c r="CLQ33" s="2795"/>
      <c r="CLR33" s="2795"/>
      <c r="CLS33" s="2795"/>
      <c r="CLT33" s="2795"/>
      <c r="CLU33" s="2795"/>
      <c r="CLV33" s="2795"/>
      <c r="CLW33" s="2795"/>
      <c r="CLX33" s="2795"/>
      <c r="CLY33" s="2795"/>
      <c r="CLZ33" s="2795"/>
      <c r="CMA33" s="2795"/>
      <c r="CMB33" s="2795"/>
      <c r="CMC33" s="2795"/>
      <c r="CMD33" s="2795"/>
      <c r="CME33" s="2795"/>
      <c r="CMF33" s="2795"/>
      <c r="CMG33" s="2795"/>
      <c r="CMH33" s="2795"/>
      <c r="CMI33" s="2795"/>
      <c r="CMJ33" s="2795"/>
      <c r="CMK33" s="2795"/>
      <c r="CML33" s="2795"/>
      <c r="CMM33" s="2795"/>
      <c r="CMN33" s="2795"/>
      <c r="CMO33" s="2795"/>
      <c r="CMP33" s="2795"/>
      <c r="CMQ33" s="2795"/>
      <c r="CMR33" s="2795"/>
      <c r="CMS33" s="2795"/>
      <c r="CMT33" s="2795"/>
      <c r="CMU33" s="2795"/>
      <c r="CMV33" s="2795"/>
      <c r="CMW33" s="2795"/>
      <c r="CMX33" s="2795"/>
      <c r="CMY33" s="2795"/>
      <c r="CMZ33" s="2795"/>
      <c r="CNA33" s="2795"/>
      <c r="CNB33" s="2795"/>
      <c r="CNC33" s="2795"/>
      <c r="CND33" s="2795"/>
      <c r="CNE33" s="2795"/>
      <c r="CNF33" s="2795"/>
      <c r="CNG33" s="2795"/>
      <c r="CNH33" s="2795"/>
      <c r="CNI33" s="2795"/>
      <c r="CNJ33" s="2795"/>
      <c r="CNK33" s="2795"/>
      <c r="CNL33" s="2795"/>
      <c r="CNM33" s="2795"/>
      <c r="CNN33" s="2795"/>
      <c r="CNO33" s="2795"/>
      <c r="CNP33" s="2795"/>
      <c r="CNQ33" s="2795"/>
      <c r="CNR33" s="2795"/>
      <c r="CNS33" s="2795"/>
      <c r="CNT33" s="2795"/>
      <c r="CNU33" s="2795"/>
      <c r="CNV33" s="2795"/>
      <c r="CNW33" s="2795"/>
      <c r="CNX33" s="2795"/>
      <c r="CNY33" s="2795"/>
      <c r="CNZ33" s="2795"/>
      <c r="COA33" s="2795"/>
      <c r="COB33" s="2795"/>
      <c r="COC33" s="2795"/>
      <c r="COD33" s="2795"/>
      <c r="COE33" s="2795"/>
      <c r="COF33" s="2795"/>
      <c r="COG33" s="2795"/>
      <c r="COH33" s="2795"/>
      <c r="COI33" s="2795"/>
      <c r="COJ33" s="2795"/>
      <c r="COK33" s="2795"/>
      <c r="COL33" s="2795"/>
      <c r="COM33" s="2795"/>
      <c r="CON33" s="2795"/>
      <c r="COO33" s="2795"/>
      <c r="COP33" s="2795"/>
      <c r="COQ33" s="2795"/>
      <c r="COR33" s="2795"/>
      <c r="COS33" s="2795"/>
      <c r="COT33" s="2795"/>
      <c r="COU33" s="2795"/>
      <c r="COV33" s="2795"/>
      <c r="COW33" s="2795"/>
      <c r="COX33" s="2795"/>
      <c r="COY33" s="2795"/>
      <c r="COZ33" s="2795"/>
      <c r="CPA33" s="2795"/>
      <c r="CPB33" s="2795"/>
      <c r="CPC33" s="2795"/>
      <c r="CPD33" s="2795"/>
      <c r="CPE33" s="2795"/>
      <c r="CPF33" s="2795"/>
      <c r="CPG33" s="2795"/>
      <c r="CPH33" s="2795"/>
      <c r="CPI33" s="2795"/>
      <c r="CPJ33" s="2795"/>
      <c r="CPK33" s="2795"/>
      <c r="CPL33" s="2795"/>
      <c r="CPM33" s="2795"/>
      <c r="CPN33" s="2795"/>
      <c r="CPO33" s="2795"/>
      <c r="CPP33" s="2795"/>
      <c r="CPQ33" s="2795"/>
      <c r="CPR33" s="2795"/>
      <c r="CPS33" s="2795"/>
      <c r="CPT33" s="2795"/>
      <c r="CPU33" s="2795"/>
      <c r="CPV33" s="2795"/>
      <c r="CPW33" s="2795"/>
      <c r="CPX33" s="2795"/>
      <c r="CPY33" s="2795"/>
      <c r="CPZ33" s="2795"/>
      <c r="CQA33" s="2795"/>
      <c r="CQB33" s="2795"/>
      <c r="CQC33" s="2795"/>
      <c r="CQD33" s="2795"/>
      <c r="CQE33" s="2795"/>
      <c r="CQF33" s="2795"/>
      <c r="CQG33" s="2795"/>
      <c r="CQH33" s="2795"/>
      <c r="CQI33" s="2795"/>
      <c r="CQJ33" s="2795"/>
      <c r="CQK33" s="2795"/>
      <c r="CQL33" s="2795"/>
      <c r="CQM33" s="2795"/>
      <c r="CQN33" s="2795"/>
      <c r="CQO33" s="2795"/>
      <c r="CQP33" s="2795"/>
      <c r="CQQ33" s="2795"/>
      <c r="CQR33" s="2795"/>
      <c r="CQS33" s="2795"/>
      <c r="CQT33" s="2795"/>
      <c r="CQU33" s="2795"/>
      <c r="CQV33" s="2795"/>
      <c r="CQW33" s="2795"/>
      <c r="CQX33" s="2795"/>
      <c r="CQY33" s="2795"/>
      <c r="CQZ33" s="2795"/>
      <c r="CRA33" s="2795"/>
      <c r="CRB33" s="2795"/>
      <c r="CRC33" s="2795"/>
      <c r="CRD33" s="2795"/>
      <c r="CRE33" s="2795"/>
      <c r="CRF33" s="2795"/>
      <c r="CRG33" s="2795"/>
      <c r="CRH33" s="2795"/>
      <c r="CRI33" s="2795"/>
      <c r="CRJ33" s="2795"/>
      <c r="CRK33" s="2795"/>
      <c r="CRL33" s="2795"/>
      <c r="CRM33" s="2795"/>
      <c r="CRN33" s="2795"/>
      <c r="CRO33" s="2795"/>
      <c r="CRP33" s="2795"/>
      <c r="CRQ33" s="2795"/>
      <c r="CRR33" s="2795"/>
      <c r="CRS33" s="2795"/>
      <c r="CRT33" s="2795"/>
      <c r="CRU33" s="2795"/>
      <c r="CRV33" s="2795"/>
      <c r="CRW33" s="2795"/>
      <c r="CRX33" s="2795"/>
      <c r="CRY33" s="2795"/>
      <c r="CRZ33" s="2795"/>
      <c r="CSA33" s="2795"/>
      <c r="CSB33" s="2795"/>
      <c r="CSC33" s="2795"/>
      <c r="CSD33" s="2795"/>
      <c r="CSE33" s="2795"/>
      <c r="CSF33" s="2795"/>
      <c r="CSG33" s="2795"/>
      <c r="CSH33" s="2795"/>
      <c r="CSI33" s="2795"/>
      <c r="CSJ33" s="2795"/>
      <c r="CSK33" s="2795"/>
      <c r="CSL33" s="2795"/>
      <c r="CSM33" s="2795"/>
      <c r="CSN33" s="2795"/>
      <c r="CSO33" s="2795"/>
      <c r="CSP33" s="2795"/>
      <c r="CSQ33" s="2795"/>
      <c r="CSR33" s="2795"/>
      <c r="CSS33" s="2795"/>
      <c r="CST33" s="2795"/>
      <c r="CSU33" s="2795"/>
      <c r="CSV33" s="2795"/>
      <c r="CSW33" s="2795"/>
      <c r="CSX33" s="2795"/>
      <c r="CSY33" s="2795"/>
      <c r="CSZ33" s="2795"/>
      <c r="CTA33" s="2795"/>
      <c r="CTB33" s="2795"/>
      <c r="CTC33" s="2795"/>
      <c r="CTD33" s="2795"/>
      <c r="CTE33" s="2795"/>
      <c r="CTF33" s="2795"/>
      <c r="CTG33" s="2795"/>
      <c r="CTH33" s="2795"/>
      <c r="CTI33" s="2795"/>
      <c r="CTJ33" s="2795"/>
      <c r="CTK33" s="2795"/>
      <c r="CTL33" s="2795"/>
      <c r="CTM33" s="2795"/>
      <c r="CTN33" s="2795"/>
      <c r="CTO33" s="2795"/>
      <c r="CTP33" s="2795"/>
      <c r="CTQ33" s="2795"/>
      <c r="CTR33" s="2795"/>
      <c r="CTS33" s="2795"/>
      <c r="CTT33" s="2795"/>
      <c r="CTU33" s="2795"/>
      <c r="CTV33" s="2795"/>
      <c r="CTW33" s="2795"/>
      <c r="CTX33" s="2795"/>
      <c r="CTY33" s="2795"/>
      <c r="CTZ33" s="2795"/>
      <c r="CUA33" s="2795"/>
      <c r="CUB33" s="2795"/>
      <c r="CUC33" s="2795"/>
      <c r="CUD33" s="2795"/>
      <c r="CUE33" s="2795"/>
      <c r="CUF33" s="2795"/>
      <c r="CUG33" s="2795"/>
      <c r="CUH33" s="2795"/>
      <c r="CUI33" s="2795"/>
      <c r="CUJ33" s="2795"/>
      <c r="CUK33" s="2795"/>
      <c r="CUL33" s="2795"/>
      <c r="CUM33" s="2795"/>
      <c r="CUN33" s="2795"/>
      <c r="CUO33" s="2795"/>
      <c r="CUP33" s="2795"/>
      <c r="CUQ33" s="2795"/>
      <c r="CUR33" s="2795"/>
      <c r="CUS33" s="2795"/>
      <c r="CUT33" s="2795"/>
      <c r="CUU33" s="2795"/>
      <c r="CUV33" s="2795"/>
      <c r="CUW33" s="2795"/>
      <c r="CUX33" s="2795"/>
      <c r="CUY33" s="2795"/>
      <c r="CUZ33" s="2795"/>
      <c r="CVA33" s="2795"/>
      <c r="CVB33" s="2795"/>
      <c r="CVC33" s="2795"/>
      <c r="CVD33" s="2795"/>
      <c r="CVE33" s="2795"/>
      <c r="CVF33" s="2795"/>
      <c r="CVG33" s="2795"/>
      <c r="CVH33" s="2795"/>
      <c r="CVI33" s="2795"/>
      <c r="CVJ33" s="2795"/>
      <c r="CVK33" s="2795"/>
      <c r="CVL33" s="2795"/>
      <c r="CVM33" s="2795"/>
      <c r="CVN33" s="2795"/>
      <c r="CVO33" s="2795"/>
      <c r="CVP33" s="2795"/>
      <c r="CVQ33" s="2795"/>
      <c r="CVR33" s="2795"/>
      <c r="CVS33" s="2795"/>
      <c r="CVT33" s="2795"/>
      <c r="CVU33" s="2795"/>
      <c r="CVV33" s="2795"/>
      <c r="CVW33" s="2795"/>
      <c r="CVX33" s="2795"/>
      <c r="CVY33" s="2795"/>
      <c r="CVZ33" s="2795"/>
      <c r="CWA33" s="2795"/>
      <c r="CWB33" s="2795"/>
      <c r="CWC33" s="2795"/>
      <c r="CWD33" s="2795"/>
      <c r="CWE33" s="2795"/>
      <c r="CWF33" s="2795"/>
      <c r="CWG33" s="2795"/>
      <c r="CWH33" s="2795"/>
      <c r="CWI33" s="2795"/>
      <c r="CWJ33" s="2795"/>
      <c r="CWK33" s="2795"/>
      <c r="CWL33" s="2795"/>
      <c r="CWM33" s="2795"/>
      <c r="CWN33" s="2795"/>
      <c r="CWO33" s="2795"/>
      <c r="CWP33" s="2795"/>
      <c r="CWQ33" s="2795"/>
      <c r="CWR33" s="2795"/>
      <c r="CWS33" s="2795"/>
      <c r="CWT33" s="2795"/>
      <c r="CWU33" s="2795"/>
      <c r="CWV33" s="2795"/>
      <c r="CWW33" s="2795"/>
      <c r="CWX33" s="2795"/>
      <c r="CWY33" s="2795"/>
      <c r="CWZ33" s="2795"/>
      <c r="CXA33" s="2795"/>
      <c r="CXB33" s="2795"/>
      <c r="CXC33" s="2795"/>
      <c r="CXD33" s="2795"/>
      <c r="CXE33" s="2795"/>
      <c r="CXF33" s="2795"/>
      <c r="CXG33" s="2795"/>
      <c r="CXH33" s="2795"/>
      <c r="CXI33" s="2795"/>
      <c r="CXJ33" s="2795"/>
      <c r="CXK33" s="2795"/>
      <c r="CXL33" s="2795"/>
      <c r="CXM33" s="2795"/>
      <c r="CXN33" s="2795"/>
      <c r="CXO33" s="2795"/>
      <c r="CXP33" s="2795"/>
      <c r="CXQ33" s="2795"/>
      <c r="CXR33" s="2795"/>
      <c r="CXS33" s="2795"/>
      <c r="CXT33" s="2795"/>
      <c r="CXU33" s="2795"/>
      <c r="CXV33" s="2795"/>
      <c r="CXW33" s="2795"/>
      <c r="CXX33" s="2795"/>
      <c r="CXY33" s="2795"/>
      <c r="CXZ33" s="2795"/>
      <c r="CYA33" s="2795"/>
      <c r="CYB33" s="2795"/>
      <c r="CYC33" s="2795"/>
      <c r="CYD33" s="2795"/>
      <c r="CYE33" s="2795"/>
      <c r="CYF33" s="2795"/>
      <c r="CYG33" s="2795"/>
      <c r="CYH33" s="2795"/>
      <c r="CYI33" s="2795"/>
      <c r="CYJ33" s="2795"/>
      <c r="CYK33" s="2795"/>
      <c r="CYL33" s="2795"/>
      <c r="CYM33" s="2795"/>
      <c r="CYN33" s="2795"/>
      <c r="CYO33" s="2795"/>
      <c r="CYP33" s="2795"/>
      <c r="CYQ33" s="2795"/>
      <c r="CYR33" s="2795"/>
      <c r="CYS33" s="2795"/>
      <c r="CYT33" s="2795"/>
      <c r="CYU33" s="2795"/>
      <c r="CYV33" s="2795"/>
      <c r="CYW33" s="2795"/>
      <c r="CYX33" s="2795"/>
      <c r="CYY33" s="2795"/>
      <c r="CYZ33" s="2795"/>
      <c r="CZA33" s="2795"/>
      <c r="CZB33" s="2795"/>
      <c r="CZC33" s="2795"/>
      <c r="CZD33" s="2795"/>
      <c r="CZE33" s="2795"/>
      <c r="CZF33" s="2795"/>
      <c r="CZG33" s="2795"/>
      <c r="CZH33" s="2795"/>
      <c r="CZI33" s="2795"/>
      <c r="CZJ33" s="2795"/>
      <c r="CZK33" s="2795"/>
      <c r="CZL33" s="2795"/>
      <c r="CZM33" s="2795"/>
      <c r="CZN33" s="2795"/>
      <c r="CZO33" s="2795"/>
      <c r="CZP33" s="2795"/>
      <c r="CZQ33" s="2795"/>
      <c r="CZR33" s="2795"/>
      <c r="CZS33" s="2795"/>
      <c r="CZT33" s="2795"/>
      <c r="CZU33" s="2795"/>
      <c r="CZV33" s="2795"/>
      <c r="CZW33" s="2795"/>
      <c r="CZX33" s="2795"/>
      <c r="CZY33" s="2795"/>
      <c r="CZZ33" s="2795"/>
      <c r="DAA33" s="2795"/>
      <c r="DAB33" s="2795"/>
      <c r="DAC33" s="2795"/>
      <c r="DAD33" s="2795"/>
      <c r="DAE33" s="2795"/>
      <c r="DAF33" s="2795"/>
      <c r="DAG33" s="2795"/>
      <c r="DAH33" s="2795"/>
      <c r="DAI33" s="2795"/>
      <c r="DAJ33" s="2795"/>
      <c r="DAK33" s="2795"/>
      <c r="DAL33" s="2795"/>
      <c r="DAM33" s="2795"/>
      <c r="DAN33" s="2795"/>
      <c r="DAO33" s="2795"/>
      <c r="DAP33" s="2795"/>
      <c r="DAQ33" s="2795"/>
      <c r="DAR33" s="2795"/>
      <c r="DAS33" s="2795"/>
      <c r="DAT33" s="2795"/>
      <c r="DAU33" s="2795"/>
      <c r="DAV33" s="2795"/>
      <c r="DAW33" s="2795"/>
      <c r="DAX33" s="2795"/>
      <c r="DAY33" s="2795"/>
      <c r="DAZ33" s="2795"/>
      <c r="DBA33" s="2795"/>
      <c r="DBB33" s="2795"/>
      <c r="DBC33" s="2795"/>
      <c r="DBD33" s="2795"/>
      <c r="DBE33" s="2795"/>
      <c r="DBF33" s="2795"/>
      <c r="DBG33" s="2795"/>
      <c r="DBH33" s="2795"/>
      <c r="DBI33" s="2795"/>
      <c r="DBJ33" s="2795"/>
      <c r="DBK33" s="2795"/>
      <c r="DBL33" s="2795"/>
      <c r="DBM33" s="2795"/>
      <c r="DBN33" s="2795"/>
      <c r="DBO33" s="2795"/>
      <c r="DBP33" s="2795"/>
      <c r="DBQ33" s="2795"/>
      <c r="DBR33" s="2795"/>
      <c r="DBS33" s="2795"/>
      <c r="DBT33" s="2795"/>
      <c r="DBU33" s="2795"/>
      <c r="DBV33" s="2795"/>
      <c r="DBW33" s="2795"/>
      <c r="DBX33" s="2795"/>
      <c r="DBY33" s="2795"/>
      <c r="DBZ33" s="2795"/>
      <c r="DCA33" s="2795"/>
      <c r="DCB33" s="2795"/>
      <c r="DCC33" s="2795"/>
      <c r="DCD33" s="2795"/>
      <c r="DCE33" s="2795"/>
      <c r="DCF33" s="2795"/>
      <c r="DCG33" s="2795"/>
      <c r="DCH33" s="2795"/>
      <c r="DCI33" s="2795"/>
      <c r="DCJ33" s="2795"/>
      <c r="DCK33" s="2795"/>
      <c r="DCL33" s="2795"/>
      <c r="DCM33" s="2795"/>
      <c r="DCN33" s="2795"/>
      <c r="DCO33" s="2795"/>
      <c r="DCP33" s="2795"/>
      <c r="DCQ33" s="2795"/>
      <c r="DCR33" s="2795"/>
      <c r="DCS33" s="2795"/>
      <c r="DCT33" s="2795"/>
      <c r="DCU33" s="2795"/>
      <c r="DCV33" s="2795"/>
      <c r="DCW33" s="2795"/>
      <c r="DCX33" s="2795"/>
      <c r="DCY33" s="2795"/>
      <c r="DCZ33" s="2795"/>
      <c r="DDA33" s="2795"/>
      <c r="DDB33" s="2795"/>
      <c r="DDC33" s="2795"/>
      <c r="DDD33" s="2795"/>
      <c r="DDE33" s="2795"/>
      <c r="DDF33" s="2795"/>
      <c r="DDG33" s="2795"/>
      <c r="DDH33" s="2795"/>
      <c r="DDI33" s="2795"/>
      <c r="DDJ33" s="2795"/>
      <c r="DDK33" s="2795"/>
      <c r="DDL33" s="2795"/>
      <c r="DDM33" s="2795"/>
      <c r="DDN33" s="2795"/>
      <c r="DDO33" s="2795"/>
      <c r="DDP33" s="2795"/>
      <c r="DDQ33" s="2795"/>
      <c r="DDR33" s="2795"/>
      <c r="DDS33" s="2795"/>
      <c r="DDT33" s="2795"/>
      <c r="DDU33" s="2795"/>
      <c r="DDV33" s="2795"/>
      <c r="DDW33" s="2795"/>
      <c r="DDX33" s="2795"/>
      <c r="DDY33" s="2795"/>
      <c r="DDZ33" s="2795"/>
      <c r="DEA33" s="2795"/>
      <c r="DEB33" s="2795"/>
      <c r="DEC33" s="2795"/>
      <c r="DED33" s="2795"/>
      <c r="DEE33" s="2795"/>
      <c r="DEF33" s="2795"/>
      <c r="DEG33" s="2795"/>
      <c r="DEH33" s="2795"/>
      <c r="DEI33" s="2795"/>
      <c r="DEJ33" s="2795"/>
      <c r="DEK33" s="2795"/>
      <c r="DEL33" s="2795"/>
      <c r="DEM33" s="2795"/>
      <c r="DEN33" s="2795"/>
      <c r="DEO33" s="2795"/>
      <c r="DEP33" s="2795"/>
      <c r="DEQ33" s="2795"/>
      <c r="DER33" s="2795"/>
      <c r="DES33" s="2795"/>
      <c r="DET33" s="2795"/>
      <c r="DEU33" s="2795"/>
      <c r="DEV33" s="2795"/>
      <c r="DEW33" s="2795"/>
      <c r="DEX33" s="2795"/>
      <c r="DEY33" s="2795"/>
      <c r="DEZ33" s="2795"/>
      <c r="DFA33" s="2795"/>
      <c r="DFB33" s="2795"/>
      <c r="DFC33" s="2795"/>
      <c r="DFD33" s="2795"/>
      <c r="DFE33" s="2795"/>
      <c r="DFF33" s="2795"/>
      <c r="DFG33" s="2795"/>
      <c r="DFH33" s="2795"/>
      <c r="DFI33" s="2795"/>
      <c r="DFJ33" s="2795"/>
      <c r="DFK33" s="2795"/>
      <c r="DFL33" s="2795"/>
      <c r="DFM33" s="2795"/>
      <c r="DFN33" s="2795"/>
      <c r="DFO33" s="2795"/>
      <c r="DFP33" s="2795"/>
      <c r="DFQ33" s="2795"/>
      <c r="DFR33" s="2795"/>
      <c r="DFS33" s="2795"/>
      <c r="DFT33" s="2795"/>
      <c r="DFU33" s="2795"/>
      <c r="DFV33" s="2795"/>
      <c r="DFW33" s="2795"/>
      <c r="DFX33" s="2795"/>
      <c r="DFY33" s="2795"/>
      <c r="DFZ33" s="2795"/>
      <c r="DGA33" s="2795"/>
      <c r="DGB33" s="2795"/>
      <c r="DGC33" s="2795"/>
      <c r="DGD33" s="2795"/>
      <c r="DGE33" s="2795"/>
      <c r="DGF33" s="2795"/>
      <c r="DGG33" s="2795"/>
      <c r="DGH33" s="2795"/>
      <c r="DGI33" s="2795"/>
      <c r="DGJ33" s="2795"/>
      <c r="DGK33" s="2795"/>
      <c r="DGL33" s="2795"/>
      <c r="DGM33" s="2795"/>
      <c r="DGN33" s="2795"/>
      <c r="DGO33" s="2795"/>
      <c r="DGP33" s="2795"/>
      <c r="DGQ33" s="2795"/>
      <c r="DGR33" s="2795"/>
      <c r="DGS33" s="2795"/>
      <c r="DGT33" s="2795"/>
      <c r="DGU33" s="2795"/>
      <c r="DGV33" s="2795"/>
      <c r="DGW33" s="2795"/>
      <c r="DGX33" s="2795"/>
      <c r="DGY33" s="2795"/>
      <c r="DGZ33" s="2795"/>
      <c r="DHA33" s="2795"/>
      <c r="DHB33" s="2795"/>
      <c r="DHC33" s="2795"/>
      <c r="DHD33" s="2795"/>
      <c r="DHE33" s="2795"/>
      <c r="DHF33" s="2795"/>
      <c r="DHG33" s="2795"/>
      <c r="DHH33" s="2795"/>
      <c r="DHI33" s="2795"/>
      <c r="DHJ33" s="2795"/>
      <c r="DHK33" s="2795"/>
      <c r="DHL33" s="2795"/>
      <c r="DHM33" s="2795"/>
      <c r="DHN33" s="2795"/>
      <c r="DHO33" s="2795"/>
      <c r="DHP33" s="2795"/>
      <c r="DHQ33" s="2795"/>
      <c r="DHR33" s="2795"/>
      <c r="DHS33" s="2795"/>
      <c r="DHT33" s="2795"/>
      <c r="DHU33" s="2795"/>
      <c r="DHV33" s="2795"/>
      <c r="DHW33" s="2795"/>
      <c r="DHX33" s="2795"/>
      <c r="DHY33" s="2795"/>
      <c r="DHZ33" s="2795"/>
      <c r="DIA33" s="2795"/>
      <c r="DIB33" s="2795"/>
      <c r="DIC33" s="2795"/>
      <c r="DID33" s="2795"/>
      <c r="DIE33" s="2795"/>
      <c r="DIF33" s="2795"/>
      <c r="DIG33" s="2795"/>
      <c r="DIH33" s="2795"/>
      <c r="DII33" s="2795"/>
      <c r="DIJ33" s="2795"/>
      <c r="DIK33" s="2795"/>
      <c r="DIL33" s="2795"/>
      <c r="DIM33" s="2795"/>
      <c r="DIN33" s="2795"/>
      <c r="DIO33" s="2795"/>
      <c r="DIP33" s="2795"/>
      <c r="DIQ33" s="2795"/>
      <c r="DIR33" s="2795"/>
      <c r="DIS33" s="2795"/>
      <c r="DIT33" s="2795"/>
      <c r="DIU33" s="2795"/>
      <c r="DIV33" s="2795"/>
      <c r="DIW33" s="2795"/>
      <c r="DIX33" s="2795"/>
      <c r="DIY33" s="2795"/>
      <c r="DIZ33" s="2795"/>
      <c r="DJA33" s="2795"/>
      <c r="DJB33" s="2795"/>
      <c r="DJC33" s="2795"/>
      <c r="DJD33" s="2795"/>
      <c r="DJE33" s="2795"/>
      <c r="DJF33" s="2795"/>
      <c r="DJG33" s="2795"/>
      <c r="DJH33" s="2795"/>
      <c r="DJI33" s="2795"/>
      <c r="DJJ33" s="2795"/>
      <c r="DJK33" s="2795"/>
      <c r="DJL33" s="2795"/>
      <c r="DJM33" s="2795"/>
      <c r="DJN33" s="2795"/>
      <c r="DJO33" s="2795"/>
      <c r="DJP33" s="2795"/>
      <c r="DJQ33" s="2795"/>
      <c r="DJR33" s="2795"/>
      <c r="DJS33" s="2795"/>
      <c r="DJT33" s="2795"/>
      <c r="DJU33" s="2795"/>
      <c r="DJV33" s="2795"/>
      <c r="DJW33" s="2795"/>
      <c r="DJX33" s="2795"/>
      <c r="DJY33" s="2795"/>
      <c r="DJZ33" s="2795"/>
      <c r="DKA33" s="2795"/>
      <c r="DKB33" s="2795"/>
      <c r="DKC33" s="2795"/>
      <c r="DKD33" s="2795"/>
      <c r="DKE33" s="2795"/>
      <c r="DKF33" s="2795"/>
      <c r="DKG33" s="2795"/>
      <c r="DKH33" s="2795"/>
      <c r="DKI33" s="2795"/>
      <c r="DKJ33" s="2795"/>
      <c r="DKK33" s="2795"/>
      <c r="DKL33" s="2795"/>
      <c r="DKM33" s="2795"/>
      <c r="DKN33" s="2795"/>
      <c r="DKO33" s="2795"/>
      <c r="DKP33" s="2795"/>
      <c r="DKQ33" s="2795"/>
      <c r="DKR33" s="2795"/>
      <c r="DKS33" s="2795"/>
      <c r="DKT33" s="2795"/>
      <c r="DKU33" s="2795"/>
      <c r="DKV33" s="2795"/>
      <c r="DKW33" s="2795"/>
      <c r="DKX33" s="2795"/>
      <c r="DKY33" s="2795"/>
      <c r="DKZ33" s="2795"/>
      <c r="DLA33" s="2795"/>
      <c r="DLB33" s="2795"/>
      <c r="DLC33" s="2795"/>
      <c r="DLD33" s="2795"/>
      <c r="DLE33" s="2795"/>
      <c r="DLF33" s="2795"/>
      <c r="DLG33" s="2795"/>
      <c r="DLH33" s="2795"/>
      <c r="DLI33" s="2795"/>
      <c r="DLJ33" s="2795"/>
      <c r="DLK33" s="2795"/>
      <c r="DLL33" s="2795"/>
      <c r="DLM33" s="2795"/>
      <c r="DLN33" s="2795"/>
      <c r="DLO33" s="2795"/>
      <c r="DLP33" s="2795"/>
      <c r="DLQ33" s="2795"/>
      <c r="DLR33" s="2795"/>
      <c r="DLS33" s="2795"/>
      <c r="DLT33" s="2795"/>
      <c r="DLU33" s="2795"/>
      <c r="DLV33" s="2795"/>
      <c r="DLW33" s="2795"/>
      <c r="DLX33" s="2795"/>
      <c r="DLY33" s="2795"/>
      <c r="DLZ33" s="2795"/>
      <c r="DMA33" s="2795"/>
      <c r="DMB33" s="2795"/>
      <c r="DMC33" s="2795"/>
      <c r="DMD33" s="2795"/>
      <c r="DME33" s="2795"/>
      <c r="DMF33" s="2795"/>
      <c r="DMG33" s="2795"/>
      <c r="DMH33" s="2795"/>
      <c r="DMI33" s="2795"/>
      <c r="DMJ33" s="2795"/>
      <c r="DMK33" s="2795"/>
      <c r="DML33" s="2795"/>
      <c r="DMM33" s="2795"/>
      <c r="DMN33" s="2795"/>
      <c r="DMO33" s="2795"/>
      <c r="DMP33" s="2795"/>
      <c r="DMQ33" s="2795"/>
      <c r="DMR33" s="2795"/>
      <c r="DMS33" s="2795"/>
      <c r="DMT33" s="2795"/>
      <c r="DMU33" s="2795"/>
      <c r="DMV33" s="2795"/>
      <c r="DMW33" s="2795"/>
      <c r="DMX33" s="2795"/>
      <c r="DMY33" s="2795"/>
      <c r="DMZ33" s="2795"/>
      <c r="DNA33" s="2795"/>
      <c r="DNB33" s="2795"/>
      <c r="DNC33" s="2795"/>
      <c r="DND33" s="2795"/>
      <c r="DNE33" s="2795"/>
      <c r="DNF33" s="2795"/>
      <c r="DNG33" s="2795"/>
      <c r="DNH33" s="2795"/>
      <c r="DNI33" s="2795"/>
      <c r="DNJ33" s="2795"/>
      <c r="DNK33" s="2795"/>
      <c r="DNL33" s="2795"/>
      <c r="DNM33" s="2795"/>
      <c r="DNN33" s="2795"/>
      <c r="DNO33" s="2795"/>
      <c r="DNP33" s="2795"/>
      <c r="DNQ33" s="2795"/>
      <c r="DNR33" s="2795"/>
      <c r="DNS33" s="2795"/>
      <c r="DNT33" s="2795"/>
      <c r="DNU33" s="2795"/>
      <c r="DNV33" s="2795"/>
      <c r="DNW33" s="2795"/>
      <c r="DNX33" s="2795"/>
      <c r="DNY33" s="2795"/>
      <c r="DNZ33" s="2795"/>
      <c r="DOA33" s="2795"/>
      <c r="DOB33" s="2795"/>
      <c r="DOC33" s="2795"/>
      <c r="DOD33" s="2795"/>
      <c r="DOE33" s="2795"/>
      <c r="DOF33" s="2795"/>
      <c r="DOG33" s="2795"/>
      <c r="DOH33" s="2795"/>
      <c r="DOI33" s="2795"/>
      <c r="DOJ33" s="2795"/>
      <c r="DOK33" s="2795"/>
      <c r="DOL33" s="2795"/>
      <c r="DOM33" s="2795"/>
      <c r="DON33" s="2795"/>
      <c r="DOO33" s="2795"/>
      <c r="DOP33" s="2795"/>
      <c r="DOQ33" s="2795"/>
      <c r="DOR33" s="2795"/>
      <c r="DOS33" s="2795"/>
      <c r="DOT33" s="2795"/>
      <c r="DOU33" s="2795"/>
      <c r="DOV33" s="2795"/>
      <c r="DOW33" s="2795"/>
      <c r="DOX33" s="2795"/>
      <c r="DOY33" s="2795"/>
      <c r="DOZ33" s="2795"/>
      <c r="DPA33" s="2795"/>
      <c r="DPB33" s="2795"/>
      <c r="DPC33" s="2795"/>
      <c r="DPD33" s="2795"/>
      <c r="DPE33" s="2795"/>
      <c r="DPF33" s="2795"/>
      <c r="DPG33" s="2795"/>
      <c r="DPH33" s="2795"/>
      <c r="DPI33" s="2795"/>
      <c r="DPJ33" s="2795"/>
      <c r="DPK33" s="2795"/>
      <c r="DPL33" s="2795"/>
      <c r="DPM33" s="2795"/>
      <c r="DPN33" s="2795"/>
      <c r="DPO33" s="2795"/>
      <c r="DPP33" s="2795"/>
      <c r="DPQ33" s="2795"/>
      <c r="DPR33" s="2795"/>
      <c r="DPS33" s="2795"/>
      <c r="DPT33" s="2795"/>
      <c r="DPU33" s="2795"/>
      <c r="DPV33" s="2795"/>
      <c r="DPW33" s="2795"/>
      <c r="DPX33" s="2795"/>
      <c r="DPY33" s="2795"/>
      <c r="DPZ33" s="2795"/>
      <c r="DQA33" s="2795"/>
      <c r="DQB33" s="2795"/>
      <c r="DQC33" s="2795"/>
      <c r="DQD33" s="2795"/>
      <c r="DQE33" s="2795"/>
      <c r="DQF33" s="2795"/>
      <c r="DQG33" s="2795"/>
      <c r="DQH33" s="2795"/>
      <c r="DQI33" s="2795"/>
      <c r="DQJ33" s="2795"/>
      <c r="DQK33" s="2795"/>
      <c r="DQL33" s="2795"/>
      <c r="DQM33" s="2795"/>
      <c r="DQN33" s="2795"/>
      <c r="DQO33" s="2795"/>
      <c r="DQP33" s="2795"/>
      <c r="DQQ33" s="2795"/>
      <c r="DQR33" s="2795"/>
      <c r="DQS33" s="2795"/>
      <c r="DQT33" s="2795"/>
      <c r="DQU33" s="2795"/>
      <c r="DQV33" s="2795"/>
      <c r="DQW33" s="2795"/>
      <c r="DQX33" s="2795"/>
      <c r="DQY33" s="2795"/>
      <c r="DQZ33" s="2795"/>
      <c r="DRA33" s="2795"/>
      <c r="DRB33" s="2795"/>
      <c r="DRC33" s="2795"/>
      <c r="DRD33" s="2795"/>
      <c r="DRE33" s="2795"/>
      <c r="DRF33" s="2795"/>
      <c r="DRG33" s="2795"/>
      <c r="DRH33" s="2795"/>
      <c r="DRI33" s="2795"/>
      <c r="DRJ33" s="2795"/>
      <c r="DRK33" s="2795"/>
      <c r="DRL33" s="2795"/>
      <c r="DRM33" s="2795"/>
      <c r="DRN33" s="2795"/>
      <c r="DRO33" s="2795"/>
      <c r="DRP33" s="2795"/>
      <c r="DRQ33" s="2795"/>
      <c r="DRR33" s="2795"/>
      <c r="DRS33" s="2795"/>
      <c r="DRT33" s="2795"/>
      <c r="DRU33" s="2795"/>
      <c r="DRV33" s="2795"/>
      <c r="DRW33" s="2795"/>
      <c r="DRX33" s="2795"/>
      <c r="DRY33" s="2795"/>
      <c r="DRZ33" s="2795"/>
      <c r="DSA33" s="2795"/>
      <c r="DSB33" s="2795"/>
      <c r="DSC33" s="2795"/>
      <c r="DSD33" s="2795"/>
      <c r="DSE33" s="2795"/>
      <c r="DSF33" s="2795"/>
      <c r="DSG33" s="2795"/>
      <c r="DSH33" s="2795"/>
      <c r="DSI33" s="2795"/>
      <c r="DSJ33" s="2795"/>
      <c r="DSK33" s="2795"/>
      <c r="DSL33" s="2795"/>
      <c r="DSM33" s="2795"/>
      <c r="DSN33" s="2795"/>
      <c r="DSO33" s="2795"/>
      <c r="DSP33" s="2795"/>
      <c r="DSQ33" s="2795"/>
      <c r="DSR33" s="2795"/>
      <c r="DSS33" s="2795"/>
      <c r="DST33" s="2795"/>
      <c r="DSU33" s="2795"/>
      <c r="DSV33" s="2795"/>
      <c r="DSW33" s="2795"/>
      <c r="DSX33" s="2795"/>
      <c r="DSY33" s="2795"/>
      <c r="DSZ33" s="2795"/>
      <c r="DTA33" s="2795"/>
      <c r="DTB33" s="2795"/>
      <c r="DTC33" s="2795"/>
      <c r="DTD33" s="2795"/>
      <c r="DTE33" s="2795"/>
      <c r="DTF33" s="2795"/>
      <c r="DTG33" s="2795"/>
      <c r="DTH33" s="2795"/>
      <c r="DTI33" s="2795"/>
      <c r="DTJ33" s="2795"/>
      <c r="DTK33" s="2795"/>
      <c r="DTL33" s="2795"/>
      <c r="DTM33" s="2795"/>
      <c r="DTN33" s="2795"/>
      <c r="DTO33" s="2795"/>
      <c r="DTP33" s="2795"/>
      <c r="DTQ33" s="2795"/>
      <c r="DTR33" s="2795"/>
      <c r="DTS33" s="2795"/>
      <c r="DTT33" s="2795"/>
      <c r="DTU33" s="2795"/>
      <c r="DTV33" s="2795"/>
      <c r="DTW33" s="2795"/>
      <c r="DTX33" s="2795"/>
      <c r="DTY33" s="2795"/>
      <c r="DTZ33" s="2795"/>
      <c r="DUA33" s="2795"/>
      <c r="DUB33" s="2795"/>
      <c r="DUC33" s="2795"/>
      <c r="DUD33" s="2795"/>
      <c r="DUE33" s="2795"/>
      <c r="DUF33" s="2795"/>
      <c r="DUG33" s="2795"/>
      <c r="DUH33" s="2795"/>
      <c r="DUI33" s="2795"/>
      <c r="DUJ33" s="2795"/>
      <c r="DUK33" s="2795"/>
      <c r="DUL33" s="2795"/>
      <c r="DUM33" s="2795"/>
      <c r="DUN33" s="2795"/>
      <c r="DUO33" s="2795"/>
      <c r="DUP33" s="2795"/>
      <c r="DUQ33" s="2795"/>
      <c r="DUR33" s="2795"/>
      <c r="DUS33" s="2795"/>
      <c r="DUT33" s="2795"/>
      <c r="DUU33" s="2795"/>
      <c r="DUV33" s="2795"/>
      <c r="DUW33" s="2795"/>
      <c r="DUX33" s="2795"/>
      <c r="DUY33" s="2795"/>
      <c r="DUZ33" s="2795"/>
      <c r="DVA33" s="2795"/>
      <c r="DVB33" s="2795"/>
      <c r="DVC33" s="2795"/>
      <c r="DVD33" s="2795"/>
      <c r="DVE33" s="2795"/>
      <c r="DVF33" s="2795"/>
      <c r="DVG33" s="2795"/>
      <c r="DVH33" s="2795"/>
      <c r="DVI33" s="2795"/>
      <c r="DVJ33" s="2795"/>
      <c r="DVK33" s="2795"/>
      <c r="DVL33" s="2795"/>
      <c r="DVM33" s="2795"/>
      <c r="DVN33" s="2795"/>
      <c r="DVO33" s="2795"/>
      <c r="DVP33" s="2795"/>
      <c r="DVQ33" s="2795"/>
      <c r="DVR33" s="2795"/>
      <c r="DVS33" s="2795"/>
      <c r="DVT33" s="2795"/>
      <c r="DVU33" s="2795"/>
      <c r="DVV33" s="2795"/>
      <c r="DVW33" s="2795"/>
      <c r="DVX33" s="2795"/>
      <c r="DVY33" s="2795"/>
      <c r="DVZ33" s="2795"/>
      <c r="DWA33" s="2795"/>
      <c r="DWB33" s="2795"/>
      <c r="DWC33" s="2795"/>
      <c r="DWD33" s="2795"/>
      <c r="DWE33" s="2795"/>
      <c r="DWF33" s="2795"/>
      <c r="DWG33" s="2795"/>
      <c r="DWH33" s="2795"/>
      <c r="DWI33" s="2795"/>
      <c r="DWJ33" s="2795"/>
      <c r="DWK33" s="2795"/>
      <c r="DWL33" s="2795"/>
      <c r="DWM33" s="2795"/>
      <c r="DWN33" s="2795"/>
      <c r="DWO33" s="2795"/>
      <c r="DWP33" s="2795"/>
      <c r="DWQ33" s="2795"/>
      <c r="DWR33" s="2795"/>
      <c r="DWS33" s="2795"/>
      <c r="DWT33" s="2795"/>
      <c r="DWU33" s="2795"/>
      <c r="DWV33" s="2795"/>
      <c r="DWW33" s="2795"/>
      <c r="DWX33" s="2795"/>
      <c r="DWY33" s="2795"/>
      <c r="DWZ33" s="2795"/>
      <c r="DXA33" s="2795"/>
      <c r="DXB33" s="2795"/>
      <c r="DXC33" s="2795"/>
      <c r="DXD33" s="2795"/>
      <c r="DXE33" s="2795"/>
      <c r="DXF33" s="2795"/>
      <c r="DXG33" s="2795"/>
      <c r="DXH33" s="2795"/>
      <c r="DXI33" s="2795"/>
      <c r="DXJ33" s="2795"/>
      <c r="DXK33" s="2795"/>
      <c r="DXL33" s="2795"/>
      <c r="DXM33" s="2795"/>
      <c r="DXN33" s="2795"/>
      <c r="DXO33" s="2795"/>
      <c r="DXP33" s="2795"/>
      <c r="DXQ33" s="2795"/>
      <c r="DXR33" s="2795"/>
      <c r="DXS33" s="2795"/>
      <c r="DXT33" s="2795"/>
      <c r="DXU33" s="2795"/>
      <c r="DXV33" s="2795"/>
      <c r="DXW33" s="2795"/>
      <c r="DXX33" s="2795"/>
      <c r="DXY33" s="2795"/>
      <c r="DXZ33" s="2795"/>
      <c r="DYA33" s="2795"/>
      <c r="DYB33" s="2795"/>
      <c r="DYC33" s="2795"/>
      <c r="DYD33" s="2795"/>
      <c r="DYE33" s="2795"/>
      <c r="DYF33" s="2795"/>
      <c r="DYG33" s="2795"/>
      <c r="DYH33" s="2795"/>
      <c r="DYI33" s="2795"/>
      <c r="DYJ33" s="2795"/>
      <c r="DYK33" s="2795"/>
      <c r="DYL33" s="2795"/>
      <c r="DYM33" s="2795"/>
      <c r="DYN33" s="2795"/>
      <c r="DYO33" s="2795"/>
      <c r="DYP33" s="2795"/>
      <c r="DYQ33" s="2795"/>
      <c r="DYR33" s="2795"/>
      <c r="DYS33" s="2795"/>
      <c r="DYT33" s="2795"/>
      <c r="DYU33" s="2795"/>
      <c r="DYV33" s="2795"/>
      <c r="DYW33" s="2795"/>
      <c r="DYX33" s="2795"/>
      <c r="DYY33" s="2795"/>
      <c r="DYZ33" s="2795"/>
      <c r="DZA33" s="2795"/>
      <c r="DZB33" s="2795"/>
      <c r="DZC33" s="2795"/>
      <c r="DZD33" s="2795"/>
      <c r="DZE33" s="2795"/>
      <c r="DZF33" s="2795"/>
      <c r="DZG33" s="2795"/>
      <c r="DZH33" s="2795"/>
      <c r="DZI33" s="2795"/>
      <c r="DZJ33" s="2795"/>
      <c r="DZK33" s="2795"/>
      <c r="DZL33" s="2795"/>
      <c r="DZM33" s="2795"/>
      <c r="DZN33" s="2795"/>
      <c r="DZO33" s="2795"/>
      <c r="DZP33" s="2795"/>
      <c r="DZQ33" s="2795"/>
      <c r="DZR33" s="2795"/>
      <c r="DZS33" s="2795"/>
      <c r="DZT33" s="2795"/>
      <c r="DZU33" s="2795"/>
      <c r="DZV33" s="2795"/>
      <c r="DZW33" s="2795"/>
      <c r="DZX33" s="2795"/>
      <c r="DZY33" s="2795"/>
      <c r="DZZ33" s="2795"/>
      <c r="EAA33" s="2795"/>
      <c r="EAB33" s="2795"/>
      <c r="EAC33" s="2795"/>
      <c r="EAD33" s="2795"/>
      <c r="EAE33" s="2795"/>
      <c r="EAF33" s="2795"/>
      <c r="EAG33" s="2795"/>
      <c r="EAH33" s="2795"/>
      <c r="EAI33" s="2795"/>
      <c r="EAJ33" s="2795"/>
      <c r="EAK33" s="2795"/>
      <c r="EAL33" s="2795"/>
      <c r="EAM33" s="2795"/>
      <c r="EAN33" s="2795"/>
      <c r="EAO33" s="2795"/>
      <c r="EAP33" s="2795"/>
      <c r="EAQ33" s="2795"/>
      <c r="EAR33" s="2795"/>
      <c r="EAS33" s="2795"/>
      <c r="EAT33" s="2795"/>
      <c r="EAU33" s="2795"/>
      <c r="EAV33" s="2795"/>
      <c r="EAW33" s="2795"/>
      <c r="EAX33" s="2795"/>
      <c r="EAY33" s="2795"/>
      <c r="EAZ33" s="2795"/>
      <c r="EBA33" s="2795"/>
      <c r="EBB33" s="2795"/>
      <c r="EBC33" s="2795"/>
      <c r="EBD33" s="2795"/>
      <c r="EBE33" s="2795"/>
      <c r="EBF33" s="2795"/>
      <c r="EBG33" s="2795"/>
      <c r="EBH33" s="2795"/>
      <c r="EBI33" s="2795"/>
      <c r="EBJ33" s="2795"/>
      <c r="EBK33" s="2795"/>
      <c r="EBL33" s="2795"/>
      <c r="EBM33" s="2795"/>
      <c r="EBN33" s="2795"/>
      <c r="EBO33" s="2795"/>
      <c r="EBP33" s="2795"/>
      <c r="EBQ33" s="2795"/>
      <c r="EBR33" s="2795"/>
      <c r="EBS33" s="2795"/>
      <c r="EBT33" s="2795"/>
      <c r="EBU33" s="2795"/>
      <c r="EBV33" s="2795"/>
      <c r="EBW33" s="2795"/>
      <c r="EBX33" s="2795"/>
      <c r="EBY33" s="2795"/>
      <c r="EBZ33" s="2795"/>
      <c r="ECA33" s="2795"/>
      <c r="ECB33" s="2795"/>
      <c r="ECC33" s="2795"/>
      <c r="ECD33" s="2795"/>
      <c r="ECE33" s="2795"/>
      <c r="ECF33" s="2795"/>
      <c r="ECG33" s="2795"/>
      <c r="ECH33" s="2795"/>
      <c r="ECI33" s="2795"/>
      <c r="ECJ33" s="2795"/>
      <c r="ECK33" s="2795"/>
      <c r="ECL33" s="2795"/>
      <c r="ECM33" s="2795"/>
      <c r="ECN33" s="2795"/>
      <c r="ECO33" s="2795"/>
      <c r="ECP33" s="2795"/>
      <c r="ECQ33" s="2795"/>
      <c r="ECR33" s="2795"/>
      <c r="ECS33" s="2795"/>
      <c r="ECT33" s="2795"/>
      <c r="ECU33" s="2795"/>
      <c r="ECV33" s="2795"/>
      <c r="ECW33" s="2795"/>
      <c r="ECX33" s="2795"/>
      <c r="ECY33" s="2795"/>
      <c r="ECZ33" s="2795"/>
      <c r="EDA33" s="2795"/>
      <c r="EDB33" s="2795"/>
      <c r="EDC33" s="2795"/>
      <c r="EDD33" s="2795"/>
      <c r="EDE33" s="2795"/>
      <c r="EDF33" s="2795"/>
      <c r="EDG33" s="2795"/>
      <c r="EDH33" s="2795"/>
      <c r="EDI33" s="2795"/>
      <c r="EDJ33" s="2795"/>
      <c r="EDK33" s="2795"/>
      <c r="EDL33" s="2795"/>
      <c r="EDM33" s="2795"/>
      <c r="EDN33" s="2795"/>
      <c r="EDO33" s="2795"/>
      <c r="EDP33" s="2795"/>
      <c r="EDQ33" s="2795"/>
      <c r="EDR33" s="2795"/>
      <c r="EDS33" s="2795"/>
      <c r="EDT33" s="2795"/>
      <c r="EDU33" s="2795"/>
      <c r="EDV33" s="2795"/>
      <c r="EDW33" s="2795"/>
      <c r="EDX33" s="2795"/>
      <c r="EDY33" s="2795"/>
      <c r="EDZ33" s="2795"/>
      <c r="EEA33" s="2795"/>
      <c r="EEB33" s="2795"/>
      <c r="EEC33" s="2795"/>
      <c r="EED33" s="2795"/>
      <c r="EEE33" s="2795"/>
      <c r="EEF33" s="2795"/>
      <c r="EEG33" s="2795"/>
      <c r="EEH33" s="2795"/>
      <c r="EEI33" s="2795"/>
      <c r="EEJ33" s="2795"/>
      <c r="EEK33" s="2795"/>
      <c r="EEL33" s="2795"/>
      <c r="EEM33" s="2795"/>
      <c r="EEN33" s="2795"/>
      <c r="EEO33" s="2795"/>
      <c r="EEP33" s="2795"/>
      <c r="EEQ33" s="2795"/>
      <c r="EER33" s="2795"/>
      <c r="EES33" s="2795"/>
      <c r="EET33" s="2795"/>
      <c r="EEU33" s="2795"/>
      <c r="EEV33" s="2795"/>
      <c r="EEW33" s="2795"/>
      <c r="EEX33" s="2795"/>
      <c r="EEY33" s="2795"/>
      <c r="EEZ33" s="2795"/>
      <c r="EFA33" s="2795"/>
      <c r="EFB33" s="2795"/>
      <c r="EFC33" s="2795"/>
      <c r="EFD33" s="2795"/>
      <c r="EFE33" s="2795"/>
      <c r="EFF33" s="2795"/>
      <c r="EFG33" s="2795"/>
      <c r="EFH33" s="2795"/>
      <c r="EFI33" s="2795"/>
      <c r="EFJ33" s="2795"/>
      <c r="EFK33" s="2795"/>
      <c r="EFL33" s="2795"/>
      <c r="EFM33" s="2795"/>
      <c r="EFN33" s="2795"/>
      <c r="EFO33" s="2795"/>
      <c r="EFP33" s="2795"/>
      <c r="EFQ33" s="2795"/>
      <c r="EFR33" s="2795"/>
      <c r="EFS33" s="2795"/>
      <c r="EFT33" s="2795"/>
      <c r="EFU33" s="2795"/>
      <c r="EFV33" s="2795"/>
      <c r="EFW33" s="2795"/>
      <c r="EFX33" s="2795"/>
      <c r="EFY33" s="2795"/>
      <c r="EFZ33" s="2795"/>
      <c r="EGA33" s="2795"/>
      <c r="EGB33" s="2795"/>
      <c r="EGC33" s="2795"/>
      <c r="EGD33" s="2795"/>
      <c r="EGE33" s="2795"/>
      <c r="EGF33" s="2795"/>
      <c r="EGG33" s="2795"/>
      <c r="EGH33" s="2795"/>
      <c r="EGI33" s="2795"/>
      <c r="EGJ33" s="2795"/>
      <c r="EGK33" s="2795"/>
      <c r="EGL33" s="2795"/>
      <c r="EGM33" s="2795"/>
      <c r="EGN33" s="2795"/>
      <c r="EGO33" s="2795"/>
      <c r="EGP33" s="2795"/>
      <c r="EGQ33" s="2795"/>
      <c r="EGR33" s="2795"/>
      <c r="EGS33" s="2795"/>
      <c r="EGT33" s="2795"/>
      <c r="EGU33" s="2795"/>
      <c r="EGV33" s="2795"/>
      <c r="EGW33" s="2795"/>
      <c r="EGX33" s="2795"/>
      <c r="EGY33" s="2795"/>
      <c r="EGZ33" s="2795"/>
      <c r="EHA33" s="2795"/>
      <c r="EHB33" s="2795"/>
      <c r="EHC33" s="2795"/>
      <c r="EHD33" s="2795"/>
      <c r="EHE33" s="2795"/>
      <c r="EHF33" s="2795"/>
      <c r="EHG33" s="2795"/>
      <c r="EHH33" s="2795"/>
      <c r="EHI33" s="2795"/>
      <c r="EHJ33" s="2795"/>
      <c r="EHK33" s="2795"/>
      <c r="EHL33" s="2795"/>
      <c r="EHM33" s="2795"/>
      <c r="EHN33" s="2795"/>
      <c r="EHO33" s="2795"/>
      <c r="EHP33" s="2795"/>
      <c r="EHQ33" s="2795"/>
      <c r="EHR33" s="2795"/>
      <c r="EHS33" s="2795"/>
      <c r="EHT33" s="2795"/>
      <c r="EHU33" s="2795"/>
      <c r="EHV33" s="2795"/>
      <c r="EHW33" s="2795"/>
      <c r="EHX33" s="2795"/>
      <c r="EHY33" s="2795"/>
      <c r="EHZ33" s="2795"/>
      <c r="EIA33" s="2795"/>
      <c r="EIB33" s="2795"/>
      <c r="EIC33" s="2795"/>
      <c r="EID33" s="2795"/>
      <c r="EIE33" s="2795"/>
      <c r="EIF33" s="2795"/>
      <c r="EIG33" s="2795"/>
      <c r="EIH33" s="2795"/>
      <c r="EII33" s="2795"/>
      <c r="EIJ33" s="2795"/>
      <c r="EIK33" s="2795"/>
      <c r="EIL33" s="2795"/>
      <c r="EIM33" s="2795"/>
      <c r="EIN33" s="2795"/>
      <c r="EIO33" s="2795"/>
      <c r="EIP33" s="2795"/>
      <c r="EIQ33" s="2795"/>
      <c r="EIR33" s="2795"/>
      <c r="EIS33" s="2795"/>
      <c r="EIT33" s="2795"/>
      <c r="EIU33" s="2795"/>
      <c r="EIV33" s="2795"/>
      <c r="EIW33" s="2795"/>
      <c r="EIX33" s="2795"/>
      <c r="EIY33" s="2795"/>
      <c r="EIZ33" s="2795"/>
      <c r="EJA33" s="2795"/>
      <c r="EJB33" s="2795"/>
      <c r="EJC33" s="2795"/>
      <c r="EJD33" s="2795"/>
      <c r="EJE33" s="2795"/>
      <c r="EJF33" s="2795"/>
      <c r="EJG33" s="2795"/>
      <c r="EJH33" s="2795"/>
      <c r="EJI33" s="2795"/>
      <c r="EJJ33" s="2795"/>
      <c r="EJK33" s="2795"/>
      <c r="EJL33" s="2795"/>
      <c r="EJM33" s="2795"/>
      <c r="EJN33" s="2795"/>
      <c r="EJO33" s="2795"/>
      <c r="EJP33" s="2795"/>
      <c r="EJQ33" s="2795"/>
      <c r="EJR33" s="2795"/>
      <c r="EJS33" s="2795"/>
      <c r="EJT33" s="2795"/>
      <c r="EJU33" s="2795"/>
      <c r="EJV33" s="2795"/>
      <c r="EJW33" s="2795"/>
      <c r="EJX33" s="2795"/>
      <c r="EJY33" s="2795"/>
      <c r="EJZ33" s="2795"/>
      <c r="EKA33" s="2795"/>
      <c r="EKB33" s="2795"/>
      <c r="EKC33" s="2795"/>
      <c r="EKD33" s="2795"/>
      <c r="EKE33" s="2795"/>
      <c r="EKF33" s="2795"/>
      <c r="EKG33" s="2795"/>
      <c r="EKH33" s="2795"/>
      <c r="EKI33" s="2795"/>
      <c r="EKJ33" s="2795"/>
      <c r="EKK33" s="2795"/>
      <c r="EKL33" s="2795"/>
      <c r="EKM33" s="2795"/>
      <c r="EKN33" s="2795"/>
      <c r="EKO33" s="2795"/>
      <c r="EKP33" s="2795"/>
      <c r="EKQ33" s="2795"/>
      <c r="EKR33" s="2795"/>
      <c r="EKS33" s="2795"/>
      <c r="EKT33" s="2795"/>
      <c r="EKU33" s="2795"/>
      <c r="EKV33" s="2795"/>
      <c r="EKW33" s="2795"/>
      <c r="EKX33" s="2795"/>
      <c r="EKY33" s="2795"/>
      <c r="EKZ33" s="2795"/>
      <c r="ELA33" s="2795"/>
      <c r="ELB33" s="2795"/>
      <c r="ELC33" s="2795"/>
      <c r="ELD33" s="2795"/>
      <c r="ELE33" s="2795"/>
      <c r="ELF33" s="2795"/>
      <c r="ELG33" s="2795"/>
      <c r="ELH33" s="2795"/>
      <c r="ELI33" s="2795"/>
      <c r="ELJ33" s="2795"/>
      <c r="ELK33" s="2795"/>
      <c r="ELL33" s="2795"/>
      <c r="ELM33" s="2795"/>
      <c r="ELN33" s="2795"/>
      <c r="ELO33" s="2795"/>
      <c r="ELP33" s="2795"/>
      <c r="ELQ33" s="2795"/>
      <c r="ELR33" s="2795"/>
      <c r="ELS33" s="2795"/>
      <c r="ELT33" s="2795"/>
      <c r="ELU33" s="2795"/>
      <c r="ELV33" s="2795"/>
      <c r="ELW33" s="2795"/>
      <c r="ELX33" s="2795"/>
      <c r="ELY33" s="2795"/>
      <c r="ELZ33" s="2795"/>
      <c r="EMA33" s="2795"/>
      <c r="EMB33" s="2795"/>
      <c r="EMC33" s="2795"/>
      <c r="EMD33" s="2795"/>
      <c r="EME33" s="2795"/>
      <c r="EMF33" s="2795"/>
      <c r="EMG33" s="2795"/>
      <c r="EMH33" s="2795"/>
      <c r="EMI33" s="2795"/>
      <c r="EMJ33" s="2795"/>
      <c r="EMK33" s="2795"/>
      <c r="EML33" s="2795"/>
      <c r="EMM33" s="2795"/>
      <c r="EMN33" s="2795"/>
      <c r="EMO33" s="2795"/>
      <c r="EMP33" s="2795"/>
      <c r="EMQ33" s="2795"/>
      <c r="EMR33" s="2795"/>
      <c r="EMS33" s="2795"/>
      <c r="EMT33" s="2795"/>
      <c r="EMU33" s="2795"/>
      <c r="EMV33" s="2795"/>
      <c r="EMW33" s="2795"/>
      <c r="EMX33" s="2795"/>
      <c r="EMY33" s="2795"/>
      <c r="EMZ33" s="2795"/>
      <c r="ENA33" s="2795"/>
      <c r="ENB33" s="2795"/>
      <c r="ENC33" s="2795"/>
      <c r="END33" s="2795"/>
      <c r="ENE33" s="2795"/>
      <c r="ENF33" s="2795"/>
      <c r="ENG33" s="2795"/>
      <c r="ENH33" s="2795"/>
      <c r="ENI33" s="2795"/>
      <c r="ENJ33" s="2795"/>
      <c r="ENK33" s="2795"/>
      <c r="ENL33" s="2795"/>
      <c r="ENM33" s="2795"/>
      <c r="ENN33" s="2795"/>
      <c r="ENO33" s="2795"/>
      <c r="ENP33" s="2795"/>
      <c r="ENQ33" s="2795"/>
      <c r="ENR33" s="2795"/>
      <c r="ENS33" s="2795"/>
      <c r="ENT33" s="2795"/>
      <c r="ENU33" s="2795"/>
      <c r="ENV33" s="2795"/>
      <c r="ENW33" s="2795"/>
      <c r="ENX33" s="2795"/>
      <c r="ENY33" s="2795"/>
      <c r="ENZ33" s="2795"/>
      <c r="EOA33" s="2795"/>
      <c r="EOB33" s="2795"/>
      <c r="EOC33" s="2795"/>
      <c r="EOD33" s="2795"/>
      <c r="EOE33" s="2795"/>
      <c r="EOF33" s="2795"/>
      <c r="EOG33" s="2795"/>
      <c r="EOH33" s="2795"/>
      <c r="EOI33" s="2795"/>
      <c r="EOJ33" s="2795"/>
      <c r="EOK33" s="2795"/>
      <c r="EOL33" s="2795"/>
      <c r="EOM33" s="2795"/>
      <c r="EON33" s="2795"/>
      <c r="EOO33" s="2795"/>
      <c r="EOP33" s="2795"/>
      <c r="EOQ33" s="2795"/>
      <c r="EOR33" s="2795"/>
      <c r="EOS33" s="2795"/>
      <c r="EOT33" s="2795"/>
      <c r="EOU33" s="2795"/>
      <c r="EOV33" s="2795"/>
      <c r="EOW33" s="2795"/>
      <c r="EOX33" s="2795"/>
      <c r="EOY33" s="2795"/>
      <c r="EOZ33" s="2795"/>
      <c r="EPA33" s="2795"/>
      <c r="EPB33" s="2795"/>
      <c r="EPC33" s="2795"/>
      <c r="EPD33" s="2795"/>
      <c r="EPE33" s="2795"/>
      <c r="EPF33" s="2795"/>
      <c r="EPG33" s="2795"/>
      <c r="EPH33" s="2795"/>
      <c r="EPI33" s="2795"/>
      <c r="EPJ33" s="2795"/>
      <c r="EPK33" s="2795"/>
      <c r="EPL33" s="2795"/>
      <c r="EPM33" s="2795"/>
      <c r="EPN33" s="2795"/>
      <c r="EPO33" s="2795"/>
      <c r="EPP33" s="2795"/>
      <c r="EPQ33" s="2795"/>
      <c r="EPR33" s="2795"/>
      <c r="EPS33" s="2795"/>
      <c r="EPT33" s="2795"/>
      <c r="EPU33" s="2795"/>
      <c r="EPV33" s="2795"/>
      <c r="EPW33" s="2795"/>
      <c r="EPX33" s="2795"/>
      <c r="EPY33" s="2795"/>
      <c r="EPZ33" s="2795"/>
      <c r="EQA33" s="2795"/>
      <c r="EQB33" s="2795"/>
      <c r="EQC33" s="2795"/>
      <c r="EQD33" s="2795"/>
      <c r="EQE33" s="2795"/>
      <c r="EQF33" s="2795"/>
      <c r="EQG33" s="2795"/>
      <c r="EQH33" s="2795"/>
      <c r="EQI33" s="2795"/>
      <c r="EQJ33" s="2795"/>
      <c r="EQK33" s="2795"/>
      <c r="EQL33" s="2795"/>
      <c r="EQM33" s="2795"/>
      <c r="EQN33" s="2795"/>
      <c r="EQO33" s="2795"/>
      <c r="EQP33" s="2795"/>
      <c r="EQQ33" s="2795"/>
      <c r="EQR33" s="2795"/>
      <c r="EQS33" s="2795"/>
      <c r="EQT33" s="2795"/>
      <c r="EQU33" s="2795"/>
      <c r="EQV33" s="2795"/>
      <c r="EQW33" s="2795"/>
      <c r="EQX33" s="2795"/>
      <c r="EQY33" s="2795"/>
      <c r="EQZ33" s="2795"/>
      <c r="ERA33" s="2795"/>
      <c r="ERB33" s="2795"/>
      <c r="ERC33" s="2795"/>
      <c r="ERD33" s="2795"/>
      <c r="ERE33" s="2795"/>
      <c r="ERF33" s="2795"/>
      <c r="ERG33" s="2795"/>
      <c r="ERH33" s="2795"/>
      <c r="ERI33" s="2795"/>
      <c r="ERJ33" s="2795"/>
      <c r="ERK33" s="2795"/>
      <c r="ERL33" s="2795"/>
      <c r="ERM33" s="2795"/>
      <c r="ERN33" s="2795"/>
      <c r="ERO33" s="2795"/>
      <c r="ERP33" s="2795"/>
      <c r="ERQ33" s="2795"/>
      <c r="ERR33" s="2795"/>
      <c r="ERS33" s="2795"/>
      <c r="ERT33" s="2795"/>
      <c r="ERU33" s="2795"/>
      <c r="ERV33" s="2795"/>
      <c r="ERW33" s="2795"/>
      <c r="ERX33" s="2795"/>
      <c r="ERY33" s="2795"/>
      <c r="ERZ33" s="2795"/>
      <c r="ESA33" s="2795"/>
      <c r="ESB33" s="2795"/>
      <c r="ESC33" s="2795"/>
      <c r="ESD33" s="2795"/>
      <c r="ESE33" s="2795"/>
      <c r="ESF33" s="2795"/>
      <c r="ESG33" s="2795"/>
      <c r="ESH33" s="2795"/>
      <c r="ESI33" s="2795"/>
      <c r="ESJ33" s="2795"/>
      <c r="ESK33" s="2795"/>
      <c r="ESL33" s="2795"/>
      <c r="ESM33" s="2795"/>
      <c r="ESN33" s="2795"/>
      <c r="ESO33" s="2795"/>
      <c r="ESP33" s="2795"/>
      <c r="ESQ33" s="2795"/>
      <c r="ESR33" s="2795"/>
      <c r="ESS33" s="2795"/>
      <c r="EST33" s="2795"/>
      <c r="ESU33" s="2795"/>
      <c r="ESV33" s="2795"/>
      <c r="ESW33" s="2795"/>
      <c r="ESX33" s="2795"/>
      <c r="ESY33" s="2795"/>
      <c r="ESZ33" s="2795"/>
      <c r="ETA33" s="2795"/>
      <c r="ETB33" s="2795"/>
      <c r="ETC33" s="2795"/>
      <c r="ETD33" s="2795"/>
      <c r="ETE33" s="2795"/>
      <c r="ETF33" s="2795"/>
      <c r="ETG33" s="2795"/>
      <c r="ETH33" s="2795"/>
      <c r="ETI33" s="2795"/>
      <c r="ETJ33" s="2795"/>
      <c r="ETK33" s="2795"/>
      <c r="ETL33" s="2795"/>
      <c r="ETM33" s="2795"/>
      <c r="ETN33" s="2795"/>
      <c r="ETO33" s="2795"/>
      <c r="ETP33" s="2795"/>
      <c r="ETQ33" s="2795"/>
      <c r="ETR33" s="2795"/>
      <c r="ETS33" s="2795"/>
      <c r="ETT33" s="2795"/>
      <c r="ETU33" s="2795"/>
      <c r="ETV33" s="2795"/>
      <c r="ETW33" s="2795"/>
      <c r="ETX33" s="2795"/>
      <c r="ETY33" s="2795"/>
      <c r="ETZ33" s="2795"/>
      <c r="EUA33" s="2795"/>
      <c r="EUB33" s="2795"/>
      <c r="EUC33" s="2795"/>
      <c r="EUD33" s="2795"/>
      <c r="EUE33" s="2795"/>
      <c r="EUF33" s="2795"/>
      <c r="EUG33" s="2795"/>
      <c r="EUH33" s="2795"/>
      <c r="EUI33" s="2795"/>
      <c r="EUJ33" s="2795"/>
      <c r="EUK33" s="2795"/>
      <c r="EUL33" s="2795"/>
      <c r="EUM33" s="2795"/>
      <c r="EUN33" s="2795"/>
      <c r="EUO33" s="2795"/>
      <c r="EUP33" s="2795"/>
      <c r="EUQ33" s="2795"/>
      <c r="EUR33" s="2795"/>
      <c r="EUS33" s="2795"/>
      <c r="EUT33" s="2795"/>
      <c r="EUU33" s="2795"/>
      <c r="EUV33" s="2795"/>
      <c r="EUW33" s="2795"/>
      <c r="EUX33" s="2795"/>
      <c r="EUY33" s="2795"/>
      <c r="EUZ33" s="2795"/>
      <c r="EVA33" s="2795"/>
      <c r="EVB33" s="2795"/>
      <c r="EVC33" s="2795"/>
      <c r="EVD33" s="2795"/>
      <c r="EVE33" s="2795"/>
      <c r="EVF33" s="2795"/>
      <c r="EVG33" s="2795"/>
      <c r="EVH33" s="2795"/>
      <c r="EVI33" s="2795"/>
      <c r="EVJ33" s="2795"/>
      <c r="EVK33" s="2795"/>
      <c r="EVL33" s="2795"/>
      <c r="EVM33" s="2795"/>
      <c r="EVN33" s="2795"/>
      <c r="EVO33" s="2795"/>
      <c r="EVP33" s="2795"/>
      <c r="EVQ33" s="2795"/>
      <c r="EVR33" s="2795"/>
      <c r="EVS33" s="2795"/>
      <c r="EVT33" s="2795"/>
      <c r="EVU33" s="2795"/>
      <c r="EVV33" s="2795"/>
      <c r="EVW33" s="2795"/>
      <c r="EVX33" s="2795"/>
      <c r="EVY33" s="2795"/>
      <c r="EVZ33" s="2795"/>
      <c r="EWA33" s="2795"/>
      <c r="EWB33" s="2795"/>
      <c r="EWC33" s="2795"/>
      <c r="EWD33" s="2795"/>
      <c r="EWE33" s="2795"/>
      <c r="EWF33" s="2795"/>
      <c r="EWG33" s="2795"/>
      <c r="EWH33" s="2795"/>
      <c r="EWI33" s="2795"/>
      <c r="EWJ33" s="2795"/>
      <c r="EWK33" s="2795"/>
      <c r="EWL33" s="2795"/>
      <c r="EWM33" s="2795"/>
      <c r="EWN33" s="2795"/>
      <c r="EWO33" s="2795"/>
      <c r="EWP33" s="2795"/>
      <c r="EWQ33" s="2795"/>
      <c r="EWR33" s="2795"/>
      <c r="EWS33" s="2795"/>
      <c r="EWT33" s="2795"/>
      <c r="EWU33" s="2795"/>
      <c r="EWV33" s="2795"/>
      <c r="EWW33" s="2795"/>
      <c r="EWX33" s="2795"/>
      <c r="EWY33" s="2795"/>
      <c r="EWZ33" s="2795"/>
      <c r="EXA33" s="2795"/>
      <c r="EXB33" s="2795"/>
      <c r="EXC33" s="2795"/>
      <c r="EXD33" s="2795"/>
      <c r="EXE33" s="2795"/>
      <c r="EXF33" s="2795"/>
      <c r="EXG33" s="2795"/>
      <c r="EXH33" s="2795"/>
      <c r="EXI33" s="2795"/>
      <c r="EXJ33" s="2795"/>
      <c r="EXK33" s="2795"/>
      <c r="EXL33" s="2795"/>
      <c r="EXM33" s="2795"/>
      <c r="EXN33" s="2795"/>
      <c r="EXO33" s="2795"/>
      <c r="EXP33" s="2795"/>
      <c r="EXQ33" s="2795"/>
      <c r="EXR33" s="2795"/>
      <c r="EXS33" s="2795"/>
      <c r="EXT33" s="2795"/>
      <c r="EXU33" s="2795"/>
      <c r="EXV33" s="2795"/>
      <c r="EXW33" s="2795"/>
      <c r="EXX33" s="2795"/>
      <c r="EXY33" s="2795"/>
      <c r="EXZ33" s="2795"/>
      <c r="EYA33" s="2795"/>
      <c r="EYB33" s="2795"/>
      <c r="EYC33" s="2795"/>
      <c r="EYD33" s="2795"/>
      <c r="EYE33" s="2795"/>
      <c r="EYF33" s="2795"/>
      <c r="EYG33" s="2795"/>
      <c r="EYH33" s="2795"/>
      <c r="EYI33" s="2795"/>
      <c r="EYJ33" s="2795"/>
      <c r="EYK33" s="2795"/>
      <c r="EYL33" s="2795"/>
      <c r="EYM33" s="2795"/>
      <c r="EYN33" s="2795"/>
      <c r="EYO33" s="2795"/>
      <c r="EYP33" s="2795"/>
      <c r="EYQ33" s="2795"/>
      <c r="EYR33" s="2795"/>
      <c r="EYS33" s="2795"/>
      <c r="EYT33" s="2795"/>
      <c r="EYU33" s="2795"/>
      <c r="EYV33" s="2795"/>
      <c r="EYW33" s="2795"/>
      <c r="EYX33" s="2795"/>
      <c r="EYY33" s="2795"/>
      <c r="EYZ33" s="2795"/>
      <c r="EZA33" s="2795"/>
      <c r="EZB33" s="2795"/>
      <c r="EZC33" s="2795"/>
      <c r="EZD33" s="2795"/>
      <c r="EZE33" s="2795"/>
      <c r="EZF33" s="2795"/>
      <c r="EZG33" s="2795"/>
      <c r="EZH33" s="2795"/>
      <c r="EZI33" s="2795"/>
      <c r="EZJ33" s="2795"/>
      <c r="EZK33" s="2795"/>
      <c r="EZL33" s="2795"/>
      <c r="EZM33" s="2795"/>
      <c r="EZN33" s="2795"/>
      <c r="EZO33" s="2795"/>
      <c r="EZP33" s="2795"/>
      <c r="EZQ33" s="2795"/>
      <c r="EZR33" s="2795"/>
      <c r="EZS33" s="2795"/>
      <c r="EZT33" s="2795"/>
      <c r="EZU33" s="2795"/>
      <c r="EZV33" s="2795"/>
      <c r="EZW33" s="2795"/>
      <c r="EZX33" s="2795"/>
      <c r="EZY33" s="2795"/>
      <c r="EZZ33" s="2795"/>
      <c r="FAA33" s="2795"/>
      <c r="FAB33" s="2795"/>
      <c r="FAC33" s="2795"/>
      <c r="FAD33" s="2795"/>
      <c r="FAE33" s="2795"/>
      <c r="FAF33" s="2795"/>
      <c r="FAG33" s="2795"/>
      <c r="FAH33" s="2795"/>
      <c r="FAI33" s="2795"/>
      <c r="FAJ33" s="2795"/>
      <c r="FAK33" s="2795"/>
      <c r="FAL33" s="2795"/>
      <c r="FAM33" s="2795"/>
      <c r="FAN33" s="2795"/>
      <c r="FAO33" s="2795"/>
      <c r="FAP33" s="2795"/>
      <c r="FAQ33" s="2795"/>
      <c r="FAR33" s="2795"/>
      <c r="FAS33" s="2795"/>
      <c r="FAT33" s="2795"/>
      <c r="FAU33" s="2795"/>
      <c r="FAV33" s="2795"/>
      <c r="FAW33" s="2795"/>
      <c r="FAX33" s="2795"/>
      <c r="FAY33" s="2795"/>
      <c r="FAZ33" s="2795"/>
      <c r="FBA33" s="2795"/>
      <c r="FBB33" s="2795"/>
      <c r="FBC33" s="2795"/>
      <c r="FBD33" s="2795"/>
      <c r="FBE33" s="2795"/>
      <c r="FBF33" s="2795"/>
      <c r="FBG33" s="2795"/>
      <c r="FBH33" s="2795"/>
      <c r="FBI33" s="2795"/>
      <c r="FBJ33" s="2795"/>
      <c r="FBK33" s="2795"/>
      <c r="FBL33" s="2795"/>
      <c r="FBM33" s="2795"/>
      <c r="FBN33" s="2795"/>
      <c r="FBO33" s="2795"/>
      <c r="FBP33" s="2795"/>
      <c r="FBQ33" s="2795"/>
      <c r="FBR33" s="2795"/>
      <c r="FBS33" s="2795"/>
      <c r="FBT33" s="2795"/>
      <c r="FBU33" s="2795"/>
      <c r="FBV33" s="2795"/>
      <c r="FBW33" s="2795"/>
      <c r="FBX33" s="2795"/>
      <c r="FBY33" s="2795"/>
      <c r="FBZ33" s="2795"/>
      <c r="FCA33" s="2795"/>
      <c r="FCB33" s="2795"/>
      <c r="FCC33" s="2795"/>
      <c r="FCD33" s="2795"/>
      <c r="FCE33" s="2795"/>
      <c r="FCF33" s="2795"/>
      <c r="FCG33" s="2795"/>
      <c r="FCH33" s="2795"/>
      <c r="FCI33" s="2795"/>
      <c r="FCJ33" s="2795"/>
      <c r="FCK33" s="2795"/>
      <c r="FCL33" s="2795"/>
      <c r="FCM33" s="2795"/>
      <c r="FCN33" s="2795"/>
      <c r="FCO33" s="2795"/>
      <c r="FCP33" s="2795"/>
      <c r="FCQ33" s="2795"/>
      <c r="FCR33" s="2795"/>
      <c r="FCS33" s="2795"/>
      <c r="FCT33" s="2795"/>
      <c r="FCU33" s="2795"/>
      <c r="FCV33" s="2795"/>
      <c r="FCW33" s="2795"/>
      <c r="FCX33" s="2795"/>
      <c r="FCY33" s="2795"/>
      <c r="FCZ33" s="2795"/>
      <c r="FDA33" s="2795"/>
      <c r="FDB33" s="2795"/>
      <c r="FDC33" s="2795"/>
      <c r="FDD33" s="2795"/>
      <c r="FDE33" s="2795"/>
      <c r="FDF33" s="2795"/>
      <c r="FDG33" s="2795"/>
      <c r="FDH33" s="2795"/>
      <c r="FDI33" s="2795"/>
      <c r="FDJ33" s="2795"/>
      <c r="FDK33" s="2795"/>
      <c r="FDL33" s="2795"/>
      <c r="FDM33" s="2795"/>
      <c r="FDN33" s="2795"/>
      <c r="FDO33" s="2795"/>
      <c r="FDP33" s="2795"/>
      <c r="FDQ33" s="2795"/>
      <c r="FDR33" s="2795"/>
      <c r="FDS33" s="2795"/>
      <c r="FDT33" s="2795"/>
      <c r="FDU33" s="2795"/>
      <c r="FDV33" s="2795"/>
      <c r="FDW33" s="2795"/>
      <c r="FDX33" s="2795"/>
      <c r="FDY33" s="2795"/>
      <c r="FDZ33" s="2795"/>
      <c r="FEA33" s="2795"/>
      <c r="FEB33" s="2795"/>
      <c r="FEC33" s="2795"/>
      <c r="FED33" s="2795"/>
      <c r="FEE33" s="2795"/>
      <c r="FEF33" s="2795"/>
      <c r="FEG33" s="2795"/>
      <c r="FEH33" s="2795"/>
      <c r="FEI33" s="2795"/>
      <c r="FEJ33" s="2795"/>
      <c r="FEK33" s="2795"/>
      <c r="FEL33" s="2795"/>
      <c r="FEM33" s="2795"/>
      <c r="FEN33" s="2795"/>
      <c r="FEO33" s="2795"/>
      <c r="FEP33" s="2795"/>
      <c r="FEQ33" s="2795"/>
      <c r="FER33" s="2795"/>
      <c r="FES33" s="2795"/>
      <c r="FET33" s="2795"/>
      <c r="FEU33" s="2795"/>
      <c r="FEV33" s="2795"/>
      <c r="FEW33" s="2795"/>
      <c r="FEX33" s="2795"/>
      <c r="FEY33" s="2795"/>
      <c r="FEZ33" s="2795"/>
      <c r="FFA33" s="2795"/>
      <c r="FFB33" s="2795"/>
      <c r="FFC33" s="2795"/>
      <c r="FFD33" s="2795"/>
      <c r="FFE33" s="2795"/>
      <c r="FFF33" s="2795"/>
      <c r="FFG33" s="2795"/>
      <c r="FFH33" s="2795"/>
      <c r="FFI33" s="2795"/>
      <c r="FFJ33" s="2795"/>
      <c r="FFK33" s="2795"/>
      <c r="FFL33" s="2795"/>
      <c r="FFM33" s="2795"/>
      <c r="FFN33" s="2795"/>
      <c r="FFO33" s="2795"/>
      <c r="FFP33" s="2795"/>
      <c r="FFQ33" s="2795"/>
      <c r="FFR33" s="2795"/>
      <c r="FFS33" s="2795"/>
      <c r="FFT33" s="2795"/>
      <c r="FFU33" s="2795"/>
      <c r="FFV33" s="2795"/>
      <c r="FFW33" s="2795"/>
      <c r="FFX33" s="2795"/>
      <c r="FFY33" s="2795"/>
      <c r="FFZ33" s="2795"/>
      <c r="FGA33" s="2795"/>
      <c r="FGB33" s="2795"/>
      <c r="FGC33" s="2795"/>
      <c r="FGD33" s="2795"/>
      <c r="FGE33" s="2795"/>
      <c r="FGF33" s="2795"/>
      <c r="FGG33" s="2795"/>
      <c r="FGH33" s="2795"/>
      <c r="FGI33" s="2795"/>
      <c r="FGJ33" s="2795"/>
      <c r="FGK33" s="2795"/>
      <c r="FGL33" s="2795"/>
      <c r="FGM33" s="2795"/>
      <c r="FGN33" s="2795"/>
      <c r="FGO33" s="2795"/>
      <c r="FGP33" s="2795"/>
      <c r="FGQ33" s="2795"/>
      <c r="FGR33" s="2795"/>
      <c r="FGS33" s="2795"/>
      <c r="FGT33" s="2795"/>
      <c r="FGU33" s="2795"/>
      <c r="FGV33" s="2795"/>
      <c r="FGW33" s="2795"/>
      <c r="FGX33" s="2795"/>
      <c r="FGY33" s="2795"/>
      <c r="FGZ33" s="2795"/>
      <c r="FHA33" s="2795"/>
      <c r="FHB33" s="2795"/>
      <c r="FHC33" s="2795"/>
      <c r="FHD33" s="2795"/>
      <c r="FHE33" s="2795"/>
      <c r="FHF33" s="2795"/>
      <c r="FHG33" s="2795"/>
      <c r="FHH33" s="2795"/>
      <c r="FHI33" s="2795"/>
      <c r="FHJ33" s="2795"/>
      <c r="FHK33" s="2795"/>
      <c r="FHL33" s="2795"/>
      <c r="FHM33" s="2795"/>
      <c r="FHN33" s="2795"/>
      <c r="FHO33" s="2795"/>
      <c r="FHP33" s="2795"/>
      <c r="FHQ33" s="2795"/>
      <c r="FHR33" s="2795"/>
      <c r="FHS33" s="2795"/>
      <c r="FHT33" s="2795"/>
      <c r="FHU33" s="2795"/>
      <c r="FHV33" s="2795"/>
      <c r="FHW33" s="2795"/>
      <c r="FHX33" s="2795"/>
      <c r="FHY33" s="2795"/>
      <c r="FHZ33" s="2795"/>
      <c r="FIA33" s="2795"/>
      <c r="FIB33" s="2795"/>
      <c r="FIC33" s="2795"/>
      <c r="FID33" s="2795"/>
      <c r="FIE33" s="2795"/>
      <c r="FIF33" s="2795"/>
      <c r="FIG33" s="2795"/>
      <c r="FIH33" s="2795"/>
      <c r="FII33" s="2795"/>
      <c r="FIJ33" s="2795"/>
      <c r="FIK33" s="2795"/>
      <c r="FIL33" s="2795"/>
      <c r="FIM33" s="2795"/>
      <c r="FIN33" s="2795"/>
      <c r="FIO33" s="2795"/>
      <c r="FIP33" s="2795"/>
      <c r="FIQ33" s="2795"/>
      <c r="FIR33" s="2795"/>
      <c r="FIS33" s="2795"/>
      <c r="FIT33" s="2795"/>
      <c r="FIU33" s="2795"/>
      <c r="FIV33" s="2795"/>
      <c r="FIW33" s="2795"/>
      <c r="FIX33" s="2795"/>
      <c r="FIY33" s="2795"/>
      <c r="FIZ33" s="2795"/>
      <c r="FJA33" s="2795"/>
      <c r="FJB33" s="2795"/>
      <c r="FJC33" s="2795"/>
      <c r="FJD33" s="2795"/>
      <c r="FJE33" s="2795"/>
      <c r="FJF33" s="2795"/>
      <c r="FJG33" s="2795"/>
      <c r="FJH33" s="2795"/>
      <c r="FJI33" s="2795"/>
      <c r="FJJ33" s="2795"/>
      <c r="FJK33" s="2795"/>
      <c r="FJL33" s="2795"/>
      <c r="FJM33" s="2795"/>
      <c r="FJN33" s="2795"/>
      <c r="FJO33" s="2795"/>
      <c r="FJP33" s="2795"/>
      <c r="FJQ33" s="2795"/>
      <c r="FJR33" s="2795"/>
      <c r="FJS33" s="2795"/>
      <c r="FJT33" s="2795"/>
      <c r="FJU33" s="2795"/>
      <c r="FJV33" s="2795"/>
      <c r="FJW33" s="2795"/>
      <c r="FJX33" s="2795"/>
      <c r="FJY33" s="2795"/>
      <c r="FJZ33" s="2795"/>
      <c r="FKA33" s="2795"/>
      <c r="FKB33" s="2795"/>
      <c r="FKC33" s="2795"/>
      <c r="FKD33" s="2795"/>
      <c r="FKE33" s="2795"/>
      <c r="FKF33" s="2795"/>
      <c r="FKG33" s="2795"/>
      <c r="FKH33" s="2795"/>
      <c r="FKI33" s="2795"/>
      <c r="FKJ33" s="2795"/>
      <c r="FKK33" s="2795"/>
      <c r="FKL33" s="2795"/>
      <c r="FKM33" s="2795"/>
      <c r="FKN33" s="2795"/>
      <c r="FKO33" s="2795"/>
      <c r="FKP33" s="2795"/>
      <c r="FKQ33" s="2795"/>
      <c r="FKR33" s="2795"/>
      <c r="FKS33" s="2795"/>
      <c r="FKT33" s="2795"/>
      <c r="FKU33" s="2795"/>
      <c r="FKV33" s="2795"/>
      <c r="FKW33" s="2795"/>
      <c r="FKX33" s="2795"/>
      <c r="FKY33" s="2795"/>
      <c r="FKZ33" s="2795"/>
      <c r="FLA33" s="2795"/>
      <c r="FLB33" s="2795"/>
      <c r="FLC33" s="2795"/>
      <c r="FLD33" s="2795"/>
      <c r="FLE33" s="2795"/>
      <c r="FLF33" s="2795"/>
      <c r="FLG33" s="2795"/>
      <c r="FLH33" s="2795"/>
      <c r="FLI33" s="2795"/>
      <c r="FLJ33" s="2795"/>
      <c r="FLK33" s="2795"/>
      <c r="FLL33" s="2795"/>
      <c r="FLM33" s="2795"/>
      <c r="FLN33" s="2795"/>
      <c r="FLO33" s="2795"/>
      <c r="FLP33" s="2795"/>
      <c r="FLQ33" s="2795"/>
      <c r="FLR33" s="2795"/>
      <c r="FLS33" s="2795"/>
      <c r="FLT33" s="2795"/>
      <c r="FLU33" s="2795"/>
      <c r="FLV33" s="2795"/>
      <c r="FLW33" s="2795"/>
      <c r="FLX33" s="2795"/>
      <c r="FLY33" s="2795"/>
      <c r="FLZ33" s="2795"/>
      <c r="FMA33" s="2795"/>
      <c r="FMB33" s="2795"/>
      <c r="FMC33" s="2795"/>
      <c r="FMD33" s="2795"/>
      <c r="FME33" s="2795"/>
      <c r="FMF33" s="2795"/>
      <c r="FMG33" s="2795"/>
      <c r="FMH33" s="2795"/>
      <c r="FMI33" s="2795"/>
      <c r="FMJ33" s="2795"/>
      <c r="FMK33" s="2795"/>
      <c r="FML33" s="2795"/>
      <c r="FMM33" s="2795"/>
      <c r="FMN33" s="2795"/>
      <c r="FMO33" s="2795"/>
      <c r="FMP33" s="2795"/>
      <c r="FMQ33" s="2795"/>
      <c r="FMR33" s="2795"/>
      <c r="FMS33" s="2795"/>
      <c r="FMT33" s="2795"/>
      <c r="FMU33" s="2795"/>
      <c r="FMV33" s="2795"/>
      <c r="FMW33" s="2795"/>
      <c r="FMX33" s="2795"/>
      <c r="FMY33" s="2795"/>
      <c r="FMZ33" s="2795"/>
      <c r="FNA33" s="2795"/>
      <c r="FNB33" s="2795"/>
      <c r="FNC33" s="2795"/>
      <c r="FND33" s="2795"/>
      <c r="FNE33" s="2795"/>
      <c r="FNF33" s="2795"/>
      <c r="FNG33" s="2795"/>
      <c r="FNH33" s="2795"/>
      <c r="FNI33" s="2795"/>
      <c r="FNJ33" s="2795"/>
      <c r="FNK33" s="2795"/>
      <c r="FNL33" s="2795"/>
      <c r="FNM33" s="2795"/>
      <c r="FNN33" s="2795"/>
      <c r="FNO33" s="2795"/>
      <c r="FNP33" s="2795"/>
      <c r="FNQ33" s="2795"/>
      <c r="FNR33" s="2795"/>
      <c r="FNS33" s="2795"/>
      <c r="FNT33" s="2795"/>
      <c r="FNU33" s="2795"/>
      <c r="FNV33" s="2795"/>
      <c r="FNW33" s="2795"/>
      <c r="FNX33" s="2795"/>
      <c r="FNY33" s="2795"/>
      <c r="FNZ33" s="2795"/>
      <c r="FOA33" s="2795"/>
      <c r="FOB33" s="2795"/>
      <c r="FOC33" s="2795"/>
      <c r="FOD33" s="2795"/>
      <c r="FOE33" s="2795"/>
      <c r="FOF33" s="2795"/>
      <c r="FOG33" s="2795"/>
      <c r="FOH33" s="2795"/>
      <c r="FOI33" s="2795"/>
      <c r="FOJ33" s="2795"/>
      <c r="FOK33" s="2795"/>
      <c r="FOL33" s="2795"/>
      <c r="FOM33" s="2795"/>
      <c r="FON33" s="2795"/>
      <c r="FOO33" s="2795"/>
      <c r="FOP33" s="2795"/>
      <c r="FOQ33" s="2795"/>
      <c r="FOR33" s="2795"/>
      <c r="FOS33" s="2795"/>
      <c r="FOT33" s="2795"/>
      <c r="FOU33" s="2795"/>
      <c r="FOV33" s="2795"/>
      <c r="FOW33" s="2795"/>
      <c r="FOX33" s="2795"/>
      <c r="FOY33" s="2795"/>
      <c r="FOZ33" s="2795"/>
      <c r="FPA33" s="2795"/>
      <c r="FPB33" s="2795"/>
      <c r="FPC33" s="2795"/>
      <c r="FPD33" s="2795"/>
      <c r="FPE33" s="2795"/>
      <c r="FPF33" s="2795"/>
      <c r="FPG33" s="2795"/>
      <c r="FPH33" s="2795"/>
      <c r="FPI33" s="2795"/>
      <c r="FPJ33" s="2795"/>
      <c r="FPK33" s="2795"/>
      <c r="FPL33" s="2795"/>
      <c r="FPM33" s="2795"/>
      <c r="FPN33" s="2795"/>
      <c r="FPO33" s="2795"/>
      <c r="FPP33" s="2795"/>
      <c r="FPQ33" s="2795"/>
      <c r="FPR33" s="2795"/>
      <c r="FPS33" s="2795"/>
      <c r="FPT33" s="2795"/>
      <c r="FPU33" s="2795"/>
      <c r="FPV33" s="2795"/>
      <c r="FPW33" s="2795"/>
      <c r="FPX33" s="2795"/>
      <c r="FPY33" s="2795"/>
      <c r="FPZ33" s="2795"/>
      <c r="FQA33" s="2795"/>
      <c r="FQB33" s="2795"/>
      <c r="FQC33" s="2795"/>
      <c r="FQD33" s="2795"/>
      <c r="FQE33" s="2795"/>
      <c r="FQF33" s="2795"/>
      <c r="FQG33" s="2795"/>
      <c r="FQH33" s="2795"/>
      <c r="FQI33" s="2795"/>
      <c r="FQJ33" s="2795"/>
      <c r="FQK33" s="2795"/>
      <c r="FQL33" s="2795"/>
      <c r="FQM33" s="2795"/>
      <c r="FQN33" s="2795"/>
      <c r="FQO33" s="2795"/>
      <c r="FQP33" s="2795"/>
      <c r="FQQ33" s="2795"/>
      <c r="FQR33" s="2795"/>
      <c r="FQS33" s="2795"/>
      <c r="FQT33" s="2795"/>
      <c r="FQU33" s="2795"/>
      <c r="FQV33" s="2795"/>
      <c r="FQW33" s="2795"/>
      <c r="FQX33" s="2795"/>
      <c r="FQY33" s="2795"/>
      <c r="FQZ33" s="2795"/>
      <c r="FRA33" s="2795"/>
      <c r="FRB33" s="2795"/>
      <c r="FRC33" s="2795"/>
      <c r="FRD33" s="2795"/>
      <c r="FRE33" s="2795"/>
      <c r="FRF33" s="2795"/>
      <c r="FRG33" s="2795"/>
      <c r="FRH33" s="2795"/>
      <c r="FRI33" s="2795"/>
      <c r="FRJ33" s="2795"/>
      <c r="FRK33" s="2795"/>
      <c r="FRL33" s="2795"/>
      <c r="FRM33" s="2795"/>
      <c r="FRN33" s="2795"/>
      <c r="FRO33" s="2795"/>
      <c r="FRP33" s="2795"/>
      <c r="FRQ33" s="2795"/>
      <c r="FRR33" s="2795"/>
      <c r="FRS33" s="2795"/>
      <c r="FRT33" s="2795"/>
      <c r="FRU33" s="2795"/>
      <c r="FRV33" s="2795"/>
      <c r="FRW33" s="2795"/>
      <c r="FRX33" s="2795"/>
      <c r="FRY33" s="2795"/>
      <c r="FRZ33" s="2795"/>
      <c r="FSA33" s="2795"/>
      <c r="FSB33" s="2795"/>
      <c r="FSC33" s="2795"/>
      <c r="FSD33" s="2795"/>
      <c r="FSE33" s="2795"/>
      <c r="FSF33" s="2795"/>
      <c r="FSG33" s="2795"/>
      <c r="FSH33" s="2795"/>
      <c r="FSI33" s="2795"/>
      <c r="FSJ33" s="2795"/>
      <c r="FSK33" s="2795"/>
      <c r="FSL33" s="2795"/>
      <c r="FSM33" s="2795"/>
      <c r="FSN33" s="2795"/>
      <c r="FSO33" s="2795"/>
      <c r="FSP33" s="2795"/>
      <c r="FSQ33" s="2795"/>
      <c r="FSR33" s="2795"/>
      <c r="FSS33" s="2795"/>
      <c r="FST33" s="2795"/>
      <c r="FSU33" s="2795"/>
      <c r="FSV33" s="2795"/>
      <c r="FSW33" s="2795"/>
      <c r="FSX33" s="2795"/>
      <c r="FSY33" s="2795"/>
      <c r="FSZ33" s="2795"/>
      <c r="FTA33" s="2795"/>
      <c r="FTB33" s="2795"/>
      <c r="FTC33" s="2795"/>
      <c r="FTD33" s="2795"/>
      <c r="FTE33" s="2795"/>
      <c r="FTF33" s="2795"/>
      <c r="FTG33" s="2795"/>
      <c r="FTH33" s="2795"/>
      <c r="FTI33" s="2795"/>
      <c r="FTJ33" s="2795"/>
      <c r="FTK33" s="2795"/>
      <c r="FTL33" s="2795"/>
      <c r="FTM33" s="2795"/>
      <c r="FTN33" s="2795"/>
      <c r="FTO33" s="2795"/>
      <c r="FTP33" s="2795"/>
      <c r="FTQ33" s="2795"/>
      <c r="FTR33" s="2795"/>
      <c r="FTS33" s="2795"/>
      <c r="FTT33" s="2795"/>
      <c r="FTU33" s="2795"/>
      <c r="FTV33" s="2795"/>
      <c r="FTW33" s="2795"/>
      <c r="FTX33" s="2795"/>
      <c r="FTY33" s="2795"/>
      <c r="FTZ33" s="2795"/>
      <c r="FUA33" s="2795"/>
      <c r="FUB33" s="2795"/>
      <c r="FUC33" s="2795"/>
      <c r="FUD33" s="2795"/>
      <c r="FUE33" s="2795"/>
      <c r="FUF33" s="2795"/>
      <c r="FUG33" s="2795"/>
      <c r="FUH33" s="2795"/>
      <c r="FUI33" s="2795"/>
      <c r="FUJ33" s="2795"/>
      <c r="FUK33" s="2795"/>
      <c r="FUL33" s="2795"/>
      <c r="FUM33" s="2795"/>
      <c r="FUN33" s="2795"/>
      <c r="FUO33" s="2795"/>
      <c r="FUP33" s="2795"/>
      <c r="FUQ33" s="2795"/>
      <c r="FUR33" s="2795"/>
      <c r="FUS33" s="2795"/>
      <c r="FUT33" s="2795"/>
      <c r="FUU33" s="2795"/>
      <c r="FUV33" s="2795"/>
      <c r="FUW33" s="2795"/>
      <c r="FUX33" s="2795"/>
      <c r="FUY33" s="2795"/>
      <c r="FUZ33" s="2795"/>
      <c r="FVA33" s="2795"/>
      <c r="FVB33" s="2795"/>
      <c r="FVC33" s="2795"/>
      <c r="FVD33" s="2795"/>
      <c r="FVE33" s="2795"/>
      <c r="FVF33" s="2795"/>
      <c r="FVG33" s="2795"/>
      <c r="FVH33" s="2795"/>
      <c r="FVI33" s="2795"/>
      <c r="FVJ33" s="2795"/>
      <c r="FVK33" s="2795"/>
      <c r="FVL33" s="2795"/>
      <c r="FVM33" s="2795"/>
      <c r="FVN33" s="2795"/>
      <c r="FVO33" s="2795"/>
      <c r="FVP33" s="2795"/>
      <c r="FVQ33" s="2795"/>
      <c r="FVR33" s="2795"/>
      <c r="FVS33" s="2795"/>
      <c r="FVT33" s="2795"/>
      <c r="FVU33" s="2795"/>
      <c r="FVV33" s="2795"/>
      <c r="FVW33" s="2795"/>
      <c r="FVX33" s="2795"/>
      <c r="FVY33" s="2795"/>
      <c r="FVZ33" s="2795"/>
      <c r="FWA33" s="2795"/>
      <c r="FWB33" s="2795"/>
      <c r="FWC33" s="2795"/>
      <c r="FWD33" s="2795"/>
      <c r="FWE33" s="2795"/>
      <c r="FWF33" s="2795"/>
      <c r="FWG33" s="2795"/>
      <c r="FWH33" s="2795"/>
      <c r="FWI33" s="2795"/>
      <c r="FWJ33" s="2795"/>
      <c r="FWK33" s="2795"/>
      <c r="FWL33" s="2795"/>
      <c r="FWM33" s="2795"/>
      <c r="FWN33" s="2795"/>
      <c r="FWO33" s="2795"/>
      <c r="FWP33" s="2795"/>
      <c r="FWQ33" s="2795"/>
      <c r="FWR33" s="2795"/>
      <c r="FWS33" s="2795"/>
      <c r="FWT33" s="2795"/>
      <c r="FWU33" s="2795"/>
      <c r="FWV33" s="2795"/>
      <c r="FWW33" s="2795"/>
      <c r="FWX33" s="2795"/>
      <c r="FWY33" s="2795"/>
      <c r="FWZ33" s="2795"/>
      <c r="FXA33" s="2795"/>
      <c r="FXB33" s="2795"/>
      <c r="FXC33" s="2795"/>
      <c r="FXD33" s="2795"/>
      <c r="FXE33" s="2795"/>
      <c r="FXF33" s="2795"/>
      <c r="FXG33" s="2795"/>
      <c r="FXH33" s="2795"/>
      <c r="FXI33" s="2795"/>
      <c r="FXJ33" s="2795"/>
      <c r="FXK33" s="2795"/>
      <c r="FXL33" s="2795"/>
      <c r="FXM33" s="2795"/>
      <c r="FXN33" s="2795"/>
      <c r="FXO33" s="2795"/>
      <c r="FXP33" s="2795"/>
      <c r="FXQ33" s="2795"/>
      <c r="FXR33" s="2795"/>
      <c r="FXS33" s="2795"/>
      <c r="FXT33" s="2795"/>
      <c r="FXU33" s="2795"/>
      <c r="FXV33" s="2795"/>
      <c r="FXW33" s="2795"/>
      <c r="FXX33" s="2795"/>
      <c r="FXY33" s="2795"/>
      <c r="FXZ33" s="2795"/>
      <c r="FYA33" s="2795"/>
      <c r="FYB33" s="2795"/>
      <c r="FYC33" s="2795"/>
      <c r="FYD33" s="2795"/>
      <c r="FYE33" s="2795"/>
      <c r="FYF33" s="2795"/>
      <c r="FYG33" s="2795"/>
      <c r="FYH33" s="2795"/>
      <c r="FYI33" s="2795"/>
      <c r="FYJ33" s="2795"/>
      <c r="FYK33" s="2795"/>
      <c r="FYL33" s="2795"/>
      <c r="FYM33" s="2795"/>
      <c r="FYN33" s="2795"/>
      <c r="FYO33" s="2795"/>
      <c r="FYP33" s="2795"/>
      <c r="FYQ33" s="2795"/>
      <c r="FYR33" s="2795"/>
      <c r="FYS33" s="2795"/>
      <c r="FYT33" s="2795"/>
      <c r="FYU33" s="2795"/>
      <c r="FYV33" s="2795"/>
      <c r="FYW33" s="2795"/>
      <c r="FYX33" s="2795"/>
      <c r="FYY33" s="2795"/>
      <c r="FYZ33" s="2795"/>
      <c r="FZA33" s="2795"/>
      <c r="FZB33" s="2795"/>
      <c r="FZC33" s="2795"/>
      <c r="FZD33" s="2795"/>
      <c r="FZE33" s="2795"/>
      <c r="FZF33" s="2795"/>
      <c r="FZG33" s="2795"/>
      <c r="FZH33" s="2795"/>
      <c r="FZI33" s="2795"/>
      <c r="FZJ33" s="2795"/>
      <c r="FZK33" s="2795"/>
      <c r="FZL33" s="2795"/>
      <c r="FZM33" s="2795"/>
      <c r="FZN33" s="2795"/>
      <c r="FZO33" s="2795"/>
      <c r="FZP33" s="2795"/>
      <c r="FZQ33" s="2795"/>
      <c r="FZR33" s="2795"/>
      <c r="FZS33" s="2795"/>
      <c r="FZT33" s="2795"/>
      <c r="FZU33" s="2795"/>
      <c r="FZV33" s="2795"/>
      <c r="FZW33" s="2795"/>
      <c r="FZX33" s="2795"/>
      <c r="FZY33" s="2795"/>
      <c r="FZZ33" s="2795"/>
      <c r="GAA33" s="2795"/>
      <c r="GAB33" s="2795"/>
      <c r="GAC33" s="2795"/>
      <c r="GAD33" s="2795"/>
      <c r="GAE33" s="2795"/>
      <c r="GAF33" s="2795"/>
      <c r="GAG33" s="2795"/>
      <c r="GAH33" s="2795"/>
      <c r="GAI33" s="2795"/>
      <c r="GAJ33" s="2795"/>
      <c r="GAK33" s="2795"/>
      <c r="GAL33" s="2795"/>
      <c r="GAM33" s="2795"/>
      <c r="GAN33" s="2795"/>
      <c r="GAO33" s="2795"/>
      <c r="GAP33" s="2795"/>
      <c r="GAQ33" s="2795"/>
      <c r="GAR33" s="2795"/>
      <c r="GAS33" s="2795"/>
      <c r="GAT33" s="2795"/>
      <c r="GAU33" s="2795"/>
      <c r="GAV33" s="2795"/>
      <c r="GAW33" s="2795"/>
      <c r="GAX33" s="2795"/>
      <c r="GAY33" s="2795"/>
      <c r="GAZ33" s="2795"/>
      <c r="GBA33" s="2795"/>
      <c r="GBB33" s="2795"/>
      <c r="GBC33" s="2795"/>
      <c r="GBD33" s="2795"/>
      <c r="GBE33" s="2795"/>
      <c r="GBF33" s="2795"/>
      <c r="GBG33" s="2795"/>
      <c r="GBH33" s="2795"/>
      <c r="GBI33" s="2795"/>
      <c r="GBJ33" s="2795"/>
      <c r="GBK33" s="2795"/>
      <c r="GBL33" s="2795"/>
      <c r="GBM33" s="2795"/>
      <c r="GBN33" s="2795"/>
      <c r="GBO33" s="2795"/>
      <c r="GBP33" s="2795"/>
      <c r="GBQ33" s="2795"/>
      <c r="GBR33" s="2795"/>
      <c r="GBS33" s="2795"/>
      <c r="GBT33" s="2795"/>
      <c r="GBU33" s="2795"/>
      <c r="GBV33" s="2795"/>
      <c r="GBW33" s="2795"/>
      <c r="GBX33" s="2795"/>
      <c r="GBY33" s="2795"/>
      <c r="GBZ33" s="2795"/>
      <c r="GCA33" s="2795"/>
      <c r="GCB33" s="2795"/>
      <c r="GCC33" s="2795"/>
      <c r="GCD33" s="2795"/>
      <c r="GCE33" s="2795"/>
      <c r="GCF33" s="2795"/>
      <c r="GCG33" s="2795"/>
      <c r="GCH33" s="2795"/>
      <c r="GCI33" s="2795"/>
      <c r="GCJ33" s="2795"/>
      <c r="GCK33" s="2795"/>
      <c r="GCL33" s="2795"/>
      <c r="GCM33" s="2795"/>
      <c r="GCN33" s="2795"/>
      <c r="GCO33" s="2795"/>
      <c r="GCP33" s="2795"/>
      <c r="GCQ33" s="2795"/>
      <c r="GCR33" s="2795"/>
      <c r="GCS33" s="2795"/>
      <c r="GCT33" s="2795"/>
      <c r="GCU33" s="2795"/>
      <c r="GCV33" s="2795"/>
      <c r="GCW33" s="2795"/>
      <c r="GCX33" s="2795"/>
      <c r="GCY33" s="2795"/>
      <c r="GCZ33" s="2795"/>
      <c r="GDA33" s="2795"/>
      <c r="GDB33" s="2795"/>
      <c r="GDC33" s="2795"/>
      <c r="GDD33" s="2795"/>
      <c r="GDE33" s="2795"/>
      <c r="GDF33" s="2795"/>
      <c r="GDG33" s="2795"/>
      <c r="GDH33" s="2795"/>
      <c r="GDI33" s="2795"/>
      <c r="GDJ33" s="2795"/>
      <c r="GDK33" s="2795"/>
      <c r="GDL33" s="2795"/>
      <c r="GDM33" s="2795"/>
      <c r="GDN33" s="2795"/>
      <c r="GDO33" s="2795"/>
      <c r="GDP33" s="2795"/>
      <c r="GDQ33" s="2795"/>
      <c r="GDR33" s="2795"/>
      <c r="GDS33" s="2795"/>
      <c r="GDT33" s="2795"/>
      <c r="GDU33" s="2795"/>
      <c r="GDV33" s="2795"/>
      <c r="GDW33" s="2795"/>
      <c r="GDX33" s="2795"/>
      <c r="GDY33" s="2795"/>
      <c r="GDZ33" s="2795"/>
      <c r="GEA33" s="2795"/>
      <c r="GEB33" s="2795"/>
      <c r="GEC33" s="2795"/>
      <c r="GED33" s="2795"/>
      <c r="GEE33" s="2795"/>
      <c r="GEF33" s="2795"/>
      <c r="GEG33" s="2795"/>
      <c r="GEH33" s="2795"/>
      <c r="GEI33" s="2795"/>
      <c r="GEJ33" s="2795"/>
      <c r="GEK33" s="2795"/>
      <c r="GEL33" s="2795"/>
      <c r="GEM33" s="2795"/>
      <c r="GEN33" s="2795"/>
      <c r="GEO33" s="2795"/>
      <c r="GEP33" s="2795"/>
      <c r="GEQ33" s="2795"/>
      <c r="GER33" s="2795"/>
      <c r="GES33" s="2795"/>
      <c r="GET33" s="2795"/>
      <c r="GEU33" s="2795"/>
      <c r="GEV33" s="2795"/>
      <c r="GEW33" s="2795"/>
      <c r="GEX33" s="2795"/>
      <c r="GEY33" s="2795"/>
      <c r="GEZ33" s="2795"/>
      <c r="GFA33" s="2795"/>
      <c r="GFB33" s="2795"/>
      <c r="GFC33" s="2795"/>
      <c r="GFD33" s="2795"/>
      <c r="GFE33" s="2795"/>
      <c r="GFF33" s="2795"/>
      <c r="GFG33" s="2795"/>
      <c r="GFH33" s="2795"/>
      <c r="GFI33" s="2795"/>
      <c r="GFJ33" s="2795"/>
      <c r="GFK33" s="2795"/>
      <c r="GFL33" s="2795"/>
      <c r="GFM33" s="2795"/>
      <c r="GFN33" s="2795"/>
      <c r="GFO33" s="2795"/>
      <c r="GFP33" s="2795"/>
      <c r="GFQ33" s="2795"/>
      <c r="GFR33" s="2795"/>
      <c r="GFS33" s="2795"/>
      <c r="GFT33" s="2795"/>
      <c r="GFU33" s="2795"/>
      <c r="GFV33" s="2795"/>
      <c r="GFW33" s="2795"/>
      <c r="GFX33" s="2795"/>
      <c r="GFY33" s="2795"/>
      <c r="GFZ33" s="2795"/>
      <c r="GGA33" s="2795"/>
      <c r="GGB33" s="2795"/>
      <c r="GGC33" s="2795"/>
      <c r="GGD33" s="2795"/>
      <c r="GGE33" s="2795"/>
      <c r="GGF33" s="2795"/>
      <c r="GGG33" s="2795"/>
      <c r="GGH33" s="2795"/>
      <c r="GGI33" s="2795"/>
      <c r="GGJ33" s="2795"/>
      <c r="GGK33" s="2795"/>
      <c r="GGL33" s="2795"/>
      <c r="GGM33" s="2795"/>
      <c r="GGN33" s="2795"/>
      <c r="GGO33" s="2795"/>
      <c r="GGP33" s="2795"/>
      <c r="GGQ33" s="2795"/>
      <c r="GGR33" s="2795"/>
      <c r="GGS33" s="2795"/>
      <c r="GGT33" s="2795"/>
      <c r="GGU33" s="2795"/>
      <c r="GGV33" s="2795"/>
      <c r="GGW33" s="2795"/>
      <c r="GGX33" s="2795"/>
      <c r="GGY33" s="2795"/>
      <c r="GGZ33" s="2795"/>
      <c r="GHA33" s="2795"/>
      <c r="GHB33" s="2795"/>
      <c r="GHC33" s="2795"/>
      <c r="GHD33" s="2795"/>
      <c r="GHE33" s="2795"/>
      <c r="GHF33" s="2795"/>
      <c r="GHG33" s="2795"/>
      <c r="GHH33" s="2795"/>
      <c r="GHI33" s="2795"/>
      <c r="GHJ33" s="2795"/>
      <c r="GHK33" s="2795"/>
      <c r="GHL33" s="2795"/>
      <c r="GHM33" s="2795"/>
      <c r="GHN33" s="2795"/>
      <c r="GHO33" s="2795"/>
      <c r="GHP33" s="2795"/>
      <c r="GHQ33" s="2795"/>
      <c r="GHR33" s="2795"/>
      <c r="GHS33" s="2795"/>
      <c r="GHT33" s="2795"/>
      <c r="GHU33" s="2795"/>
      <c r="GHV33" s="2795"/>
      <c r="GHW33" s="2795"/>
      <c r="GHX33" s="2795"/>
      <c r="GHY33" s="2795"/>
      <c r="GHZ33" s="2795"/>
      <c r="GIA33" s="2795"/>
      <c r="GIB33" s="2795"/>
      <c r="GIC33" s="2795"/>
      <c r="GID33" s="2795"/>
      <c r="GIE33" s="2795"/>
      <c r="GIF33" s="2795"/>
      <c r="GIG33" s="2795"/>
      <c r="GIH33" s="2795"/>
      <c r="GII33" s="2795"/>
      <c r="GIJ33" s="2795"/>
      <c r="GIK33" s="2795"/>
      <c r="GIL33" s="2795"/>
      <c r="GIM33" s="2795"/>
      <c r="GIN33" s="2795"/>
      <c r="GIO33" s="2795"/>
      <c r="GIP33" s="2795"/>
      <c r="GIQ33" s="2795"/>
      <c r="GIR33" s="2795"/>
      <c r="GIS33" s="2795"/>
      <c r="GIT33" s="2795"/>
      <c r="GIU33" s="2795"/>
      <c r="GIV33" s="2795"/>
      <c r="GIW33" s="2795"/>
      <c r="GIX33" s="2795"/>
      <c r="GIY33" s="2795"/>
      <c r="GIZ33" s="2795"/>
      <c r="GJA33" s="2795"/>
      <c r="GJB33" s="2795"/>
      <c r="GJC33" s="2795"/>
      <c r="GJD33" s="2795"/>
      <c r="GJE33" s="2795"/>
      <c r="GJF33" s="2795"/>
      <c r="GJG33" s="2795"/>
      <c r="GJH33" s="2795"/>
      <c r="GJI33" s="2795"/>
      <c r="GJJ33" s="2795"/>
      <c r="GJK33" s="2795"/>
      <c r="GJL33" s="2795"/>
      <c r="GJM33" s="2795"/>
      <c r="GJN33" s="2795"/>
      <c r="GJO33" s="2795"/>
      <c r="GJP33" s="2795"/>
      <c r="GJQ33" s="2795"/>
      <c r="GJR33" s="2795"/>
      <c r="GJS33" s="2795"/>
      <c r="GJT33" s="2795"/>
      <c r="GJU33" s="2795"/>
      <c r="GJV33" s="2795"/>
      <c r="GJW33" s="2795"/>
      <c r="GJX33" s="2795"/>
      <c r="GJY33" s="2795"/>
      <c r="GJZ33" s="2795"/>
      <c r="GKA33" s="2795"/>
      <c r="GKB33" s="2795"/>
      <c r="GKC33" s="2795"/>
      <c r="GKD33" s="2795"/>
      <c r="GKE33" s="2795"/>
      <c r="GKF33" s="2795"/>
      <c r="GKG33" s="2795"/>
      <c r="GKH33" s="2795"/>
      <c r="GKI33" s="2795"/>
      <c r="GKJ33" s="2795"/>
      <c r="GKK33" s="2795"/>
      <c r="GKL33" s="2795"/>
      <c r="GKM33" s="2795"/>
      <c r="GKN33" s="2795"/>
      <c r="GKO33" s="2795"/>
      <c r="GKP33" s="2795"/>
      <c r="GKQ33" s="2795"/>
      <c r="GKR33" s="2795"/>
      <c r="GKS33" s="2795"/>
      <c r="GKT33" s="2795"/>
      <c r="GKU33" s="2795"/>
      <c r="GKV33" s="2795"/>
      <c r="GKW33" s="2795"/>
      <c r="GKX33" s="2795"/>
      <c r="GKY33" s="2795"/>
      <c r="GKZ33" s="2795"/>
      <c r="GLA33" s="2795"/>
      <c r="GLB33" s="2795"/>
      <c r="GLC33" s="2795"/>
      <c r="GLD33" s="2795"/>
      <c r="GLE33" s="2795"/>
      <c r="GLF33" s="2795"/>
      <c r="GLG33" s="2795"/>
      <c r="GLH33" s="2795"/>
      <c r="GLI33" s="2795"/>
      <c r="GLJ33" s="2795"/>
      <c r="GLK33" s="2795"/>
      <c r="GLL33" s="2795"/>
      <c r="GLM33" s="2795"/>
      <c r="GLN33" s="2795"/>
      <c r="GLO33" s="2795"/>
      <c r="GLP33" s="2795"/>
      <c r="GLQ33" s="2795"/>
      <c r="GLR33" s="2795"/>
      <c r="GLS33" s="2795"/>
      <c r="GLT33" s="2795"/>
      <c r="GLU33" s="2795"/>
      <c r="GLV33" s="2795"/>
      <c r="GLW33" s="2795"/>
      <c r="GLX33" s="2795"/>
      <c r="GLY33" s="2795"/>
      <c r="GLZ33" s="2795"/>
      <c r="GMA33" s="2795"/>
      <c r="GMB33" s="2795"/>
      <c r="GMC33" s="2795"/>
      <c r="GMD33" s="2795"/>
      <c r="GME33" s="2795"/>
      <c r="GMF33" s="2795"/>
      <c r="GMG33" s="2795"/>
      <c r="GMH33" s="2795"/>
      <c r="GMI33" s="2795"/>
      <c r="GMJ33" s="2795"/>
      <c r="GMK33" s="2795"/>
      <c r="GML33" s="2795"/>
      <c r="GMM33" s="2795"/>
      <c r="GMN33" s="2795"/>
      <c r="GMO33" s="2795"/>
      <c r="GMP33" s="2795"/>
      <c r="GMQ33" s="2795"/>
      <c r="GMR33" s="2795"/>
      <c r="GMS33" s="2795"/>
      <c r="GMT33" s="2795"/>
      <c r="GMU33" s="2795"/>
      <c r="GMV33" s="2795"/>
      <c r="GMW33" s="2795"/>
      <c r="GMX33" s="2795"/>
      <c r="GMY33" s="2795"/>
      <c r="GMZ33" s="2795"/>
      <c r="GNA33" s="2795"/>
      <c r="GNB33" s="2795"/>
      <c r="GNC33" s="2795"/>
      <c r="GND33" s="2795"/>
      <c r="GNE33" s="2795"/>
      <c r="GNF33" s="2795"/>
      <c r="GNG33" s="2795"/>
      <c r="GNH33" s="2795"/>
      <c r="GNI33" s="2795"/>
      <c r="GNJ33" s="2795"/>
      <c r="GNK33" s="2795"/>
      <c r="GNL33" s="2795"/>
      <c r="GNM33" s="2795"/>
      <c r="GNN33" s="2795"/>
      <c r="GNO33" s="2795"/>
      <c r="GNP33" s="2795"/>
      <c r="GNQ33" s="2795"/>
      <c r="GNR33" s="2795"/>
      <c r="GNS33" s="2795"/>
      <c r="GNT33" s="2795"/>
      <c r="GNU33" s="2795"/>
      <c r="GNV33" s="2795"/>
      <c r="GNW33" s="2795"/>
      <c r="GNX33" s="2795"/>
      <c r="GNY33" s="2795"/>
      <c r="GNZ33" s="2795"/>
      <c r="GOA33" s="2795"/>
      <c r="GOB33" s="2795"/>
      <c r="GOC33" s="2795"/>
      <c r="GOD33" s="2795"/>
      <c r="GOE33" s="2795"/>
      <c r="GOF33" s="2795"/>
      <c r="GOG33" s="2795"/>
      <c r="GOH33" s="2795"/>
      <c r="GOI33" s="2795"/>
      <c r="GOJ33" s="2795"/>
      <c r="GOK33" s="2795"/>
      <c r="GOL33" s="2795"/>
      <c r="GOM33" s="2795"/>
      <c r="GON33" s="2795"/>
      <c r="GOO33" s="2795"/>
      <c r="GOP33" s="2795"/>
      <c r="GOQ33" s="2795"/>
      <c r="GOR33" s="2795"/>
      <c r="GOS33" s="2795"/>
      <c r="GOT33" s="2795"/>
      <c r="GOU33" s="2795"/>
      <c r="GOV33" s="2795"/>
      <c r="GOW33" s="2795"/>
      <c r="GOX33" s="2795"/>
      <c r="GOY33" s="2795"/>
      <c r="GOZ33" s="2795"/>
      <c r="GPA33" s="2795"/>
      <c r="GPB33" s="2795"/>
      <c r="GPC33" s="2795"/>
      <c r="GPD33" s="2795"/>
      <c r="GPE33" s="2795"/>
      <c r="GPF33" s="2795"/>
      <c r="GPG33" s="2795"/>
      <c r="GPH33" s="2795"/>
      <c r="GPI33" s="2795"/>
      <c r="GPJ33" s="2795"/>
      <c r="GPK33" s="2795"/>
      <c r="GPL33" s="2795"/>
      <c r="GPM33" s="2795"/>
      <c r="GPN33" s="2795"/>
      <c r="GPO33" s="2795"/>
      <c r="GPP33" s="2795"/>
      <c r="GPQ33" s="2795"/>
      <c r="GPR33" s="2795"/>
      <c r="GPS33" s="2795"/>
      <c r="GPT33" s="2795"/>
      <c r="GPU33" s="2795"/>
      <c r="GPV33" s="2795"/>
      <c r="GPW33" s="2795"/>
      <c r="GPX33" s="2795"/>
      <c r="GPY33" s="2795"/>
      <c r="GPZ33" s="2795"/>
      <c r="GQA33" s="2795"/>
      <c r="GQB33" s="2795"/>
      <c r="GQC33" s="2795"/>
      <c r="GQD33" s="2795"/>
      <c r="GQE33" s="2795"/>
      <c r="GQF33" s="2795"/>
      <c r="GQG33" s="2795"/>
      <c r="GQH33" s="2795"/>
      <c r="GQI33" s="2795"/>
      <c r="GQJ33" s="2795"/>
      <c r="GQK33" s="2795"/>
      <c r="GQL33" s="2795"/>
      <c r="GQM33" s="2795"/>
      <c r="GQN33" s="2795"/>
      <c r="GQO33" s="2795"/>
      <c r="GQP33" s="2795"/>
      <c r="GQQ33" s="2795"/>
      <c r="GQR33" s="2795"/>
      <c r="GQS33" s="2795"/>
      <c r="GQT33" s="2795"/>
      <c r="GQU33" s="2795"/>
      <c r="GQV33" s="2795"/>
      <c r="GQW33" s="2795"/>
      <c r="GQX33" s="2795"/>
      <c r="GQY33" s="2795"/>
      <c r="GQZ33" s="2795"/>
      <c r="GRA33" s="2795"/>
      <c r="GRB33" s="2795"/>
      <c r="GRC33" s="2795"/>
      <c r="GRD33" s="2795"/>
      <c r="GRE33" s="2795"/>
      <c r="GRF33" s="2795"/>
      <c r="GRG33" s="2795"/>
      <c r="GRH33" s="2795"/>
      <c r="GRI33" s="2795"/>
      <c r="GRJ33" s="2795"/>
      <c r="GRK33" s="2795"/>
      <c r="GRL33" s="2795"/>
      <c r="GRM33" s="2795"/>
      <c r="GRN33" s="2795"/>
      <c r="GRO33" s="2795"/>
      <c r="GRP33" s="2795"/>
      <c r="GRQ33" s="2795"/>
      <c r="GRR33" s="2795"/>
      <c r="GRS33" s="2795"/>
      <c r="GRT33" s="2795"/>
      <c r="GRU33" s="2795"/>
      <c r="GRV33" s="2795"/>
      <c r="GRW33" s="2795"/>
      <c r="GRX33" s="2795"/>
      <c r="GRY33" s="2795"/>
      <c r="GRZ33" s="2795"/>
      <c r="GSA33" s="2795"/>
      <c r="GSB33" s="2795"/>
      <c r="GSC33" s="2795"/>
      <c r="GSD33" s="2795"/>
      <c r="GSE33" s="2795"/>
      <c r="GSF33" s="2795"/>
      <c r="GSG33" s="2795"/>
      <c r="GSH33" s="2795"/>
      <c r="GSI33" s="2795"/>
      <c r="GSJ33" s="2795"/>
      <c r="GSK33" s="2795"/>
      <c r="GSL33" s="2795"/>
      <c r="GSM33" s="2795"/>
      <c r="GSN33" s="2795"/>
      <c r="GSO33" s="2795"/>
      <c r="GSP33" s="2795"/>
      <c r="GSQ33" s="2795"/>
      <c r="GSR33" s="2795"/>
      <c r="GSS33" s="2795"/>
      <c r="GST33" s="2795"/>
      <c r="GSU33" s="2795"/>
      <c r="GSV33" s="2795"/>
      <c r="GSW33" s="2795"/>
      <c r="GSX33" s="2795"/>
      <c r="GSY33" s="2795"/>
      <c r="GSZ33" s="2795"/>
      <c r="GTA33" s="2795"/>
      <c r="GTB33" s="2795"/>
      <c r="GTC33" s="2795"/>
      <c r="GTD33" s="2795"/>
      <c r="GTE33" s="2795"/>
      <c r="GTF33" s="2795"/>
      <c r="GTG33" s="2795"/>
      <c r="GTH33" s="2795"/>
      <c r="GTI33" s="2795"/>
      <c r="GTJ33" s="2795"/>
      <c r="GTK33" s="2795"/>
      <c r="GTL33" s="2795"/>
      <c r="GTM33" s="2795"/>
      <c r="GTN33" s="2795"/>
      <c r="GTO33" s="2795"/>
      <c r="GTP33" s="2795"/>
      <c r="GTQ33" s="2795"/>
      <c r="GTR33" s="2795"/>
      <c r="GTS33" s="2795"/>
      <c r="GTT33" s="2795"/>
      <c r="GTU33" s="2795"/>
      <c r="GTV33" s="2795"/>
      <c r="GTW33" s="2795"/>
      <c r="GTX33" s="2795"/>
      <c r="GTY33" s="2795"/>
      <c r="GTZ33" s="2795"/>
      <c r="GUA33" s="2795"/>
      <c r="GUB33" s="2795"/>
      <c r="GUC33" s="2795"/>
      <c r="GUD33" s="2795"/>
      <c r="GUE33" s="2795"/>
      <c r="GUF33" s="2795"/>
      <c r="GUG33" s="2795"/>
      <c r="GUH33" s="2795"/>
      <c r="GUI33" s="2795"/>
      <c r="GUJ33" s="2795"/>
      <c r="GUK33" s="2795"/>
      <c r="GUL33" s="2795"/>
      <c r="GUM33" s="2795"/>
      <c r="GUN33" s="2795"/>
      <c r="GUO33" s="2795"/>
      <c r="GUP33" s="2795"/>
      <c r="GUQ33" s="2795"/>
      <c r="GUR33" s="2795"/>
      <c r="GUS33" s="2795"/>
      <c r="GUT33" s="2795"/>
      <c r="GUU33" s="2795"/>
      <c r="GUV33" s="2795"/>
      <c r="GUW33" s="2795"/>
      <c r="GUX33" s="2795"/>
      <c r="GUY33" s="2795"/>
      <c r="GUZ33" s="2795"/>
      <c r="GVA33" s="2795"/>
      <c r="GVB33" s="2795"/>
      <c r="GVC33" s="2795"/>
      <c r="GVD33" s="2795"/>
      <c r="GVE33" s="2795"/>
      <c r="GVF33" s="2795"/>
      <c r="GVG33" s="2795"/>
      <c r="GVH33" s="2795"/>
      <c r="GVI33" s="2795"/>
      <c r="GVJ33" s="2795"/>
      <c r="GVK33" s="2795"/>
      <c r="GVL33" s="2795"/>
      <c r="GVM33" s="2795"/>
      <c r="GVN33" s="2795"/>
      <c r="GVO33" s="2795"/>
      <c r="GVP33" s="2795"/>
      <c r="GVQ33" s="2795"/>
      <c r="GVR33" s="2795"/>
      <c r="GVS33" s="2795"/>
      <c r="GVT33" s="2795"/>
      <c r="GVU33" s="2795"/>
      <c r="GVV33" s="2795"/>
      <c r="GVW33" s="2795"/>
      <c r="GVX33" s="2795"/>
      <c r="GVY33" s="2795"/>
      <c r="GVZ33" s="2795"/>
      <c r="GWA33" s="2795"/>
      <c r="GWB33" s="2795"/>
      <c r="GWC33" s="2795"/>
      <c r="GWD33" s="2795"/>
      <c r="GWE33" s="2795"/>
      <c r="GWF33" s="2795"/>
      <c r="GWG33" s="2795"/>
      <c r="GWH33" s="2795"/>
      <c r="GWI33" s="2795"/>
      <c r="GWJ33" s="2795"/>
      <c r="GWK33" s="2795"/>
      <c r="GWL33" s="2795"/>
      <c r="GWM33" s="2795"/>
      <c r="GWN33" s="2795"/>
      <c r="GWO33" s="2795"/>
      <c r="GWP33" s="2795"/>
      <c r="GWQ33" s="2795"/>
      <c r="GWR33" s="2795"/>
      <c r="GWS33" s="2795"/>
      <c r="GWT33" s="2795"/>
      <c r="GWU33" s="2795"/>
      <c r="GWV33" s="2795"/>
      <c r="GWW33" s="2795"/>
      <c r="GWX33" s="2795"/>
      <c r="GWY33" s="2795"/>
      <c r="GWZ33" s="2795"/>
      <c r="GXA33" s="2795"/>
      <c r="GXB33" s="2795"/>
      <c r="GXC33" s="2795"/>
      <c r="GXD33" s="2795"/>
      <c r="GXE33" s="2795"/>
      <c r="GXF33" s="2795"/>
      <c r="GXG33" s="2795"/>
      <c r="GXH33" s="2795"/>
      <c r="GXI33" s="2795"/>
      <c r="GXJ33" s="2795"/>
      <c r="GXK33" s="2795"/>
      <c r="GXL33" s="2795"/>
      <c r="GXM33" s="2795"/>
      <c r="GXN33" s="2795"/>
      <c r="GXO33" s="2795"/>
      <c r="GXP33" s="2795"/>
      <c r="GXQ33" s="2795"/>
      <c r="GXR33" s="2795"/>
      <c r="GXS33" s="2795"/>
      <c r="GXT33" s="2795"/>
      <c r="GXU33" s="2795"/>
      <c r="GXV33" s="2795"/>
      <c r="GXW33" s="2795"/>
      <c r="GXX33" s="2795"/>
      <c r="GXY33" s="2795"/>
      <c r="GXZ33" s="2795"/>
      <c r="GYA33" s="2795"/>
      <c r="GYB33" s="2795"/>
      <c r="GYC33" s="2795"/>
      <c r="GYD33" s="2795"/>
      <c r="GYE33" s="2795"/>
      <c r="GYF33" s="2795"/>
      <c r="GYG33" s="2795"/>
      <c r="GYH33" s="2795"/>
      <c r="GYI33" s="2795"/>
      <c r="GYJ33" s="2795"/>
      <c r="GYK33" s="2795"/>
      <c r="GYL33" s="2795"/>
      <c r="GYM33" s="2795"/>
      <c r="GYN33" s="2795"/>
      <c r="GYO33" s="2795"/>
      <c r="GYP33" s="2795"/>
      <c r="GYQ33" s="2795"/>
      <c r="GYR33" s="2795"/>
      <c r="GYS33" s="2795"/>
      <c r="GYT33" s="2795"/>
      <c r="GYU33" s="2795"/>
      <c r="GYV33" s="2795"/>
      <c r="GYW33" s="2795"/>
      <c r="GYX33" s="2795"/>
      <c r="GYY33" s="2795"/>
      <c r="GYZ33" s="2795"/>
      <c r="GZA33" s="2795"/>
      <c r="GZB33" s="2795"/>
      <c r="GZC33" s="2795"/>
      <c r="GZD33" s="2795"/>
      <c r="GZE33" s="2795"/>
      <c r="GZF33" s="2795"/>
      <c r="GZG33" s="2795"/>
      <c r="GZH33" s="2795"/>
      <c r="GZI33" s="2795"/>
      <c r="GZJ33" s="2795"/>
      <c r="GZK33" s="2795"/>
      <c r="GZL33" s="2795"/>
      <c r="GZM33" s="2795"/>
      <c r="GZN33" s="2795"/>
      <c r="GZO33" s="2795"/>
      <c r="GZP33" s="2795"/>
      <c r="GZQ33" s="2795"/>
      <c r="GZR33" s="2795"/>
      <c r="GZS33" s="2795"/>
      <c r="GZT33" s="2795"/>
      <c r="GZU33" s="2795"/>
      <c r="GZV33" s="2795"/>
      <c r="GZW33" s="2795"/>
      <c r="GZX33" s="2795"/>
      <c r="GZY33" s="2795"/>
      <c r="GZZ33" s="2795"/>
      <c r="HAA33" s="2795"/>
      <c r="HAB33" s="2795"/>
      <c r="HAC33" s="2795"/>
      <c r="HAD33" s="2795"/>
      <c r="HAE33" s="2795"/>
      <c r="HAF33" s="2795"/>
      <c r="HAG33" s="2795"/>
      <c r="HAH33" s="2795"/>
      <c r="HAI33" s="2795"/>
      <c r="HAJ33" s="2795"/>
      <c r="HAK33" s="2795"/>
      <c r="HAL33" s="2795"/>
      <c r="HAM33" s="2795"/>
      <c r="HAN33" s="2795"/>
      <c r="HAO33" s="2795"/>
      <c r="HAP33" s="2795"/>
      <c r="HAQ33" s="2795"/>
      <c r="HAR33" s="2795"/>
      <c r="HAS33" s="2795"/>
      <c r="HAT33" s="2795"/>
      <c r="HAU33" s="2795"/>
      <c r="HAV33" s="2795"/>
      <c r="HAW33" s="2795"/>
      <c r="HAX33" s="2795"/>
      <c r="HAY33" s="2795"/>
      <c r="HAZ33" s="2795"/>
      <c r="HBA33" s="2795"/>
      <c r="HBB33" s="2795"/>
      <c r="HBC33" s="2795"/>
      <c r="HBD33" s="2795"/>
      <c r="HBE33" s="2795"/>
      <c r="HBF33" s="2795"/>
      <c r="HBG33" s="2795"/>
      <c r="HBH33" s="2795"/>
      <c r="HBI33" s="2795"/>
      <c r="HBJ33" s="2795"/>
      <c r="HBK33" s="2795"/>
      <c r="HBL33" s="2795"/>
      <c r="HBM33" s="2795"/>
      <c r="HBN33" s="2795"/>
      <c r="HBO33" s="2795"/>
      <c r="HBP33" s="2795"/>
      <c r="HBQ33" s="2795"/>
      <c r="HBR33" s="2795"/>
      <c r="HBS33" s="2795"/>
      <c r="HBT33" s="2795"/>
      <c r="HBU33" s="2795"/>
      <c r="HBV33" s="2795"/>
      <c r="HBW33" s="2795"/>
      <c r="HBX33" s="2795"/>
      <c r="HBY33" s="2795"/>
      <c r="HBZ33" s="2795"/>
      <c r="HCA33" s="2795"/>
      <c r="HCB33" s="2795"/>
      <c r="HCC33" s="2795"/>
      <c r="HCD33" s="2795"/>
      <c r="HCE33" s="2795"/>
      <c r="HCF33" s="2795"/>
      <c r="HCG33" s="2795"/>
      <c r="HCH33" s="2795"/>
      <c r="HCI33" s="2795"/>
      <c r="HCJ33" s="2795"/>
      <c r="HCK33" s="2795"/>
      <c r="HCL33" s="2795"/>
      <c r="HCM33" s="2795"/>
      <c r="HCN33" s="2795"/>
      <c r="HCO33" s="2795"/>
      <c r="HCP33" s="2795"/>
      <c r="HCQ33" s="2795"/>
      <c r="HCR33" s="2795"/>
      <c r="HCS33" s="2795"/>
      <c r="HCT33" s="2795"/>
      <c r="HCU33" s="2795"/>
      <c r="HCV33" s="2795"/>
      <c r="HCW33" s="2795"/>
      <c r="HCX33" s="2795"/>
      <c r="HCY33" s="2795"/>
      <c r="HCZ33" s="2795"/>
      <c r="HDA33" s="2795"/>
      <c r="HDB33" s="2795"/>
      <c r="HDC33" s="2795"/>
      <c r="HDD33" s="2795"/>
      <c r="HDE33" s="2795"/>
      <c r="HDF33" s="2795"/>
      <c r="HDG33" s="2795"/>
      <c r="HDH33" s="2795"/>
      <c r="HDI33" s="2795"/>
      <c r="HDJ33" s="2795"/>
      <c r="HDK33" s="2795"/>
      <c r="HDL33" s="2795"/>
      <c r="HDM33" s="2795"/>
      <c r="HDN33" s="2795"/>
      <c r="HDO33" s="2795"/>
      <c r="HDP33" s="2795"/>
      <c r="HDQ33" s="2795"/>
      <c r="HDR33" s="2795"/>
      <c r="HDS33" s="2795"/>
      <c r="HDT33" s="2795"/>
      <c r="HDU33" s="2795"/>
      <c r="HDV33" s="2795"/>
      <c r="HDW33" s="2795"/>
      <c r="HDX33" s="2795"/>
      <c r="HDY33" s="2795"/>
      <c r="HDZ33" s="2795"/>
      <c r="HEA33" s="2795"/>
      <c r="HEB33" s="2795"/>
      <c r="HEC33" s="2795"/>
      <c r="HED33" s="2795"/>
      <c r="HEE33" s="2795"/>
      <c r="HEF33" s="2795"/>
      <c r="HEG33" s="2795"/>
      <c r="HEH33" s="2795"/>
      <c r="HEI33" s="2795"/>
      <c r="HEJ33" s="2795"/>
      <c r="HEK33" s="2795"/>
      <c r="HEL33" s="2795"/>
      <c r="HEM33" s="2795"/>
      <c r="HEN33" s="2795"/>
      <c r="HEO33" s="2795"/>
      <c r="HEP33" s="2795"/>
      <c r="HEQ33" s="2795"/>
      <c r="HER33" s="2795"/>
      <c r="HES33" s="2795"/>
      <c r="HET33" s="2795"/>
      <c r="HEU33" s="2795"/>
      <c r="HEV33" s="2795"/>
      <c r="HEW33" s="2795"/>
      <c r="HEX33" s="2795"/>
      <c r="HEY33" s="2795"/>
      <c r="HEZ33" s="2795"/>
      <c r="HFA33" s="2795"/>
      <c r="HFB33" s="2795"/>
      <c r="HFC33" s="2795"/>
      <c r="HFD33" s="2795"/>
      <c r="HFE33" s="2795"/>
      <c r="HFF33" s="2795"/>
      <c r="HFG33" s="2795"/>
      <c r="HFH33" s="2795"/>
      <c r="HFI33" s="2795"/>
      <c r="HFJ33" s="2795"/>
      <c r="HFK33" s="2795"/>
      <c r="HFL33" s="2795"/>
      <c r="HFM33" s="2795"/>
      <c r="HFN33" s="2795"/>
      <c r="HFO33" s="2795"/>
      <c r="HFP33" s="2795"/>
      <c r="HFQ33" s="2795"/>
      <c r="HFR33" s="2795"/>
      <c r="HFS33" s="2795"/>
      <c r="HFT33" s="2795"/>
      <c r="HFU33" s="2795"/>
      <c r="HFV33" s="2795"/>
      <c r="HFW33" s="2795"/>
      <c r="HFX33" s="2795"/>
      <c r="HFY33" s="2795"/>
      <c r="HFZ33" s="2795"/>
      <c r="HGA33" s="2795"/>
      <c r="HGB33" s="2795"/>
      <c r="HGC33" s="2795"/>
      <c r="HGD33" s="2795"/>
      <c r="HGE33" s="2795"/>
      <c r="HGF33" s="2795"/>
      <c r="HGG33" s="2795"/>
      <c r="HGH33" s="2795"/>
      <c r="HGI33" s="2795"/>
      <c r="HGJ33" s="2795"/>
      <c r="HGK33" s="2795"/>
      <c r="HGL33" s="2795"/>
      <c r="HGM33" s="2795"/>
      <c r="HGN33" s="2795"/>
      <c r="HGO33" s="2795"/>
      <c r="HGP33" s="2795"/>
      <c r="HGQ33" s="2795"/>
      <c r="HGR33" s="2795"/>
      <c r="HGS33" s="2795"/>
      <c r="HGT33" s="2795"/>
      <c r="HGU33" s="2795"/>
      <c r="HGV33" s="2795"/>
      <c r="HGW33" s="2795"/>
      <c r="HGX33" s="2795"/>
      <c r="HGY33" s="2795"/>
      <c r="HGZ33" s="2795"/>
      <c r="HHA33" s="2795"/>
      <c r="HHB33" s="2795"/>
      <c r="HHC33" s="2795"/>
      <c r="HHD33" s="2795"/>
      <c r="HHE33" s="2795"/>
      <c r="HHF33" s="2795"/>
      <c r="HHG33" s="2795"/>
      <c r="HHH33" s="2795"/>
      <c r="HHI33" s="2795"/>
      <c r="HHJ33" s="2795"/>
      <c r="HHK33" s="2795"/>
      <c r="HHL33" s="2795"/>
      <c r="HHM33" s="2795"/>
      <c r="HHN33" s="2795"/>
      <c r="HHO33" s="2795"/>
      <c r="HHP33" s="2795"/>
      <c r="HHQ33" s="2795"/>
      <c r="HHR33" s="2795"/>
      <c r="HHS33" s="2795"/>
      <c r="HHT33" s="2795"/>
      <c r="HHU33" s="2795"/>
      <c r="HHV33" s="2795"/>
      <c r="HHW33" s="2795"/>
      <c r="HHX33" s="2795"/>
      <c r="HHY33" s="2795"/>
      <c r="HHZ33" s="2795"/>
      <c r="HIA33" s="2795"/>
      <c r="HIB33" s="2795"/>
      <c r="HIC33" s="2795"/>
      <c r="HID33" s="2795"/>
      <c r="HIE33" s="2795"/>
      <c r="HIF33" s="2795"/>
      <c r="HIG33" s="2795"/>
      <c r="HIH33" s="2795"/>
      <c r="HII33" s="2795"/>
      <c r="HIJ33" s="2795"/>
      <c r="HIK33" s="2795"/>
      <c r="HIL33" s="2795"/>
      <c r="HIM33" s="2795"/>
      <c r="HIN33" s="2795"/>
      <c r="HIO33" s="2795"/>
      <c r="HIP33" s="2795"/>
      <c r="HIQ33" s="2795"/>
      <c r="HIR33" s="2795"/>
      <c r="HIS33" s="2795"/>
      <c r="HIT33" s="2795"/>
      <c r="HIU33" s="2795"/>
      <c r="HIV33" s="2795"/>
      <c r="HIW33" s="2795"/>
      <c r="HIX33" s="2795"/>
      <c r="HIY33" s="2795"/>
      <c r="HIZ33" s="2795"/>
      <c r="HJA33" s="2795"/>
      <c r="HJB33" s="2795"/>
      <c r="HJC33" s="2795"/>
      <c r="HJD33" s="2795"/>
      <c r="HJE33" s="2795"/>
      <c r="HJF33" s="2795"/>
      <c r="HJG33" s="2795"/>
      <c r="HJH33" s="2795"/>
      <c r="HJI33" s="2795"/>
      <c r="HJJ33" s="2795"/>
      <c r="HJK33" s="2795"/>
      <c r="HJL33" s="2795"/>
      <c r="HJM33" s="2795"/>
      <c r="HJN33" s="2795"/>
      <c r="HJO33" s="2795"/>
      <c r="HJP33" s="2795"/>
      <c r="HJQ33" s="2795"/>
      <c r="HJR33" s="2795"/>
      <c r="HJS33" s="2795"/>
      <c r="HJT33" s="2795"/>
      <c r="HJU33" s="2795"/>
      <c r="HJV33" s="2795"/>
      <c r="HJW33" s="2795"/>
      <c r="HJX33" s="2795"/>
      <c r="HJY33" s="2795"/>
      <c r="HJZ33" s="2795"/>
      <c r="HKA33" s="2795"/>
      <c r="HKB33" s="2795"/>
      <c r="HKC33" s="2795"/>
      <c r="HKD33" s="2795"/>
      <c r="HKE33" s="2795"/>
      <c r="HKF33" s="2795"/>
      <c r="HKG33" s="2795"/>
      <c r="HKH33" s="2795"/>
      <c r="HKI33" s="2795"/>
      <c r="HKJ33" s="2795"/>
      <c r="HKK33" s="2795"/>
      <c r="HKL33" s="2795"/>
      <c r="HKM33" s="2795"/>
      <c r="HKN33" s="2795"/>
      <c r="HKO33" s="2795"/>
      <c r="HKP33" s="2795"/>
      <c r="HKQ33" s="2795"/>
      <c r="HKR33" s="2795"/>
      <c r="HKS33" s="2795"/>
      <c r="HKT33" s="2795"/>
      <c r="HKU33" s="2795"/>
      <c r="HKV33" s="2795"/>
      <c r="HKW33" s="2795"/>
      <c r="HKX33" s="2795"/>
      <c r="HKY33" s="2795"/>
      <c r="HKZ33" s="2795"/>
      <c r="HLA33" s="2795"/>
      <c r="HLB33" s="2795"/>
      <c r="HLC33" s="2795"/>
      <c r="HLD33" s="2795"/>
      <c r="HLE33" s="2795"/>
      <c r="HLF33" s="2795"/>
      <c r="HLG33" s="2795"/>
      <c r="HLH33" s="2795"/>
      <c r="HLI33" s="2795"/>
      <c r="HLJ33" s="2795"/>
      <c r="HLK33" s="2795"/>
      <c r="HLL33" s="2795"/>
      <c r="HLM33" s="2795"/>
      <c r="HLN33" s="2795"/>
      <c r="HLO33" s="2795"/>
      <c r="HLP33" s="2795"/>
      <c r="HLQ33" s="2795"/>
      <c r="HLR33" s="2795"/>
      <c r="HLS33" s="2795"/>
      <c r="HLT33" s="2795"/>
      <c r="HLU33" s="2795"/>
      <c r="HLV33" s="2795"/>
      <c r="HLW33" s="2795"/>
      <c r="HLX33" s="2795"/>
      <c r="HLY33" s="2795"/>
      <c r="HLZ33" s="2795"/>
      <c r="HMA33" s="2795"/>
      <c r="HMB33" s="2795"/>
      <c r="HMC33" s="2795"/>
      <c r="HMD33" s="2795"/>
      <c r="HME33" s="2795"/>
      <c r="HMF33" s="2795"/>
      <c r="HMG33" s="2795"/>
      <c r="HMH33" s="2795"/>
      <c r="HMI33" s="2795"/>
      <c r="HMJ33" s="2795"/>
      <c r="HMK33" s="2795"/>
      <c r="HML33" s="2795"/>
      <c r="HMM33" s="2795"/>
      <c r="HMN33" s="2795"/>
      <c r="HMO33" s="2795"/>
      <c r="HMP33" s="2795"/>
      <c r="HMQ33" s="2795"/>
      <c r="HMR33" s="2795"/>
      <c r="HMS33" s="2795"/>
      <c r="HMT33" s="2795"/>
      <c r="HMU33" s="2795"/>
      <c r="HMV33" s="2795"/>
      <c r="HMW33" s="2795"/>
      <c r="HMX33" s="2795"/>
      <c r="HMY33" s="2795"/>
      <c r="HMZ33" s="2795"/>
      <c r="HNA33" s="2795"/>
      <c r="HNB33" s="2795"/>
      <c r="HNC33" s="2795"/>
      <c r="HND33" s="2795"/>
      <c r="HNE33" s="2795"/>
      <c r="HNF33" s="2795"/>
      <c r="HNG33" s="2795"/>
      <c r="HNH33" s="2795"/>
      <c r="HNI33" s="2795"/>
      <c r="HNJ33" s="2795"/>
      <c r="HNK33" s="2795"/>
      <c r="HNL33" s="2795"/>
      <c r="HNM33" s="2795"/>
      <c r="HNN33" s="2795"/>
      <c r="HNO33" s="2795"/>
      <c r="HNP33" s="2795"/>
      <c r="HNQ33" s="2795"/>
      <c r="HNR33" s="2795"/>
      <c r="HNS33" s="2795"/>
      <c r="HNT33" s="2795"/>
      <c r="HNU33" s="2795"/>
      <c r="HNV33" s="2795"/>
      <c r="HNW33" s="2795"/>
      <c r="HNX33" s="2795"/>
      <c r="HNY33" s="2795"/>
      <c r="HNZ33" s="2795"/>
      <c r="HOA33" s="2795"/>
      <c r="HOB33" s="2795"/>
      <c r="HOC33" s="2795"/>
      <c r="HOD33" s="2795"/>
      <c r="HOE33" s="2795"/>
      <c r="HOF33" s="2795"/>
      <c r="HOG33" s="2795"/>
      <c r="HOH33" s="2795"/>
      <c r="HOI33" s="2795"/>
      <c r="HOJ33" s="2795"/>
      <c r="HOK33" s="2795"/>
      <c r="HOL33" s="2795"/>
      <c r="HOM33" s="2795"/>
      <c r="HON33" s="2795"/>
      <c r="HOO33" s="2795"/>
      <c r="HOP33" s="2795"/>
      <c r="HOQ33" s="2795"/>
      <c r="HOR33" s="2795"/>
      <c r="HOS33" s="2795"/>
      <c r="HOT33" s="2795"/>
      <c r="HOU33" s="2795"/>
      <c r="HOV33" s="2795"/>
      <c r="HOW33" s="2795"/>
      <c r="HOX33" s="2795"/>
      <c r="HOY33" s="2795"/>
      <c r="HOZ33" s="2795"/>
      <c r="HPA33" s="2795"/>
      <c r="HPB33" s="2795"/>
      <c r="HPC33" s="2795"/>
      <c r="HPD33" s="2795"/>
      <c r="HPE33" s="2795"/>
      <c r="HPF33" s="2795"/>
      <c r="HPG33" s="2795"/>
      <c r="HPH33" s="2795"/>
      <c r="HPI33" s="2795"/>
      <c r="HPJ33" s="2795"/>
      <c r="HPK33" s="2795"/>
      <c r="HPL33" s="2795"/>
      <c r="HPM33" s="2795"/>
      <c r="HPN33" s="2795"/>
      <c r="HPO33" s="2795"/>
      <c r="HPP33" s="2795"/>
      <c r="HPQ33" s="2795"/>
      <c r="HPR33" s="2795"/>
      <c r="HPS33" s="2795"/>
      <c r="HPT33" s="2795"/>
      <c r="HPU33" s="2795"/>
      <c r="HPV33" s="2795"/>
      <c r="HPW33" s="2795"/>
      <c r="HPX33" s="2795"/>
      <c r="HPY33" s="2795"/>
      <c r="HPZ33" s="2795"/>
      <c r="HQA33" s="2795"/>
      <c r="HQB33" s="2795"/>
      <c r="HQC33" s="2795"/>
      <c r="HQD33" s="2795"/>
      <c r="HQE33" s="2795"/>
      <c r="HQF33" s="2795"/>
      <c r="HQG33" s="2795"/>
      <c r="HQH33" s="2795"/>
      <c r="HQI33" s="2795"/>
      <c r="HQJ33" s="2795"/>
      <c r="HQK33" s="2795"/>
      <c r="HQL33" s="2795"/>
      <c r="HQM33" s="2795"/>
      <c r="HQN33" s="2795"/>
      <c r="HQO33" s="2795"/>
      <c r="HQP33" s="2795"/>
      <c r="HQQ33" s="2795"/>
      <c r="HQR33" s="2795"/>
      <c r="HQS33" s="2795"/>
      <c r="HQT33" s="2795"/>
      <c r="HQU33" s="2795"/>
      <c r="HQV33" s="2795"/>
      <c r="HQW33" s="2795"/>
      <c r="HQX33" s="2795"/>
      <c r="HQY33" s="2795"/>
      <c r="HQZ33" s="2795"/>
      <c r="HRA33" s="2795"/>
      <c r="HRB33" s="2795"/>
      <c r="HRC33" s="2795"/>
      <c r="HRD33" s="2795"/>
      <c r="HRE33" s="2795"/>
      <c r="HRF33" s="2795"/>
      <c r="HRG33" s="2795"/>
      <c r="HRH33" s="2795"/>
      <c r="HRI33" s="2795"/>
      <c r="HRJ33" s="2795"/>
      <c r="HRK33" s="2795"/>
      <c r="HRL33" s="2795"/>
      <c r="HRM33" s="2795"/>
      <c r="HRN33" s="2795"/>
      <c r="HRO33" s="2795"/>
      <c r="HRP33" s="2795"/>
      <c r="HRQ33" s="2795"/>
      <c r="HRR33" s="2795"/>
      <c r="HRS33" s="2795"/>
      <c r="HRT33" s="2795"/>
      <c r="HRU33" s="2795"/>
      <c r="HRV33" s="2795"/>
      <c r="HRW33" s="2795"/>
      <c r="HRX33" s="2795"/>
      <c r="HRY33" s="2795"/>
      <c r="HRZ33" s="2795"/>
      <c r="HSA33" s="2795"/>
      <c r="HSB33" s="2795"/>
      <c r="HSC33" s="2795"/>
      <c r="HSD33" s="2795"/>
      <c r="HSE33" s="2795"/>
      <c r="HSF33" s="2795"/>
      <c r="HSG33" s="2795"/>
      <c r="HSH33" s="2795"/>
      <c r="HSI33" s="2795"/>
      <c r="HSJ33" s="2795"/>
      <c r="HSK33" s="2795"/>
      <c r="HSL33" s="2795"/>
      <c r="HSM33" s="2795"/>
      <c r="HSN33" s="2795"/>
      <c r="HSO33" s="2795"/>
      <c r="HSP33" s="2795"/>
      <c r="HSQ33" s="2795"/>
      <c r="HSR33" s="2795"/>
      <c r="HSS33" s="2795"/>
      <c r="HST33" s="2795"/>
      <c r="HSU33" s="2795"/>
      <c r="HSV33" s="2795"/>
      <c r="HSW33" s="2795"/>
      <c r="HSX33" s="2795"/>
      <c r="HSY33" s="2795"/>
      <c r="HSZ33" s="2795"/>
      <c r="HTA33" s="2795"/>
      <c r="HTB33" s="2795"/>
      <c r="HTC33" s="2795"/>
      <c r="HTD33" s="2795"/>
      <c r="HTE33" s="2795"/>
      <c r="HTF33" s="2795"/>
      <c r="HTG33" s="2795"/>
      <c r="HTH33" s="2795"/>
      <c r="HTI33" s="2795"/>
      <c r="HTJ33" s="2795"/>
      <c r="HTK33" s="2795"/>
      <c r="HTL33" s="2795"/>
      <c r="HTM33" s="2795"/>
      <c r="HTN33" s="2795"/>
      <c r="HTO33" s="2795"/>
      <c r="HTP33" s="2795"/>
      <c r="HTQ33" s="2795"/>
      <c r="HTR33" s="2795"/>
      <c r="HTS33" s="2795"/>
      <c r="HTT33" s="2795"/>
      <c r="HTU33" s="2795"/>
      <c r="HTV33" s="2795"/>
      <c r="HTW33" s="2795"/>
      <c r="HTX33" s="2795"/>
      <c r="HTY33" s="2795"/>
      <c r="HTZ33" s="2795"/>
      <c r="HUA33" s="2795"/>
      <c r="HUB33" s="2795"/>
      <c r="HUC33" s="2795"/>
      <c r="HUD33" s="2795"/>
      <c r="HUE33" s="2795"/>
      <c r="HUF33" s="2795"/>
      <c r="HUG33" s="2795"/>
      <c r="HUH33" s="2795"/>
      <c r="HUI33" s="2795"/>
      <c r="HUJ33" s="2795"/>
      <c r="HUK33" s="2795"/>
      <c r="HUL33" s="2795"/>
      <c r="HUM33" s="2795"/>
      <c r="HUN33" s="2795"/>
      <c r="HUO33" s="2795"/>
      <c r="HUP33" s="2795"/>
      <c r="HUQ33" s="2795"/>
      <c r="HUR33" s="2795"/>
      <c r="HUS33" s="2795"/>
      <c r="HUT33" s="2795"/>
      <c r="HUU33" s="2795"/>
      <c r="HUV33" s="2795"/>
      <c r="HUW33" s="2795"/>
      <c r="HUX33" s="2795"/>
      <c r="HUY33" s="2795"/>
      <c r="HUZ33" s="2795"/>
      <c r="HVA33" s="2795"/>
      <c r="HVB33" s="2795"/>
      <c r="HVC33" s="2795"/>
      <c r="HVD33" s="2795"/>
      <c r="HVE33" s="2795"/>
      <c r="HVF33" s="2795"/>
      <c r="HVG33" s="2795"/>
      <c r="HVH33" s="2795"/>
      <c r="HVI33" s="2795"/>
      <c r="HVJ33" s="2795"/>
      <c r="HVK33" s="2795"/>
      <c r="HVL33" s="2795"/>
      <c r="HVM33" s="2795"/>
      <c r="HVN33" s="2795"/>
      <c r="HVO33" s="2795"/>
      <c r="HVP33" s="2795"/>
      <c r="HVQ33" s="2795"/>
      <c r="HVR33" s="2795"/>
      <c r="HVS33" s="2795"/>
      <c r="HVT33" s="2795"/>
      <c r="HVU33" s="2795"/>
      <c r="HVV33" s="2795"/>
      <c r="HVW33" s="2795"/>
      <c r="HVX33" s="2795"/>
      <c r="HVY33" s="2795"/>
      <c r="HVZ33" s="2795"/>
      <c r="HWA33" s="2795"/>
      <c r="HWB33" s="2795"/>
      <c r="HWC33" s="2795"/>
      <c r="HWD33" s="2795"/>
      <c r="HWE33" s="2795"/>
      <c r="HWF33" s="2795"/>
      <c r="HWG33" s="2795"/>
      <c r="HWH33" s="2795"/>
      <c r="HWI33" s="2795"/>
      <c r="HWJ33" s="2795"/>
      <c r="HWK33" s="2795"/>
      <c r="HWL33" s="2795"/>
      <c r="HWM33" s="2795"/>
      <c r="HWN33" s="2795"/>
      <c r="HWO33" s="2795"/>
      <c r="HWP33" s="2795"/>
      <c r="HWQ33" s="2795"/>
      <c r="HWR33" s="2795"/>
      <c r="HWS33" s="2795"/>
      <c r="HWT33" s="2795"/>
      <c r="HWU33" s="2795"/>
      <c r="HWV33" s="2795"/>
      <c r="HWW33" s="2795"/>
      <c r="HWX33" s="2795"/>
      <c r="HWY33" s="2795"/>
      <c r="HWZ33" s="2795"/>
      <c r="HXA33" s="2795"/>
      <c r="HXB33" s="2795"/>
      <c r="HXC33" s="2795"/>
      <c r="HXD33" s="2795"/>
      <c r="HXE33" s="2795"/>
      <c r="HXF33" s="2795"/>
      <c r="HXG33" s="2795"/>
      <c r="HXH33" s="2795"/>
      <c r="HXI33" s="2795"/>
      <c r="HXJ33" s="2795"/>
      <c r="HXK33" s="2795"/>
      <c r="HXL33" s="2795"/>
      <c r="HXM33" s="2795"/>
      <c r="HXN33" s="2795"/>
      <c r="HXO33" s="2795"/>
      <c r="HXP33" s="2795"/>
      <c r="HXQ33" s="2795"/>
      <c r="HXR33" s="2795"/>
      <c r="HXS33" s="2795"/>
      <c r="HXT33" s="2795"/>
      <c r="HXU33" s="2795"/>
      <c r="HXV33" s="2795"/>
      <c r="HXW33" s="2795"/>
      <c r="HXX33" s="2795"/>
      <c r="HXY33" s="2795"/>
      <c r="HXZ33" s="2795"/>
      <c r="HYA33" s="2795"/>
      <c r="HYB33" s="2795"/>
      <c r="HYC33" s="2795"/>
      <c r="HYD33" s="2795"/>
      <c r="HYE33" s="2795"/>
      <c r="HYF33" s="2795"/>
      <c r="HYG33" s="2795"/>
      <c r="HYH33" s="2795"/>
      <c r="HYI33" s="2795"/>
      <c r="HYJ33" s="2795"/>
      <c r="HYK33" s="2795"/>
      <c r="HYL33" s="2795"/>
      <c r="HYM33" s="2795"/>
      <c r="HYN33" s="2795"/>
      <c r="HYO33" s="2795"/>
      <c r="HYP33" s="2795"/>
      <c r="HYQ33" s="2795"/>
      <c r="HYR33" s="2795"/>
      <c r="HYS33" s="2795"/>
      <c r="HYT33" s="2795"/>
      <c r="HYU33" s="2795"/>
      <c r="HYV33" s="2795"/>
      <c r="HYW33" s="2795"/>
      <c r="HYX33" s="2795"/>
      <c r="HYY33" s="2795"/>
      <c r="HYZ33" s="2795"/>
      <c r="HZA33" s="2795"/>
      <c r="HZB33" s="2795"/>
      <c r="HZC33" s="2795"/>
      <c r="HZD33" s="2795"/>
      <c r="HZE33" s="2795"/>
      <c r="HZF33" s="2795"/>
      <c r="HZG33" s="2795"/>
      <c r="HZH33" s="2795"/>
      <c r="HZI33" s="2795"/>
      <c r="HZJ33" s="2795"/>
      <c r="HZK33" s="2795"/>
      <c r="HZL33" s="2795"/>
      <c r="HZM33" s="2795"/>
      <c r="HZN33" s="2795"/>
      <c r="HZO33" s="2795"/>
      <c r="HZP33" s="2795"/>
      <c r="HZQ33" s="2795"/>
      <c r="HZR33" s="2795"/>
      <c r="HZS33" s="2795"/>
      <c r="HZT33" s="2795"/>
      <c r="HZU33" s="2795"/>
      <c r="HZV33" s="2795"/>
      <c r="HZW33" s="2795"/>
      <c r="HZX33" s="2795"/>
      <c r="HZY33" s="2795"/>
      <c r="HZZ33" s="2795"/>
      <c r="IAA33" s="2795"/>
      <c r="IAB33" s="2795"/>
      <c r="IAC33" s="2795"/>
      <c r="IAD33" s="2795"/>
      <c r="IAE33" s="2795"/>
      <c r="IAF33" s="2795"/>
      <c r="IAG33" s="2795"/>
      <c r="IAH33" s="2795"/>
      <c r="IAI33" s="2795"/>
      <c r="IAJ33" s="2795"/>
      <c r="IAK33" s="2795"/>
      <c r="IAL33" s="2795"/>
      <c r="IAM33" s="2795"/>
      <c r="IAN33" s="2795"/>
      <c r="IAO33" s="2795"/>
      <c r="IAP33" s="2795"/>
      <c r="IAQ33" s="2795"/>
      <c r="IAR33" s="2795"/>
      <c r="IAS33" s="2795"/>
      <c r="IAT33" s="2795"/>
      <c r="IAU33" s="2795"/>
      <c r="IAV33" s="2795"/>
      <c r="IAW33" s="2795"/>
      <c r="IAX33" s="2795"/>
      <c r="IAY33" s="2795"/>
      <c r="IAZ33" s="2795"/>
      <c r="IBA33" s="2795"/>
      <c r="IBB33" s="2795"/>
      <c r="IBC33" s="2795"/>
      <c r="IBD33" s="2795"/>
      <c r="IBE33" s="2795"/>
      <c r="IBF33" s="2795"/>
      <c r="IBG33" s="2795"/>
      <c r="IBH33" s="2795"/>
      <c r="IBI33" s="2795"/>
      <c r="IBJ33" s="2795"/>
      <c r="IBK33" s="2795"/>
      <c r="IBL33" s="2795"/>
      <c r="IBM33" s="2795"/>
      <c r="IBN33" s="2795"/>
      <c r="IBO33" s="2795"/>
      <c r="IBP33" s="2795"/>
      <c r="IBQ33" s="2795"/>
      <c r="IBR33" s="2795"/>
      <c r="IBS33" s="2795"/>
      <c r="IBT33" s="2795"/>
      <c r="IBU33" s="2795"/>
      <c r="IBV33" s="2795"/>
      <c r="IBW33" s="2795"/>
      <c r="IBX33" s="2795"/>
      <c r="IBY33" s="2795"/>
      <c r="IBZ33" s="2795"/>
      <c r="ICA33" s="2795"/>
      <c r="ICB33" s="2795"/>
      <c r="ICC33" s="2795"/>
      <c r="ICD33" s="2795"/>
      <c r="ICE33" s="2795"/>
      <c r="ICF33" s="2795"/>
      <c r="ICG33" s="2795"/>
      <c r="ICH33" s="2795"/>
      <c r="ICI33" s="2795"/>
      <c r="ICJ33" s="2795"/>
      <c r="ICK33" s="2795"/>
      <c r="ICL33" s="2795"/>
      <c r="ICM33" s="2795"/>
      <c r="ICN33" s="2795"/>
      <c r="ICO33" s="2795"/>
      <c r="ICP33" s="2795"/>
      <c r="ICQ33" s="2795"/>
      <c r="ICR33" s="2795"/>
      <c r="ICS33" s="2795"/>
      <c r="ICT33" s="2795"/>
      <c r="ICU33" s="2795"/>
      <c r="ICV33" s="2795"/>
      <c r="ICW33" s="2795"/>
      <c r="ICX33" s="2795"/>
      <c r="ICY33" s="2795"/>
      <c r="ICZ33" s="2795"/>
      <c r="IDA33" s="2795"/>
      <c r="IDB33" s="2795"/>
      <c r="IDC33" s="2795"/>
      <c r="IDD33" s="2795"/>
      <c r="IDE33" s="2795"/>
      <c r="IDF33" s="2795"/>
      <c r="IDG33" s="2795"/>
      <c r="IDH33" s="2795"/>
      <c r="IDI33" s="2795"/>
      <c r="IDJ33" s="2795"/>
      <c r="IDK33" s="2795"/>
      <c r="IDL33" s="2795"/>
      <c r="IDM33" s="2795"/>
      <c r="IDN33" s="2795"/>
      <c r="IDO33" s="2795"/>
      <c r="IDP33" s="2795"/>
      <c r="IDQ33" s="2795"/>
      <c r="IDR33" s="2795"/>
      <c r="IDS33" s="2795"/>
      <c r="IDT33" s="2795"/>
      <c r="IDU33" s="2795"/>
      <c r="IDV33" s="2795"/>
      <c r="IDW33" s="2795"/>
      <c r="IDX33" s="2795"/>
      <c r="IDY33" s="2795"/>
      <c r="IDZ33" s="2795"/>
      <c r="IEA33" s="2795"/>
      <c r="IEB33" s="2795"/>
      <c r="IEC33" s="2795"/>
      <c r="IED33" s="2795"/>
      <c r="IEE33" s="2795"/>
      <c r="IEF33" s="2795"/>
      <c r="IEG33" s="2795"/>
      <c r="IEH33" s="2795"/>
      <c r="IEI33" s="2795"/>
      <c r="IEJ33" s="2795"/>
      <c r="IEK33" s="2795"/>
      <c r="IEL33" s="2795"/>
      <c r="IEM33" s="2795"/>
      <c r="IEN33" s="2795"/>
      <c r="IEO33" s="2795"/>
      <c r="IEP33" s="2795"/>
      <c r="IEQ33" s="2795"/>
      <c r="IER33" s="2795"/>
      <c r="IES33" s="2795"/>
      <c r="IET33" s="2795"/>
      <c r="IEU33" s="2795"/>
      <c r="IEV33" s="2795"/>
      <c r="IEW33" s="2795"/>
      <c r="IEX33" s="2795"/>
      <c r="IEY33" s="2795"/>
      <c r="IEZ33" s="2795"/>
      <c r="IFA33" s="2795"/>
      <c r="IFB33" s="2795"/>
      <c r="IFC33" s="2795"/>
      <c r="IFD33" s="2795"/>
      <c r="IFE33" s="2795"/>
      <c r="IFF33" s="2795"/>
      <c r="IFG33" s="2795"/>
      <c r="IFH33" s="2795"/>
      <c r="IFI33" s="2795"/>
      <c r="IFJ33" s="2795"/>
      <c r="IFK33" s="2795"/>
      <c r="IFL33" s="2795"/>
      <c r="IFM33" s="2795"/>
      <c r="IFN33" s="2795"/>
      <c r="IFO33" s="2795"/>
      <c r="IFP33" s="2795"/>
      <c r="IFQ33" s="2795"/>
      <c r="IFR33" s="2795"/>
      <c r="IFS33" s="2795"/>
      <c r="IFT33" s="2795"/>
      <c r="IFU33" s="2795"/>
      <c r="IFV33" s="2795"/>
      <c r="IFW33" s="2795"/>
      <c r="IFX33" s="2795"/>
      <c r="IFY33" s="2795"/>
      <c r="IFZ33" s="2795"/>
      <c r="IGA33" s="2795"/>
      <c r="IGB33" s="2795"/>
      <c r="IGC33" s="2795"/>
      <c r="IGD33" s="2795"/>
      <c r="IGE33" s="2795"/>
      <c r="IGF33" s="2795"/>
      <c r="IGG33" s="2795"/>
      <c r="IGH33" s="2795"/>
      <c r="IGI33" s="2795"/>
      <c r="IGJ33" s="2795"/>
      <c r="IGK33" s="2795"/>
      <c r="IGL33" s="2795"/>
      <c r="IGM33" s="2795"/>
      <c r="IGN33" s="2795"/>
      <c r="IGO33" s="2795"/>
      <c r="IGP33" s="2795"/>
      <c r="IGQ33" s="2795"/>
      <c r="IGR33" s="2795"/>
      <c r="IGS33" s="2795"/>
      <c r="IGT33" s="2795"/>
      <c r="IGU33" s="2795"/>
      <c r="IGV33" s="2795"/>
      <c r="IGW33" s="2795"/>
      <c r="IGX33" s="2795"/>
      <c r="IGY33" s="2795"/>
      <c r="IGZ33" s="2795"/>
      <c r="IHA33" s="2795"/>
      <c r="IHB33" s="2795"/>
      <c r="IHC33" s="2795"/>
      <c r="IHD33" s="2795"/>
      <c r="IHE33" s="2795"/>
      <c r="IHF33" s="2795"/>
      <c r="IHG33" s="2795"/>
      <c r="IHH33" s="2795"/>
      <c r="IHI33" s="2795"/>
      <c r="IHJ33" s="2795"/>
      <c r="IHK33" s="2795"/>
      <c r="IHL33" s="2795"/>
      <c r="IHM33" s="2795"/>
      <c r="IHN33" s="2795"/>
      <c r="IHO33" s="2795"/>
      <c r="IHP33" s="2795"/>
      <c r="IHQ33" s="2795"/>
      <c r="IHR33" s="2795"/>
      <c r="IHS33" s="2795"/>
      <c r="IHT33" s="2795"/>
      <c r="IHU33" s="2795"/>
      <c r="IHV33" s="2795"/>
      <c r="IHW33" s="2795"/>
      <c r="IHX33" s="2795"/>
      <c r="IHY33" s="2795"/>
      <c r="IHZ33" s="2795"/>
      <c r="IIA33" s="2795"/>
      <c r="IIB33" s="2795"/>
      <c r="IIC33" s="2795"/>
      <c r="IID33" s="2795"/>
      <c r="IIE33" s="2795"/>
      <c r="IIF33" s="2795"/>
      <c r="IIG33" s="2795"/>
      <c r="IIH33" s="2795"/>
      <c r="III33" s="2795"/>
      <c r="IIJ33" s="2795"/>
      <c r="IIK33" s="2795"/>
      <c r="IIL33" s="2795"/>
      <c r="IIM33" s="2795"/>
      <c r="IIN33" s="2795"/>
      <c r="IIO33" s="2795"/>
      <c r="IIP33" s="2795"/>
      <c r="IIQ33" s="2795"/>
      <c r="IIR33" s="2795"/>
      <c r="IIS33" s="2795"/>
      <c r="IIT33" s="2795"/>
      <c r="IIU33" s="2795"/>
      <c r="IIV33" s="2795"/>
      <c r="IIW33" s="2795"/>
      <c r="IIX33" s="2795"/>
      <c r="IIY33" s="2795"/>
      <c r="IIZ33" s="2795"/>
      <c r="IJA33" s="2795"/>
      <c r="IJB33" s="2795"/>
      <c r="IJC33" s="2795"/>
      <c r="IJD33" s="2795"/>
      <c r="IJE33" s="2795"/>
      <c r="IJF33" s="2795"/>
      <c r="IJG33" s="2795"/>
      <c r="IJH33" s="2795"/>
      <c r="IJI33" s="2795"/>
      <c r="IJJ33" s="2795"/>
      <c r="IJK33" s="2795"/>
      <c r="IJL33" s="2795"/>
      <c r="IJM33" s="2795"/>
      <c r="IJN33" s="2795"/>
      <c r="IJO33" s="2795"/>
      <c r="IJP33" s="2795"/>
      <c r="IJQ33" s="2795"/>
      <c r="IJR33" s="2795"/>
      <c r="IJS33" s="2795"/>
      <c r="IJT33" s="2795"/>
      <c r="IJU33" s="2795"/>
      <c r="IJV33" s="2795"/>
      <c r="IJW33" s="2795"/>
      <c r="IJX33" s="2795"/>
      <c r="IJY33" s="2795"/>
      <c r="IJZ33" s="2795"/>
      <c r="IKA33" s="2795"/>
      <c r="IKB33" s="2795"/>
      <c r="IKC33" s="2795"/>
      <c r="IKD33" s="2795"/>
      <c r="IKE33" s="2795"/>
      <c r="IKF33" s="2795"/>
      <c r="IKG33" s="2795"/>
      <c r="IKH33" s="2795"/>
      <c r="IKI33" s="2795"/>
      <c r="IKJ33" s="2795"/>
      <c r="IKK33" s="2795"/>
      <c r="IKL33" s="2795"/>
      <c r="IKM33" s="2795"/>
      <c r="IKN33" s="2795"/>
      <c r="IKO33" s="2795"/>
      <c r="IKP33" s="2795"/>
      <c r="IKQ33" s="2795"/>
      <c r="IKR33" s="2795"/>
      <c r="IKS33" s="2795"/>
      <c r="IKT33" s="2795"/>
      <c r="IKU33" s="2795"/>
      <c r="IKV33" s="2795"/>
      <c r="IKW33" s="2795"/>
      <c r="IKX33" s="2795"/>
      <c r="IKY33" s="2795"/>
      <c r="IKZ33" s="2795"/>
      <c r="ILA33" s="2795"/>
      <c r="ILB33" s="2795"/>
      <c r="ILC33" s="2795"/>
      <c r="ILD33" s="2795"/>
      <c r="ILE33" s="2795"/>
      <c r="ILF33" s="2795"/>
      <c r="ILG33" s="2795"/>
      <c r="ILH33" s="2795"/>
      <c r="ILI33" s="2795"/>
      <c r="ILJ33" s="2795"/>
      <c r="ILK33" s="2795"/>
      <c r="ILL33" s="2795"/>
      <c r="ILM33" s="2795"/>
      <c r="ILN33" s="2795"/>
      <c r="ILO33" s="2795"/>
      <c r="ILP33" s="2795"/>
      <c r="ILQ33" s="2795"/>
      <c r="ILR33" s="2795"/>
      <c r="ILS33" s="2795"/>
      <c r="ILT33" s="2795"/>
      <c r="ILU33" s="2795"/>
      <c r="ILV33" s="2795"/>
      <c r="ILW33" s="2795"/>
      <c r="ILX33" s="2795"/>
      <c r="ILY33" s="2795"/>
      <c r="ILZ33" s="2795"/>
      <c r="IMA33" s="2795"/>
      <c r="IMB33" s="2795"/>
      <c r="IMC33" s="2795"/>
      <c r="IMD33" s="2795"/>
      <c r="IME33" s="2795"/>
      <c r="IMF33" s="2795"/>
      <c r="IMG33" s="2795"/>
      <c r="IMH33" s="2795"/>
      <c r="IMI33" s="2795"/>
      <c r="IMJ33" s="2795"/>
      <c r="IMK33" s="2795"/>
      <c r="IML33" s="2795"/>
      <c r="IMM33" s="2795"/>
      <c r="IMN33" s="2795"/>
      <c r="IMO33" s="2795"/>
      <c r="IMP33" s="2795"/>
      <c r="IMQ33" s="2795"/>
      <c r="IMR33" s="2795"/>
      <c r="IMS33" s="2795"/>
      <c r="IMT33" s="2795"/>
      <c r="IMU33" s="2795"/>
      <c r="IMV33" s="2795"/>
      <c r="IMW33" s="2795"/>
      <c r="IMX33" s="2795"/>
      <c r="IMY33" s="2795"/>
      <c r="IMZ33" s="2795"/>
      <c r="INA33" s="2795"/>
      <c r="INB33" s="2795"/>
      <c r="INC33" s="2795"/>
      <c r="IND33" s="2795"/>
      <c r="INE33" s="2795"/>
      <c r="INF33" s="2795"/>
      <c r="ING33" s="2795"/>
      <c r="INH33" s="2795"/>
      <c r="INI33" s="2795"/>
      <c r="INJ33" s="2795"/>
      <c r="INK33" s="2795"/>
      <c r="INL33" s="2795"/>
      <c r="INM33" s="2795"/>
      <c r="INN33" s="2795"/>
      <c r="INO33" s="2795"/>
      <c r="INP33" s="2795"/>
      <c r="INQ33" s="2795"/>
      <c r="INR33" s="2795"/>
      <c r="INS33" s="2795"/>
      <c r="INT33" s="2795"/>
      <c r="INU33" s="2795"/>
      <c r="INV33" s="2795"/>
      <c r="INW33" s="2795"/>
      <c r="INX33" s="2795"/>
      <c r="INY33" s="2795"/>
      <c r="INZ33" s="2795"/>
      <c r="IOA33" s="2795"/>
      <c r="IOB33" s="2795"/>
      <c r="IOC33" s="2795"/>
      <c r="IOD33" s="2795"/>
      <c r="IOE33" s="2795"/>
      <c r="IOF33" s="2795"/>
      <c r="IOG33" s="2795"/>
      <c r="IOH33" s="2795"/>
      <c r="IOI33" s="2795"/>
      <c r="IOJ33" s="2795"/>
      <c r="IOK33" s="2795"/>
      <c r="IOL33" s="2795"/>
      <c r="IOM33" s="2795"/>
      <c r="ION33" s="2795"/>
      <c r="IOO33" s="2795"/>
      <c r="IOP33" s="2795"/>
      <c r="IOQ33" s="2795"/>
      <c r="IOR33" s="2795"/>
      <c r="IOS33" s="2795"/>
      <c r="IOT33" s="2795"/>
      <c r="IOU33" s="2795"/>
      <c r="IOV33" s="2795"/>
      <c r="IOW33" s="2795"/>
      <c r="IOX33" s="2795"/>
      <c r="IOY33" s="2795"/>
      <c r="IOZ33" s="2795"/>
      <c r="IPA33" s="2795"/>
      <c r="IPB33" s="2795"/>
      <c r="IPC33" s="2795"/>
      <c r="IPD33" s="2795"/>
      <c r="IPE33" s="2795"/>
      <c r="IPF33" s="2795"/>
      <c r="IPG33" s="2795"/>
      <c r="IPH33" s="2795"/>
      <c r="IPI33" s="2795"/>
      <c r="IPJ33" s="2795"/>
      <c r="IPK33" s="2795"/>
      <c r="IPL33" s="2795"/>
      <c r="IPM33" s="2795"/>
      <c r="IPN33" s="2795"/>
      <c r="IPO33" s="2795"/>
      <c r="IPP33" s="2795"/>
      <c r="IPQ33" s="2795"/>
      <c r="IPR33" s="2795"/>
      <c r="IPS33" s="2795"/>
      <c r="IPT33" s="2795"/>
      <c r="IPU33" s="2795"/>
      <c r="IPV33" s="2795"/>
      <c r="IPW33" s="2795"/>
      <c r="IPX33" s="2795"/>
      <c r="IPY33" s="2795"/>
      <c r="IPZ33" s="2795"/>
      <c r="IQA33" s="2795"/>
      <c r="IQB33" s="2795"/>
      <c r="IQC33" s="2795"/>
      <c r="IQD33" s="2795"/>
      <c r="IQE33" s="2795"/>
      <c r="IQF33" s="2795"/>
      <c r="IQG33" s="2795"/>
      <c r="IQH33" s="2795"/>
      <c r="IQI33" s="2795"/>
      <c r="IQJ33" s="2795"/>
      <c r="IQK33" s="2795"/>
      <c r="IQL33" s="2795"/>
      <c r="IQM33" s="2795"/>
      <c r="IQN33" s="2795"/>
      <c r="IQO33" s="2795"/>
      <c r="IQP33" s="2795"/>
      <c r="IQQ33" s="2795"/>
      <c r="IQR33" s="2795"/>
      <c r="IQS33" s="2795"/>
      <c r="IQT33" s="2795"/>
      <c r="IQU33" s="2795"/>
      <c r="IQV33" s="2795"/>
      <c r="IQW33" s="2795"/>
      <c r="IQX33" s="2795"/>
      <c r="IQY33" s="2795"/>
      <c r="IQZ33" s="2795"/>
      <c r="IRA33" s="2795"/>
      <c r="IRB33" s="2795"/>
      <c r="IRC33" s="2795"/>
      <c r="IRD33" s="2795"/>
      <c r="IRE33" s="2795"/>
      <c r="IRF33" s="2795"/>
      <c r="IRG33" s="2795"/>
      <c r="IRH33" s="2795"/>
      <c r="IRI33" s="2795"/>
      <c r="IRJ33" s="2795"/>
      <c r="IRK33" s="2795"/>
      <c r="IRL33" s="2795"/>
      <c r="IRM33" s="2795"/>
      <c r="IRN33" s="2795"/>
      <c r="IRO33" s="2795"/>
      <c r="IRP33" s="2795"/>
      <c r="IRQ33" s="2795"/>
      <c r="IRR33" s="2795"/>
      <c r="IRS33" s="2795"/>
      <c r="IRT33" s="2795"/>
      <c r="IRU33" s="2795"/>
      <c r="IRV33" s="2795"/>
      <c r="IRW33" s="2795"/>
      <c r="IRX33" s="2795"/>
      <c r="IRY33" s="2795"/>
      <c r="IRZ33" s="2795"/>
      <c r="ISA33" s="2795"/>
      <c r="ISB33" s="2795"/>
      <c r="ISC33" s="2795"/>
      <c r="ISD33" s="2795"/>
      <c r="ISE33" s="2795"/>
      <c r="ISF33" s="2795"/>
      <c r="ISG33" s="2795"/>
      <c r="ISH33" s="2795"/>
      <c r="ISI33" s="2795"/>
      <c r="ISJ33" s="2795"/>
      <c r="ISK33" s="2795"/>
      <c r="ISL33" s="2795"/>
      <c r="ISM33" s="2795"/>
      <c r="ISN33" s="2795"/>
      <c r="ISO33" s="2795"/>
      <c r="ISP33" s="2795"/>
      <c r="ISQ33" s="2795"/>
      <c r="ISR33" s="2795"/>
      <c r="ISS33" s="2795"/>
      <c r="IST33" s="2795"/>
      <c r="ISU33" s="2795"/>
      <c r="ISV33" s="2795"/>
      <c r="ISW33" s="2795"/>
      <c r="ISX33" s="2795"/>
      <c r="ISY33" s="2795"/>
      <c r="ISZ33" s="2795"/>
      <c r="ITA33" s="2795"/>
      <c r="ITB33" s="2795"/>
      <c r="ITC33" s="2795"/>
      <c r="ITD33" s="2795"/>
      <c r="ITE33" s="2795"/>
      <c r="ITF33" s="2795"/>
      <c r="ITG33" s="2795"/>
      <c r="ITH33" s="2795"/>
      <c r="ITI33" s="2795"/>
      <c r="ITJ33" s="2795"/>
      <c r="ITK33" s="2795"/>
      <c r="ITL33" s="2795"/>
      <c r="ITM33" s="2795"/>
      <c r="ITN33" s="2795"/>
      <c r="ITO33" s="2795"/>
      <c r="ITP33" s="2795"/>
      <c r="ITQ33" s="2795"/>
      <c r="ITR33" s="2795"/>
      <c r="ITS33" s="2795"/>
      <c r="ITT33" s="2795"/>
      <c r="ITU33" s="2795"/>
      <c r="ITV33" s="2795"/>
      <c r="ITW33" s="2795"/>
      <c r="ITX33" s="2795"/>
      <c r="ITY33" s="2795"/>
      <c r="ITZ33" s="2795"/>
      <c r="IUA33" s="2795"/>
      <c r="IUB33" s="2795"/>
      <c r="IUC33" s="2795"/>
      <c r="IUD33" s="2795"/>
      <c r="IUE33" s="2795"/>
      <c r="IUF33" s="2795"/>
      <c r="IUG33" s="2795"/>
      <c r="IUH33" s="2795"/>
      <c r="IUI33" s="2795"/>
      <c r="IUJ33" s="2795"/>
      <c r="IUK33" s="2795"/>
      <c r="IUL33" s="2795"/>
      <c r="IUM33" s="2795"/>
      <c r="IUN33" s="2795"/>
      <c r="IUO33" s="2795"/>
      <c r="IUP33" s="2795"/>
      <c r="IUQ33" s="2795"/>
      <c r="IUR33" s="2795"/>
      <c r="IUS33" s="2795"/>
      <c r="IUT33" s="2795"/>
      <c r="IUU33" s="2795"/>
      <c r="IUV33" s="2795"/>
      <c r="IUW33" s="2795"/>
      <c r="IUX33" s="2795"/>
      <c r="IUY33" s="2795"/>
      <c r="IUZ33" s="2795"/>
      <c r="IVA33" s="2795"/>
      <c r="IVB33" s="2795"/>
      <c r="IVC33" s="2795"/>
      <c r="IVD33" s="2795"/>
      <c r="IVE33" s="2795"/>
      <c r="IVF33" s="2795"/>
      <c r="IVG33" s="2795"/>
      <c r="IVH33" s="2795"/>
      <c r="IVI33" s="2795"/>
      <c r="IVJ33" s="2795"/>
      <c r="IVK33" s="2795"/>
      <c r="IVL33" s="2795"/>
      <c r="IVM33" s="2795"/>
      <c r="IVN33" s="2795"/>
      <c r="IVO33" s="2795"/>
      <c r="IVP33" s="2795"/>
      <c r="IVQ33" s="2795"/>
      <c r="IVR33" s="2795"/>
      <c r="IVS33" s="2795"/>
      <c r="IVT33" s="2795"/>
      <c r="IVU33" s="2795"/>
      <c r="IVV33" s="2795"/>
      <c r="IVW33" s="2795"/>
      <c r="IVX33" s="2795"/>
      <c r="IVY33" s="2795"/>
      <c r="IVZ33" s="2795"/>
      <c r="IWA33" s="2795"/>
      <c r="IWB33" s="2795"/>
      <c r="IWC33" s="2795"/>
      <c r="IWD33" s="2795"/>
      <c r="IWE33" s="2795"/>
      <c r="IWF33" s="2795"/>
      <c r="IWG33" s="2795"/>
      <c r="IWH33" s="2795"/>
      <c r="IWI33" s="2795"/>
      <c r="IWJ33" s="2795"/>
      <c r="IWK33" s="2795"/>
      <c r="IWL33" s="2795"/>
      <c r="IWM33" s="2795"/>
      <c r="IWN33" s="2795"/>
      <c r="IWO33" s="2795"/>
      <c r="IWP33" s="2795"/>
      <c r="IWQ33" s="2795"/>
      <c r="IWR33" s="2795"/>
      <c r="IWS33" s="2795"/>
      <c r="IWT33" s="2795"/>
      <c r="IWU33" s="2795"/>
      <c r="IWV33" s="2795"/>
      <c r="IWW33" s="2795"/>
      <c r="IWX33" s="2795"/>
      <c r="IWY33" s="2795"/>
      <c r="IWZ33" s="2795"/>
      <c r="IXA33" s="2795"/>
      <c r="IXB33" s="2795"/>
      <c r="IXC33" s="2795"/>
      <c r="IXD33" s="2795"/>
      <c r="IXE33" s="2795"/>
      <c r="IXF33" s="2795"/>
      <c r="IXG33" s="2795"/>
      <c r="IXH33" s="2795"/>
      <c r="IXI33" s="2795"/>
      <c r="IXJ33" s="2795"/>
      <c r="IXK33" s="2795"/>
      <c r="IXL33" s="2795"/>
      <c r="IXM33" s="2795"/>
      <c r="IXN33" s="2795"/>
      <c r="IXO33" s="2795"/>
      <c r="IXP33" s="2795"/>
      <c r="IXQ33" s="2795"/>
      <c r="IXR33" s="2795"/>
      <c r="IXS33" s="2795"/>
      <c r="IXT33" s="2795"/>
      <c r="IXU33" s="2795"/>
      <c r="IXV33" s="2795"/>
      <c r="IXW33" s="2795"/>
      <c r="IXX33" s="2795"/>
      <c r="IXY33" s="2795"/>
      <c r="IXZ33" s="2795"/>
      <c r="IYA33" s="2795"/>
      <c r="IYB33" s="2795"/>
      <c r="IYC33" s="2795"/>
      <c r="IYD33" s="2795"/>
      <c r="IYE33" s="2795"/>
      <c r="IYF33" s="2795"/>
      <c r="IYG33" s="2795"/>
      <c r="IYH33" s="2795"/>
      <c r="IYI33" s="2795"/>
      <c r="IYJ33" s="2795"/>
      <c r="IYK33" s="2795"/>
      <c r="IYL33" s="2795"/>
      <c r="IYM33" s="2795"/>
      <c r="IYN33" s="2795"/>
      <c r="IYO33" s="2795"/>
      <c r="IYP33" s="2795"/>
      <c r="IYQ33" s="2795"/>
      <c r="IYR33" s="2795"/>
      <c r="IYS33" s="2795"/>
      <c r="IYT33" s="2795"/>
      <c r="IYU33" s="2795"/>
      <c r="IYV33" s="2795"/>
      <c r="IYW33" s="2795"/>
      <c r="IYX33" s="2795"/>
      <c r="IYY33" s="2795"/>
      <c r="IYZ33" s="2795"/>
      <c r="IZA33" s="2795"/>
      <c r="IZB33" s="2795"/>
      <c r="IZC33" s="2795"/>
      <c r="IZD33" s="2795"/>
      <c r="IZE33" s="2795"/>
      <c r="IZF33" s="2795"/>
      <c r="IZG33" s="2795"/>
      <c r="IZH33" s="2795"/>
      <c r="IZI33" s="2795"/>
      <c r="IZJ33" s="2795"/>
      <c r="IZK33" s="2795"/>
      <c r="IZL33" s="2795"/>
      <c r="IZM33" s="2795"/>
      <c r="IZN33" s="2795"/>
      <c r="IZO33" s="2795"/>
      <c r="IZP33" s="2795"/>
      <c r="IZQ33" s="2795"/>
      <c r="IZR33" s="2795"/>
      <c r="IZS33" s="2795"/>
      <c r="IZT33" s="2795"/>
      <c r="IZU33" s="2795"/>
      <c r="IZV33" s="2795"/>
      <c r="IZW33" s="2795"/>
      <c r="IZX33" s="2795"/>
      <c r="IZY33" s="2795"/>
      <c r="IZZ33" s="2795"/>
      <c r="JAA33" s="2795"/>
      <c r="JAB33" s="2795"/>
      <c r="JAC33" s="2795"/>
      <c r="JAD33" s="2795"/>
      <c r="JAE33" s="2795"/>
      <c r="JAF33" s="2795"/>
      <c r="JAG33" s="2795"/>
      <c r="JAH33" s="2795"/>
      <c r="JAI33" s="2795"/>
      <c r="JAJ33" s="2795"/>
      <c r="JAK33" s="2795"/>
      <c r="JAL33" s="2795"/>
      <c r="JAM33" s="2795"/>
      <c r="JAN33" s="2795"/>
      <c r="JAO33" s="2795"/>
      <c r="JAP33" s="2795"/>
      <c r="JAQ33" s="2795"/>
      <c r="JAR33" s="2795"/>
      <c r="JAS33" s="2795"/>
      <c r="JAT33" s="2795"/>
      <c r="JAU33" s="2795"/>
      <c r="JAV33" s="2795"/>
      <c r="JAW33" s="2795"/>
      <c r="JAX33" s="2795"/>
      <c r="JAY33" s="2795"/>
      <c r="JAZ33" s="2795"/>
      <c r="JBA33" s="2795"/>
      <c r="JBB33" s="2795"/>
      <c r="JBC33" s="2795"/>
      <c r="JBD33" s="2795"/>
      <c r="JBE33" s="2795"/>
      <c r="JBF33" s="2795"/>
      <c r="JBG33" s="2795"/>
      <c r="JBH33" s="2795"/>
      <c r="JBI33" s="2795"/>
      <c r="JBJ33" s="2795"/>
      <c r="JBK33" s="2795"/>
      <c r="JBL33" s="2795"/>
      <c r="JBM33" s="2795"/>
      <c r="JBN33" s="2795"/>
      <c r="JBO33" s="2795"/>
      <c r="JBP33" s="2795"/>
      <c r="JBQ33" s="2795"/>
      <c r="JBR33" s="2795"/>
      <c r="JBS33" s="2795"/>
      <c r="JBT33" s="2795"/>
      <c r="JBU33" s="2795"/>
      <c r="JBV33" s="2795"/>
      <c r="JBW33" s="2795"/>
      <c r="JBX33" s="2795"/>
      <c r="JBY33" s="2795"/>
      <c r="JBZ33" s="2795"/>
      <c r="JCA33" s="2795"/>
      <c r="JCB33" s="2795"/>
      <c r="JCC33" s="2795"/>
      <c r="JCD33" s="2795"/>
      <c r="JCE33" s="2795"/>
      <c r="JCF33" s="2795"/>
      <c r="JCG33" s="2795"/>
      <c r="JCH33" s="2795"/>
      <c r="JCI33" s="2795"/>
      <c r="JCJ33" s="2795"/>
      <c r="JCK33" s="2795"/>
      <c r="JCL33" s="2795"/>
      <c r="JCM33" s="2795"/>
      <c r="JCN33" s="2795"/>
      <c r="JCO33" s="2795"/>
      <c r="JCP33" s="2795"/>
      <c r="JCQ33" s="2795"/>
      <c r="JCR33" s="2795"/>
      <c r="JCS33" s="2795"/>
      <c r="JCT33" s="2795"/>
      <c r="JCU33" s="2795"/>
      <c r="JCV33" s="2795"/>
      <c r="JCW33" s="2795"/>
      <c r="JCX33" s="2795"/>
      <c r="JCY33" s="2795"/>
      <c r="JCZ33" s="2795"/>
      <c r="JDA33" s="2795"/>
      <c r="JDB33" s="2795"/>
      <c r="JDC33" s="2795"/>
      <c r="JDD33" s="2795"/>
      <c r="JDE33" s="2795"/>
      <c r="JDF33" s="2795"/>
      <c r="JDG33" s="2795"/>
      <c r="JDH33" s="2795"/>
      <c r="JDI33" s="2795"/>
      <c r="JDJ33" s="2795"/>
      <c r="JDK33" s="2795"/>
      <c r="JDL33" s="2795"/>
      <c r="JDM33" s="2795"/>
      <c r="JDN33" s="2795"/>
      <c r="JDO33" s="2795"/>
      <c r="JDP33" s="2795"/>
      <c r="JDQ33" s="2795"/>
      <c r="JDR33" s="2795"/>
      <c r="JDS33" s="2795"/>
      <c r="JDT33" s="2795"/>
      <c r="JDU33" s="2795"/>
      <c r="JDV33" s="2795"/>
      <c r="JDW33" s="2795"/>
      <c r="JDX33" s="2795"/>
      <c r="JDY33" s="2795"/>
      <c r="JDZ33" s="2795"/>
      <c r="JEA33" s="2795"/>
      <c r="JEB33" s="2795"/>
      <c r="JEC33" s="2795"/>
      <c r="JED33" s="2795"/>
      <c r="JEE33" s="2795"/>
      <c r="JEF33" s="2795"/>
      <c r="JEG33" s="2795"/>
      <c r="JEH33" s="2795"/>
      <c r="JEI33" s="2795"/>
      <c r="JEJ33" s="2795"/>
      <c r="JEK33" s="2795"/>
      <c r="JEL33" s="2795"/>
      <c r="JEM33" s="2795"/>
      <c r="JEN33" s="2795"/>
      <c r="JEO33" s="2795"/>
      <c r="JEP33" s="2795"/>
      <c r="JEQ33" s="2795"/>
      <c r="JER33" s="2795"/>
      <c r="JES33" s="2795"/>
      <c r="JET33" s="2795"/>
      <c r="JEU33" s="2795"/>
      <c r="JEV33" s="2795"/>
      <c r="JEW33" s="2795"/>
      <c r="JEX33" s="2795"/>
      <c r="JEY33" s="2795"/>
      <c r="JEZ33" s="2795"/>
      <c r="JFA33" s="2795"/>
      <c r="JFB33" s="2795"/>
      <c r="JFC33" s="2795"/>
      <c r="JFD33" s="2795"/>
      <c r="JFE33" s="2795"/>
      <c r="JFF33" s="2795"/>
      <c r="JFG33" s="2795"/>
      <c r="JFH33" s="2795"/>
      <c r="JFI33" s="2795"/>
      <c r="JFJ33" s="2795"/>
      <c r="JFK33" s="2795"/>
      <c r="JFL33" s="2795"/>
      <c r="JFM33" s="2795"/>
      <c r="JFN33" s="2795"/>
      <c r="JFO33" s="2795"/>
      <c r="JFP33" s="2795"/>
      <c r="JFQ33" s="2795"/>
      <c r="JFR33" s="2795"/>
      <c r="JFS33" s="2795"/>
      <c r="JFT33" s="2795"/>
      <c r="JFU33" s="2795"/>
      <c r="JFV33" s="2795"/>
      <c r="JFW33" s="2795"/>
      <c r="JFX33" s="2795"/>
      <c r="JFY33" s="2795"/>
      <c r="JFZ33" s="2795"/>
      <c r="JGA33" s="2795"/>
      <c r="JGB33" s="2795"/>
      <c r="JGC33" s="2795"/>
      <c r="JGD33" s="2795"/>
      <c r="JGE33" s="2795"/>
      <c r="JGF33" s="2795"/>
      <c r="JGG33" s="2795"/>
      <c r="JGH33" s="2795"/>
      <c r="JGI33" s="2795"/>
      <c r="JGJ33" s="2795"/>
      <c r="JGK33" s="2795"/>
      <c r="JGL33" s="2795"/>
      <c r="JGM33" s="2795"/>
      <c r="JGN33" s="2795"/>
      <c r="JGO33" s="2795"/>
      <c r="JGP33" s="2795"/>
      <c r="JGQ33" s="2795"/>
      <c r="JGR33" s="2795"/>
      <c r="JGS33" s="2795"/>
      <c r="JGT33" s="2795"/>
      <c r="JGU33" s="2795"/>
      <c r="JGV33" s="2795"/>
      <c r="JGW33" s="2795"/>
      <c r="JGX33" s="2795"/>
      <c r="JGY33" s="2795"/>
      <c r="JGZ33" s="2795"/>
      <c r="JHA33" s="2795"/>
      <c r="JHB33" s="2795"/>
      <c r="JHC33" s="2795"/>
      <c r="JHD33" s="2795"/>
      <c r="JHE33" s="2795"/>
      <c r="JHF33" s="2795"/>
      <c r="JHG33" s="2795"/>
      <c r="JHH33" s="2795"/>
      <c r="JHI33" s="2795"/>
      <c r="JHJ33" s="2795"/>
      <c r="JHK33" s="2795"/>
      <c r="JHL33" s="2795"/>
      <c r="JHM33" s="2795"/>
      <c r="JHN33" s="2795"/>
      <c r="JHO33" s="2795"/>
      <c r="JHP33" s="2795"/>
      <c r="JHQ33" s="2795"/>
      <c r="JHR33" s="2795"/>
      <c r="JHS33" s="2795"/>
      <c r="JHT33" s="2795"/>
      <c r="JHU33" s="2795"/>
      <c r="JHV33" s="2795"/>
      <c r="JHW33" s="2795"/>
      <c r="JHX33" s="2795"/>
      <c r="JHY33" s="2795"/>
      <c r="JHZ33" s="2795"/>
      <c r="JIA33" s="2795"/>
      <c r="JIB33" s="2795"/>
      <c r="JIC33" s="2795"/>
      <c r="JID33" s="2795"/>
      <c r="JIE33" s="2795"/>
      <c r="JIF33" s="2795"/>
      <c r="JIG33" s="2795"/>
      <c r="JIH33" s="2795"/>
      <c r="JII33" s="2795"/>
      <c r="JIJ33" s="2795"/>
      <c r="JIK33" s="2795"/>
      <c r="JIL33" s="2795"/>
      <c r="JIM33" s="2795"/>
      <c r="JIN33" s="2795"/>
      <c r="JIO33" s="2795"/>
      <c r="JIP33" s="2795"/>
      <c r="JIQ33" s="2795"/>
      <c r="JIR33" s="2795"/>
      <c r="JIS33" s="2795"/>
      <c r="JIT33" s="2795"/>
      <c r="JIU33" s="2795"/>
      <c r="JIV33" s="2795"/>
      <c r="JIW33" s="2795"/>
      <c r="JIX33" s="2795"/>
      <c r="JIY33" s="2795"/>
      <c r="JIZ33" s="2795"/>
      <c r="JJA33" s="2795"/>
      <c r="JJB33" s="2795"/>
      <c r="JJC33" s="2795"/>
      <c r="JJD33" s="2795"/>
      <c r="JJE33" s="2795"/>
      <c r="JJF33" s="2795"/>
      <c r="JJG33" s="2795"/>
      <c r="JJH33" s="2795"/>
      <c r="JJI33" s="2795"/>
      <c r="JJJ33" s="2795"/>
      <c r="JJK33" s="2795"/>
      <c r="JJL33" s="2795"/>
      <c r="JJM33" s="2795"/>
      <c r="JJN33" s="2795"/>
      <c r="JJO33" s="2795"/>
      <c r="JJP33" s="2795"/>
      <c r="JJQ33" s="2795"/>
      <c r="JJR33" s="2795"/>
      <c r="JJS33" s="2795"/>
      <c r="JJT33" s="2795"/>
      <c r="JJU33" s="2795"/>
      <c r="JJV33" s="2795"/>
      <c r="JJW33" s="2795"/>
      <c r="JJX33" s="2795"/>
      <c r="JJY33" s="2795"/>
      <c r="JJZ33" s="2795"/>
      <c r="JKA33" s="2795"/>
      <c r="JKB33" s="2795"/>
      <c r="JKC33" s="2795"/>
      <c r="JKD33" s="2795"/>
      <c r="JKE33" s="2795"/>
      <c r="JKF33" s="2795"/>
      <c r="JKG33" s="2795"/>
      <c r="JKH33" s="2795"/>
      <c r="JKI33" s="2795"/>
      <c r="JKJ33" s="2795"/>
      <c r="JKK33" s="2795"/>
      <c r="JKL33" s="2795"/>
      <c r="JKM33" s="2795"/>
      <c r="JKN33" s="2795"/>
      <c r="JKO33" s="2795"/>
      <c r="JKP33" s="2795"/>
      <c r="JKQ33" s="2795"/>
      <c r="JKR33" s="2795"/>
      <c r="JKS33" s="2795"/>
      <c r="JKT33" s="2795"/>
      <c r="JKU33" s="2795"/>
      <c r="JKV33" s="2795"/>
      <c r="JKW33" s="2795"/>
      <c r="JKX33" s="2795"/>
      <c r="JKY33" s="2795"/>
      <c r="JKZ33" s="2795"/>
      <c r="JLA33" s="2795"/>
      <c r="JLB33" s="2795"/>
      <c r="JLC33" s="2795"/>
      <c r="JLD33" s="2795"/>
      <c r="JLE33" s="2795"/>
      <c r="JLF33" s="2795"/>
      <c r="JLG33" s="2795"/>
      <c r="JLH33" s="2795"/>
      <c r="JLI33" s="2795"/>
      <c r="JLJ33" s="2795"/>
      <c r="JLK33" s="2795"/>
      <c r="JLL33" s="2795"/>
      <c r="JLM33" s="2795"/>
      <c r="JLN33" s="2795"/>
      <c r="JLO33" s="2795"/>
      <c r="JLP33" s="2795"/>
      <c r="JLQ33" s="2795"/>
      <c r="JLR33" s="2795"/>
      <c r="JLS33" s="2795"/>
      <c r="JLT33" s="2795"/>
      <c r="JLU33" s="2795"/>
      <c r="JLV33" s="2795"/>
      <c r="JLW33" s="2795"/>
      <c r="JLX33" s="2795"/>
      <c r="JLY33" s="2795"/>
      <c r="JLZ33" s="2795"/>
      <c r="JMA33" s="2795"/>
      <c r="JMB33" s="2795"/>
      <c r="JMC33" s="2795"/>
      <c r="JMD33" s="2795"/>
      <c r="JME33" s="2795"/>
      <c r="JMF33" s="2795"/>
      <c r="JMG33" s="2795"/>
      <c r="JMH33" s="2795"/>
      <c r="JMI33" s="2795"/>
      <c r="JMJ33" s="2795"/>
      <c r="JMK33" s="2795"/>
      <c r="JML33" s="2795"/>
      <c r="JMM33" s="2795"/>
      <c r="JMN33" s="2795"/>
      <c r="JMO33" s="2795"/>
      <c r="JMP33" s="2795"/>
      <c r="JMQ33" s="2795"/>
      <c r="JMR33" s="2795"/>
      <c r="JMS33" s="2795"/>
      <c r="JMT33" s="2795"/>
      <c r="JMU33" s="2795"/>
      <c r="JMV33" s="2795"/>
      <c r="JMW33" s="2795"/>
      <c r="JMX33" s="2795"/>
      <c r="JMY33" s="2795"/>
      <c r="JMZ33" s="2795"/>
      <c r="JNA33" s="2795"/>
      <c r="JNB33" s="2795"/>
      <c r="JNC33" s="2795"/>
      <c r="JND33" s="2795"/>
      <c r="JNE33" s="2795"/>
      <c r="JNF33" s="2795"/>
      <c r="JNG33" s="2795"/>
      <c r="JNH33" s="2795"/>
      <c r="JNI33" s="2795"/>
      <c r="JNJ33" s="2795"/>
      <c r="JNK33" s="2795"/>
      <c r="JNL33" s="2795"/>
      <c r="JNM33" s="2795"/>
      <c r="JNN33" s="2795"/>
      <c r="JNO33" s="2795"/>
      <c r="JNP33" s="2795"/>
      <c r="JNQ33" s="2795"/>
      <c r="JNR33" s="2795"/>
      <c r="JNS33" s="2795"/>
      <c r="JNT33" s="2795"/>
      <c r="JNU33" s="2795"/>
      <c r="JNV33" s="2795"/>
      <c r="JNW33" s="2795"/>
      <c r="JNX33" s="2795"/>
      <c r="JNY33" s="2795"/>
      <c r="JNZ33" s="2795"/>
      <c r="JOA33" s="2795"/>
      <c r="JOB33" s="2795"/>
      <c r="JOC33" s="2795"/>
      <c r="JOD33" s="2795"/>
      <c r="JOE33" s="2795"/>
      <c r="JOF33" s="2795"/>
      <c r="JOG33" s="2795"/>
      <c r="JOH33" s="2795"/>
      <c r="JOI33" s="2795"/>
      <c r="JOJ33" s="2795"/>
      <c r="JOK33" s="2795"/>
      <c r="JOL33" s="2795"/>
      <c r="JOM33" s="2795"/>
      <c r="JON33" s="2795"/>
      <c r="JOO33" s="2795"/>
      <c r="JOP33" s="2795"/>
      <c r="JOQ33" s="2795"/>
      <c r="JOR33" s="2795"/>
      <c r="JOS33" s="2795"/>
      <c r="JOT33" s="2795"/>
      <c r="JOU33" s="2795"/>
      <c r="JOV33" s="2795"/>
      <c r="JOW33" s="2795"/>
      <c r="JOX33" s="2795"/>
      <c r="JOY33" s="2795"/>
      <c r="JOZ33" s="2795"/>
      <c r="JPA33" s="2795"/>
      <c r="JPB33" s="2795"/>
      <c r="JPC33" s="2795"/>
      <c r="JPD33" s="2795"/>
      <c r="JPE33" s="2795"/>
      <c r="JPF33" s="2795"/>
      <c r="JPG33" s="2795"/>
      <c r="JPH33" s="2795"/>
      <c r="JPI33" s="2795"/>
      <c r="JPJ33" s="2795"/>
      <c r="JPK33" s="2795"/>
      <c r="JPL33" s="2795"/>
      <c r="JPM33" s="2795"/>
      <c r="JPN33" s="2795"/>
      <c r="JPO33" s="2795"/>
      <c r="JPP33" s="2795"/>
      <c r="JPQ33" s="2795"/>
      <c r="JPR33" s="2795"/>
      <c r="JPS33" s="2795"/>
      <c r="JPT33" s="2795"/>
      <c r="JPU33" s="2795"/>
      <c r="JPV33" s="2795"/>
      <c r="JPW33" s="2795"/>
      <c r="JPX33" s="2795"/>
      <c r="JPY33" s="2795"/>
      <c r="JPZ33" s="2795"/>
      <c r="JQA33" s="2795"/>
      <c r="JQB33" s="2795"/>
      <c r="JQC33" s="2795"/>
      <c r="JQD33" s="2795"/>
      <c r="JQE33" s="2795"/>
      <c r="JQF33" s="2795"/>
      <c r="JQG33" s="2795"/>
      <c r="JQH33" s="2795"/>
      <c r="JQI33" s="2795"/>
      <c r="JQJ33" s="2795"/>
      <c r="JQK33" s="2795"/>
      <c r="JQL33" s="2795"/>
      <c r="JQM33" s="2795"/>
      <c r="JQN33" s="2795"/>
      <c r="JQO33" s="2795"/>
      <c r="JQP33" s="2795"/>
      <c r="JQQ33" s="2795"/>
      <c r="JQR33" s="2795"/>
      <c r="JQS33" s="2795"/>
      <c r="JQT33" s="2795"/>
      <c r="JQU33" s="2795"/>
      <c r="JQV33" s="2795"/>
      <c r="JQW33" s="2795"/>
      <c r="JQX33" s="2795"/>
      <c r="JQY33" s="2795"/>
      <c r="JQZ33" s="2795"/>
      <c r="JRA33" s="2795"/>
      <c r="JRB33" s="2795"/>
      <c r="JRC33" s="2795"/>
      <c r="JRD33" s="2795"/>
      <c r="JRE33" s="2795"/>
      <c r="JRF33" s="2795"/>
      <c r="JRG33" s="2795"/>
      <c r="JRH33" s="2795"/>
      <c r="JRI33" s="2795"/>
      <c r="JRJ33" s="2795"/>
      <c r="JRK33" s="2795"/>
      <c r="JRL33" s="2795"/>
      <c r="JRM33" s="2795"/>
      <c r="JRN33" s="2795"/>
      <c r="JRO33" s="2795"/>
      <c r="JRP33" s="2795"/>
      <c r="JRQ33" s="2795"/>
      <c r="JRR33" s="2795"/>
      <c r="JRS33" s="2795"/>
      <c r="JRT33" s="2795"/>
      <c r="JRU33" s="2795"/>
      <c r="JRV33" s="2795"/>
      <c r="JRW33" s="2795"/>
      <c r="JRX33" s="2795"/>
      <c r="JRY33" s="2795"/>
      <c r="JRZ33" s="2795"/>
      <c r="JSA33" s="2795"/>
      <c r="JSB33" s="2795"/>
      <c r="JSC33" s="2795"/>
      <c r="JSD33" s="2795"/>
      <c r="JSE33" s="2795"/>
      <c r="JSF33" s="2795"/>
      <c r="JSG33" s="2795"/>
      <c r="JSH33" s="2795"/>
      <c r="JSI33" s="2795"/>
      <c r="JSJ33" s="2795"/>
      <c r="JSK33" s="2795"/>
      <c r="JSL33" s="2795"/>
      <c r="JSM33" s="2795"/>
      <c r="JSN33" s="2795"/>
      <c r="JSO33" s="2795"/>
      <c r="JSP33" s="2795"/>
      <c r="JSQ33" s="2795"/>
      <c r="JSR33" s="2795"/>
      <c r="JSS33" s="2795"/>
      <c r="JST33" s="2795"/>
      <c r="JSU33" s="2795"/>
      <c r="JSV33" s="2795"/>
      <c r="JSW33" s="2795"/>
      <c r="JSX33" s="2795"/>
      <c r="JSY33" s="2795"/>
      <c r="JSZ33" s="2795"/>
      <c r="JTA33" s="2795"/>
      <c r="JTB33" s="2795"/>
      <c r="JTC33" s="2795"/>
      <c r="JTD33" s="2795"/>
      <c r="JTE33" s="2795"/>
      <c r="JTF33" s="2795"/>
      <c r="JTG33" s="2795"/>
      <c r="JTH33" s="2795"/>
      <c r="JTI33" s="2795"/>
      <c r="JTJ33" s="2795"/>
      <c r="JTK33" s="2795"/>
      <c r="JTL33" s="2795"/>
      <c r="JTM33" s="2795"/>
      <c r="JTN33" s="2795"/>
      <c r="JTO33" s="2795"/>
      <c r="JTP33" s="2795"/>
      <c r="JTQ33" s="2795"/>
      <c r="JTR33" s="2795"/>
      <c r="JTS33" s="2795"/>
      <c r="JTT33" s="2795"/>
      <c r="JTU33" s="2795"/>
      <c r="JTV33" s="2795"/>
      <c r="JTW33" s="2795"/>
      <c r="JTX33" s="2795"/>
      <c r="JTY33" s="2795"/>
      <c r="JTZ33" s="2795"/>
      <c r="JUA33" s="2795"/>
      <c r="JUB33" s="2795"/>
      <c r="JUC33" s="2795"/>
      <c r="JUD33" s="2795"/>
      <c r="JUE33" s="2795"/>
      <c r="JUF33" s="2795"/>
      <c r="JUG33" s="2795"/>
      <c r="JUH33" s="2795"/>
      <c r="JUI33" s="2795"/>
      <c r="JUJ33" s="2795"/>
      <c r="JUK33" s="2795"/>
      <c r="JUL33" s="2795"/>
      <c r="JUM33" s="2795"/>
      <c r="JUN33" s="2795"/>
      <c r="JUO33" s="2795"/>
      <c r="JUP33" s="2795"/>
      <c r="JUQ33" s="2795"/>
      <c r="JUR33" s="2795"/>
      <c r="JUS33" s="2795"/>
      <c r="JUT33" s="2795"/>
      <c r="JUU33" s="2795"/>
      <c r="JUV33" s="2795"/>
      <c r="JUW33" s="2795"/>
      <c r="JUX33" s="2795"/>
      <c r="JUY33" s="2795"/>
      <c r="JUZ33" s="2795"/>
      <c r="JVA33" s="2795"/>
      <c r="JVB33" s="2795"/>
      <c r="JVC33" s="2795"/>
      <c r="JVD33" s="2795"/>
      <c r="JVE33" s="2795"/>
      <c r="JVF33" s="2795"/>
      <c r="JVG33" s="2795"/>
      <c r="JVH33" s="2795"/>
      <c r="JVI33" s="2795"/>
      <c r="JVJ33" s="2795"/>
      <c r="JVK33" s="2795"/>
      <c r="JVL33" s="2795"/>
      <c r="JVM33" s="2795"/>
      <c r="JVN33" s="2795"/>
      <c r="JVO33" s="2795"/>
      <c r="JVP33" s="2795"/>
      <c r="JVQ33" s="2795"/>
      <c r="JVR33" s="2795"/>
      <c r="JVS33" s="2795"/>
      <c r="JVT33" s="2795"/>
      <c r="JVU33" s="2795"/>
      <c r="JVV33" s="2795"/>
      <c r="JVW33" s="2795"/>
      <c r="JVX33" s="2795"/>
      <c r="JVY33" s="2795"/>
      <c r="JVZ33" s="2795"/>
      <c r="JWA33" s="2795"/>
      <c r="JWB33" s="2795"/>
      <c r="JWC33" s="2795"/>
      <c r="JWD33" s="2795"/>
      <c r="JWE33" s="2795"/>
      <c r="JWF33" s="2795"/>
      <c r="JWG33" s="2795"/>
      <c r="JWH33" s="2795"/>
      <c r="JWI33" s="2795"/>
      <c r="JWJ33" s="2795"/>
      <c r="JWK33" s="2795"/>
      <c r="JWL33" s="2795"/>
      <c r="JWM33" s="2795"/>
      <c r="JWN33" s="2795"/>
      <c r="JWO33" s="2795"/>
      <c r="JWP33" s="2795"/>
      <c r="JWQ33" s="2795"/>
      <c r="JWR33" s="2795"/>
      <c r="JWS33" s="2795"/>
      <c r="JWT33" s="2795"/>
      <c r="JWU33" s="2795"/>
      <c r="JWV33" s="2795"/>
      <c r="JWW33" s="2795"/>
      <c r="JWX33" s="2795"/>
      <c r="JWY33" s="2795"/>
      <c r="JWZ33" s="2795"/>
      <c r="JXA33" s="2795"/>
      <c r="JXB33" s="2795"/>
      <c r="JXC33" s="2795"/>
      <c r="JXD33" s="2795"/>
      <c r="JXE33" s="2795"/>
      <c r="JXF33" s="2795"/>
      <c r="JXG33" s="2795"/>
      <c r="JXH33" s="2795"/>
      <c r="JXI33" s="2795"/>
      <c r="JXJ33" s="2795"/>
      <c r="JXK33" s="2795"/>
      <c r="JXL33" s="2795"/>
      <c r="JXM33" s="2795"/>
      <c r="JXN33" s="2795"/>
      <c r="JXO33" s="2795"/>
      <c r="JXP33" s="2795"/>
      <c r="JXQ33" s="2795"/>
      <c r="JXR33" s="2795"/>
      <c r="JXS33" s="2795"/>
      <c r="JXT33" s="2795"/>
      <c r="JXU33" s="2795"/>
      <c r="JXV33" s="2795"/>
      <c r="JXW33" s="2795"/>
      <c r="JXX33" s="2795"/>
      <c r="JXY33" s="2795"/>
      <c r="JXZ33" s="2795"/>
      <c r="JYA33" s="2795"/>
      <c r="JYB33" s="2795"/>
      <c r="JYC33" s="2795"/>
      <c r="JYD33" s="2795"/>
      <c r="JYE33" s="2795"/>
      <c r="JYF33" s="2795"/>
      <c r="JYG33" s="2795"/>
      <c r="JYH33" s="2795"/>
      <c r="JYI33" s="2795"/>
      <c r="JYJ33" s="2795"/>
      <c r="JYK33" s="2795"/>
      <c r="JYL33" s="2795"/>
      <c r="JYM33" s="2795"/>
      <c r="JYN33" s="2795"/>
      <c r="JYO33" s="2795"/>
      <c r="JYP33" s="2795"/>
      <c r="JYQ33" s="2795"/>
      <c r="JYR33" s="2795"/>
      <c r="JYS33" s="2795"/>
      <c r="JYT33" s="2795"/>
      <c r="JYU33" s="2795"/>
      <c r="JYV33" s="2795"/>
      <c r="JYW33" s="2795"/>
      <c r="JYX33" s="2795"/>
      <c r="JYY33" s="2795"/>
      <c r="JYZ33" s="2795"/>
      <c r="JZA33" s="2795"/>
      <c r="JZB33" s="2795"/>
      <c r="JZC33" s="2795"/>
      <c r="JZD33" s="2795"/>
      <c r="JZE33" s="2795"/>
      <c r="JZF33" s="2795"/>
      <c r="JZG33" s="2795"/>
      <c r="JZH33" s="2795"/>
      <c r="JZI33" s="2795"/>
      <c r="JZJ33" s="2795"/>
      <c r="JZK33" s="2795"/>
      <c r="JZL33" s="2795"/>
      <c r="JZM33" s="2795"/>
      <c r="JZN33" s="2795"/>
      <c r="JZO33" s="2795"/>
      <c r="JZP33" s="2795"/>
      <c r="JZQ33" s="2795"/>
      <c r="JZR33" s="2795"/>
      <c r="JZS33" s="2795"/>
      <c r="JZT33" s="2795"/>
      <c r="JZU33" s="2795"/>
      <c r="JZV33" s="2795"/>
      <c r="JZW33" s="2795"/>
      <c r="JZX33" s="2795"/>
      <c r="JZY33" s="2795"/>
      <c r="JZZ33" s="2795"/>
      <c r="KAA33" s="2795"/>
      <c r="KAB33" s="2795"/>
      <c r="KAC33" s="2795"/>
      <c r="KAD33" s="2795"/>
      <c r="KAE33" s="2795"/>
      <c r="KAF33" s="2795"/>
      <c r="KAG33" s="2795"/>
      <c r="KAH33" s="2795"/>
      <c r="KAI33" s="2795"/>
      <c r="KAJ33" s="2795"/>
      <c r="KAK33" s="2795"/>
      <c r="KAL33" s="2795"/>
      <c r="KAM33" s="2795"/>
      <c r="KAN33" s="2795"/>
      <c r="KAO33" s="2795"/>
      <c r="KAP33" s="2795"/>
      <c r="KAQ33" s="2795"/>
      <c r="KAR33" s="2795"/>
      <c r="KAS33" s="2795"/>
      <c r="KAT33" s="2795"/>
      <c r="KAU33" s="2795"/>
      <c r="KAV33" s="2795"/>
      <c r="KAW33" s="2795"/>
      <c r="KAX33" s="2795"/>
      <c r="KAY33" s="2795"/>
      <c r="KAZ33" s="2795"/>
      <c r="KBA33" s="2795"/>
      <c r="KBB33" s="2795"/>
      <c r="KBC33" s="2795"/>
      <c r="KBD33" s="2795"/>
      <c r="KBE33" s="2795"/>
      <c r="KBF33" s="2795"/>
      <c r="KBG33" s="2795"/>
      <c r="KBH33" s="2795"/>
      <c r="KBI33" s="2795"/>
      <c r="KBJ33" s="2795"/>
      <c r="KBK33" s="2795"/>
      <c r="KBL33" s="2795"/>
      <c r="KBM33" s="2795"/>
      <c r="KBN33" s="2795"/>
      <c r="KBO33" s="2795"/>
      <c r="KBP33" s="2795"/>
      <c r="KBQ33" s="2795"/>
      <c r="KBR33" s="2795"/>
      <c r="KBS33" s="2795"/>
      <c r="KBT33" s="2795"/>
      <c r="KBU33" s="2795"/>
      <c r="KBV33" s="2795"/>
      <c r="KBW33" s="2795"/>
      <c r="KBX33" s="2795"/>
      <c r="KBY33" s="2795"/>
      <c r="KBZ33" s="2795"/>
      <c r="KCA33" s="2795"/>
      <c r="KCB33" s="2795"/>
      <c r="KCC33" s="2795"/>
      <c r="KCD33" s="2795"/>
      <c r="KCE33" s="2795"/>
      <c r="KCF33" s="2795"/>
      <c r="KCG33" s="2795"/>
      <c r="KCH33" s="2795"/>
      <c r="KCI33" s="2795"/>
      <c r="KCJ33" s="2795"/>
      <c r="KCK33" s="2795"/>
      <c r="KCL33" s="2795"/>
      <c r="KCM33" s="2795"/>
      <c r="KCN33" s="2795"/>
      <c r="KCO33" s="2795"/>
      <c r="KCP33" s="2795"/>
      <c r="KCQ33" s="2795"/>
      <c r="KCR33" s="2795"/>
      <c r="KCS33" s="2795"/>
      <c r="KCT33" s="2795"/>
      <c r="KCU33" s="2795"/>
      <c r="KCV33" s="2795"/>
      <c r="KCW33" s="2795"/>
      <c r="KCX33" s="2795"/>
      <c r="KCY33" s="2795"/>
      <c r="KCZ33" s="2795"/>
      <c r="KDA33" s="2795"/>
      <c r="KDB33" s="2795"/>
      <c r="KDC33" s="2795"/>
      <c r="KDD33" s="2795"/>
      <c r="KDE33" s="2795"/>
      <c r="KDF33" s="2795"/>
      <c r="KDG33" s="2795"/>
      <c r="KDH33" s="2795"/>
      <c r="KDI33" s="2795"/>
      <c r="KDJ33" s="2795"/>
      <c r="KDK33" s="2795"/>
      <c r="KDL33" s="2795"/>
      <c r="KDM33" s="2795"/>
      <c r="KDN33" s="2795"/>
      <c r="KDO33" s="2795"/>
      <c r="KDP33" s="2795"/>
      <c r="KDQ33" s="2795"/>
      <c r="KDR33" s="2795"/>
      <c r="KDS33" s="2795"/>
      <c r="KDT33" s="2795"/>
      <c r="KDU33" s="2795"/>
      <c r="KDV33" s="2795"/>
      <c r="KDW33" s="2795"/>
      <c r="KDX33" s="2795"/>
      <c r="KDY33" s="2795"/>
      <c r="KDZ33" s="2795"/>
      <c r="KEA33" s="2795"/>
      <c r="KEB33" s="2795"/>
      <c r="KEC33" s="2795"/>
      <c r="KED33" s="2795"/>
      <c r="KEE33" s="2795"/>
      <c r="KEF33" s="2795"/>
      <c r="KEG33" s="2795"/>
      <c r="KEH33" s="2795"/>
      <c r="KEI33" s="2795"/>
      <c r="KEJ33" s="2795"/>
      <c r="KEK33" s="2795"/>
      <c r="KEL33" s="2795"/>
      <c r="KEM33" s="2795"/>
      <c r="KEN33" s="2795"/>
      <c r="KEO33" s="2795"/>
      <c r="KEP33" s="2795"/>
      <c r="KEQ33" s="2795"/>
      <c r="KER33" s="2795"/>
      <c r="KES33" s="2795"/>
      <c r="KET33" s="2795"/>
      <c r="KEU33" s="2795"/>
      <c r="KEV33" s="2795"/>
      <c r="KEW33" s="2795"/>
      <c r="KEX33" s="2795"/>
      <c r="KEY33" s="2795"/>
      <c r="KEZ33" s="2795"/>
      <c r="KFA33" s="2795"/>
      <c r="KFB33" s="2795"/>
      <c r="KFC33" s="2795"/>
      <c r="KFD33" s="2795"/>
      <c r="KFE33" s="2795"/>
      <c r="KFF33" s="2795"/>
      <c r="KFG33" s="2795"/>
      <c r="KFH33" s="2795"/>
      <c r="KFI33" s="2795"/>
      <c r="KFJ33" s="2795"/>
      <c r="KFK33" s="2795"/>
      <c r="KFL33" s="2795"/>
      <c r="KFM33" s="2795"/>
      <c r="KFN33" s="2795"/>
      <c r="KFO33" s="2795"/>
      <c r="KFP33" s="2795"/>
      <c r="KFQ33" s="2795"/>
      <c r="KFR33" s="2795"/>
      <c r="KFS33" s="2795"/>
      <c r="KFT33" s="2795"/>
      <c r="KFU33" s="2795"/>
      <c r="KFV33" s="2795"/>
      <c r="KFW33" s="2795"/>
      <c r="KFX33" s="2795"/>
      <c r="KFY33" s="2795"/>
      <c r="KFZ33" s="2795"/>
      <c r="KGA33" s="2795"/>
      <c r="KGB33" s="2795"/>
      <c r="KGC33" s="2795"/>
      <c r="KGD33" s="2795"/>
      <c r="KGE33" s="2795"/>
      <c r="KGF33" s="2795"/>
      <c r="KGG33" s="2795"/>
      <c r="KGH33" s="2795"/>
      <c r="KGI33" s="2795"/>
      <c r="KGJ33" s="2795"/>
      <c r="KGK33" s="2795"/>
      <c r="KGL33" s="2795"/>
      <c r="KGM33" s="2795"/>
      <c r="KGN33" s="2795"/>
      <c r="KGO33" s="2795"/>
      <c r="KGP33" s="2795"/>
      <c r="KGQ33" s="2795"/>
      <c r="KGR33" s="2795"/>
      <c r="KGS33" s="2795"/>
      <c r="KGT33" s="2795"/>
      <c r="KGU33" s="2795"/>
      <c r="KGV33" s="2795"/>
      <c r="KGW33" s="2795"/>
      <c r="KGX33" s="2795"/>
      <c r="KGY33" s="2795"/>
      <c r="KGZ33" s="2795"/>
      <c r="KHA33" s="2795"/>
      <c r="KHB33" s="2795"/>
      <c r="KHC33" s="2795"/>
      <c r="KHD33" s="2795"/>
      <c r="KHE33" s="2795"/>
      <c r="KHF33" s="2795"/>
      <c r="KHG33" s="2795"/>
      <c r="KHH33" s="2795"/>
      <c r="KHI33" s="2795"/>
      <c r="KHJ33" s="2795"/>
      <c r="KHK33" s="2795"/>
      <c r="KHL33" s="2795"/>
      <c r="KHM33" s="2795"/>
      <c r="KHN33" s="2795"/>
      <c r="KHO33" s="2795"/>
      <c r="KHP33" s="2795"/>
      <c r="KHQ33" s="2795"/>
      <c r="KHR33" s="2795"/>
      <c r="KHS33" s="2795"/>
      <c r="KHT33" s="2795"/>
      <c r="KHU33" s="2795"/>
      <c r="KHV33" s="2795"/>
      <c r="KHW33" s="2795"/>
      <c r="KHX33" s="2795"/>
      <c r="KHY33" s="2795"/>
      <c r="KHZ33" s="2795"/>
      <c r="KIA33" s="2795"/>
      <c r="KIB33" s="2795"/>
      <c r="KIC33" s="2795"/>
      <c r="KID33" s="2795"/>
      <c r="KIE33" s="2795"/>
      <c r="KIF33" s="2795"/>
      <c r="KIG33" s="2795"/>
      <c r="KIH33" s="2795"/>
      <c r="KII33" s="2795"/>
      <c r="KIJ33" s="2795"/>
      <c r="KIK33" s="2795"/>
      <c r="KIL33" s="2795"/>
      <c r="KIM33" s="2795"/>
      <c r="KIN33" s="2795"/>
      <c r="KIO33" s="2795"/>
      <c r="KIP33" s="2795"/>
      <c r="KIQ33" s="2795"/>
      <c r="KIR33" s="2795"/>
      <c r="KIS33" s="2795"/>
      <c r="KIT33" s="2795"/>
      <c r="KIU33" s="2795"/>
      <c r="KIV33" s="2795"/>
      <c r="KIW33" s="2795"/>
      <c r="KIX33" s="2795"/>
      <c r="KIY33" s="2795"/>
      <c r="KIZ33" s="2795"/>
      <c r="KJA33" s="2795"/>
      <c r="KJB33" s="2795"/>
      <c r="KJC33" s="2795"/>
      <c r="KJD33" s="2795"/>
      <c r="KJE33" s="2795"/>
      <c r="KJF33" s="2795"/>
      <c r="KJG33" s="2795"/>
      <c r="KJH33" s="2795"/>
      <c r="KJI33" s="2795"/>
      <c r="KJJ33" s="2795"/>
      <c r="KJK33" s="2795"/>
      <c r="KJL33" s="2795"/>
      <c r="KJM33" s="2795"/>
      <c r="KJN33" s="2795"/>
      <c r="KJO33" s="2795"/>
      <c r="KJP33" s="2795"/>
      <c r="KJQ33" s="2795"/>
      <c r="KJR33" s="2795"/>
      <c r="KJS33" s="2795"/>
      <c r="KJT33" s="2795"/>
      <c r="KJU33" s="2795"/>
      <c r="KJV33" s="2795"/>
      <c r="KJW33" s="2795"/>
      <c r="KJX33" s="2795"/>
      <c r="KJY33" s="2795"/>
      <c r="KJZ33" s="2795"/>
      <c r="KKA33" s="2795"/>
      <c r="KKB33" s="2795"/>
      <c r="KKC33" s="2795"/>
      <c r="KKD33" s="2795"/>
      <c r="KKE33" s="2795"/>
      <c r="KKF33" s="2795"/>
      <c r="KKG33" s="2795"/>
      <c r="KKH33" s="2795"/>
      <c r="KKI33" s="2795"/>
      <c r="KKJ33" s="2795"/>
      <c r="KKK33" s="2795"/>
      <c r="KKL33" s="2795"/>
      <c r="KKM33" s="2795"/>
      <c r="KKN33" s="2795"/>
      <c r="KKO33" s="2795"/>
      <c r="KKP33" s="2795"/>
      <c r="KKQ33" s="2795"/>
      <c r="KKR33" s="2795"/>
      <c r="KKS33" s="2795"/>
      <c r="KKT33" s="2795"/>
      <c r="KKU33" s="2795"/>
      <c r="KKV33" s="2795"/>
      <c r="KKW33" s="2795"/>
      <c r="KKX33" s="2795"/>
      <c r="KKY33" s="2795"/>
      <c r="KKZ33" s="2795"/>
      <c r="KLA33" s="2795"/>
      <c r="KLB33" s="2795"/>
      <c r="KLC33" s="2795"/>
      <c r="KLD33" s="2795"/>
      <c r="KLE33" s="2795"/>
      <c r="KLF33" s="2795"/>
      <c r="KLG33" s="2795"/>
      <c r="KLH33" s="2795"/>
      <c r="KLI33" s="2795"/>
      <c r="KLJ33" s="2795"/>
      <c r="KLK33" s="2795"/>
      <c r="KLL33" s="2795"/>
      <c r="KLM33" s="2795"/>
      <c r="KLN33" s="2795"/>
      <c r="KLO33" s="2795"/>
      <c r="KLP33" s="2795"/>
      <c r="KLQ33" s="2795"/>
      <c r="KLR33" s="2795"/>
      <c r="KLS33" s="2795"/>
      <c r="KLT33" s="2795"/>
      <c r="KLU33" s="2795"/>
      <c r="KLV33" s="2795"/>
      <c r="KLW33" s="2795"/>
      <c r="KLX33" s="2795"/>
      <c r="KLY33" s="2795"/>
      <c r="KLZ33" s="2795"/>
      <c r="KMA33" s="2795"/>
      <c r="KMB33" s="2795"/>
      <c r="KMC33" s="2795"/>
      <c r="KMD33" s="2795"/>
      <c r="KME33" s="2795"/>
      <c r="KMF33" s="2795"/>
      <c r="KMG33" s="2795"/>
      <c r="KMH33" s="2795"/>
      <c r="KMI33" s="2795"/>
      <c r="KMJ33" s="2795"/>
      <c r="KMK33" s="2795"/>
      <c r="KML33" s="2795"/>
      <c r="KMM33" s="2795"/>
      <c r="KMN33" s="2795"/>
      <c r="KMO33" s="2795"/>
      <c r="KMP33" s="2795"/>
      <c r="KMQ33" s="2795"/>
      <c r="KMR33" s="2795"/>
      <c r="KMS33" s="2795"/>
      <c r="KMT33" s="2795"/>
      <c r="KMU33" s="2795"/>
      <c r="KMV33" s="2795"/>
      <c r="KMW33" s="2795"/>
      <c r="KMX33" s="2795"/>
      <c r="KMY33" s="2795"/>
      <c r="KMZ33" s="2795"/>
      <c r="KNA33" s="2795"/>
      <c r="KNB33" s="2795"/>
      <c r="KNC33" s="2795"/>
      <c r="KND33" s="2795"/>
      <c r="KNE33" s="2795"/>
      <c r="KNF33" s="2795"/>
      <c r="KNG33" s="2795"/>
      <c r="KNH33" s="2795"/>
      <c r="KNI33" s="2795"/>
      <c r="KNJ33" s="2795"/>
      <c r="KNK33" s="2795"/>
      <c r="KNL33" s="2795"/>
      <c r="KNM33" s="2795"/>
      <c r="KNN33" s="2795"/>
      <c r="KNO33" s="2795"/>
      <c r="KNP33" s="2795"/>
      <c r="KNQ33" s="2795"/>
      <c r="KNR33" s="2795"/>
      <c r="KNS33" s="2795"/>
      <c r="KNT33" s="2795"/>
      <c r="KNU33" s="2795"/>
      <c r="KNV33" s="2795"/>
      <c r="KNW33" s="2795"/>
      <c r="KNX33" s="2795"/>
      <c r="KNY33" s="2795"/>
      <c r="KNZ33" s="2795"/>
      <c r="KOA33" s="2795"/>
      <c r="KOB33" s="2795"/>
      <c r="KOC33" s="2795"/>
      <c r="KOD33" s="2795"/>
      <c r="KOE33" s="2795"/>
      <c r="KOF33" s="2795"/>
      <c r="KOG33" s="2795"/>
      <c r="KOH33" s="2795"/>
      <c r="KOI33" s="2795"/>
      <c r="KOJ33" s="2795"/>
      <c r="KOK33" s="2795"/>
      <c r="KOL33" s="2795"/>
      <c r="KOM33" s="2795"/>
      <c r="KON33" s="2795"/>
      <c r="KOO33" s="2795"/>
      <c r="KOP33" s="2795"/>
      <c r="KOQ33" s="2795"/>
      <c r="KOR33" s="2795"/>
      <c r="KOS33" s="2795"/>
      <c r="KOT33" s="2795"/>
      <c r="KOU33" s="2795"/>
      <c r="KOV33" s="2795"/>
      <c r="KOW33" s="2795"/>
      <c r="KOX33" s="2795"/>
      <c r="KOY33" s="2795"/>
      <c r="KOZ33" s="2795"/>
      <c r="KPA33" s="2795"/>
      <c r="KPB33" s="2795"/>
      <c r="KPC33" s="2795"/>
      <c r="KPD33" s="2795"/>
      <c r="KPE33" s="2795"/>
      <c r="KPF33" s="2795"/>
      <c r="KPG33" s="2795"/>
      <c r="KPH33" s="2795"/>
      <c r="KPI33" s="2795"/>
      <c r="KPJ33" s="2795"/>
      <c r="KPK33" s="2795"/>
      <c r="KPL33" s="2795"/>
      <c r="KPM33" s="2795"/>
      <c r="KPN33" s="2795"/>
      <c r="KPO33" s="2795"/>
      <c r="KPP33" s="2795"/>
      <c r="KPQ33" s="2795"/>
      <c r="KPR33" s="2795"/>
      <c r="KPS33" s="2795"/>
      <c r="KPT33" s="2795"/>
      <c r="KPU33" s="2795"/>
      <c r="KPV33" s="2795"/>
      <c r="KPW33" s="2795"/>
      <c r="KPX33" s="2795"/>
      <c r="KPY33" s="2795"/>
      <c r="KPZ33" s="2795"/>
      <c r="KQA33" s="2795"/>
      <c r="KQB33" s="2795"/>
      <c r="KQC33" s="2795"/>
      <c r="KQD33" s="2795"/>
      <c r="KQE33" s="2795"/>
      <c r="KQF33" s="2795"/>
      <c r="KQG33" s="2795"/>
      <c r="KQH33" s="2795"/>
      <c r="KQI33" s="2795"/>
      <c r="KQJ33" s="2795"/>
      <c r="KQK33" s="2795"/>
      <c r="KQL33" s="2795"/>
      <c r="KQM33" s="2795"/>
      <c r="KQN33" s="2795"/>
      <c r="KQO33" s="2795"/>
      <c r="KQP33" s="2795"/>
      <c r="KQQ33" s="2795"/>
      <c r="KQR33" s="2795"/>
      <c r="KQS33" s="2795"/>
      <c r="KQT33" s="2795"/>
      <c r="KQU33" s="2795"/>
      <c r="KQV33" s="2795"/>
      <c r="KQW33" s="2795"/>
      <c r="KQX33" s="2795"/>
      <c r="KQY33" s="2795"/>
      <c r="KQZ33" s="2795"/>
      <c r="KRA33" s="2795"/>
      <c r="KRB33" s="2795"/>
      <c r="KRC33" s="2795"/>
      <c r="KRD33" s="2795"/>
      <c r="KRE33" s="2795"/>
      <c r="KRF33" s="2795"/>
      <c r="KRG33" s="2795"/>
      <c r="KRH33" s="2795"/>
      <c r="KRI33" s="2795"/>
      <c r="KRJ33" s="2795"/>
      <c r="KRK33" s="2795"/>
      <c r="KRL33" s="2795"/>
      <c r="KRM33" s="2795"/>
      <c r="KRN33" s="2795"/>
      <c r="KRO33" s="2795"/>
      <c r="KRP33" s="2795"/>
      <c r="KRQ33" s="2795"/>
      <c r="KRR33" s="2795"/>
      <c r="KRS33" s="2795"/>
      <c r="KRT33" s="2795"/>
      <c r="KRU33" s="2795"/>
      <c r="KRV33" s="2795"/>
      <c r="KRW33" s="2795"/>
      <c r="KRX33" s="2795"/>
      <c r="KRY33" s="2795"/>
      <c r="KRZ33" s="2795"/>
      <c r="KSA33" s="2795"/>
      <c r="KSB33" s="2795"/>
      <c r="KSC33" s="2795"/>
      <c r="KSD33" s="2795"/>
      <c r="KSE33" s="2795"/>
      <c r="KSF33" s="2795"/>
      <c r="KSG33" s="2795"/>
      <c r="KSH33" s="2795"/>
      <c r="KSI33" s="2795"/>
      <c r="KSJ33" s="2795"/>
      <c r="KSK33" s="2795"/>
      <c r="KSL33" s="2795"/>
      <c r="KSM33" s="2795"/>
      <c r="KSN33" s="2795"/>
      <c r="KSO33" s="2795"/>
      <c r="KSP33" s="2795"/>
      <c r="KSQ33" s="2795"/>
      <c r="KSR33" s="2795"/>
      <c r="KSS33" s="2795"/>
      <c r="KST33" s="2795"/>
      <c r="KSU33" s="2795"/>
      <c r="KSV33" s="2795"/>
      <c r="KSW33" s="2795"/>
      <c r="KSX33" s="2795"/>
      <c r="KSY33" s="2795"/>
      <c r="KSZ33" s="2795"/>
      <c r="KTA33" s="2795"/>
      <c r="KTB33" s="2795"/>
      <c r="KTC33" s="2795"/>
      <c r="KTD33" s="2795"/>
      <c r="KTE33" s="2795"/>
      <c r="KTF33" s="2795"/>
      <c r="KTG33" s="2795"/>
      <c r="KTH33" s="2795"/>
      <c r="KTI33" s="2795"/>
      <c r="KTJ33" s="2795"/>
      <c r="KTK33" s="2795"/>
      <c r="KTL33" s="2795"/>
      <c r="KTM33" s="2795"/>
      <c r="KTN33" s="2795"/>
      <c r="KTO33" s="2795"/>
      <c r="KTP33" s="2795"/>
      <c r="KTQ33" s="2795"/>
      <c r="KTR33" s="2795"/>
      <c r="KTS33" s="2795"/>
      <c r="KTT33" s="2795"/>
      <c r="KTU33" s="2795"/>
      <c r="KTV33" s="2795"/>
      <c r="KTW33" s="2795"/>
      <c r="KTX33" s="2795"/>
      <c r="KTY33" s="2795"/>
      <c r="KTZ33" s="2795"/>
      <c r="KUA33" s="2795"/>
      <c r="KUB33" s="2795"/>
      <c r="KUC33" s="2795"/>
      <c r="KUD33" s="2795"/>
      <c r="KUE33" s="2795"/>
      <c r="KUF33" s="2795"/>
      <c r="KUG33" s="2795"/>
      <c r="KUH33" s="2795"/>
      <c r="KUI33" s="2795"/>
      <c r="KUJ33" s="2795"/>
      <c r="KUK33" s="2795"/>
      <c r="KUL33" s="2795"/>
      <c r="KUM33" s="2795"/>
      <c r="KUN33" s="2795"/>
      <c r="KUO33" s="2795"/>
      <c r="KUP33" s="2795"/>
      <c r="KUQ33" s="2795"/>
      <c r="KUR33" s="2795"/>
      <c r="KUS33" s="2795"/>
      <c r="KUT33" s="2795"/>
      <c r="KUU33" s="2795"/>
      <c r="KUV33" s="2795"/>
      <c r="KUW33" s="2795"/>
      <c r="KUX33" s="2795"/>
      <c r="KUY33" s="2795"/>
      <c r="KUZ33" s="2795"/>
      <c r="KVA33" s="2795"/>
      <c r="KVB33" s="2795"/>
      <c r="KVC33" s="2795"/>
      <c r="KVD33" s="2795"/>
      <c r="KVE33" s="2795"/>
      <c r="KVF33" s="2795"/>
      <c r="KVG33" s="2795"/>
      <c r="KVH33" s="2795"/>
      <c r="KVI33" s="2795"/>
      <c r="KVJ33" s="2795"/>
      <c r="KVK33" s="2795"/>
      <c r="KVL33" s="2795"/>
      <c r="KVM33" s="2795"/>
      <c r="KVN33" s="2795"/>
      <c r="KVO33" s="2795"/>
      <c r="KVP33" s="2795"/>
      <c r="KVQ33" s="2795"/>
      <c r="KVR33" s="2795"/>
      <c r="KVS33" s="2795"/>
      <c r="KVT33" s="2795"/>
      <c r="KVU33" s="2795"/>
      <c r="KVV33" s="2795"/>
      <c r="KVW33" s="2795"/>
      <c r="KVX33" s="2795"/>
      <c r="KVY33" s="2795"/>
      <c r="KVZ33" s="2795"/>
      <c r="KWA33" s="2795"/>
      <c r="KWB33" s="2795"/>
      <c r="KWC33" s="2795"/>
      <c r="KWD33" s="2795"/>
      <c r="KWE33" s="2795"/>
      <c r="KWF33" s="2795"/>
      <c r="KWG33" s="2795"/>
      <c r="KWH33" s="2795"/>
      <c r="KWI33" s="2795"/>
      <c r="KWJ33" s="2795"/>
      <c r="KWK33" s="2795"/>
      <c r="KWL33" s="2795"/>
      <c r="KWM33" s="2795"/>
      <c r="KWN33" s="2795"/>
      <c r="KWO33" s="2795"/>
      <c r="KWP33" s="2795"/>
      <c r="KWQ33" s="2795"/>
      <c r="KWR33" s="2795"/>
      <c r="KWS33" s="2795"/>
      <c r="KWT33" s="2795"/>
      <c r="KWU33" s="2795"/>
      <c r="KWV33" s="2795"/>
      <c r="KWW33" s="2795"/>
      <c r="KWX33" s="2795"/>
      <c r="KWY33" s="2795"/>
      <c r="KWZ33" s="2795"/>
      <c r="KXA33" s="2795"/>
      <c r="KXB33" s="2795"/>
      <c r="KXC33" s="2795"/>
      <c r="KXD33" s="2795"/>
      <c r="KXE33" s="2795"/>
      <c r="KXF33" s="2795"/>
      <c r="KXG33" s="2795"/>
      <c r="KXH33" s="2795"/>
      <c r="KXI33" s="2795"/>
      <c r="KXJ33" s="2795"/>
      <c r="KXK33" s="2795"/>
      <c r="KXL33" s="2795"/>
      <c r="KXM33" s="2795"/>
      <c r="KXN33" s="2795"/>
      <c r="KXO33" s="2795"/>
      <c r="KXP33" s="2795"/>
      <c r="KXQ33" s="2795"/>
      <c r="KXR33" s="2795"/>
      <c r="KXS33" s="2795"/>
      <c r="KXT33" s="2795"/>
      <c r="KXU33" s="2795"/>
      <c r="KXV33" s="2795"/>
      <c r="KXW33" s="2795"/>
      <c r="KXX33" s="2795"/>
      <c r="KXY33" s="2795"/>
      <c r="KXZ33" s="2795"/>
      <c r="KYA33" s="2795"/>
      <c r="KYB33" s="2795"/>
      <c r="KYC33" s="2795"/>
      <c r="KYD33" s="2795"/>
      <c r="KYE33" s="2795"/>
      <c r="KYF33" s="2795"/>
      <c r="KYG33" s="2795"/>
      <c r="KYH33" s="2795"/>
      <c r="KYI33" s="2795"/>
      <c r="KYJ33" s="2795"/>
      <c r="KYK33" s="2795"/>
      <c r="KYL33" s="2795"/>
      <c r="KYM33" s="2795"/>
      <c r="KYN33" s="2795"/>
      <c r="KYO33" s="2795"/>
      <c r="KYP33" s="2795"/>
      <c r="KYQ33" s="2795"/>
      <c r="KYR33" s="2795"/>
      <c r="KYS33" s="2795"/>
      <c r="KYT33" s="2795"/>
      <c r="KYU33" s="2795"/>
      <c r="KYV33" s="2795"/>
      <c r="KYW33" s="2795"/>
      <c r="KYX33" s="2795"/>
      <c r="KYY33" s="2795"/>
      <c r="KYZ33" s="2795"/>
      <c r="KZA33" s="2795"/>
      <c r="KZB33" s="2795"/>
      <c r="KZC33" s="2795"/>
      <c r="KZD33" s="2795"/>
      <c r="KZE33" s="2795"/>
      <c r="KZF33" s="2795"/>
      <c r="KZG33" s="2795"/>
      <c r="KZH33" s="2795"/>
      <c r="KZI33" s="2795"/>
      <c r="KZJ33" s="2795"/>
      <c r="KZK33" s="2795"/>
      <c r="KZL33" s="2795"/>
      <c r="KZM33" s="2795"/>
      <c r="KZN33" s="2795"/>
      <c r="KZO33" s="2795"/>
      <c r="KZP33" s="2795"/>
      <c r="KZQ33" s="2795"/>
      <c r="KZR33" s="2795"/>
      <c r="KZS33" s="2795"/>
      <c r="KZT33" s="2795"/>
      <c r="KZU33" s="2795"/>
      <c r="KZV33" s="2795"/>
      <c r="KZW33" s="2795"/>
      <c r="KZX33" s="2795"/>
      <c r="KZY33" s="2795"/>
      <c r="KZZ33" s="2795"/>
      <c r="LAA33" s="2795"/>
      <c r="LAB33" s="2795"/>
      <c r="LAC33" s="2795"/>
      <c r="LAD33" s="2795"/>
      <c r="LAE33" s="2795"/>
      <c r="LAF33" s="2795"/>
      <c r="LAG33" s="2795"/>
      <c r="LAH33" s="2795"/>
      <c r="LAI33" s="2795"/>
      <c r="LAJ33" s="2795"/>
      <c r="LAK33" s="2795"/>
      <c r="LAL33" s="2795"/>
      <c r="LAM33" s="2795"/>
      <c r="LAN33" s="2795"/>
      <c r="LAO33" s="2795"/>
      <c r="LAP33" s="2795"/>
      <c r="LAQ33" s="2795"/>
      <c r="LAR33" s="2795"/>
      <c r="LAS33" s="2795"/>
      <c r="LAT33" s="2795"/>
      <c r="LAU33" s="2795"/>
      <c r="LAV33" s="2795"/>
      <c r="LAW33" s="2795"/>
      <c r="LAX33" s="2795"/>
      <c r="LAY33" s="2795"/>
      <c r="LAZ33" s="2795"/>
      <c r="LBA33" s="2795"/>
      <c r="LBB33" s="2795"/>
      <c r="LBC33" s="2795"/>
      <c r="LBD33" s="2795"/>
      <c r="LBE33" s="2795"/>
      <c r="LBF33" s="2795"/>
      <c r="LBG33" s="2795"/>
      <c r="LBH33" s="2795"/>
      <c r="LBI33" s="2795"/>
      <c r="LBJ33" s="2795"/>
      <c r="LBK33" s="2795"/>
      <c r="LBL33" s="2795"/>
      <c r="LBM33" s="2795"/>
      <c r="LBN33" s="2795"/>
      <c r="LBO33" s="2795"/>
      <c r="LBP33" s="2795"/>
      <c r="LBQ33" s="2795"/>
      <c r="LBR33" s="2795"/>
      <c r="LBS33" s="2795"/>
      <c r="LBT33" s="2795"/>
      <c r="LBU33" s="2795"/>
      <c r="LBV33" s="2795"/>
      <c r="LBW33" s="2795"/>
      <c r="LBX33" s="2795"/>
      <c r="LBY33" s="2795"/>
      <c r="LBZ33" s="2795"/>
      <c r="LCA33" s="2795"/>
      <c r="LCB33" s="2795"/>
      <c r="LCC33" s="2795"/>
      <c r="LCD33" s="2795"/>
      <c r="LCE33" s="2795"/>
      <c r="LCF33" s="2795"/>
      <c r="LCG33" s="2795"/>
      <c r="LCH33" s="2795"/>
      <c r="LCI33" s="2795"/>
      <c r="LCJ33" s="2795"/>
      <c r="LCK33" s="2795"/>
      <c r="LCL33" s="2795"/>
      <c r="LCM33" s="2795"/>
      <c r="LCN33" s="2795"/>
      <c r="LCO33" s="2795"/>
      <c r="LCP33" s="2795"/>
      <c r="LCQ33" s="2795"/>
      <c r="LCR33" s="2795"/>
      <c r="LCS33" s="2795"/>
      <c r="LCT33" s="2795"/>
      <c r="LCU33" s="2795"/>
      <c r="LCV33" s="2795"/>
      <c r="LCW33" s="2795"/>
      <c r="LCX33" s="2795"/>
      <c r="LCY33" s="2795"/>
      <c r="LCZ33" s="2795"/>
      <c r="LDA33" s="2795"/>
      <c r="LDB33" s="2795"/>
      <c r="LDC33" s="2795"/>
      <c r="LDD33" s="2795"/>
      <c r="LDE33" s="2795"/>
      <c r="LDF33" s="2795"/>
      <c r="LDG33" s="2795"/>
      <c r="LDH33" s="2795"/>
      <c r="LDI33" s="2795"/>
      <c r="LDJ33" s="2795"/>
      <c r="LDK33" s="2795"/>
      <c r="LDL33" s="2795"/>
      <c r="LDM33" s="2795"/>
      <c r="LDN33" s="2795"/>
      <c r="LDO33" s="2795"/>
      <c r="LDP33" s="2795"/>
      <c r="LDQ33" s="2795"/>
      <c r="LDR33" s="2795"/>
      <c r="LDS33" s="2795"/>
      <c r="LDT33" s="2795"/>
      <c r="LDU33" s="2795"/>
      <c r="LDV33" s="2795"/>
      <c r="LDW33" s="2795"/>
      <c r="LDX33" s="2795"/>
      <c r="LDY33" s="2795"/>
      <c r="LDZ33" s="2795"/>
      <c r="LEA33" s="2795"/>
      <c r="LEB33" s="2795"/>
      <c r="LEC33" s="2795"/>
      <c r="LED33" s="2795"/>
      <c r="LEE33" s="2795"/>
      <c r="LEF33" s="2795"/>
      <c r="LEG33" s="2795"/>
      <c r="LEH33" s="2795"/>
      <c r="LEI33" s="2795"/>
      <c r="LEJ33" s="2795"/>
      <c r="LEK33" s="2795"/>
      <c r="LEL33" s="2795"/>
      <c r="LEM33" s="2795"/>
      <c r="LEN33" s="2795"/>
      <c r="LEO33" s="2795"/>
      <c r="LEP33" s="2795"/>
      <c r="LEQ33" s="2795"/>
      <c r="LER33" s="2795"/>
      <c r="LES33" s="2795"/>
      <c r="LET33" s="2795"/>
      <c r="LEU33" s="2795"/>
      <c r="LEV33" s="2795"/>
      <c r="LEW33" s="2795"/>
      <c r="LEX33" s="2795"/>
      <c r="LEY33" s="2795"/>
      <c r="LEZ33" s="2795"/>
      <c r="LFA33" s="2795"/>
      <c r="LFB33" s="2795"/>
      <c r="LFC33" s="2795"/>
      <c r="LFD33" s="2795"/>
      <c r="LFE33" s="2795"/>
      <c r="LFF33" s="2795"/>
      <c r="LFG33" s="2795"/>
      <c r="LFH33" s="2795"/>
      <c r="LFI33" s="2795"/>
      <c r="LFJ33" s="2795"/>
      <c r="LFK33" s="2795"/>
      <c r="LFL33" s="2795"/>
      <c r="LFM33" s="2795"/>
      <c r="LFN33" s="2795"/>
      <c r="LFO33" s="2795"/>
      <c r="LFP33" s="2795"/>
      <c r="LFQ33" s="2795"/>
      <c r="LFR33" s="2795"/>
      <c r="LFS33" s="2795"/>
      <c r="LFT33" s="2795"/>
      <c r="LFU33" s="2795"/>
      <c r="LFV33" s="2795"/>
      <c r="LFW33" s="2795"/>
      <c r="LFX33" s="2795"/>
      <c r="LFY33" s="2795"/>
      <c r="LFZ33" s="2795"/>
      <c r="LGA33" s="2795"/>
      <c r="LGB33" s="2795"/>
      <c r="LGC33" s="2795"/>
      <c r="LGD33" s="2795"/>
      <c r="LGE33" s="2795"/>
      <c r="LGF33" s="2795"/>
      <c r="LGG33" s="2795"/>
      <c r="LGH33" s="2795"/>
      <c r="LGI33" s="2795"/>
      <c r="LGJ33" s="2795"/>
      <c r="LGK33" s="2795"/>
      <c r="LGL33" s="2795"/>
      <c r="LGM33" s="2795"/>
      <c r="LGN33" s="2795"/>
      <c r="LGO33" s="2795"/>
      <c r="LGP33" s="2795"/>
      <c r="LGQ33" s="2795"/>
      <c r="LGR33" s="2795"/>
      <c r="LGS33" s="2795"/>
      <c r="LGT33" s="2795"/>
      <c r="LGU33" s="2795"/>
      <c r="LGV33" s="2795"/>
      <c r="LGW33" s="2795"/>
      <c r="LGX33" s="2795"/>
      <c r="LGY33" s="2795"/>
      <c r="LGZ33" s="2795"/>
      <c r="LHA33" s="2795"/>
      <c r="LHB33" s="2795"/>
      <c r="LHC33" s="2795"/>
      <c r="LHD33" s="2795"/>
      <c r="LHE33" s="2795"/>
      <c r="LHF33" s="2795"/>
      <c r="LHG33" s="2795"/>
      <c r="LHH33" s="2795"/>
      <c r="LHI33" s="2795"/>
      <c r="LHJ33" s="2795"/>
      <c r="LHK33" s="2795"/>
      <c r="LHL33" s="2795"/>
      <c r="LHM33" s="2795"/>
      <c r="LHN33" s="2795"/>
      <c r="LHO33" s="2795"/>
      <c r="LHP33" s="2795"/>
      <c r="LHQ33" s="2795"/>
      <c r="LHR33" s="2795"/>
      <c r="LHS33" s="2795"/>
      <c r="LHT33" s="2795"/>
      <c r="LHU33" s="2795"/>
      <c r="LHV33" s="2795"/>
      <c r="LHW33" s="2795"/>
      <c r="LHX33" s="2795"/>
      <c r="LHY33" s="2795"/>
      <c r="LHZ33" s="2795"/>
      <c r="LIA33" s="2795"/>
      <c r="LIB33" s="2795"/>
      <c r="LIC33" s="2795"/>
      <c r="LID33" s="2795"/>
      <c r="LIE33" s="2795"/>
      <c r="LIF33" s="2795"/>
      <c r="LIG33" s="2795"/>
      <c r="LIH33" s="2795"/>
      <c r="LII33" s="2795"/>
      <c r="LIJ33" s="2795"/>
      <c r="LIK33" s="2795"/>
      <c r="LIL33" s="2795"/>
      <c r="LIM33" s="2795"/>
      <c r="LIN33" s="2795"/>
      <c r="LIO33" s="2795"/>
      <c r="LIP33" s="2795"/>
      <c r="LIQ33" s="2795"/>
      <c r="LIR33" s="2795"/>
      <c r="LIS33" s="2795"/>
      <c r="LIT33" s="2795"/>
      <c r="LIU33" s="2795"/>
      <c r="LIV33" s="2795"/>
      <c r="LIW33" s="2795"/>
      <c r="LIX33" s="2795"/>
      <c r="LIY33" s="2795"/>
      <c r="LIZ33" s="2795"/>
      <c r="LJA33" s="2795"/>
      <c r="LJB33" s="2795"/>
      <c r="LJC33" s="2795"/>
      <c r="LJD33" s="2795"/>
      <c r="LJE33" s="2795"/>
      <c r="LJF33" s="2795"/>
      <c r="LJG33" s="2795"/>
      <c r="LJH33" s="2795"/>
      <c r="LJI33" s="2795"/>
      <c r="LJJ33" s="2795"/>
      <c r="LJK33" s="2795"/>
      <c r="LJL33" s="2795"/>
      <c r="LJM33" s="2795"/>
      <c r="LJN33" s="2795"/>
      <c r="LJO33" s="2795"/>
      <c r="LJP33" s="2795"/>
      <c r="LJQ33" s="2795"/>
      <c r="LJR33" s="2795"/>
      <c r="LJS33" s="2795"/>
      <c r="LJT33" s="2795"/>
      <c r="LJU33" s="2795"/>
      <c r="LJV33" s="2795"/>
      <c r="LJW33" s="2795"/>
      <c r="LJX33" s="2795"/>
      <c r="LJY33" s="2795"/>
      <c r="LJZ33" s="2795"/>
      <c r="LKA33" s="2795"/>
      <c r="LKB33" s="2795"/>
      <c r="LKC33" s="2795"/>
      <c r="LKD33" s="2795"/>
      <c r="LKE33" s="2795"/>
      <c r="LKF33" s="2795"/>
      <c r="LKG33" s="2795"/>
      <c r="LKH33" s="2795"/>
      <c r="LKI33" s="2795"/>
      <c r="LKJ33" s="2795"/>
      <c r="LKK33" s="2795"/>
      <c r="LKL33" s="2795"/>
      <c r="LKM33" s="2795"/>
      <c r="LKN33" s="2795"/>
      <c r="LKO33" s="2795"/>
      <c r="LKP33" s="2795"/>
      <c r="LKQ33" s="2795"/>
      <c r="LKR33" s="2795"/>
      <c r="LKS33" s="2795"/>
      <c r="LKT33" s="2795"/>
      <c r="LKU33" s="2795"/>
      <c r="LKV33" s="2795"/>
      <c r="LKW33" s="2795"/>
      <c r="LKX33" s="2795"/>
      <c r="LKY33" s="2795"/>
      <c r="LKZ33" s="2795"/>
      <c r="LLA33" s="2795"/>
      <c r="LLB33" s="2795"/>
      <c r="LLC33" s="2795"/>
      <c r="LLD33" s="2795"/>
      <c r="LLE33" s="2795"/>
      <c r="LLF33" s="2795"/>
      <c r="LLG33" s="2795"/>
      <c r="LLH33" s="2795"/>
      <c r="LLI33" s="2795"/>
      <c r="LLJ33" s="2795"/>
      <c r="LLK33" s="2795"/>
      <c r="LLL33" s="2795"/>
      <c r="LLM33" s="2795"/>
      <c r="LLN33" s="2795"/>
      <c r="LLO33" s="2795"/>
      <c r="LLP33" s="2795"/>
      <c r="LLQ33" s="2795"/>
      <c r="LLR33" s="2795"/>
      <c r="LLS33" s="2795"/>
      <c r="LLT33" s="2795"/>
      <c r="LLU33" s="2795"/>
      <c r="LLV33" s="2795"/>
      <c r="LLW33" s="2795"/>
      <c r="LLX33" s="2795"/>
      <c r="LLY33" s="2795"/>
      <c r="LLZ33" s="2795"/>
      <c r="LMA33" s="2795"/>
      <c r="LMB33" s="2795"/>
      <c r="LMC33" s="2795"/>
      <c r="LMD33" s="2795"/>
      <c r="LME33" s="2795"/>
      <c r="LMF33" s="2795"/>
      <c r="LMG33" s="2795"/>
      <c r="LMH33" s="2795"/>
      <c r="LMI33" s="2795"/>
      <c r="LMJ33" s="2795"/>
      <c r="LMK33" s="2795"/>
      <c r="LML33" s="2795"/>
      <c r="LMM33" s="2795"/>
      <c r="LMN33" s="2795"/>
      <c r="LMO33" s="2795"/>
      <c r="LMP33" s="2795"/>
      <c r="LMQ33" s="2795"/>
      <c r="LMR33" s="2795"/>
      <c r="LMS33" s="2795"/>
      <c r="LMT33" s="2795"/>
      <c r="LMU33" s="2795"/>
      <c r="LMV33" s="2795"/>
      <c r="LMW33" s="2795"/>
      <c r="LMX33" s="2795"/>
      <c r="LMY33" s="2795"/>
      <c r="LMZ33" s="2795"/>
      <c r="LNA33" s="2795"/>
      <c r="LNB33" s="2795"/>
      <c r="LNC33" s="2795"/>
      <c r="LND33" s="2795"/>
      <c r="LNE33" s="2795"/>
      <c r="LNF33" s="2795"/>
      <c r="LNG33" s="2795"/>
      <c r="LNH33" s="2795"/>
      <c r="LNI33" s="2795"/>
      <c r="LNJ33" s="2795"/>
      <c r="LNK33" s="2795"/>
      <c r="LNL33" s="2795"/>
      <c r="LNM33" s="2795"/>
      <c r="LNN33" s="2795"/>
      <c r="LNO33" s="2795"/>
      <c r="LNP33" s="2795"/>
      <c r="LNQ33" s="2795"/>
      <c r="LNR33" s="2795"/>
      <c r="LNS33" s="2795"/>
      <c r="LNT33" s="2795"/>
      <c r="LNU33" s="2795"/>
      <c r="LNV33" s="2795"/>
      <c r="LNW33" s="2795"/>
      <c r="LNX33" s="2795"/>
      <c r="LNY33" s="2795"/>
      <c r="LNZ33" s="2795"/>
      <c r="LOA33" s="2795"/>
      <c r="LOB33" s="2795"/>
      <c r="LOC33" s="2795"/>
      <c r="LOD33" s="2795"/>
      <c r="LOE33" s="2795"/>
      <c r="LOF33" s="2795"/>
      <c r="LOG33" s="2795"/>
      <c r="LOH33" s="2795"/>
      <c r="LOI33" s="2795"/>
      <c r="LOJ33" s="2795"/>
      <c r="LOK33" s="2795"/>
      <c r="LOL33" s="2795"/>
      <c r="LOM33" s="2795"/>
      <c r="LON33" s="2795"/>
      <c r="LOO33" s="2795"/>
      <c r="LOP33" s="2795"/>
      <c r="LOQ33" s="2795"/>
      <c r="LOR33" s="2795"/>
      <c r="LOS33" s="2795"/>
      <c r="LOT33" s="2795"/>
      <c r="LOU33" s="2795"/>
      <c r="LOV33" s="2795"/>
      <c r="LOW33" s="2795"/>
      <c r="LOX33" s="2795"/>
      <c r="LOY33" s="2795"/>
      <c r="LOZ33" s="2795"/>
      <c r="LPA33" s="2795"/>
      <c r="LPB33" s="2795"/>
      <c r="LPC33" s="2795"/>
      <c r="LPD33" s="2795"/>
      <c r="LPE33" s="2795"/>
      <c r="LPF33" s="2795"/>
      <c r="LPG33" s="2795"/>
      <c r="LPH33" s="2795"/>
      <c r="LPI33" s="2795"/>
      <c r="LPJ33" s="2795"/>
      <c r="LPK33" s="2795"/>
      <c r="LPL33" s="2795"/>
      <c r="LPM33" s="2795"/>
      <c r="LPN33" s="2795"/>
      <c r="LPO33" s="2795"/>
      <c r="LPP33" s="2795"/>
      <c r="LPQ33" s="2795"/>
      <c r="LPR33" s="2795"/>
      <c r="LPS33" s="2795"/>
      <c r="LPT33" s="2795"/>
      <c r="LPU33" s="2795"/>
      <c r="LPV33" s="2795"/>
      <c r="LPW33" s="2795"/>
      <c r="LPX33" s="2795"/>
      <c r="LPY33" s="2795"/>
      <c r="LPZ33" s="2795"/>
      <c r="LQA33" s="2795"/>
      <c r="LQB33" s="2795"/>
      <c r="LQC33" s="2795"/>
      <c r="LQD33" s="2795"/>
      <c r="LQE33" s="2795"/>
      <c r="LQF33" s="2795"/>
      <c r="LQG33" s="2795"/>
      <c r="LQH33" s="2795"/>
      <c r="LQI33" s="2795"/>
      <c r="LQJ33" s="2795"/>
      <c r="LQK33" s="2795"/>
      <c r="LQL33" s="2795"/>
      <c r="LQM33" s="2795"/>
      <c r="LQN33" s="2795"/>
      <c r="LQO33" s="2795"/>
      <c r="LQP33" s="2795"/>
      <c r="LQQ33" s="2795"/>
      <c r="LQR33" s="2795"/>
      <c r="LQS33" s="2795"/>
      <c r="LQT33" s="2795"/>
      <c r="LQU33" s="2795"/>
      <c r="LQV33" s="2795"/>
      <c r="LQW33" s="2795"/>
      <c r="LQX33" s="2795"/>
      <c r="LQY33" s="2795"/>
      <c r="LQZ33" s="2795"/>
      <c r="LRA33" s="2795"/>
      <c r="LRB33" s="2795"/>
      <c r="LRC33" s="2795"/>
      <c r="LRD33" s="2795"/>
      <c r="LRE33" s="2795"/>
      <c r="LRF33" s="2795"/>
      <c r="LRG33" s="2795"/>
      <c r="LRH33" s="2795"/>
      <c r="LRI33" s="2795"/>
      <c r="LRJ33" s="2795"/>
      <c r="LRK33" s="2795"/>
      <c r="LRL33" s="2795"/>
      <c r="LRM33" s="2795"/>
      <c r="LRN33" s="2795"/>
      <c r="LRO33" s="2795"/>
      <c r="LRP33" s="2795"/>
      <c r="LRQ33" s="2795"/>
      <c r="LRR33" s="2795"/>
      <c r="LRS33" s="2795"/>
      <c r="LRT33" s="2795"/>
      <c r="LRU33" s="2795"/>
      <c r="LRV33" s="2795"/>
      <c r="LRW33" s="2795"/>
      <c r="LRX33" s="2795"/>
      <c r="LRY33" s="2795"/>
      <c r="LRZ33" s="2795"/>
      <c r="LSA33" s="2795"/>
      <c r="LSB33" s="2795"/>
      <c r="LSC33" s="2795"/>
      <c r="LSD33" s="2795"/>
      <c r="LSE33" s="2795"/>
      <c r="LSF33" s="2795"/>
      <c r="LSG33" s="2795"/>
      <c r="LSH33" s="2795"/>
      <c r="LSI33" s="2795"/>
      <c r="LSJ33" s="2795"/>
      <c r="LSK33" s="2795"/>
      <c r="LSL33" s="2795"/>
      <c r="LSM33" s="2795"/>
      <c r="LSN33" s="2795"/>
      <c r="LSO33" s="2795"/>
      <c r="LSP33" s="2795"/>
      <c r="LSQ33" s="2795"/>
      <c r="LSR33" s="2795"/>
      <c r="LSS33" s="2795"/>
      <c r="LST33" s="2795"/>
      <c r="LSU33" s="2795"/>
      <c r="LSV33" s="2795"/>
      <c r="LSW33" s="2795"/>
      <c r="LSX33" s="2795"/>
      <c r="LSY33" s="2795"/>
      <c r="LSZ33" s="2795"/>
      <c r="LTA33" s="2795"/>
      <c r="LTB33" s="2795"/>
      <c r="LTC33" s="2795"/>
      <c r="LTD33" s="2795"/>
      <c r="LTE33" s="2795"/>
      <c r="LTF33" s="2795"/>
      <c r="LTG33" s="2795"/>
      <c r="LTH33" s="2795"/>
      <c r="LTI33" s="2795"/>
      <c r="LTJ33" s="2795"/>
      <c r="LTK33" s="2795"/>
      <c r="LTL33" s="2795"/>
      <c r="LTM33" s="2795"/>
      <c r="LTN33" s="2795"/>
      <c r="LTO33" s="2795"/>
      <c r="LTP33" s="2795"/>
      <c r="LTQ33" s="2795"/>
      <c r="LTR33" s="2795"/>
      <c r="LTS33" s="2795"/>
      <c r="LTT33" s="2795"/>
      <c r="LTU33" s="2795"/>
      <c r="LTV33" s="2795"/>
      <c r="LTW33" s="2795"/>
      <c r="LTX33" s="2795"/>
      <c r="LTY33" s="2795"/>
      <c r="LTZ33" s="2795"/>
      <c r="LUA33" s="2795"/>
      <c r="LUB33" s="2795"/>
      <c r="LUC33" s="2795"/>
      <c r="LUD33" s="2795"/>
      <c r="LUE33" s="2795"/>
      <c r="LUF33" s="2795"/>
      <c r="LUG33" s="2795"/>
      <c r="LUH33" s="2795"/>
      <c r="LUI33" s="2795"/>
      <c r="LUJ33" s="2795"/>
      <c r="LUK33" s="2795"/>
      <c r="LUL33" s="2795"/>
      <c r="LUM33" s="2795"/>
      <c r="LUN33" s="2795"/>
      <c r="LUO33" s="2795"/>
      <c r="LUP33" s="2795"/>
      <c r="LUQ33" s="2795"/>
      <c r="LUR33" s="2795"/>
      <c r="LUS33" s="2795"/>
      <c r="LUT33" s="2795"/>
      <c r="LUU33" s="2795"/>
      <c r="LUV33" s="2795"/>
      <c r="LUW33" s="2795"/>
      <c r="LUX33" s="2795"/>
      <c r="LUY33" s="2795"/>
      <c r="LUZ33" s="2795"/>
      <c r="LVA33" s="2795"/>
      <c r="LVB33" s="2795"/>
      <c r="LVC33" s="2795"/>
      <c r="LVD33" s="2795"/>
      <c r="LVE33" s="2795"/>
      <c r="LVF33" s="2795"/>
      <c r="LVG33" s="2795"/>
      <c r="LVH33" s="2795"/>
      <c r="LVI33" s="2795"/>
      <c r="LVJ33" s="2795"/>
      <c r="LVK33" s="2795"/>
      <c r="LVL33" s="2795"/>
      <c r="LVM33" s="2795"/>
      <c r="LVN33" s="2795"/>
      <c r="LVO33" s="2795"/>
      <c r="LVP33" s="2795"/>
      <c r="LVQ33" s="2795"/>
      <c r="LVR33" s="2795"/>
      <c r="LVS33" s="2795"/>
      <c r="LVT33" s="2795"/>
      <c r="LVU33" s="2795"/>
      <c r="LVV33" s="2795"/>
      <c r="LVW33" s="2795"/>
      <c r="LVX33" s="2795"/>
      <c r="LVY33" s="2795"/>
      <c r="LVZ33" s="2795"/>
      <c r="LWA33" s="2795"/>
      <c r="LWB33" s="2795"/>
      <c r="LWC33" s="2795"/>
      <c r="LWD33" s="2795"/>
      <c r="LWE33" s="2795"/>
      <c r="LWF33" s="2795"/>
      <c r="LWG33" s="2795"/>
      <c r="LWH33" s="2795"/>
      <c r="LWI33" s="2795"/>
      <c r="LWJ33" s="2795"/>
      <c r="LWK33" s="2795"/>
      <c r="LWL33" s="2795"/>
      <c r="LWM33" s="2795"/>
      <c r="LWN33" s="2795"/>
      <c r="LWO33" s="2795"/>
      <c r="LWP33" s="2795"/>
      <c r="LWQ33" s="2795"/>
      <c r="LWR33" s="2795"/>
      <c r="LWS33" s="2795"/>
      <c r="LWT33" s="2795"/>
      <c r="LWU33" s="2795"/>
      <c r="LWV33" s="2795"/>
      <c r="LWW33" s="2795"/>
      <c r="LWX33" s="2795"/>
      <c r="LWY33" s="2795"/>
      <c r="LWZ33" s="2795"/>
      <c r="LXA33" s="2795"/>
      <c r="LXB33" s="2795"/>
      <c r="LXC33" s="2795"/>
      <c r="LXD33" s="2795"/>
      <c r="LXE33" s="2795"/>
      <c r="LXF33" s="2795"/>
      <c r="LXG33" s="2795"/>
      <c r="LXH33" s="2795"/>
      <c r="LXI33" s="2795"/>
      <c r="LXJ33" s="2795"/>
      <c r="LXK33" s="2795"/>
      <c r="LXL33" s="2795"/>
      <c r="LXM33" s="2795"/>
      <c r="LXN33" s="2795"/>
      <c r="LXO33" s="2795"/>
      <c r="LXP33" s="2795"/>
      <c r="LXQ33" s="2795"/>
      <c r="LXR33" s="2795"/>
      <c r="LXS33" s="2795"/>
      <c r="LXT33" s="2795"/>
      <c r="LXU33" s="2795"/>
      <c r="LXV33" s="2795"/>
      <c r="LXW33" s="2795"/>
      <c r="LXX33" s="2795"/>
      <c r="LXY33" s="2795"/>
      <c r="LXZ33" s="2795"/>
      <c r="LYA33" s="2795"/>
      <c r="LYB33" s="2795"/>
      <c r="LYC33" s="2795"/>
      <c r="LYD33" s="2795"/>
      <c r="LYE33" s="2795"/>
      <c r="LYF33" s="2795"/>
      <c r="LYG33" s="2795"/>
      <c r="LYH33" s="2795"/>
      <c r="LYI33" s="2795"/>
      <c r="LYJ33" s="2795"/>
      <c r="LYK33" s="2795"/>
      <c r="LYL33" s="2795"/>
      <c r="LYM33" s="2795"/>
      <c r="LYN33" s="2795"/>
      <c r="LYO33" s="2795"/>
      <c r="LYP33" s="2795"/>
      <c r="LYQ33" s="2795"/>
      <c r="LYR33" s="2795"/>
      <c r="LYS33" s="2795"/>
      <c r="LYT33" s="2795"/>
      <c r="LYU33" s="2795"/>
      <c r="LYV33" s="2795"/>
      <c r="LYW33" s="2795"/>
      <c r="LYX33" s="2795"/>
      <c r="LYY33" s="2795"/>
      <c r="LYZ33" s="2795"/>
      <c r="LZA33" s="2795"/>
      <c r="LZB33" s="2795"/>
      <c r="LZC33" s="2795"/>
      <c r="LZD33" s="2795"/>
      <c r="LZE33" s="2795"/>
      <c r="LZF33" s="2795"/>
      <c r="LZG33" s="2795"/>
      <c r="LZH33" s="2795"/>
      <c r="LZI33" s="2795"/>
      <c r="LZJ33" s="2795"/>
      <c r="LZK33" s="2795"/>
      <c r="LZL33" s="2795"/>
      <c r="LZM33" s="2795"/>
      <c r="LZN33" s="2795"/>
      <c r="LZO33" s="2795"/>
      <c r="LZP33" s="2795"/>
      <c r="LZQ33" s="2795"/>
      <c r="LZR33" s="2795"/>
      <c r="LZS33" s="2795"/>
      <c r="LZT33" s="2795"/>
      <c r="LZU33" s="2795"/>
      <c r="LZV33" s="2795"/>
      <c r="LZW33" s="2795"/>
      <c r="LZX33" s="2795"/>
      <c r="LZY33" s="2795"/>
      <c r="LZZ33" s="2795"/>
      <c r="MAA33" s="2795"/>
      <c r="MAB33" s="2795"/>
      <c r="MAC33" s="2795"/>
      <c r="MAD33" s="2795"/>
      <c r="MAE33" s="2795"/>
      <c r="MAF33" s="2795"/>
      <c r="MAG33" s="2795"/>
      <c r="MAH33" s="2795"/>
      <c r="MAI33" s="2795"/>
      <c r="MAJ33" s="2795"/>
      <c r="MAK33" s="2795"/>
      <c r="MAL33" s="2795"/>
      <c r="MAM33" s="2795"/>
      <c r="MAN33" s="2795"/>
      <c r="MAO33" s="2795"/>
      <c r="MAP33" s="2795"/>
      <c r="MAQ33" s="2795"/>
      <c r="MAR33" s="2795"/>
      <c r="MAS33" s="2795"/>
      <c r="MAT33" s="2795"/>
      <c r="MAU33" s="2795"/>
      <c r="MAV33" s="2795"/>
      <c r="MAW33" s="2795"/>
      <c r="MAX33" s="2795"/>
      <c r="MAY33" s="2795"/>
      <c r="MAZ33" s="2795"/>
      <c r="MBA33" s="2795"/>
      <c r="MBB33" s="2795"/>
      <c r="MBC33" s="2795"/>
      <c r="MBD33" s="2795"/>
      <c r="MBE33" s="2795"/>
      <c r="MBF33" s="2795"/>
      <c r="MBG33" s="2795"/>
      <c r="MBH33" s="2795"/>
      <c r="MBI33" s="2795"/>
      <c r="MBJ33" s="2795"/>
      <c r="MBK33" s="2795"/>
      <c r="MBL33" s="2795"/>
      <c r="MBM33" s="2795"/>
      <c r="MBN33" s="2795"/>
      <c r="MBO33" s="2795"/>
      <c r="MBP33" s="2795"/>
      <c r="MBQ33" s="2795"/>
      <c r="MBR33" s="2795"/>
      <c r="MBS33" s="2795"/>
      <c r="MBT33" s="2795"/>
      <c r="MBU33" s="2795"/>
      <c r="MBV33" s="2795"/>
      <c r="MBW33" s="2795"/>
      <c r="MBX33" s="2795"/>
      <c r="MBY33" s="2795"/>
      <c r="MBZ33" s="2795"/>
      <c r="MCA33" s="2795"/>
      <c r="MCB33" s="2795"/>
      <c r="MCC33" s="2795"/>
      <c r="MCD33" s="2795"/>
      <c r="MCE33" s="2795"/>
      <c r="MCF33" s="2795"/>
      <c r="MCG33" s="2795"/>
      <c r="MCH33" s="2795"/>
      <c r="MCI33" s="2795"/>
      <c r="MCJ33" s="2795"/>
      <c r="MCK33" s="2795"/>
      <c r="MCL33" s="2795"/>
      <c r="MCM33" s="2795"/>
      <c r="MCN33" s="2795"/>
      <c r="MCO33" s="2795"/>
      <c r="MCP33" s="2795"/>
      <c r="MCQ33" s="2795"/>
      <c r="MCR33" s="2795"/>
      <c r="MCS33" s="2795"/>
      <c r="MCT33" s="2795"/>
      <c r="MCU33" s="2795"/>
      <c r="MCV33" s="2795"/>
      <c r="MCW33" s="2795"/>
      <c r="MCX33" s="2795"/>
      <c r="MCY33" s="2795"/>
      <c r="MCZ33" s="2795"/>
      <c r="MDA33" s="2795"/>
      <c r="MDB33" s="2795"/>
      <c r="MDC33" s="2795"/>
      <c r="MDD33" s="2795"/>
      <c r="MDE33" s="2795"/>
      <c r="MDF33" s="2795"/>
      <c r="MDG33" s="2795"/>
      <c r="MDH33" s="2795"/>
      <c r="MDI33" s="2795"/>
      <c r="MDJ33" s="2795"/>
      <c r="MDK33" s="2795"/>
      <c r="MDL33" s="2795"/>
      <c r="MDM33" s="2795"/>
      <c r="MDN33" s="2795"/>
      <c r="MDO33" s="2795"/>
      <c r="MDP33" s="2795"/>
      <c r="MDQ33" s="2795"/>
      <c r="MDR33" s="2795"/>
      <c r="MDS33" s="2795"/>
      <c r="MDT33" s="2795"/>
      <c r="MDU33" s="2795"/>
      <c r="MDV33" s="2795"/>
      <c r="MDW33" s="2795"/>
      <c r="MDX33" s="2795"/>
      <c r="MDY33" s="2795"/>
      <c r="MDZ33" s="2795"/>
      <c r="MEA33" s="2795"/>
      <c r="MEB33" s="2795"/>
      <c r="MEC33" s="2795"/>
      <c r="MED33" s="2795"/>
      <c r="MEE33" s="2795"/>
      <c r="MEF33" s="2795"/>
      <c r="MEG33" s="2795"/>
      <c r="MEH33" s="2795"/>
      <c r="MEI33" s="2795"/>
      <c r="MEJ33" s="2795"/>
      <c r="MEK33" s="2795"/>
      <c r="MEL33" s="2795"/>
      <c r="MEM33" s="2795"/>
      <c r="MEN33" s="2795"/>
      <c r="MEO33" s="2795"/>
      <c r="MEP33" s="2795"/>
      <c r="MEQ33" s="2795"/>
      <c r="MER33" s="2795"/>
      <c r="MES33" s="2795"/>
      <c r="MET33" s="2795"/>
      <c r="MEU33" s="2795"/>
      <c r="MEV33" s="2795"/>
      <c r="MEW33" s="2795"/>
      <c r="MEX33" s="2795"/>
      <c r="MEY33" s="2795"/>
      <c r="MEZ33" s="2795"/>
      <c r="MFA33" s="2795"/>
      <c r="MFB33" s="2795"/>
      <c r="MFC33" s="2795"/>
      <c r="MFD33" s="2795"/>
      <c r="MFE33" s="2795"/>
      <c r="MFF33" s="2795"/>
      <c r="MFG33" s="2795"/>
      <c r="MFH33" s="2795"/>
      <c r="MFI33" s="2795"/>
      <c r="MFJ33" s="2795"/>
      <c r="MFK33" s="2795"/>
      <c r="MFL33" s="2795"/>
      <c r="MFM33" s="2795"/>
      <c r="MFN33" s="2795"/>
      <c r="MFO33" s="2795"/>
      <c r="MFP33" s="2795"/>
      <c r="MFQ33" s="2795"/>
      <c r="MFR33" s="2795"/>
      <c r="MFS33" s="2795"/>
      <c r="MFT33" s="2795"/>
      <c r="MFU33" s="2795"/>
      <c r="MFV33" s="2795"/>
      <c r="MFW33" s="2795"/>
      <c r="MFX33" s="2795"/>
      <c r="MFY33" s="2795"/>
      <c r="MFZ33" s="2795"/>
      <c r="MGA33" s="2795"/>
      <c r="MGB33" s="2795"/>
      <c r="MGC33" s="2795"/>
      <c r="MGD33" s="2795"/>
      <c r="MGE33" s="2795"/>
      <c r="MGF33" s="2795"/>
      <c r="MGG33" s="2795"/>
      <c r="MGH33" s="2795"/>
      <c r="MGI33" s="2795"/>
      <c r="MGJ33" s="2795"/>
      <c r="MGK33" s="2795"/>
      <c r="MGL33" s="2795"/>
      <c r="MGM33" s="2795"/>
      <c r="MGN33" s="2795"/>
      <c r="MGO33" s="2795"/>
      <c r="MGP33" s="2795"/>
      <c r="MGQ33" s="2795"/>
      <c r="MGR33" s="2795"/>
      <c r="MGS33" s="2795"/>
      <c r="MGT33" s="2795"/>
      <c r="MGU33" s="2795"/>
      <c r="MGV33" s="2795"/>
      <c r="MGW33" s="2795"/>
      <c r="MGX33" s="2795"/>
      <c r="MGY33" s="2795"/>
      <c r="MGZ33" s="2795"/>
      <c r="MHA33" s="2795"/>
      <c r="MHB33" s="2795"/>
      <c r="MHC33" s="2795"/>
      <c r="MHD33" s="2795"/>
      <c r="MHE33" s="2795"/>
      <c r="MHF33" s="2795"/>
      <c r="MHG33" s="2795"/>
      <c r="MHH33" s="2795"/>
      <c r="MHI33" s="2795"/>
      <c r="MHJ33" s="2795"/>
      <c r="MHK33" s="2795"/>
      <c r="MHL33" s="2795"/>
      <c r="MHM33" s="2795"/>
      <c r="MHN33" s="2795"/>
      <c r="MHO33" s="2795"/>
      <c r="MHP33" s="2795"/>
      <c r="MHQ33" s="2795"/>
      <c r="MHR33" s="2795"/>
      <c r="MHS33" s="2795"/>
      <c r="MHT33" s="2795"/>
      <c r="MHU33" s="2795"/>
      <c r="MHV33" s="2795"/>
      <c r="MHW33" s="2795"/>
      <c r="MHX33" s="2795"/>
      <c r="MHY33" s="2795"/>
      <c r="MHZ33" s="2795"/>
      <c r="MIA33" s="2795"/>
      <c r="MIB33" s="2795"/>
      <c r="MIC33" s="2795"/>
      <c r="MID33" s="2795"/>
      <c r="MIE33" s="2795"/>
      <c r="MIF33" s="2795"/>
      <c r="MIG33" s="2795"/>
      <c r="MIH33" s="2795"/>
      <c r="MII33" s="2795"/>
      <c r="MIJ33" s="2795"/>
      <c r="MIK33" s="2795"/>
      <c r="MIL33" s="2795"/>
      <c r="MIM33" s="2795"/>
      <c r="MIN33" s="2795"/>
      <c r="MIO33" s="2795"/>
      <c r="MIP33" s="2795"/>
      <c r="MIQ33" s="2795"/>
      <c r="MIR33" s="2795"/>
      <c r="MIS33" s="2795"/>
      <c r="MIT33" s="2795"/>
      <c r="MIU33" s="2795"/>
      <c r="MIV33" s="2795"/>
      <c r="MIW33" s="2795"/>
      <c r="MIX33" s="2795"/>
      <c r="MIY33" s="2795"/>
      <c r="MIZ33" s="2795"/>
      <c r="MJA33" s="2795"/>
      <c r="MJB33" s="2795"/>
      <c r="MJC33" s="2795"/>
      <c r="MJD33" s="2795"/>
      <c r="MJE33" s="2795"/>
      <c r="MJF33" s="2795"/>
      <c r="MJG33" s="2795"/>
      <c r="MJH33" s="2795"/>
      <c r="MJI33" s="2795"/>
      <c r="MJJ33" s="2795"/>
      <c r="MJK33" s="2795"/>
      <c r="MJL33" s="2795"/>
      <c r="MJM33" s="2795"/>
      <c r="MJN33" s="2795"/>
      <c r="MJO33" s="2795"/>
      <c r="MJP33" s="2795"/>
      <c r="MJQ33" s="2795"/>
      <c r="MJR33" s="2795"/>
      <c r="MJS33" s="2795"/>
      <c r="MJT33" s="2795"/>
      <c r="MJU33" s="2795"/>
      <c r="MJV33" s="2795"/>
      <c r="MJW33" s="2795"/>
      <c r="MJX33" s="2795"/>
      <c r="MJY33" s="2795"/>
      <c r="MJZ33" s="2795"/>
      <c r="MKA33" s="2795"/>
      <c r="MKB33" s="2795"/>
      <c r="MKC33" s="2795"/>
      <c r="MKD33" s="2795"/>
      <c r="MKE33" s="2795"/>
      <c r="MKF33" s="2795"/>
      <c r="MKG33" s="2795"/>
      <c r="MKH33" s="2795"/>
      <c r="MKI33" s="2795"/>
      <c r="MKJ33" s="2795"/>
      <c r="MKK33" s="2795"/>
      <c r="MKL33" s="2795"/>
      <c r="MKM33" s="2795"/>
      <c r="MKN33" s="2795"/>
      <c r="MKO33" s="2795"/>
      <c r="MKP33" s="2795"/>
      <c r="MKQ33" s="2795"/>
      <c r="MKR33" s="2795"/>
      <c r="MKS33" s="2795"/>
      <c r="MKT33" s="2795"/>
      <c r="MKU33" s="2795"/>
      <c r="MKV33" s="2795"/>
      <c r="MKW33" s="2795"/>
      <c r="MKX33" s="2795"/>
      <c r="MKY33" s="2795"/>
      <c r="MKZ33" s="2795"/>
      <c r="MLA33" s="2795"/>
      <c r="MLB33" s="2795"/>
      <c r="MLC33" s="2795"/>
      <c r="MLD33" s="2795"/>
      <c r="MLE33" s="2795"/>
      <c r="MLF33" s="2795"/>
      <c r="MLG33" s="2795"/>
      <c r="MLH33" s="2795"/>
      <c r="MLI33" s="2795"/>
      <c r="MLJ33" s="2795"/>
      <c r="MLK33" s="2795"/>
      <c r="MLL33" s="2795"/>
      <c r="MLM33" s="2795"/>
      <c r="MLN33" s="2795"/>
      <c r="MLO33" s="2795"/>
      <c r="MLP33" s="2795"/>
      <c r="MLQ33" s="2795"/>
      <c r="MLR33" s="2795"/>
      <c r="MLS33" s="2795"/>
      <c r="MLT33" s="2795"/>
      <c r="MLU33" s="2795"/>
      <c r="MLV33" s="2795"/>
      <c r="MLW33" s="2795"/>
      <c r="MLX33" s="2795"/>
      <c r="MLY33" s="2795"/>
      <c r="MLZ33" s="2795"/>
      <c r="MMA33" s="2795"/>
      <c r="MMB33" s="2795"/>
      <c r="MMC33" s="2795"/>
      <c r="MMD33" s="2795"/>
      <c r="MME33" s="2795"/>
      <c r="MMF33" s="2795"/>
      <c r="MMG33" s="2795"/>
      <c r="MMH33" s="2795"/>
      <c r="MMI33" s="2795"/>
      <c r="MMJ33" s="2795"/>
      <c r="MMK33" s="2795"/>
      <c r="MML33" s="2795"/>
      <c r="MMM33" s="2795"/>
      <c r="MMN33" s="2795"/>
      <c r="MMO33" s="2795"/>
      <c r="MMP33" s="2795"/>
      <c r="MMQ33" s="2795"/>
      <c r="MMR33" s="2795"/>
      <c r="MMS33" s="2795"/>
      <c r="MMT33" s="2795"/>
      <c r="MMU33" s="2795"/>
      <c r="MMV33" s="2795"/>
      <c r="MMW33" s="2795"/>
      <c r="MMX33" s="2795"/>
      <c r="MMY33" s="2795"/>
      <c r="MMZ33" s="2795"/>
      <c r="MNA33" s="2795"/>
      <c r="MNB33" s="2795"/>
      <c r="MNC33" s="2795"/>
      <c r="MND33" s="2795"/>
      <c r="MNE33" s="2795"/>
      <c r="MNF33" s="2795"/>
      <c r="MNG33" s="2795"/>
      <c r="MNH33" s="2795"/>
      <c r="MNI33" s="2795"/>
      <c r="MNJ33" s="2795"/>
      <c r="MNK33" s="2795"/>
      <c r="MNL33" s="2795"/>
      <c r="MNM33" s="2795"/>
      <c r="MNN33" s="2795"/>
      <c r="MNO33" s="2795"/>
      <c r="MNP33" s="2795"/>
      <c r="MNQ33" s="2795"/>
      <c r="MNR33" s="2795"/>
      <c r="MNS33" s="2795"/>
      <c r="MNT33" s="2795"/>
      <c r="MNU33" s="2795"/>
      <c r="MNV33" s="2795"/>
      <c r="MNW33" s="2795"/>
      <c r="MNX33" s="2795"/>
      <c r="MNY33" s="2795"/>
      <c r="MNZ33" s="2795"/>
      <c r="MOA33" s="2795"/>
      <c r="MOB33" s="2795"/>
      <c r="MOC33" s="2795"/>
      <c r="MOD33" s="2795"/>
      <c r="MOE33" s="2795"/>
      <c r="MOF33" s="2795"/>
      <c r="MOG33" s="2795"/>
      <c r="MOH33" s="2795"/>
      <c r="MOI33" s="2795"/>
      <c r="MOJ33" s="2795"/>
      <c r="MOK33" s="2795"/>
      <c r="MOL33" s="2795"/>
      <c r="MOM33" s="2795"/>
      <c r="MON33" s="2795"/>
      <c r="MOO33" s="2795"/>
      <c r="MOP33" s="2795"/>
      <c r="MOQ33" s="2795"/>
      <c r="MOR33" s="2795"/>
      <c r="MOS33" s="2795"/>
      <c r="MOT33" s="2795"/>
      <c r="MOU33" s="2795"/>
      <c r="MOV33" s="2795"/>
      <c r="MOW33" s="2795"/>
      <c r="MOX33" s="2795"/>
      <c r="MOY33" s="2795"/>
      <c r="MOZ33" s="2795"/>
      <c r="MPA33" s="2795"/>
      <c r="MPB33" s="2795"/>
      <c r="MPC33" s="2795"/>
      <c r="MPD33" s="2795"/>
      <c r="MPE33" s="2795"/>
      <c r="MPF33" s="2795"/>
      <c r="MPG33" s="2795"/>
      <c r="MPH33" s="2795"/>
      <c r="MPI33" s="2795"/>
      <c r="MPJ33" s="2795"/>
      <c r="MPK33" s="2795"/>
      <c r="MPL33" s="2795"/>
      <c r="MPM33" s="2795"/>
      <c r="MPN33" s="2795"/>
      <c r="MPO33" s="2795"/>
      <c r="MPP33" s="2795"/>
      <c r="MPQ33" s="2795"/>
      <c r="MPR33" s="2795"/>
      <c r="MPS33" s="2795"/>
      <c r="MPT33" s="2795"/>
      <c r="MPU33" s="2795"/>
      <c r="MPV33" s="2795"/>
      <c r="MPW33" s="2795"/>
      <c r="MPX33" s="2795"/>
      <c r="MPY33" s="2795"/>
      <c r="MPZ33" s="2795"/>
      <c r="MQA33" s="2795"/>
      <c r="MQB33" s="2795"/>
      <c r="MQC33" s="2795"/>
      <c r="MQD33" s="2795"/>
      <c r="MQE33" s="2795"/>
      <c r="MQF33" s="2795"/>
      <c r="MQG33" s="2795"/>
      <c r="MQH33" s="2795"/>
      <c r="MQI33" s="2795"/>
      <c r="MQJ33" s="2795"/>
      <c r="MQK33" s="2795"/>
      <c r="MQL33" s="2795"/>
      <c r="MQM33" s="2795"/>
      <c r="MQN33" s="2795"/>
      <c r="MQO33" s="2795"/>
      <c r="MQP33" s="2795"/>
      <c r="MQQ33" s="2795"/>
      <c r="MQR33" s="2795"/>
      <c r="MQS33" s="2795"/>
      <c r="MQT33" s="2795"/>
      <c r="MQU33" s="2795"/>
      <c r="MQV33" s="2795"/>
      <c r="MQW33" s="2795"/>
      <c r="MQX33" s="2795"/>
      <c r="MQY33" s="2795"/>
      <c r="MQZ33" s="2795"/>
      <c r="MRA33" s="2795"/>
      <c r="MRB33" s="2795"/>
      <c r="MRC33" s="2795"/>
      <c r="MRD33" s="2795"/>
      <c r="MRE33" s="2795"/>
      <c r="MRF33" s="2795"/>
      <c r="MRG33" s="2795"/>
      <c r="MRH33" s="2795"/>
      <c r="MRI33" s="2795"/>
      <c r="MRJ33" s="2795"/>
      <c r="MRK33" s="2795"/>
      <c r="MRL33" s="2795"/>
      <c r="MRM33" s="2795"/>
      <c r="MRN33" s="2795"/>
      <c r="MRO33" s="2795"/>
      <c r="MRP33" s="2795"/>
      <c r="MRQ33" s="2795"/>
      <c r="MRR33" s="2795"/>
      <c r="MRS33" s="2795"/>
      <c r="MRT33" s="2795"/>
      <c r="MRU33" s="2795"/>
      <c r="MRV33" s="2795"/>
      <c r="MRW33" s="2795"/>
      <c r="MRX33" s="2795"/>
      <c r="MRY33" s="2795"/>
      <c r="MRZ33" s="2795"/>
      <c r="MSA33" s="2795"/>
      <c r="MSB33" s="2795"/>
      <c r="MSC33" s="2795"/>
      <c r="MSD33" s="2795"/>
      <c r="MSE33" s="2795"/>
      <c r="MSF33" s="2795"/>
      <c r="MSG33" s="2795"/>
      <c r="MSH33" s="2795"/>
      <c r="MSI33" s="2795"/>
      <c r="MSJ33" s="2795"/>
      <c r="MSK33" s="2795"/>
      <c r="MSL33" s="2795"/>
      <c r="MSM33" s="2795"/>
      <c r="MSN33" s="2795"/>
      <c r="MSO33" s="2795"/>
      <c r="MSP33" s="2795"/>
      <c r="MSQ33" s="2795"/>
      <c r="MSR33" s="2795"/>
      <c r="MSS33" s="2795"/>
      <c r="MST33" s="2795"/>
      <c r="MSU33" s="2795"/>
      <c r="MSV33" s="2795"/>
      <c r="MSW33" s="2795"/>
      <c r="MSX33" s="2795"/>
      <c r="MSY33" s="2795"/>
      <c r="MSZ33" s="2795"/>
      <c r="MTA33" s="2795"/>
      <c r="MTB33" s="2795"/>
      <c r="MTC33" s="2795"/>
      <c r="MTD33" s="2795"/>
      <c r="MTE33" s="2795"/>
      <c r="MTF33" s="2795"/>
      <c r="MTG33" s="2795"/>
      <c r="MTH33" s="2795"/>
      <c r="MTI33" s="2795"/>
      <c r="MTJ33" s="2795"/>
      <c r="MTK33" s="2795"/>
      <c r="MTL33" s="2795"/>
      <c r="MTM33" s="2795"/>
      <c r="MTN33" s="2795"/>
      <c r="MTO33" s="2795"/>
      <c r="MTP33" s="2795"/>
      <c r="MTQ33" s="2795"/>
      <c r="MTR33" s="2795"/>
      <c r="MTS33" s="2795"/>
      <c r="MTT33" s="2795"/>
      <c r="MTU33" s="2795"/>
      <c r="MTV33" s="2795"/>
      <c r="MTW33" s="2795"/>
      <c r="MTX33" s="2795"/>
      <c r="MTY33" s="2795"/>
      <c r="MTZ33" s="2795"/>
      <c r="MUA33" s="2795"/>
      <c r="MUB33" s="2795"/>
      <c r="MUC33" s="2795"/>
      <c r="MUD33" s="2795"/>
      <c r="MUE33" s="2795"/>
      <c r="MUF33" s="2795"/>
      <c r="MUG33" s="2795"/>
      <c r="MUH33" s="2795"/>
      <c r="MUI33" s="2795"/>
      <c r="MUJ33" s="2795"/>
      <c r="MUK33" s="2795"/>
      <c r="MUL33" s="2795"/>
      <c r="MUM33" s="2795"/>
      <c r="MUN33" s="2795"/>
      <c r="MUO33" s="2795"/>
      <c r="MUP33" s="2795"/>
      <c r="MUQ33" s="2795"/>
      <c r="MUR33" s="2795"/>
      <c r="MUS33" s="2795"/>
      <c r="MUT33" s="2795"/>
      <c r="MUU33" s="2795"/>
      <c r="MUV33" s="2795"/>
      <c r="MUW33" s="2795"/>
      <c r="MUX33" s="2795"/>
      <c r="MUY33" s="2795"/>
      <c r="MUZ33" s="2795"/>
      <c r="MVA33" s="2795"/>
      <c r="MVB33" s="2795"/>
      <c r="MVC33" s="2795"/>
      <c r="MVD33" s="2795"/>
      <c r="MVE33" s="2795"/>
      <c r="MVF33" s="2795"/>
      <c r="MVG33" s="2795"/>
      <c r="MVH33" s="2795"/>
      <c r="MVI33" s="2795"/>
      <c r="MVJ33" s="2795"/>
      <c r="MVK33" s="2795"/>
      <c r="MVL33" s="2795"/>
      <c r="MVM33" s="2795"/>
      <c r="MVN33" s="2795"/>
      <c r="MVO33" s="2795"/>
      <c r="MVP33" s="2795"/>
      <c r="MVQ33" s="2795"/>
      <c r="MVR33" s="2795"/>
      <c r="MVS33" s="2795"/>
      <c r="MVT33" s="2795"/>
      <c r="MVU33" s="2795"/>
      <c r="MVV33" s="2795"/>
      <c r="MVW33" s="2795"/>
      <c r="MVX33" s="2795"/>
      <c r="MVY33" s="2795"/>
      <c r="MVZ33" s="2795"/>
      <c r="MWA33" s="2795"/>
      <c r="MWB33" s="2795"/>
      <c r="MWC33" s="2795"/>
      <c r="MWD33" s="2795"/>
      <c r="MWE33" s="2795"/>
      <c r="MWF33" s="2795"/>
      <c r="MWG33" s="2795"/>
      <c r="MWH33" s="2795"/>
      <c r="MWI33" s="2795"/>
      <c r="MWJ33" s="2795"/>
      <c r="MWK33" s="2795"/>
      <c r="MWL33" s="2795"/>
      <c r="MWM33" s="2795"/>
      <c r="MWN33" s="2795"/>
      <c r="MWO33" s="2795"/>
      <c r="MWP33" s="2795"/>
      <c r="MWQ33" s="2795"/>
      <c r="MWR33" s="2795"/>
      <c r="MWS33" s="2795"/>
      <c r="MWT33" s="2795"/>
      <c r="MWU33" s="2795"/>
      <c r="MWV33" s="2795"/>
      <c r="MWW33" s="2795"/>
      <c r="MWX33" s="2795"/>
      <c r="MWY33" s="2795"/>
      <c r="MWZ33" s="2795"/>
      <c r="MXA33" s="2795"/>
      <c r="MXB33" s="2795"/>
      <c r="MXC33" s="2795"/>
      <c r="MXD33" s="2795"/>
      <c r="MXE33" s="2795"/>
      <c r="MXF33" s="2795"/>
      <c r="MXG33" s="2795"/>
      <c r="MXH33" s="2795"/>
      <c r="MXI33" s="2795"/>
      <c r="MXJ33" s="2795"/>
      <c r="MXK33" s="2795"/>
      <c r="MXL33" s="2795"/>
      <c r="MXM33" s="2795"/>
      <c r="MXN33" s="2795"/>
      <c r="MXO33" s="2795"/>
      <c r="MXP33" s="2795"/>
      <c r="MXQ33" s="2795"/>
      <c r="MXR33" s="2795"/>
      <c r="MXS33" s="2795"/>
      <c r="MXT33" s="2795"/>
      <c r="MXU33" s="2795"/>
      <c r="MXV33" s="2795"/>
      <c r="MXW33" s="2795"/>
      <c r="MXX33" s="2795"/>
      <c r="MXY33" s="2795"/>
      <c r="MXZ33" s="2795"/>
      <c r="MYA33" s="2795"/>
      <c r="MYB33" s="2795"/>
      <c r="MYC33" s="2795"/>
      <c r="MYD33" s="2795"/>
      <c r="MYE33" s="2795"/>
      <c r="MYF33" s="2795"/>
      <c r="MYG33" s="2795"/>
      <c r="MYH33" s="2795"/>
      <c r="MYI33" s="2795"/>
      <c r="MYJ33" s="2795"/>
      <c r="MYK33" s="2795"/>
      <c r="MYL33" s="2795"/>
      <c r="MYM33" s="2795"/>
      <c r="MYN33" s="2795"/>
      <c r="MYO33" s="2795"/>
      <c r="MYP33" s="2795"/>
      <c r="MYQ33" s="2795"/>
      <c r="MYR33" s="2795"/>
      <c r="MYS33" s="2795"/>
      <c r="MYT33" s="2795"/>
      <c r="MYU33" s="2795"/>
      <c r="MYV33" s="2795"/>
      <c r="MYW33" s="2795"/>
      <c r="MYX33" s="2795"/>
      <c r="MYY33" s="2795"/>
      <c r="MYZ33" s="2795"/>
      <c r="MZA33" s="2795"/>
      <c r="MZB33" s="2795"/>
      <c r="MZC33" s="2795"/>
      <c r="MZD33" s="2795"/>
      <c r="MZE33" s="2795"/>
      <c r="MZF33" s="2795"/>
      <c r="MZG33" s="2795"/>
      <c r="MZH33" s="2795"/>
      <c r="MZI33" s="2795"/>
      <c r="MZJ33" s="2795"/>
      <c r="MZK33" s="2795"/>
      <c r="MZL33" s="2795"/>
      <c r="MZM33" s="2795"/>
      <c r="MZN33" s="2795"/>
      <c r="MZO33" s="2795"/>
      <c r="MZP33" s="2795"/>
      <c r="MZQ33" s="2795"/>
      <c r="MZR33" s="2795"/>
      <c r="MZS33" s="2795"/>
      <c r="MZT33" s="2795"/>
      <c r="MZU33" s="2795"/>
      <c r="MZV33" s="2795"/>
      <c r="MZW33" s="2795"/>
      <c r="MZX33" s="2795"/>
      <c r="MZY33" s="2795"/>
      <c r="MZZ33" s="2795"/>
      <c r="NAA33" s="2795"/>
      <c r="NAB33" s="2795"/>
      <c r="NAC33" s="2795"/>
      <c r="NAD33" s="2795"/>
      <c r="NAE33" s="2795"/>
      <c r="NAF33" s="2795"/>
      <c r="NAG33" s="2795"/>
      <c r="NAH33" s="2795"/>
      <c r="NAI33" s="2795"/>
      <c r="NAJ33" s="2795"/>
      <c r="NAK33" s="2795"/>
      <c r="NAL33" s="2795"/>
      <c r="NAM33" s="2795"/>
      <c r="NAN33" s="2795"/>
      <c r="NAO33" s="2795"/>
      <c r="NAP33" s="2795"/>
      <c r="NAQ33" s="2795"/>
      <c r="NAR33" s="2795"/>
      <c r="NAS33" s="2795"/>
      <c r="NAT33" s="2795"/>
      <c r="NAU33" s="2795"/>
      <c r="NAV33" s="2795"/>
      <c r="NAW33" s="2795"/>
      <c r="NAX33" s="2795"/>
      <c r="NAY33" s="2795"/>
      <c r="NAZ33" s="2795"/>
      <c r="NBA33" s="2795"/>
      <c r="NBB33" s="2795"/>
      <c r="NBC33" s="2795"/>
      <c r="NBD33" s="2795"/>
      <c r="NBE33" s="2795"/>
      <c r="NBF33" s="2795"/>
      <c r="NBG33" s="2795"/>
      <c r="NBH33" s="2795"/>
      <c r="NBI33" s="2795"/>
      <c r="NBJ33" s="2795"/>
      <c r="NBK33" s="2795"/>
      <c r="NBL33" s="2795"/>
      <c r="NBM33" s="2795"/>
      <c r="NBN33" s="2795"/>
      <c r="NBO33" s="2795"/>
      <c r="NBP33" s="2795"/>
      <c r="NBQ33" s="2795"/>
      <c r="NBR33" s="2795"/>
      <c r="NBS33" s="2795"/>
      <c r="NBT33" s="2795"/>
      <c r="NBU33" s="2795"/>
      <c r="NBV33" s="2795"/>
      <c r="NBW33" s="2795"/>
      <c r="NBX33" s="2795"/>
      <c r="NBY33" s="2795"/>
      <c r="NBZ33" s="2795"/>
      <c r="NCA33" s="2795"/>
      <c r="NCB33" s="2795"/>
      <c r="NCC33" s="2795"/>
      <c r="NCD33" s="2795"/>
      <c r="NCE33" s="2795"/>
      <c r="NCF33" s="2795"/>
      <c r="NCG33" s="2795"/>
      <c r="NCH33" s="2795"/>
      <c r="NCI33" s="2795"/>
      <c r="NCJ33" s="2795"/>
      <c r="NCK33" s="2795"/>
      <c r="NCL33" s="2795"/>
      <c r="NCM33" s="2795"/>
      <c r="NCN33" s="2795"/>
      <c r="NCO33" s="2795"/>
      <c r="NCP33" s="2795"/>
      <c r="NCQ33" s="2795"/>
      <c r="NCR33" s="2795"/>
      <c r="NCS33" s="2795"/>
      <c r="NCT33" s="2795"/>
      <c r="NCU33" s="2795"/>
      <c r="NCV33" s="2795"/>
      <c r="NCW33" s="2795"/>
      <c r="NCX33" s="2795"/>
      <c r="NCY33" s="2795"/>
      <c r="NCZ33" s="2795"/>
      <c r="NDA33" s="2795"/>
      <c r="NDB33" s="2795"/>
      <c r="NDC33" s="2795"/>
      <c r="NDD33" s="2795"/>
      <c r="NDE33" s="2795"/>
      <c r="NDF33" s="2795"/>
      <c r="NDG33" s="2795"/>
      <c r="NDH33" s="2795"/>
      <c r="NDI33" s="2795"/>
      <c r="NDJ33" s="2795"/>
      <c r="NDK33" s="2795"/>
      <c r="NDL33" s="2795"/>
      <c r="NDM33" s="2795"/>
      <c r="NDN33" s="2795"/>
      <c r="NDO33" s="2795"/>
      <c r="NDP33" s="2795"/>
      <c r="NDQ33" s="2795"/>
      <c r="NDR33" s="2795"/>
      <c r="NDS33" s="2795"/>
      <c r="NDT33" s="2795"/>
      <c r="NDU33" s="2795"/>
      <c r="NDV33" s="2795"/>
      <c r="NDW33" s="2795"/>
      <c r="NDX33" s="2795"/>
      <c r="NDY33" s="2795"/>
      <c r="NDZ33" s="2795"/>
      <c r="NEA33" s="2795"/>
      <c r="NEB33" s="2795"/>
      <c r="NEC33" s="2795"/>
      <c r="NED33" s="2795"/>
      <c r="NEE33" s="2795"/>
      <c r="NEF33" s="2795"/>
      <c r="NEG33" s="2795"/>
      <c r="NEH33" s="2795"/>
      <c r="NEI33" s="2795"/>
      <c r="NEJ33" s="2795"/>
      <c r="NEK33" s="2795"/>
      <c r="NEL33" s="2795"/>
      <c r="NEM33" s="2795"/>
      <c r="NEN33" s="2795"/>
      <c r="NEO33" s="2795"/>
      <c r="NEP33" s="2795"/>
      <c r="NEQ33" s="2795"/>
      <c r="NER33" s="2795"/>
      <c r="NES33" s="2795"/>
      <c r="NET33" s="2795"/>
      <c r="NEU33" s="2795"/>
      <c r="NEV33" s="2795"/>
      <c r="NEW33" s="2795"/>
      <c r="NEX33" s="2795"/>
      <c r="NEY33" s="2795"/>
      <c r="NEZ33" s="2795"/>
      <c r="NFA33" s="2795"/>
      <c r="NFB33" s="2795"/>
      <c r="NFC33" s="2795"/>
      <c r="NFD33" s="2795"/>
      <c r="NFE33" s="2795"/>
      <c r="NFF33" s="2795"/>
      <c r="NFG33" s="2795"/>
      <c r="NFH33" s="2795"/>
      <c r="NFI33" s="2795"/>
      <c r="NFJ33" s="2795"/>
      <c r="NFK33" s="2795"/>
      <c r="NFL33" s="2795"/>
      <c r="NFM33" s="2795"/>
      <c r="NFN33" s="2795"/>
      <c r="NFO33" s="2795"/>
      <c r="NFP33" s="2795"/>
      <c r="NFQ33" s="2795"/>
      <c r="NFR33" s="2795"/>
      <c r="NFS33" s="2795"/>
      <c r="NFT33" s="2795"/>
      <c r="NFU33" s="2795"/>
      <c r="NFV33" s="2795"/>
      <c r="NFW33" s="2795"/>
      <c r="NFX33" s="2795"/>
      <c r="NFY33" s="2795"/>
      <c r="NFZ33" s="2795"/>
      <c r="NGA33" s="2795"/>
      <c r="NGB33" s="2795"/>
      <c r="NGC33" s="2795"/>
      <c r="NGD33" s="2795"/>
      <c r="NGE33" s="2795"/>
      <c r="NGF33" s="2795"/>
      <c r="NGG33" s="2795"/>
      <c r="NGH33" s="2795"/>
      <c r="NGI33" s="2795"/>
      <c r="NGJ33" s="2795"/>
      <c r="NGK33" s="2795"/>
      <c r="NGL33" s="2795"/>
      <c r="NGM33" s="2795"/>
      <c r="NGN33" s="2795"/>
      <c r="NGO33" s="2795"/>
      <c r="NGP33" s="2795"/>
      <c r="NGQ33" s="2795"/>
      <c r="NGR33" s="2795"/>
      <c r="NGS33" s="2795"/>
      <c r="NGT33" s="2795"/>
      <c r="NGU33" s="2795"/>
      <c r="NGV33" s="2795"/>
      <c r="NGW33" s="2795"/>
      <c r="NGX33" s="2795"/>
      <c r="NGY33" s="2795"/>
      <c r="NGZ33" s="2795"/>
      <c r="NHA33" s="2795"/>
      <c r="NHB33" s="2795"/>
      <c r="NHC33" s="2795"/>
      <c r="NHD33" s="2795"/>
      <c r="NHE33" s="2795"/>
      <c r="NHF33" s="2795"/>
      <c r="NHG33" s="2795"/>
      <c r="NHH33" s="2795"/>
      <c r="NHI33" s="2795"/>
      <c r="NHJ33" s="2795"/>
      <c r="NHK33" s="2795"/>
      <c r="NHL33" s="2795"/>
      <c r="NHM33" s="2795"/>
      <c r="NHN33" s="2795"/>
      <c r="NHO33" s="2795"/>
      <c r="NHP33" s="2795"/>
      <c r="NHQ33" s="2795"/>
      <c r="NHR33" s="2795"/>
      <c r="NHS33" s="2795"/>
      <c r="NHT33" s="2795"/>
      <c r="NHU33" s="2795"/>
      <c r="NHV33" s="2795"/>
      <c r="NHW33" s="2795"/>
      <c r="NHX33" s="2795"/>
      <c r="NHY33" s="2795"/>
      <c r="NHZ33" s="2795"/>
      <c r="NIA33" s="2795"/>
      <c r="NIB33" s="2795"/>
      <c r="NIC33" s="2795"/>
      <c r="NID33" s="2795"/>
      <c r="NIE33" s="2795"/>
      <c r="NIF33" s="2795"/>
      <c r="NIG33" s="2795"/>
      <c r="NIH33" s="2795"/>
      <c r="NII33" s="2795"/>
      <c r="NIJ33" s="2795"/>
      <c r="NIK33" s="2795"/>
      <c r="NIL33" s="2795"/>
      <c r="NIM33" s="2795"/>
      <c r="NIN33" s="2795"/>
      <c r="NIO33" s="2795"/>
      <c r="NIP33" s="2795"/>
      <c r="NIQ33" s="2795"/>
      <c r="NIR33" s="2795"/>
      <c r="NIS33" s="2795"/>
      <c r="NIT33" s="2795"/>
      <c r="NIU33" s="2795"/>
      <c r="NIV33" s="2795"/>
      <c r="NIW33" s="2795"/>
      <c r="NIX33" s="2795"/>
      <c r="NIY33" s="2795"/>
      <c r="NIZ33" s="2795"/>
      <c r="NJA33" s="2795"/>
      <c r="NJB33" s="2795"/>
      <c r="NJC33" s="2795"/>
      <c r="NJD33" s="2795"/>
      <c r="NJE33" s="2795"/>
      <c r="NJF33" s="2795"/>
      <c r="NJG33" s="2795"/>
      <c r="NJH33" s="2795"/>
      <c r="NJI33" s="2795"/>
      <c r="NJJ33" s="2795"/>
      <c r="NJK33" s="2795"/>
      <c r="NJL33" s="2795"/>
      <c r="NJM33" s="2795"/>
      <c r="NJN33" s="2795"/>
      <c r="NJO33" s="2795"/>
      <c r="NJP33" s="2795"/>
      <c r="NJQ33" s="2795"/>
      <c r="NJR33" s="2795"/>
      <c r="NJS33" s="2795"/>
      <c r="NJT33" s="2795"/>
      <c r="NJU33" s="2795"/>
      <c r="NJV33" s="2795"/>
      <c r="NJW33" s="2795"/>
      <c r="NJX33" s="2795"/>
      <c r="NJY33" s="2795"/>
      <c r="NJZ33" s="2795"/>
      <c r="NKA33" s="2795"/>
      <c r="NKB33" s="2795"/>
      <c r="NKC33" s="2795"/>
      <c r="NKD33" s="2795"/>
      <c r="NKE33" s="2795"/>
      <c r="NKF33" s="2795"/>
      <c r="NKG33" s="2795"/>
      <c r="NKH33" s="2795"/>
      <c r="NKI33" s="2795"/>
      <c r="NKJ33" s="2795"/>
      <c r="NKK33" s="2795"/>
      <c r="NKL33" s="2795"/>
      <c r="NKM33" s="2795"/>
      <c r="NKN33" s="2795"/>
      <c r="NKO33" s="2795"/>
      <c r="NKP33" s="2795"/>
      <c r="NKQ33" s="2795"/>
      <c r="NKR33" s="2795"/>
      <c r="NKS33" s="2795"/>
      <c r="NKT33" s="2795"/>
      <c r="NKU33" s="2795"/>
      <c r="NKV33" s="2795"/>
      <c r="NKW33" s="2795"/>
      <c r="NKX33" s="2795"/>
      <c r="NKY33" s="2795"/>
      <c r="NKZ33" s="2795"/>
      <c r="NLA33" s="2795"/>
      <c r="NLB33" s="2795"/>
      <c r="NLC33" s="2795"/>
      <c r="NLD33" s="2795"/>
      <c r="NLE33" s="2795"/>
      <c r="NLF33" s="2795"/>
      <c r="NLG33" s="2795"/>
      <c r="NLH33" s="2795"/>
      <c r="NLI33" s="2795"/>
      <c r="NLJ33" s="2795"/>
      <c r="NLK33" s="2795"/>
      <c r="NLL33" s="2795"/>
      <c r="NLM33" s="2795"/>
      <c r="NLN33" s="2795"/>
      <c r="NLO33" s="2795"/>
      <c r="NLP33" s="2795"/>
      <c r="NLQ33" s="2795"/>
      <c r="NLR33" s="2795"/>
      <c r="NLS33" s="2795"/>
      <c r="NLT33" s="2795"/>
      <c r="NLU33" s="2795"/>
      <c r="NLV33" s="2795"/>
      <c r="NLW33" s="2795"/>
      <c r="NLX33" s="2795"/>
      <c r="NLY33" s="2795"/>
      <c r="NLZ33" s="2795"/>
      <c r="NMA33" s="2795"/>
      <c r="NMB33" s="2795"/>
      <c r="NMC33" s="2795"/>
      <c r="NMD33" s="2795"/>
      <c r="NME33" s="2795"/>
      <c r="NMF33" s="2795"/>
      <c r="NMG33" s="2795"/>
      <c r="NMH33" s="2795"/>
      <c r="NMI33" s="2795"/>
      <c r="NMJ33" s="2795"/>
      <c r="NMK33" s="2795"/>
      <c r="NML33" s="2795"/>
      <c r="NMM33" s="2795"/>
      <c r="NMN33" s="2795"/>
      <c r="NMO33" s="2795"/>
      <c r="NMP33" s="2795"/>
      <c r="NMQ33" s="2795"/>
      <c r="NMR33" s="2795"/>
      <c r="NMS33" s="2795"/>
      <c r="NMT33" s="2795"/>
      <c r="NMU33" s="2795"/>
      <c r="NMV33" s="2795"/>
      <c r="NMW33" s="2795"/>
      <c r="NMX33" s="2795"/>
      <c r="NMY33" s="2795"/>
      <c r="NMZ33" s="2795"/>
      <c r="NNA33" s="2795"/>
      <c r="NNB33" s="2795"/>
      <c r="NNC33" s="2795"/>
      <c r="NND33" s="2795"/>
      <c r="NNE33" s="2795"/>
      <c r="NNF33" s="2795"/>
      <c r="NNG33" s="2795"/>
      <c r="NNH33" s="2795"/>
      <c r="NNI33" s="2795"/>
      <c r="NNJ33" s="2795"/>
      <c r="NNK33" s="2795"/>
      <c r="NNL33" s="2795"/>
      <c r="NNM33" s="2795"/>
      <c r="NNN33" s="2795"/>
      <c r="NNO33" s="2795"/>
      <c r="NNP33" s="2795"/>
      <c r="NNQ33" s="2795"/>
      <c r="NNR33" s="2795"/>
      <c r="NNS33" s="2795"/>
      <c r="NNT33" s="2795"/>
      <c r="NNU33" s="2795"/>
      <c r="NNV33" s="2795"/>
      <c r="NNW33" s="2795"/>
      <c r="NNX33" s="2795"/>
      <c r="NNY33" s="2795"/>
      <c r="NNZ33" s="2795"/>
      <c r="NOA33" s="2795"/>
      <c r="NOB33" s="2795"/>
      <c r="NOC33" s="2795"/>
      <c r="NOD33" s="2795"/>
      <c r="NOE33" s="2795"/>
      <c r="NOF33" s="2795"/>
      <c r="NOG33" s="2795"/>
      <c r="NOH33" s="2795"/>
      <c r="NOI33" s="2795"/>
      <c r="NOJ33" s="2795"/>
      <c r="NOK33" s="2795"/>
      <c r="NOL33" s="2795"/>
      <c r="NOM33" s="2795"/>
      <c r="NON33" s="2795"/>
      <c r="NOO33" s="2795"/>
      <c r="NOP33" s="2795"/>
      <c r="NOQ33" s="2795"/>
      <c r="NOR33" s="2795"/>
      <c r="NOS33" s="2795"/>
      <c r="NOT33" s="2795"/>
      <c r="NOU33" s="2795"/>
      <c r="NOV33" s="2795"/>
      <c r="NOW33" s="2795"/>
      <c r="NOX33" s="2795"/>
      <c r="NOY33" s="2795"/>
      <c r="NOZ33" s="2795"/>
      <c r="NPA33" s="2795"/>
      <c r="NPB33" s="2795"/>
      <c r="NPC33" s="2795"/>
      <c r="NPD33" s="2795"/>
      <c r="NPE33" s="2795"/>
      <c r="NPF33" s="2795"/>
      <c r="NPG33" s="2795"/>
      <c r="NPH33" s="2795"/>
      <c r="NPI33" s="2795"/>
      <c r="NPJ33" s="2795"/>
      <c r="NPK33" s="2795"/>
      <c r="NPL33" s="2795"/>
      <c r="NPM33" s="2795"/>
      <c r="NPN33" s="2795"/>
      <c r="NPO33" s="2795"/>
      <c r="NPP33" s="2795"/>
      <c r="NPQ33" s="2795"/>
      <c r="NPR33" s="2795"/>
      <c r="NPS33" s="2795"/>
      <c r="NPT33" s="2795"/>
      <c r="NPU33" s="2795"/>
      <c r="NPV33" s="2795"/>
      <c r="NPW33" s="2795"/>
      <c r="NPX33" s="2795"/>
      <c r="NPY33" s="2795"/>
      <c r="NPZ33" s="2795"/>
      <c r="NQA33" s="2795"/>
      <c r="NQB33" s="2795"/>
      <c r="NQC33" s="2795"/>
      <c r="NQD33" s="2795"/>
      <c r="NQE33" s="2795"/>
      <c r="NQF33" s="2795"/>
      <c r="NQG33" s="2795"/>
      <c r="NQH33" s="2795"/>
      <c r="NQI33" s="2795"/>
      <c r="NQJ33" s="2795"/>
      <c r="NQK33" s="2795"/>
      <c r="NQL33" s="2795"/>
      <c r="NQM33" s="2795"/>
      <c r="NQN33" s="2795"/>
      <c r="NQO33" s="2795"/>
      <c r="NQP33" s="2795"/>
      <c r="NQQ33" s="2795"/>
      <c r="NQR33" s="2795"/>
      <c r="NQS33" s="2795"/>
      <c r="NQT33" s="2795"/>
      <c r="NQU33" s="2795"/>
      <c r="NQV33" s="2795"/>
      <c r="NQW33" s="2795"/>
      <c r="NQX33" s="2795"/>
      <c r="NQY33" s="2795"/>
      <c r="NQZ33" s="2795"/>
      <c r="NRA33" s="2795"/>
      <c r="NRB33" s="2795"/>
      <c r="NRC33" s="2795"/>
      <c r="NRD33" s="2795"/>
      <c r="NRE33" s="2795"/>
      <c r="NRF33" s="2795"/>
      <c r="NRG33" s="2795"/>
      <c r="NRH33" s="2795"/>
      <c r="NRI33" s="2795"/>
      <c r="NRJ33" s="2795"/>
      <c r="NRK33" s="2795"/>
      <c r="NRL33" s="2795"/>
      <c r="NRM33" s="2795"/>
      <c r="NRN33" s="2795"/>
      <c r="NRO33" s="2795"/>
      <c r="NRP33" s="2795"/>
      <c r="NRQ33" s="2795"/>
      <c r="NRR33" s="2795"/>
      <c r="NRS33" s="2795"/>
      <c r="NRT33" s="2795"/>
      <c r="NRU33" s="2795"/>
      <c r="NRV33" s="2795"/>
      <c r="NRW33" s="2795"/>
      <c r="NRX33" s="2795"/>
      <c r="NRY33" s="2795"/>
      <c r="NRZ33" s="2795"/>
      <c r="NSA33" s="2795"/>
      <c r="NSB33" s="2795"/>
      <c r="NSC33" s="2795"/>
      <c r="NSD33" s="2795"/>
      <c r="NSE33" s="2795"/>
      <c r="NSF33" s="2795"/>
      <c r="NSG33" s="2795"/>
      <c r="NSH33" s="2795"/>
      <c r="NSI33" s="2795"/>
      <c r="NSJ33" s="2795"/>
      <c r="NSK33" s="2795"/>
      <c r="NSL33" s="2795"/>
      <c r="NSM33" s="2795"/>
      <c r="NSN33" s="2795"/>
      <c r="NSO33" s="2795"/>
      <c r="NSP33" s="2795"/>
      <c r="NSQ33" s="2795"/>
      <c r="NSR33" s="2795"/>
      <c r="NSS33" s="2795"/>
      <c r="NST33" s="2795"/>
      <c r="NSU33" s="2795"/>
      <c r="NSV33" s="2795"/>
      <c r="NSW33" s="2795"/>
      <c r="NSX33" s="2795"/>
      <c r="NSY33" s="2795"/>
      <c r="NSZ33" s="2795"/>
      <c r="NTA33" s="2795"/>
      <c r="NTB33" s="2795"/>
      <c r="NTC33" s="2795"/>
      <c r="NTD33" s="2795"/>
      <c r="NTE33" s="2795"/>
      <c r="NTF33" s="2795"/>
      <c r="NTG33" s="2795"/>
      <c r="NTH33" s="2795"/>
      <c r="NTI33" s="2795"/>
      <c r="NTJ33" s="2795"/>
      <c r="NTK33" s="2795"/>
      <c r="NTL33" s="2795"/>
      <c r="NTM33" s="2795"/>
      <c r="NTN33" s="2795"/>
      <c r="NTO33" s="2795"/>
      <c r="NTP33" s="2795"/>
      <c r="NTQ33" s="2795"/>
      <c r="NTR33" s="2795"/>
      <c r="NTS33" s="2795"/>
      <c r="NTT33" s="2795"/>
      <c r="NTU33" s="2795"/>
      <c r="NTV33" s="2795"/>
      <c r="NTW33" s="2795"/>
      <c r="NTX33" s="2795"/>
      <c r="NTY33" s="2795"/>
      <c r="NTZ33" s="2795"/>
      <c r="NUA33" s="2795"/>
      <c r="NUB33" s="2795"/>
      <c r="NUC33" s="2795"/>
      <c r="NUD33" s="2795"/>
      <c r="NUE33" s="2795"/>
      <c r="NUF33" s="2795"/>
      <c r="NUG33" s="2795"/>
      <c r="NUH33" s="2795"/>
      <c r="NUI33" s="2795"/>
      <c r="NUJ33" s="2795"/>
      <c r="NUK33" s="2795"/>
      <c r="NUL33" s="2795"/>
      <c r="NUM33" s="2795"/>
      <c r="NUN33" s="2795"/>
      <c r="NUO33" s="2795"/>
      <c r="NUP33" s="2795"/>
      <c r="NUQ33" s="2795"/>
      <c r="NUR33" s="2795"/>
      <c r="NUS33" s="2795"/>
      <c r="NUT33" s="2795"/>
      <c r="NUU33" s="2795"/>
      <c r="NUV33" s="2795"/>
      <c r="NUW33" s="2795"/>
      <c r="NUX33" s="2795"/>
      <c r="NUY33" s="2795"/>
      <c r="NUZ33" s="2795"/>
      <c r="NVA33" s="2795"/>
      <c r="NVB33" s="2795"/>
      <c r="NVC33" s="2795"/>
      <c r="NVD33" s="2795"/>
      <c r="NVE33" s="2795"/>
      <c r="NVF33" s="2795"/>
      <c r="NVG33" s="2795"/>
      <c r="NVH33" s="2795"/>
      <c r="NVI33" s="2795"/>
      <c r="NVJ33" s="2795"/>
      <c r="NVK33" s="2795"/>
      <c r="NVL33" s="2795"/>
      <c r="NVM33" s="2795"/>
      <c r="NVN33" s="2795"/>
      <c r="NVO33" s="2795"/>
      <c r="NVP33" s="2795"/>
      <c r="NVQ33" s="2795"/>
      <c r="NVR33" s="2795"/>
      <c r="NVS33" s="2795"/>
      <c r="NVT33" s="2795"/>
      <c r="NVU33" s="2795"/>
      <c r="NVV33" s="2795"/>
      <c r="NVW33" s="2795"/>
      <c r="NVX33" s="2795"/>
      <c r="NVY33" s="2795"/>
      <c r="NVZ33" s="2795"/>
      <c r="NWA33" s="2795"/>
      <c r="NWB33" s="2795"/>
      <c r="NWC33" s="2795"/>
      <c r="NWD33" s="2795"/>
      <c r="NWE33" s="2795"/>
      <c r="NWF33" s="2795"/>
      <c r="NWG33" s="2795"/>
      <c r="NWH33" s="2795"/>
      <c r="NWI33" s="2795"/>
      <c r="NWJ33" s="2795"/>
      <c r="NWK33" s="2795"/>
      <c r="NWL33" s="2795"/>
      <c r="NWM33" s="2795"/>
      <c r="NWN33" s="2795"/>
      <c r="NWO33" s="2795"/>
      <c r="NWP33" s="2795"/>
      <c r="NWQ33" s="2795"/>
      <c r="NWR33" s="2795"/>
      <c r="NWS33" s="2795"/>
      <c r="NWT33" s="2795"/>
      <c r="NWU33" s="2795"/>
      <c r="NWV33" s="2795"/>
      <c r="NWW33" s="2795"/>
      <c r="NWX33" s="2795"/>
      <c r="NWY33" s="2795"/>
      <c r="NWZ33" s="2795"/>
      <c r="NXA33" s="2795"/>
      <c r="NXB33" s="2795"/>
      <c r="NXC33" s="2795"/>
      <c r="NXD33" s="2795"/>
      <c r="NXE33" s="2795"/>
      <c r="NXF33" s="2795"/>
      <c r="NXG33" s="2795"/>
      <c r="NXH33" s="2795"/>
      <c r="NXI33" s="2795"/>
      <c r="NXJ33" s="2795"/>
      <c r="NXK33" s="2795"/>
      <c r="NXL33" s="2795"/>
      <c r="NXM33" s="2795"/>
      <c r="NXN33" s="2795"/>
      <c r="NXO33" s="2795"/>
      <c r="NXP33" s="2795"/>
      <c r="NXQ33" s="2795"/>
      <c r="NXR33" s="2795"/>
      <c r="NXS33" s="2795"/>
      <c r="NXT33" s="2795"/>
      <c r="NXU33" s="2795"/>
      <c r="NXV33" s="2795"/>
      <c r="NXW33" s="2795"/>
      <c r="NXX33" s="2795"/>
      <c r="NXY33" s="2795"/>
      <c r="NXZ33" s="2795"/>
      <c r="NYA33" s="2795"/>
      <c r="NYB33" s="2795"/>
      <c r="NYC33" s="2795"/>
      <c r="NYD33" s="2795"/>
      <c r="NYE33" s="2795"/>
      <c r="NYF33" s="2795"/>
      <c r="NYG33" s="2795"/>
      <c r="NYH33" s="2795"/>
      <c r="NYI33" s="2795"/>
      <c r="NYJ33" s="2795"/>
      <c r="NYK33" s="2795"/>
      <c r="NYL33" s="2795"/>
      <c r="NYM33" s="2795"/>
      <c r="NYN33" s="2795"/>
      <c r="NYO33" s="2795"/>
      <c r="NYP33" s="2795"/>
      <c r="NYQ33" s="2795"/>
      <c r="NYR33" s="2795"/>
      <c r="NYS33" s="2795"/>
      <c r="NYT33" s="2795"/>
      <c r="NYU33" s="2795"/>
      <c r="NYV33" s="2795"/>
      <c r="NYW33" s="2795"/>
      <c r="NYX33" s="2795"/>
      <c r="NYY33" s="2795"/>
      <c r="NYZ33" s="2795"/>
      <c r="NZA33" s="2795"/>
      <c r="NZB33" s="2795"/>
      <c r="NZC33" s="2795"/>
      <c r="NZD33" s="2795"/>
      <c r="NZE33" s="2795"/>
      <c r="NZF33" s="2795"/>
      <c r="NZG33" s="2795"/>
      <c r="NZH33" s="2795"/>
      <c r="NZI33" s="2795"/>
      <c r="NZJ33" s="2795"/>
      <c r="NZK33" s="2795"/>
      <c r="NZL33" s="2795"/>
      <c r="NZM33" s="2795"/>
      <c r="NZN33" s="2795"/>
      <c r="NZO33" s="2795"/>
      <c r="NZP33" s="2795"/>
      <c r="NZQ33" s="2795"/>
      <c r="NZR33" s="2795"/>
      <c r="NZS33" s="2795"/>
      <c r="NZT33" s="2795"/>
      <c r="NZU33" s="2795"/>
      <c r="NZV33" s="2795"/>
      <c r="NZW33" s="2795"/>
      <c r="NZX33" s="2795"/>
      <c r="NZY33" s="2795"/>
      <c r="NZZ33" s="2795"/>
      <c r="OAA33" s="2795"/>
      <c r="OAB33" s="2795"/>
      <c r="OAC33" s="2795"/>
      <c r="OAD33" s="2795"/>
      <c r="OAE33" s="2795"/>
      <c r="OAF33" s="2795"/>
      <c r="OAG33" s="2795"/>
      <c r="OAH33" s="2795"/>
      <c r="OAI33" s="2795"/>
      <c r="OAJ33" s="2795"/>
      <c r="OAK33" s="2795"/>
      <c r="OAL33" s="2795"/>
      <c r="OAM33" s="2795"/>
      <c r="OAN33" s="2795"/>
      <c r="OAO33" s="2795"/>
      <c r="OAP33" s="2795"/>
      <c r="OAQ33" s="2795"/>
      <c r="OAR33" s="2795"/>
      <c r="OAS33" s="2795"/>
      <c r="OAT33" s="2795"/>
      <c r="OAU33" s="2795"/>
      <c r="OAV33" s="2795"/>
      <c r="OAW33" s="2795"/>
      <c r="OAX33" s="2795"/>
      <c r="OAY33" s="2795"/>
      <c r="OAZ33" s="2795"/>
      <c r="OBA33" s="2795"/>
      <c r="OBB33" s="2795"/>
      <c r="OBC33" s="2795"/>
      <c r="OBD33" s="2795"/>
      <c r="OBE33" s="2795"/>
      <c r="OBF33" s="2795"/>
      <c r="OBG33" s="2795"/>
      <c r="OBH33" s="2795"/>
      <c r="OBI33" s="2795"/>
      <c r="OBJ33" s="2795"/>
      <c r="OBK33" s="2795"/>
      <c r="OBL33" s="2795"/>
      <c r="OBM33" s="2795"/>
      <c r="OBN33" s="2795"/>
      <c r="OBO33" s="2795"/>
      <c r="OBP33" s="2795"/>
      <c r="OBQ33" s="2795"/>
      <c r="OBR33" s="2795"/>
      <c r="OBS33" s="2795"/>
      <c r="OBT33" s="2795"/>
      <c r="OBU33" s="2795"/>
      <c r="OBV33" s="2795"/>
      <c r="OBW33" s="2795"/>
      <c r="OBX33" s="2795"/>
      <c r="OBY33" s="2795"/>
      <c r="OBZ33" s="2795"/>
      <c r="OCA33" s="2795"/>
      <c r="OCB33" s="2795"/>
      <c r="OCC33" s="2795"/>
      <c r="OCD33" s="2795"/>
      <c r="OCE33" s="2795"/>
      <c r="OCF33" s="2795"/>
      <c r="OCG33" s="2795"/>
      <c r="OCH33" s="2795"/>
      <c r="OCI33" s="2795"/>
      <c r="OCJ33" s="2795"/>
      <c r="OCK33" s="2795"/>
      <c r="OCL33" s="2795"/>
      <c r="OCM33" s="2795"/>
      <c r="OCN33" s="2795"/>
      <c r="OCO33" s="2795"/>
      <c r="OCP33" s="2795"/>
      <c r="OCQ33" s="2795"/>
      <c r="OCR33" s="2795"/>
      <c r="OCS33" s="2795"/>
      <c r="OCT33" s="2795"/>
      <c r="OCU33" s="2795"/>
      <c r="OCV33" s="2795"/>
      <c r="OCW33" s="2795"/>
      <c r="OCX33" s="2795"/>
      <c r="OCY33" s="2795"/>
      <c r="OCZ33" s="2795"/>
      <c r="ODA33" s="2795"/>
      <c r="ODB33" s="2795"/>
      <c r="ODC33" s="2795"/>
      <c r="ODD33" s="2795"/>
      <c r="ODE33" s="2795"/>
      <c r="ODF33" s="2795"/>
      <c r="ODG33" s="2795"/>
      <c r="ODH33" s="2795"/>
      <c r="ODI33" s="2795"/>
      <c r="ODJ33" s="2795"/>
      <c r="ODK33" s="2795"/>
      <c r="ODL33" s="2795"/>
      <c r="ODM33" s="2795"/>
      <c r="ODN33" s="2795"/>
      <c r="ODO33" s="2795"/>
      <c r="ODP33" s="2795"/>
      <c r="ODQ33" s="2795"/>
      <c r="ODR33" s="2795"/>
      <c r="ODS33" s="2795"/>
      <c r="ODT33" s="2795"/>
      <c r="ODU33" s="2795"/>
      <c r="ODV33" s="2795"/>
      <c r="ODW33" s="2795"/>
      <c r="ODX33" s="2795"/>
      <c r="ODY33" s="2795"/>
      <c r="ODZ33" s="2795"/>
      <c r="OEA33" s="2795"/>
      <c r="OEB33" s="2795"/>
      <c r="OEC33" s="2795"/>
      <c r="OED33" s="2795"/>
      <c r="OEE33" s="2795"/>
      <c r="OEF33" s="2795"/>
      <c r="OEG33" s="2795"/>
      <c r="OEH33" s="2795"/>
      <c r="OEI33" s="2795"/>
      <c r="OEJ33" s="2795"/>
      <c r="OEK33" s="2795"/>
      <c r="OEL33" s="2795"/>
      <c r="OEM33" s="2795"/>
      <c r="OEN33" s="2795"/>
      <c r="OEO33" s="2795"/>
      <c r="OEP33" s="2795"/>
      <c r="OEQ33" s="2795"/>
      <c r="OER33" s="2795"/>
      <c r="OES33" s="2795"/>
      <c r="OET33" s="2795"/>
      <c r="OEU33" s="2795"/>
      <c r="OEV33" s="2795"/>
      <c r="OEW33" s="2795"/>
      <c r="OEX33" s="2795"/>
      <c r="OEY33" s="2795"/>
      <c r="OEZ33" s="2795"/>
      <c r="OFA33" s="2795"/>
      <c r="OFB33" s="2795"/>
      <c r="OFC33" s="2795"/>
      <c r="OFD33" s="2795"/>
      <c r="OFE33" s="2795"/>
      <c r="OFF33" s="2795"/>
      <c r="OFG33" s="2795"/>
      <c r="OFH33" s="2795"/>
      <c r="OFI33" s="2795"/>
      <c r="OFJ33" s="2795"/>
      <c r="OFK33" s="2795"/>
      <c r="OFL33" s="2795"/>
      <c r="OFM33" s="2795"/>
      <c r="OFN33" s="2795"/>
      <c r="OFO33" s="2795"/>
      <c r="OFP33" s="2795"/>
      <c r="OFQ33" s="2795"/>
      <c r="OFR33" s="2795"/>
      <c r="OFS33" s="2795"/>
      <c r="OFT33" s="2795"/>
      <c r="OFU33" s="2795"/>
      <c r="OFV33" s="2795"/>
      <c r="OFW33" s="2795"/>
      <c r="OFX33" s="2795"/>
      <c r="OFY33" s="2795"/>
      <c r="OFZ33" s="2795"/>
      <c r="OGA33" s="2795"/>
      <c r="OGB33" s="2795"/>
      <c r="OGC33" s="2795"/>
      <c r="OGD33" s="2795"/>
      <c r="OGE33" s="2795"/>
      <c r="OGF33" s="2795"/>
      <c r="OGG33" s="2795"/>
      <c r="OGH33" s="2795"/>
      <c r="OGI33" s="2795"/>
      <c r="OGJ33" s="2795"/>
      <c r="OGK33" s="2795"/>
      <c r="OGL33" s="2795"/>
      <c r="OGM33" s="2795"/>
      <c r="OGN33" s="2795"/>
      <c r="OGO33" s="2795"/>
      <c r="OGP33" s="2795"/>
      <c r="OGQ33" s="2795"/>
      <c r="OGR33" s="2795"/>
      <c r="OGS33" s="2795"/>
      <c r="OGT33" s="2795"/>
      <c r="OGU33" s="2795"/>
      <c r="OGV33" s="2795"/>
      <c r="OGW33" s="2795"/>
      <c r="OGX33" s="2795"/>
      <c r="OGY33" s="2795"/>
      <c r="OGZ33" s="2795"/>
      <c r="OHA33" s="2795"/>
      <c r="OHB33" s="2795"/>
      <c r="OHC33" s="2795"/>
      <c r="OHD33" s="2795"/>
      <c r="OHE33" s="2795"/>
      <c r="OHF33" s="2795"/>
      <c r="OHG33" s="2795"/>
      <c r="OHH33" s="2795"/>
      <c r="OHI33" s="2795"/>
      <c r="OHJ33" s="2795"/>
      <c r="OHK33" s="2795"/>
      <c r="OHL33" s="2795"/>
      <c r="OHM33" s="2795"/>
      <c r="OHN33" s="2795"/>
      <c r="OHO33" s="2795"/>
      <c r="OHP33" s="2795"/>
      <c r="OHQ33" s="2795"/>
      <c r="OHR33" s="2795"/>
      <c r="OHS33" s="2795"/>
      <c r="OHT33" s="2795"/>
      <c r="OHU33" s="2795"/>
      <c r="OHV33" s="2795"/>
      <c r="OHW33" s="2795"/>
      <c r="OHX33" s="2795"/>
      <c r="OHY33" s="2795"/>
      <c r="OHZ33" s="2795"/>
      <c r="OIA33" s="2795"/>
      <c r="OIB33" s="2795"/>
      <c r="OIC33" s="2795"/>
      <c r="OID33" s="2795"/>
      <c r="OIE33" s="2795"/>
      <c r="OIF33" s="2795"/>
      <c r="OIG33" s="2795"/>
      <c r="OIH33" s="2795"/>
      <c r="OII33" s="2795"/>
      <c r="OIJ33" s="2795"/>
      <c r="OIK33" s="2795"/>
      <c r="OIL33" s="2795"/>
      <c r="OIM33" s="2795"/>
      <c r="OIN33" s="2795"/>
      <c r="OIO33" s="2795"/>
      <c r="OIP33" s="2795"/>
      <c r="OIQ33" s="2795"/>
      <c r="OIR33" s="2795"/>
      <c r="OIS33" s="2795"/>
      <c r="OIT33" s="2795"/>
      <c r="OIU33" s="2795"/>
      <c r="OIV33" s="2795"/>
      <c r="OIW33" s="2795"/>
      <c r="OIX33" s="2795"/>
      <c r="OIY33" s="2795"/>
      <c r="OIZ33" s="2795"/>
      <c r="OJA33" s="2795"/>
      <c r="OJB33" s="2795"/>
      <c r="OJC33" s="2795"/>
      <c r="OJD33" s="2795"/>
      <c r="OJE33" s="2795"/>
      <c r="OJF33" s="2795"/>
      <c r="OJG33" s="2795"/>
      <c r="OJH33" s="2795"/>
      <c r="OJI33" s="2795"/>
      <c r="OJJ33" s="2795"/>
      <c r="OJK33" s="2795"/>
      <c r="OJL33" s="2795"/>
      <c r="OJM33" s="2795"/>
      <c r="OJN33" s="2795"/>
      <c r="OJO33" s="2795"/>
      <c r="OJP33" s="2795"/>
      <c r="OJQ33" s="2795"/>
      <c r="OJR33" s="2795"/>
      <c r="OJS33" s="2795"/>
      <c r="OJT33" s="2795"/>
      <c r="OJU33" s="2795"/>
      <c r="OJV33" s="2795"/>
      <c r="OJW33" s="2795"/>
      <c r="OJX33" s="2795"/>
      <c r="OJY33" s="2795"/>
      <c r="OJZ33" s="2795"/>
      <c r="OKA33" s="2795"/>
      <c r="OKB33" s="2795"/>
      <c r="OKC33" s="2795"/>
      <c r="OKD33" s="2795"/>
      <c r="OKE33" s="2795"/>
      <c r="OKF33" s="2795"/>
      <c r="OKG33" s="2795"/>
      <c r="OKH33" s="2795"/>
      <c r="OKI33" s="2795"/>
      <c r="OKJ33" s="2795"/>
      <c r="OKK33" s="2795"/>
      <c r="OKL33" s="2795"/>
      <c r="OKM33" s="2795"/>
      <c r="OKN33" s="2795"/>
      <c r="OKO33" s="2795"/>
      <c r="OKP33" s="2795"/>
      <c r="OKQ33" s="2795"/>
      <c r="OKR33" s="2795"/>
      <c r="OKS33" s="2795"/>
      <c r="OKT33" s="2795"/>
      <c r="OKU33" s="2795"/>
      <c r="OKV33" s="2795"/>
      <c r="OKW33" s="2795"/>
      <c r="OKX33" s="2795"/>
      <c r="OKY33" s="2795"/>
      <c r="OKZ33" s="2795"/>
      <c r="OLA33" s="2795"/>
      <c r="OLB33" s="2795"/>
      <c r="OLC33" s="2795"/>
      <c r="OLD33" s="2795"/>
      <c r="OLE33" s="2795"/>
      <c r="OLF33" s="2795"/>
      <c r="OLG33" s="2795"/>
      <c r="OLH33" s="2795"/>
      <c r="OLI33" s="2795"/>
      <c r="OLJ33" s="2795"/>
      <c r="OLK33" s="2795"/>
      <c r="OLL33" s="2795"/>
      <c r="OLM33" s="2795"/>
      <c r="OLN33" s="2795"/>
      <c r="OLO33" s="2795"/>
      <c r="OLP33" s="2795"/>
      <c r="OLQ33" s="2795"/>
      <c r="OLR33" s="2795"/>
      <c r="OLS33" s="2795"/>
      <c r="OLT33" s="2795"/>
      <c r="OLU33" s="2795"/>
      <c r="OLV33" s="2795"/>
      <c r="OLW33" s="2795"/>
      <c r="OLX33" s="2795"/>
      <c r="OLY33" s="2795"/>
      <c r="OLZ33" s="2795"/>
      <c r="OMA33" s="2795"/>
      <c r="OMB33" s="2795"/>
      <c r="OMC33" s="2795"/>
      <c r="OMD33" s="2795"/>
      <c r="OME33" s="2795"/>
      <c r="OMF33" s="2795"/>
      <c r="OMG33" s="2795"/>
      <c r="OMH33" s="2795"/>
      <c r="OMI33" s="2795"/>
      <c r="OMJ33" s="2795"/>
      <c r="OMK33" s="2795"/>
      <c r="OML33" s="2795"/>
      <c r="OMM33" s="2795"/>
      <c r="OMN33" s="2795"/>
      <c r="OMO33" s="2795"/>
      <c r="OMP33" s="2795"/>
      <c r="OMQ33" s="2795"/>
      <c r="OMR33" s="2795"/>
      <c r="OMS33" s="2795"/>
      <c r="OMT33" s="2795"/>
      <c r="OMU33" s="2795"/>
      <c r="OMV33" s="2795"/>
      <c r="OMW33" s="2795"/>
      <c r="OMX33" s="2795"/>
      <c r="OMY33" s="2795"/>
      <c r="OMZ33" s="2795"/>
      <c r="ONA33" s="2795"/>
      <c r="ONB33" s="2795"/>
      <c r="ONC33" s="2795"/>
      <c r="OND33" s="2795"/>
      <c r="ONE33" s="2795"/>
      <c r="ONF33" s="2795"/>
      <c r="ONG33" s="2795"/>
      <c r="ONH33" s="2795"/>
      <c r="ONI33" s="2795"/>
      <c r="ONJ33" s="2795"/>
      <c r="ONK33" s="2795"/>
      <c r="ONL33" s="2795"/>
      <c r="ONM33" s="2795"/>
      <c r="ONN33" s="2795"/>
      <c r="ONO33" s="2795"/>
      <c r="ONP33" s="2795"/>
      <c r="ONQ33" s="2795"/>
      <c r="ONR33" s="2795"/>
      <c r="ONS33" s="2795"/>
      <c r="ONT33" s="2795"/>
      <c r="ONU33" s="2795"/>
      <c r="ONV33" s="2795"/>
      <c r="ONW33" s="2795"/>
      <c r="ONX33" s="2795"/>
      <c r="ONY33" s="2795"/>
      <c r="ONZ33" s="2795"/>
      <c r="OOA33" s="2795"/>
      <c r="OOB33" s="2795"/>
      <c r="OOC33" s="2795"/>
      <c r="OOD33" s="2795"/>
      <c r="OOE33" s="2795"/>
      <c r="OOF33" s="2795"/>
      <c r="OOG33" s="2795"/>
      <c r="OOH33" s="2795"/>
      <c r="OOI33" s="2795"/>
      <c r="OOJ33" s="2795"/>
      <c r="OOK33" s="2795"/>
      <c r="OOL33" s="2795"/>
      <c r="OOM33" s="2795"/>
      <c r="OON33" s="2795"/>
      <c r="OOO33" s="2795"/>
      <c r="OOP33" s="2795"/>
      <c r="OOQ33" s="2795"/>
      <c r="OOR33" s="2795"/>
      <c r="OOS33" s="2795"/>
      <c r="OOT33" s="2795"/>
      <c r="OOU33" s="2795"/>
      <c r="OOV33" s="2795"/>
      <c r="OOW33" s="2795"/>
      <c r="OOX33" s="2795"/>
      <c r="OOY33" s="2795"/>
      <c r="OOZ33" s="2795"/>
      <c r="OPA33" s="2795"/>
      <c r="OPB33" s="2795"/>
      <c r="OPC33" s="2795"/>
      <c r="OPD33" s="2795"/>
      <c r="OPE33" s="2795"/>
      <c r="OPF33" s="2795"/>
      <c r="OPG33" s="2795"/>
      <c r="OPH33" s="2795"/>
      <c r="OPI33" s="2795"/>
      <c r="OPJ33" s="2795"/>
      <c r="OPK33" s="2795"/>
      <c r="OPL33" s="2795"/>
      <c r="OPM33" s="2795"/>
      <c r="OPN33" s="2795"/>
      <c r="OPO33" s="2795"/>
      <c r="OPP33" s="2795"/>
      <c r="OPQ33" s="2795"/>
      <c r="OPR33" s="2795"/>
      <c r="OPS33" s="2795"/>
      <c r="OPT33" s="2795"/>
      <c r="OPU33" s="2795"/>
      <c r="OPV33" s="2795"/>
      <c r="OPW33" s="2795"/>
      <c r="OPX33" s="2795"/>
      <c r="OPY33" s="2795"/>
      <c r="OPZ33" s="2795"/>
      <c r="OQA33" s="2795"/>
      <c r="OQB33" s="2795"/>
      <c r="OQC33" s="2795"/>
      <c r="OQD33" s="2795"/>
      <c r="OQE33" s="2795"/>
      <c r="OQF33" s="2795"/>
      <c r="OQG33" s="2795"/>
      <c r="OQH33" s="2795"/>
      <c r="OQI33" s="2795"/>
      <c r="OQJ33" s="2795"/>
      <c r="OQK33" s="2795"/>
      <c r="OQL33" s="2795"/>
      <c r="OQM33" s="2795"/>
      <c r="OQN33" s="2795"/>
      <c r="OQO33" s="2795"/>
      <c r="OQP33" s="2795"/>
      <c r="OQQ33" s="2795"/>
      <c r="OQR33" s="2795"/>
      <c r="OQS33" s="2795"/>
      <c r="OQT33" s="2795"/>
      <c r="OQU33" s="2795"/>
      <c r="OQV33" s="2795"/>
      <c r="OQW33" s="2795"/>
      <c r="OQX33" s="2795"/>
      <c r="OQY33" s="2795"/>
      <c r="OQZ33" s="2795"/>
      <c r="ORA33" s="2795"/>
      <c r="ORB33" s="2795"/>
      <c r="ORC33" s="2795"/>
      <c r="ORD33" s="2795"/>
      <c r="ORE33" s="2795"/>
      <c r="ORF33" s="2795"/>
      <c r="ORG33" s="2795"/>
      <c r="ORH33" s="2795"/>
      <c r="ORI33" s="2795"/>
      <c r="ORJ33" s="2795"/>
      <c r="ORK33" s="2795"/>
      <c r="ORL33" s="2795"/>
      <c r="ORM33" s="2795"/>
      <c r="ORN33" s="2795"/>
      <c r="ORO33" s="2795"/>
      <c r="ORP33" s="2795"/>
      <c r="ORQ33" s="2795"/>
      <c r="ORR33" s="2795"/>
      <c r="ORS33" s="2795"/>
      <c r="ORT33" s="2795"/>
      <c r="ORU33" s="2795"/>
      <c r="ORV33" s="2795"/>
      <c r="ORW33" s="2795"/>
      <c r="ORX33" s="2795"/>
      <c r="ORY33" s="2795"/>
      <c r="ORZ33" s="2795"/>
      <c r="OSA33" s="2795"/>
      <c r="OSB33" s="2795"/>
      <c r="OSC33" s="2795"/>
      <c r="OSD33" s="2795"/>
      <c r="OSE33" s="2795"/>
      <c r="OSF33" s="2795"/>
      <c r="OSG33" s="2795"/>
      <c r="OSH33" s="2795"/>
      <c r="OSI33" s="2795"/>
      <c r="OSJ33" s="2795"/>
      <c r="OSK33" s="2795"/>
      <c r="OSL33" s="2795"/>
      <c r="OSM33" s="2795"/>
      <c r="OSN33" s="2795"/>
      <c r="OSO33" s="2795"/>
      <c r="OSP33" s="2795"/>
      <c r="OSQ33" s="2795"/>
      <c r="OSR33" s="2795"/>
      <c r="OSS33" s="2795"/>
      <c r="OST33" s="2795"/>
      <c r="OSU33" s="2795"/>
      <c r="OSV33" s="2795"/>
      <c r="OSW33" s="2795"/>
      <c r="OSX33" s="2795"/>
      <c r="OSY33" s="2795"/>
      <c r="OSZ33" s="2795"/>
      <c r="OTA33" s="2795"/>
      <c r="OTB33" s="2795"/>
      <c r="OTC33" s="2795"/>
      <c r="OTD33" s="2795"/>
      <c r="OTE33" s="2795"/>
      <c r="OTF33" s="2795"/>
      <c r="OTG33" s="2795"/>
      <c r="OTH33" s="2795"/>
      <c r="OTI33" s="2795"/>
      <c r="OTJ33" s="2795"/>
      <c r="OTK33" s="2795"/>
      <c r="OTL33" s="2795"/>
      <c r="OTM33" s="2795"/>
      <c r="OTN33" s="2795"/>
      <c r="OTO33" s="2795"/>
      <c r="OTP33" s="2795"/>
      <c r="OTQ33" s="2795"/>
      <c r="OTR33" s="2795"/>
      <c r="OTS33" s="2795"/>
      <c r="OTT33" s="2795"/>
      <c r="OTU33" s="2795"/>
      <c r="OTV33" s="2795"/>
      <c r="OTW33" s="2795"/>
      <c r="OTX33" s="2795"/>
      <c r="OTY33" s="2795"/>
      <c r="OTZ33" s="2795"/>
      <c r="OUA33" s="2795"/>
      <c r="OUB33" s="2795"/>
      <c r="OUC33" s="2795"/>
      <c r="OUD33" s="2795"/>
      <c r="OUE33" s="2795"/>
      <c r="OUF33" s="2795"/>
      <c r="OUG33" s="2795"/>
      <c r="OUH33" s="2795"/>
      <c r="OUI33" s="2795"/>
      <c r="OUJ33" s="2795"/>
      <c r="OUK33" s="2795"/>
      <c r="OUL33" s="2795"/>
      <c r="OUM33" s="2795"/>
      <c r="OUN33" s="2795"/>
      <c r="OUO33" s="2795"/>
      <c r="OUP33" s="2795"/>
      <c r="OUQ33" s="2795"/>
      <c r="OUR33" s="2795"/>
      <c r="OUS33" s="2795"/>
      <c r="OUT33" s="2795"/>
      <c r="OUU33" s="2795"/>
      <c r="OUV33" s="2795"/>
      <c r="OUW33" s="2795"/>
      <c r="OUX33" s="2795"/>
      <c r="OUY33" s="2795"/>
      <c r="OUZ33" s="2795"/>
      <c r="OVA33" s="2795"/>
      <c r="OVB33" s="2795"/>
      <c r="OVC33" s="2795"/>
      <c r="OVD33" s="2795"/>
      <c r="OVE33" s="2795"/>
      <c r="OVF33" s="2795"/>
      <c r="OVG33" s="2795"/>
      <c r="OVH33" s="2795"/>
      <c r="OVI33" s="2795"/>
      <c r="OVJ33" s="2795"/>
      <c r="OVK33" s="2795"/>
      <c r="OVL33" s="2795"/>
      <c r="OVM33" s="2795"/>
      <c r="OVN33" s="2795"/>
      <c r="OVO33" s="2795"/>
      <c r="OVP33" s="2795"/>
      <c r="OVQ33" s="2795"/>
      <c r="OVR33" s="2795"/>
      <c r="OVS33" s="2795"/>
      <c r="OVT33" s="2795"/>
      <c r="OVU33" s="2795"/>
      <c r="OVV33" s="2795"/>
      <c r="OVW33" s="2795"/>
      <c r="OVX33" s="2795"/>
      <c r="OVY33" s="2795"/>
      <c r="OVZ33" s="2795"/>
      <c r="OWA33" s="2795"/>
      <c r="OWB33" s="2795"/>
      <c r="OWC33" s="2795"/>
      <c r="OWD33" s="2795"/>
      <c r="OWE33" s="2795"/>
      <c r="OWF33" s="2795"/>
      <c r="OWG33" s="2795"/>
      <c r="OWH33" s="2795"/>
      <c r="OWI33" s="2795"/>
      <c r="OWJ33" s="2795"/>
      <c r="OWK33" s="2795"/>
      <c r="OWL33" s="2795"/>
      <c r="OWM33" s="2795"/>
      <c r="OWN33" s="2795"/>
      <c r="OWO33" s="2795"/>
      <c r="OWP33" s="2795"/>
      <c r="OWQ33" s="2795"/>
      <c r="OWR33" s="2795"/>
      <c r="OWS33" s="2795"/>
      <c r="OWT33" s="2795"/>
      <c r="OWU33" s="2795"/>
      <c r="OWV33" s="2795"/>
      <c r="OWW33" s="2795"/>
      <c r="OWX33" s="2795"/>
      <c r="OWY33" s="2795"/>
      <c r="OWZ33" s="2795"/>
      <c r="OXA33" s="2795"/>
      <c r="OXB33" s="2795"/>
      <c r="OXC33" s="2795"/>
      <c r="OXD33" s="2795"/>
      <c r="OXE33" s="2795"/>
      <c r="OXF33" s="2795"/>
      <c r="OXG33" s="2795"/>
      <c r="OXH33" s="2795"/>
      <c r="OXI33" s="2795"/>
      <c r="OXJ33" s="2795"/>
      <c r="OXK33" s="2795"/>
      <c r="OXL33" s="2795"/>
      <c r="OXM33" s="2795"/>
      <c r="OXN33" s="2795"/>
      <c r="OXO33" s="2795"/>
      <c r="OXP33" s="2795"/>
      <c r="OXQ33" s="2795"/>
      <c r="OXR33" s="2795"/>
      <c r="OXS33" s="2795"/>
      <c r="OXT33" s="2795"/>
      <c r="OXU33" s="2795"/>
      <c r="OXV33" s="2795"/>
      <c r="OXW33" s="2795"/>
      <c r="OXX33" s="2795"/>
      <c r="OXY33" s="2795"/>
      <c r="OXZ33" s="2795"/>
      <c r="OYA33" s="2795"/>
      <c r="OYB33" s="2795"/>
      <c r="OYC33" s="2795"/>
      <c r="OYD33" s="2795"/>
      <c r="OYE33" s="2795"/>
      <c r="OYF33" s="2795"/>
      <c r="OYG33" s="2795"/>
      <c r="OYH33" s="2795"/>
      <c r="OYI33" s="2795"/>
      <c r="OYJ33" s="2795"/>
      <c r="OYK33" s="2795"/>
      <c r="OYL33" s="2795"/>
      <c r="OYM33" s="2795"/>
      <c r="OYN33" s="2795"/>
      <c r="OYO33" s="2795"/>
      <c r="OYP33" s="2795"/>
      <c r="OYQ33" s="2795"/>
      <c r="OYR33" s="2795"/>
      <c r="OYS33" s="2795"/>
      <c r="OYT33" s="2795"/>
      <c r="OYU33" s="2795"/>
      <c r="OYV33" s="2795"/>
      <c r="OYW33" s="2795"/>
      <c r="OYX33" s="2795"/>
      <c r="OYY33" s="2795"/>
      <c r="OYZ33" s="2795"/>
      <c r="OZA33" s="2795"/>
      <c r="OZB33" s="2795"/>
      <c r="OZC33" s="2795"/>
      <c r="OZD33" s="2795"/>
      <c r="OZE33" s="2795"/>
      <c r="OZF33" s="2795"/>
      <c r="OZG33" s="2795"/>
      <c r="OZH33" s="2795"/>
      <c r="OZI33" s="2795"/>
      <c r="OZJ33" s="2795"/>
      <c r="OZK33" s="2795"/>
      <c r="OZL33" s="2795"/>
      <c r="OZM33" s="2795"/>
      <c r="OZN33" s="2795"/>
      <c r="OZO33" s="2795"/>
      <c r="OZP33" s="2795"/>
      <c r="OZQ33" s="2795"/>
      <c r="OZR33" s="2795"/>
      <c r="OZS33" s="2795"/>
      <c r="OZT33" s="2795"/>
      <c r="OZU33" s="2795"/>
      <c r="OZV33" s="2795"/>
      <c r="OZW33" s="2795"/>
      <c r="OZX33" s="2795"/>
      <c r="OZY33" s="2795"/>
      <c r="OZZ33" s="2795"/>
      <c r="PAA33" s="2795"/>
      <c r="PAB33" s="2795"/>
      <c r="PAC33" s="2795"/>
      <c r="PAD33" s="2795"/>
      <c r="PAE33" s="2795"/>
      <c r="PAF33" s="2795"/>
      <c r="PAG33" s="2795"/>
      <c r="PAH33" s="2795"/>
      <c r="PAI33" s="2795"/>
      <c r="PAJ33" s="2795"/>
      <c r="PAK33" s="2795"/>
      <c r="PAL33" s="2795"/>
      <c r="PAM33" s="2795"/>
      <c r="PAN33" s="2795"/>
      <c r="PAO33" s="2795"/>
      <c r="PAP33" s="2795"/>
      <c r="PAQ33" s="2795"/>
      <c r="PAR33" s="2795"/>
      <c r="PAS33" s="2795"/>
      <c r="PAT33" s="2795"/>
      <c r="PAU33" s="2795"/>
      <c r="PAV33" s="2795"/>
      <c r="PAW33" s="2795"/>
      <c r="PAX33" s="2795"/>
      <c r="PAY33" s="2795"/>
      <c r="PAZ33" s="2795"/>
      <c r="PBA33" s="2795"/>
      <c r="PBB33" s="2795"/>
      <c r="PBC33" s="2795"/>
      <c r="PBD33" s="2795"/>
      <c r="PBE33" s="2795"/>
      <c r="PBF33" s="2795"/>
      <c r="PBG33" s="2795"/>
      <c r="PBH33" s="2795"/>
      <c r="PBI33" s="2795"/>
      <c r="PBJ33" s="2795"/>
      <c r="PBK33" s="2795"/>
      <c r="PBL33" s="2795"/>
      <c r="PBM33" s="2795"/>
      <c r="PBN33" s="2795"/>
      <c r="PBO33" s="2795"/>
      <c r="PBP33" s="2795"/>
      <c r="PBQ33" s="2795"/>
      <c r="PBR33" s="2795"/>
      <c r="PBS33" s="2795"/>
      <c r="PBT33" s="2795"/>
      <c r="PBU33" s="2795"/>
      <c r="PBV33" s="2795"/>
      <c r="PBW33" s="2795"/>
      <c r="PBX33" s="2795"/>
      <c r="PBY33" s="2795"/>
      <c r="PBZ33" s="2795"/>
      <c r="PCA33" s="2795"/>
      <c r="PCB33" s="2795"/>
      <c r="PCC33" s="2795"/>
      <c r="PCD33" s="2795"/>
      <c r="PCE33" s="2795"/>
      <c r="PCF33" s="2795"/>
      <c r="PCG33" s="2795"/>
      <c r="PCH33" s="2795"/>
      <c r="PCI33" s="2795"/>
      <c r="PCJ33" s="2795"/>
      <c r="PCK33" s="2795"/>
      <c r="PCL33" s="2795"/>
      <c r="PCM33" s="2795"/>
      <c r="PCN33" s="2795"/>
      <c r="PCO33" s="2795"/>
      <c r="PCP33" s="2795"/>
      <c r="PCQ33" s="2795"/>
      <c r="PCR33" s="2795"/>
      <c r="PCS33" s="2795"/>
      <c r="PCT33" s="2795"/>
      <c r="PCU33" s="2795"/>
      <c r="PCV33" s="2795"/>
      <c r="PCW33" s="2795"/>
      <c r="PCX33" s="2795"/>
      <c r="PCY33" s="2795"/>
      <c r="PCZ33" s="2795"/>
      <c r="PDA33" s="2795"/>
      <c r="PDB33" s="2795"/>
      <c r="PDC33" s="2795"/>
      <c r="PDD33" s="2795"/>
      <c r="PDE33" s="2795"/>
      <c r="PDF33" s="2795"/>
      <c r="PDG33" s="2795"/>
      <c r="PDH33" s="2795"/>
      <c r="PDI33" s="2795"/>
      <c r="PDJ33" s="2795"/>
      <c r="PDK33" s="2795"/>
      <c r="PDL33" s="2795"/>
      <c r="PDM33" s="2795"/>
      <c r="PDN33" s="2795"/>
      <c r="PDO33" s="2795"/>
      <c r="PDP33" s="2795"/>
      <c r="PDQ33" s="2795"/>
      <c r="PDR33" s="2795"/>
      <c r="PDS33" s="2795"/>
      <c r="PDT33" s="2795"/>
      <c r="PDU33" s="2795"/>
      <c r="PDV33" s="2795"/>
      <c r="PDW33" s="2795"/>
      <c r="PDX33" s="2795"/>
      <c r="PDY33" s="2795"/>
      <c r="PDZ33" s="2795"/>
      <c r="PEA33" s="2795"/>
      <c r="PEB33" s="2795"/>
      <c r="PEC33" s="2795"/>
      <c r="PED33" s="2795"/>
      <c r="PEE33" s="2795"/>
      <c r="PEF33" s="2795"/>
      <c r="PEG33" s="2795"/>
      <c r="PEH33" s="2795"/>
      <c r="PEI33" s="2795"/>
      <c r="PEJ33" s="2795"/>
      <c r="PEK33" s="2795"/>
      <c r="PEL33" s="2795"/>
      <c r="PEM33" s="2795"/>
      <c r="PEN33" s="2795"/>
      <c r="PEO33" s="2795"/>
      <c r="PEP33" s="2795"/>
      <c r="PEQ33" s="2795"/>
      <c r="PER33" s="2795"/>
      <c r="PES33" s="2795"/>
      <c r="PET33" s="2795"/>
      <c r="PEU33" s="2795"/>
      <c r="PEV33" s="2795"/>
      <c r="PEW33" s="2795"/>
      <c r="PEX33" s="2795"/>
      <c r="PEY33" s="2795"/>
      <c r="PEZ33" s="2795"/>
      <c r="PFA33" s="2795"/>
      <c r="PFB33" s="2795"/>
      <c r="PFC33" s="2795"/>
      <c r="PFD33" s="2795"/>
      <c r="PFE33" s="2795"/>
      <c r="PFF33" s="2795"/>
      <c r="PFG33" s="2795"/>
      <c r="PFH33" s="2795"/>
      <c r="PFI33" s="2795"/>
      <c r="PFJ33" s="2795"/>
      <c r="PFK33" s="2795"/>
      <c r="PFL33" s="2795"/>
      <c r="PFM33" s="2795"/>
      <c r="PFN33" s="2795"/>
      <c r="PFO33" s="2795"/>
      <c r="PFP33" s="2795"/>
      <c r="PFQ33" s="2795"/>
      <c r="PFR33" s="2795"/>
      <c r="PFS33" s="2795"/>
      <c r="PFT33" s="2795"/>
      <c r="PFU33" s="2795"/>
      <c r="PFV33" s="2795"/>
      <c r="PFW33" s="2795"/>
      <c r="PFX33" s="2795"/>
      <c r="PFY33" s="2795"/>
      <c r="PFZ33" s="2795"/>
      <c r="PGA33" s="2795"/>
      <c r="PGB33" s="2795"/>
      <c r="PGC33" s="2795"/>
      <c r="PGD33" s="2795"/>
      <c r="PGE33" s="2795"/>
      <c r="PGF33" s="2795"/>
      <c r="PGG33" s="2795"/>
      <c r="PGH33" s="2795"/>
      <c r="PGI33" s="2795"/>
      <c r="PGJ33" s="2795"/>
      <c r="PGK33" s="2795"/>
      <c r="PGL33" s="2795"/>
      <c r="PGM33" s="2795"/>
      <c r="PGN33" s="2795"/>
      <c r="PGO33" s="2795"/>
      <c r="PGP33" s="2795"/>
      <c r="PGQ33" s="2795"/>
      <c r="PGR33" s="2795"/>
      <c r="PGS33" s="2795"/>
      <c r="PGT33" s="2795"/>
      <c r="PGU33" s="2795"/>
      <c r="PGV33" s="2795"/>
      <c r="PGW33" s="2795"/>
      <c r="PGX33" s="2795"/>
      <c r="PGY33" s="2795"/>
      <c r="PGZ33" s="2795"/>
      <c r="PHA33" s="2795"/>
      <c r="PHB33" s="2795"/>
      <c r="PHC33" s="2795"/>
      <c r="PHD33" s="2795"/>
      <c r="PHE33" s="2795"/>
      <c r="PHF33" s="2795"/>
      <c r="PHG33" s="2795"/>
      <c r="PHH33" s="2795"/>
      <c r="PHI33" s="2795"/>
      <c r="PHJ33" s="2795"/>
      <c r="PHK33" s="2795"/>
      <c r="PHL33" s="2795"/>
      <c r="PHM33" s="2795"/>
      <c r="PHN33" s="2795"/>
      <c r="PHO33" s="2795"/>
      <c r="PHP33" s="2795"/>
      <c r="PHQ33" s="2795"/>
      <c r="PHR33" s="2795"/>
      <c r="PHS33" s="2795"/>
      <c r="PHT33" s="2795"/>
      <c r="PHU33" s="2795"/>
      <c r="PHV33" s="2795"/>
      <c r="PHW33" s="2795"/>
      <c r="PHX33" s="2795"/>
      <c r="PHY33" s="2795"/>
      <c r="PHZ33" s="2795"/>
      <c r="PIA33" s="2795"/>
      <c r="PIB33" s="2795"/>
      <c r="PIC33" s="2795"/>
      <c r="PID33" s="2795"/>
      <c r="PIE33" s="2795"/>
      <c r="PIF33" s="2795"/>
      <c r="PIG33" s="2795"/>
      <c r="PIH33" s="2795"/>
      <c r="PII33" s="2795"/>
      <c r="PIJ33" s="2795"/>
      <c r="PIK33" s="2795"/>
      <c r="PIL33" s="2795"/>
      <c r="PIM33" s="2795"/>
      <c r="PIN33" s="2795"/>
      <c r="PIO33" s="2795"/>
      <c r="PIP33" s="2795"/>
      <c r="PIQ33" s="2795"/>
      <c r="PIR33" s="2795"/>
      <c r="PIS33" s="2795"/>
      <c r="PIT33" s="2795"/>
      <c r="PIU33" s="2795"/>
      <c r="PIV33" s="2795"/>
      <c r="PIW33" s="2795"/>
      <c r="PIX33" s="2795"/>
      <c r="PIY33" s="2795"/>
      <c r="PIZ33" s="2795"/>
      <c r="PJA33" s="2795"/>
      <c r="PJB33" s="2795"/>
      <c r="PJC33" s="2795"/>
      <c r="PJD33" s="2795"/>
      <c r="PJE33" s="2795"/>
      <c r="PJF33" s="2795"/>
      <c r="PJG33" s="2795"/>
      <c r="PJH33" s="2795"/>
      <c r="PJI33" s="2795"/>
      <c r="PJJ33" s="2795"/>
      <c r="PJK33" s="2795"/>
      <c r="PJL33" s="2795"/>
      <c r="PJM33" s="2795"/>
      <c r="PJN33" s="2795"/>
      <c r="PJO33" s="2795"/>
      <c r="PJP33" s="2795"/>
      <c r="PJQ33" s="2795"/>
      <c r="PJR33" s="2795"/>
      <c r="PJS33" s="2795"/>
      <c r="PJT33" s="2795"/>
      <c r="PJU33" s="2795"/>
      <c r="PJV33" s="2795"/>
      <c r="PJW33" s="2795"/>
      <c r="PJX33" s="2795"/>
      <c r="PJY33" s="2795"/>
      <c r="PJZ33" s="2795"/>
      <c r="PKA33" s="2795"/>
      <c r="PKB33" s="2795"/>
      <c r="PKC33" s="2795"/>
      <c r="PKD33" s="2795"/>
      <c r="PKE33" s="2795"/>
      <c r="PKF33" s="2795"/>
      <c r="PKG33" s="2795"/>
      <c r="PKH33" s="2795"/>
      <c r="PKI33" s="2795"/>
      <c r="PKJ33" s="2795"/>
      <c r="PKK33" s="2795"/>
      <c r="PKL33" s="2795"/>
      <c r="PKM33" s="2795"/>
      <c r="PKN33" s="2795"/>
      <c r="PKO33" s="2795"/>
      <c r="PKP33" s="2795"/>
      <c r="PKQ33" s="2795"/>
      <c r="PKR33" s="2795"/>
      <c r="PKS33" s="2795"/>
      <c r="PKT33" s="2795"/>
      <c r="PKU33" s="2795"/>
      <c r="PKV33" s="2795"/>
      <c r="PKW33" s="2795"/>
      <c r="PKX33" s="2795"/>
      <c r="PKY33" s="2795"/>
      <c r="PKZ33" s="2795"/>
      <c r="PLA33" s="2795"/>
      <c r="PLB33" s="2795"/>
      <c r="PLC33" s="2795"/>
      <c r="PLD33" s="2795"/>
      <c r="PLE33" s="2795"/>
      <c r="PLF33" s="2795"/>
      <c r="PLG33" s="2795"/>
      <c r="PLH33" s="2795"/>
      <c r="PLI33" s="2795"/>
      <c r="PLJ33" s="2795"/>
      <c r="PLK33" s="2795"/>
      <c r="PLL33" s="2795"/>
      <c r="PLM33" s="2795"/>
      <c r="PLN33" s="2795"/>
      <c r="PLO33" s="2795"/>
      <c r="PLP33" s="2795"/>
      <c r="PLQ33" s="2795"/>
      <c r="PLR33" s="2795"/>
      <c r="PLS33" s="2795"/>
      <c r="PLT33" s="2795"/>
      <c r="PLU33" s="2795"/>
      <c r="PLV33" s="2795"/>
      <c r="PLW33" s="2795"/>
      <c r="PLX33" s="2795"/>
      <c r="PLY33" s="2795"/>
      <c r="PLZ33" s="2795"/>
      <c r="PMA33" s="2795"/>
      <c r="PMB33" s="2795"/>
      <c r="PMC33" s="2795"/>
      <c r="PMD33" s="2795"/>
      <c r="PME33" s="2795"/>
      <c r="PMF33" s="2795"/>
      <c r="PMG33" s="2795"/>
      <c r="PMH33" s="2795"/>
      <c r="PMI33" s="2795"/>
      <c r="PMJ33" s="2795"/>
      <c r="PMK33" s="2795"/>
      <c r="PML33" s="2795"/>
      <c r="PMM33" s="2795"/>
      <c r="PMN33" s="2795"/>
      <c r="PMO33" s="2795"/>
      <c r="PMP33" s="2795"/>
      <c r="PMQ33" s="2795"/>
      <c r="PMR33" s="2795"/>
      <c r="PMS33" s="2795"/>
      <c r="PMT33" s="2795"/>
      <c r="PMU33" s="2795"/>
      <c r="PMV33" s="2795"/>
      <c r="PMW33" s="2795"/>
      <c r="PMX33" s="2795"/>
      <c r="PMY33" s="2795"/>
      <c r="PMZ33" s="2795"/>
      <c r="PNA33" s="2795"/>
      <c r="PNB33" s="2795"/>
      <c r="PNC33" s="2795"/>
      <c r="PND33" s="2795"/>
      <c r="PNE33" s="2795"/>
      <c r="PNF33" s="2795"/>
      <c r="PNG33" s="2795"/>
      <c r="PNH33" s="2795"/>
      <c r="PNI33" s="2795"/>
      <c r="PNJ33" s="2795"/>
      <c r="PNK33" s="2795"/>
      <c r="PNL33" s="2795"/>
      <c r="PNM33" s="2795"/>
      <c r="PNN33" s="2795"/>
      <c r="PNO33" s="2795"/>
      <c r="PNP33" s="2795"/>
      <c r="PNQ33" s="2795"/>
      <c r="PNR33" s="2795"/>
      <c r="PNS33" s="2795"/>
      <c r="PNT33" s="2795"/>
      <c r="PNU33" s="2795"/>
      <c r="PNV33" s="2795"/>
      <c r="PNW33" s="2795"/>
      <c r="PNX33" s="2795"/>
      <c r="PNY33" s="2795"/>
      <c r="PNZ33" s="2795"/>
      <c r="POA33" s="2795"/>
      <c r="POB33" s="2795"/>
      <c r="POC33" s="2795"/>
      <c r="POD33" s="2795"/>
      <c r="POE33" s="2795"/>
      <c r="POF33" s="2795"/>
      <c r="POG33" s="2795"/>
      <c r="POH33" s="2795"/>
      <c r="POI33" s="2795"/>
      <c r="POJ33" s="2795"/>
      <c r="POK33" s="2795"/>
      <c r="POL33" s="2795"/>
      <c r="POM33" s="2795"/>
      <c r="PON33" s="2795"/>
      <c r="POO33" s="2795"/>
      <c r="POP33" s="2795"/>
      <c r="POQ33" s="2795"/>
      <c r="POR33" s="2795"/>
      <c r="POS33" s="2795"/>
      <c r="POT33" s="2795"/>
      <c r="POU33" s="2795"/>
      <c r="POV33" s="2795"/>
      <c r="POW33" s="2795"/>
      <c r="POX33" s="2795"/>
      <c r="POY33" s="2795"/>
      <c r="POZ33" s="2795"/>
      <c r="PPA33" s="2795"/>
      <c r="PPB33" s="2795"/>
      <c r="PPC33" s="2795"/>
      <c r="PPD33" s="2795"/>
      <c r="PPE33" s="2795"/>
      <c r="PPF33" s="2795"/>
      <c r="PPG33" s="2795"/>
      <c r="PPH33" s="2795"/>
      <c r="PPI33" s="2795"/>
      <c r="PPJ33" s="2795"/>
      <c r="PPK33" s="2795"/>
      <c r="PPL33" s="2795"/>
      <c r="PPM33" s="2795"/>
      <c r="PPN33" s="2795"/>
      <c r="PPO33" s="2795"/>
      <c r="PPP33" s="2795"/>
      <c r="PPQ33" s="2795"/>
      <c r="PPR33" s="2795"/>
      <c r="PPS33" s="2795"/>
      <c r="PPT33" s="2795"/>
      <c r="PPU33" s="2795"/>
      <c r="PPV33" s="2795"/>
      <c r="PPW33" s="2795"/>
      <c r="PPX33" s="2795"/>
      <c r="PPY33" s="2795"/>
      <c r="PPZ33" s="2795"/>
      <c r="PQA33" s="2795"/>
      <c r="PQB33" s="2795"/>
      <c r="PQC33" s="2795"/>
      <c r="PQD33" s="2795"/>
      <c r="PQE33" s="2795"/>
      <c r="PQF33" s="2795"/>
      <c r="PQG33" s="2795"/>
      <c r="PQH33" s="2795"/>
      <c r="PQI33" s="2795"/>
      <c r="PQJ33" s="2795"/>
      <c r="PQK33" s="2795"/>
      <c r="PQL33" s="2795"/>
      <c r="PQM33" s="2795"/>
      <c r="PQN33" s="2795"/>
      <c r="PQO33" s="2795"/>
      <c r="PQP33" s="2795"/>
      <c r="PQQ33" s="2795"/>
      <c r="PQR33" s="2795"/>
      <c r="PQS33" s="2795"/>
      <c r="PQT33" s="2795"/>
      <c r="PQU33" s="2795"/>
      <c r="PQV33" s="2795"/>
      <c r="PQW33" s="2795"/>
      <c r="PQX33" s="2795"/>
      <c r="PQY33" s="2795"/>
      <c r="PQZ33" s="2795"/>
      <c r="PRA33" s="2795"/>
      <c r="PRB33" s="2795"/>
      <c r="PRC33" s="2795"/>
      <c r="PRD33" s="2795"/>
      <c r="PRE33" s="2795"/>
      <c r="PRF33" s="2795"/>
      <c r="PRG33" s="2795"/>
      <c r="PRH33" s="2795"/>
      <c r="PRI33" s="2795"/>
      <c r="PRJ33" s="2795"/>
      <c r="PRK33" s="2795"/>
      <c r="PRL33" s="2795"/>
      <c r="PRM33" s="2795"/>
      <c r="PRN33" s="2795"/>
      <c r="PRO33" s="2795"/>
      <c r="PRP33" s="2795"/>
      <c r="PRQ33" s="2795"/>
      <c r="PRR33" s="2795"/>
      <c r="PRS33" s="2795"/>
      <c r="PRT33" s="2795"/>
      <c r="PRU33" s="2795"/>
      <c r="PRV33" s="2795"/>
      <c r="PRW33" s="2795"/>
      <c r="PRX33" s="2795"/>
      <c r="PRY33" s="2795"/>
      <c r="PRZ33" s="2795"/>
      <c r="PSA33" s="2795"/>
      <c r="PSB33" s="2795"/>
      <c r="PSC33" s="2795"/>
      <c r="PSD33" s="2795"/>
      <c r="PSE33" s="2795"/>
      <c r="PSF33" s="2795"/>
      <c r="PSG33" s="2795"/>
      <c r="PSH33" s="2795"/>
      <c r="PSI33" s="2795"/>
      <c r="PSJ33" s="2795"/>
      <c r="PSK33" s="2795"/>
      <c r="PSL33" s="2795"/>
      <c r="PSM33" s="2795"/>
      <c r="PSN33" s="2795"/>
      <c r="PSO33" s="2795"/>
      <c r="PSP33" s="2795"/>
      <c r="PSQ33" s="2795"/>
      <c r="PSR33" s="2795"/>
      <c r="PSS33" s="2795"/>
      <c r="PST33" s="2795"/>
      <c r="PSU33" s="2795"/>
      <c r="PSV33" s="2795"/>
      <c r="PSW33" s="2795"/>
      <c r="PSX33" s="2795"/>
      <c r="PSY33" s="2795"/>
      <c r="PSZ33" s="2795"/>
      <c r="PTA33" s="2795"/>
      <c r="PTB33" s="2795"/>
      <c r="PTC33" s="2795"/>
      <c r="PTD33" s="2795"/>
      <c r="PTE33" s="2795"/>
      <c r="PTF33" s="2795"/>
      <c r="PTG33" s="2795"/>
      <c r="PTH33" s="2795"/>
      <c r="PTI33" s="2795"/>
      <c r="PTJ33" s="2795"/>
      <c r="PTK33" s="2795"/>
      <c r="PTL33" s="2795"/>
      <c r="PTM33" s="2795"/>
      <c r="PTN33" s="2795"/>
      <c r="PTO33" s="2795"/>
      <c r="PTP33" s="2795"/>
      <c r="PTQ33" s="2795"/>
      <c r="PTR33" s="2795"/>
      <c r="PTS33" s="2795"/>
      <c r="PTT33" s="2795"/>
      <c r="PTU33" s="2795"/>
      <c r="PTV33" s="2795"/>
      <c r="PTW33" s="2795"/>
      <c r="PTX33" s="2795"/>
      <c r="PTY33" s="2795"/>
      <c r="PTZ33" s="2795"/>
      <c r="PUA33" s="2795"/>
      <c r="PUB33" s="2795"/>
      <c r="PUC33" s="2795"/>
      <c r="PUD33" s="2795"/>
      <c r="PUE33" s="2795"/>
      <c r="PUF33" s="2795"/>
      <c r="PUG33" s="2795"/>
      <c r="PUH33" s="2795"/>
      <c r="PUI33" s="2795"/>
      <c r="PUJ33" s="2795"/>
      <c r="PUK33" s="2795"/>
      <c r="PUL33" s="2795"/>
      <c r="PUM33" s="2795"/>
      <c r="PUN33" s="2795"/>
      <c r="PUO33" s="2795"/>
      <c r="PUP33" s="2795"/>
      <c r="PUQ33" s="2795"/>
      <c r="PUR33" s="2795"/>
      <c r="PUS33" s="2795"/>
      <c r="PUT33" s="2795"/>
      <c r="PUU33" s="2795"/>
      <c r="PUV33" s="2795"/>
      <c r="PUW33" s="2795"/>
      <c r="PUX33" s="2795"/>
      <c r="PUY33" s="2795"/>
      <c r="PUZ33" s="2795"/>
      <c r="PVA33" s="2795"/>
      <c r="PVB33" s="2795"/>
      <c r="PVC33" s="2795"/>
      <c r="PVD33" s="2795"/>
      <c r="PVE33" s="2795"/>
      <c r="PVF33" s="2795"/>
      <c r="PVG33" s="2795"/>
      <c r="PVH33" s="2795"/>
      <c r="PVI33" s="2795"/>
      <c r="PVJ33" s="2795"/>
      <c r="PVK33" s="2795"/>
      <c r="PVL33" s="2795"/>
      <c r="PVM33" s="2795"/>
      <c r="PVN33" s="2795"/>
      <c r="PVO33" s="2795"/>
      <c r="PVP33" s="2795"/>
      <c r="PVQ33" s="2795"/>
      <c r="PVR33" s="2795"/>
      <c r="PVS33" s="2795"/>
      <c r="PVT33" s="2795"/>
      <c r="PVU33" s="2795"/>
      <c r="PVV33" s="2795"/>
      <c r="PVW33" s="2795"/>
      <c r="PVX33" s="2795"/>
      <c r="PVY33" s="2795"/>
      <c r="PVZ33" s="2795"/>
      <c r="PWA33" s="2795"/>
      <c r="PWB33" s="2795"/>
      <c r="PWC33" s="2795"/>
      <c r="PWD33" s="2795"/>
      <c r="PWE33" s="2795"/>
      <c r="PWF33" s="2795"/>
      <c r="PWG33" s="2795"/>
      <c r="PWH33" s="2795"/>
      <c r="PWI33" s="2795"/>
      <c r="PWJ33" s="2795"/>
      <c r="PWK33" s="2795"/>
      <c r="PWL33" s="2795"/>
      <c r="PWM33" s="2795"/>
      <c r="PWN33" s="2795"/>
      <c r="PWO33" s="2795"/>
      <c r="PWP33" s="2795"/>
      <c r="PWQ33" s="2795"/>
      <c r="PWR33" s="2795"/>
      <c r="PWS33" s="2795"/>
      <c r="PWT33" s="2795"/>
      <c r="PWU33" s="2795"/>
      <c r="PWV33" s="2795"/>
      <c r="PWW33" s="2795"/>
      <c r="PWX33" s="2795"/>
      <c r="PWY33" s="2795"/>
      <c r="PWZ33" s="2795"/>
      <c r="PXA33" s="2795"/>
      <c r="PXB33" s="2795"/>
      <c r="PXC33" s="2795"/>
      <c r="PXD33" s="2795"/>
      <c r="PXE33" s="2795"/>
      <c r="PXF33" s="2795"/>
      <c r="PXG33" s="2795"/>
      <c r="PXH33" s="2795"/>
      <c r="PXI33" s="2795"/>
      <c r="PXJ33" s="2795"/>
      <c r="PXK33" s="2795"/>
      <c r="PXL33" s="2795"/>
      <c r="PXM33" s="2795"/>
      <c r="PXN33" s="2795"/>
      <c r="PXO33" s="2795"/>
      <c r="PXP33" s="2795"/>
      <c r="PXQ33" s="2795"/>
      <c r="PXR33" s="2795"/>
      <c r="PXS33" s="2795"/>
      <c r="PXT33" s="2795"/>
      <c r="PXU33" s="2795"/>
      <c r="PXV33" s="2795"/>
      <c r="PXW33" s="2795"/>
      <c r="PXX33" s="2795"/>
      <c r="PXY33" s="2795"/>
      <c r="PXZ33" s="2795"/>
      <c r="PYA33" s="2795"/>
      <c r="PYB33" s="2795"/>
      <c r="PYC33" s="2795"/>
      <c r="PYD33" s="2795"/>
      <c r="PYE33" s="2795"/>
      <c r="PYF33" s="2795"/>
      <c r="PYG33" s="2795"/>
      <c r="PYH33" s="2795"/>
      <c r="PYI33" s="2795"/>
      <c r="PYJ33" s="2795"/>
      <c r="PYK33" s="2795"/>
      <c r="PYL33" s="2795"/>
      <c r="PYM33" s="2795"/>
      <c r="PYN33" s="2795"/>
      <c r="PYO33" s="2795"/>
      <c r="PYP33" s="2795"/>
      <c r="PYQ33" s="2795"/>
      <c r="PYR33" s="2795"/>
      <c r="PYS33" s="2795"/>
      <c r="PYT33" s="2795"/>
      <c r="PYU33" s="2795"/>
      <c r="PYV33" s="2795"/>
      <c r="PYW33" s="2795"/>
      <c r="PYX33" s="2795"/>
      <c r="PYY33" s="2795"/>
      <c r="PYZ33" s="2795"/>
      <c r="PZA33" s="2795"/>
      <c r="PZB33" s="2795"/>
      <c r="PZC33" s="2795"/>
      <c r="PZD33" s="2795"/>
      <c r="PZE33" s="2795"/>
      <c r="PZF33" s="2795"/>
      <c r="PZG33" s="2795"/>
      <c r="PZH33" s="2795"/>
      <c r="PZI33" s="2795"/>
      <c r="PZJ33" s="2795"/>
      <c r="PZK33" s="2795"/>
      <c r="PZL33" s="2795"/>
      <c r="PZM33" s="2795"/>
      <c r="PZN33" s="2795"/>
      <c r="PZO33" s="2795"/>
      <c r="PZP33" s="2795"/>
      <c r="PZQ33" s="2795"/>
      <c r="PZR33" s="2795"/>
      <c r="PZS33" s="2795"/>
      <c r="PZT33" s="2795"/>
      <c r="PZU33" s="2795"/>
      <c r="PZV33" s="2795"/>
      <c r="PZW33" s="2795"/>
      <c r="PZX33" s="2795"/>
      <c r="PZY33" s="2795"/>
      <c r="PZZ33" s="2795"/>
      <c r="QAA33" s="2795"/>
      <c r="QAB33" s="2795"/>
      <c r="QAC33" s="2795"/>
      <c r="QAD33" s="2795"/>
      <c r="QAE33" s="2795"/>
      <c r="QAF33" s="2795"/>
      <c r="QAG33" s="2795"/>
      <c r="QAH33" s="2795"/>
      <c r="QAI33" s="2795"/>
      <c r="QAJ33" s="2795"/>
      <c r="QAK33" s="2795"/>
      <c r="QAL33" s="2795"/>
      <c r="QAM33" s="2795"/>
      <c r="QAN33" s="2795"/>
      <c r="QAO33" s="2795"/>
      <c r="QAP33" s="2795"/>
      <c r="QAQ33" s="2795"/>
      <c r="QAR33" s="2795"/>
      <c r="QAS33" s="2795"/>
      <c r="QAT33" s="2795"/>
      <c r="QAU33" s="2795"/>
      <c r="QAV33" s="2795"/>
      <c r="QAW33" s="2795"/>
      <c r="QAX33" s="2795"/>
      <c r="QAY33" s="2795"/>
      <c r="QAZ33" s="2795"/>
      <c r="QBA33" s="2795"/>
      <c r="QBB33" s="2795"/>
      <c r="QBC33" s="2795"/>
      <c r="QBD33" s="2795"/>
      <c r="QBE33" s="2795"/>
      <c r="QBF33" s="2795"/>
      <c r="QBG33" s="2795"/>
      <c r="QBH33" s="2795"/>
      <c r="QBI33" s="2795"/>
      <c r="QBJ33" s="2795"/>
      <c r="QBK33" s="2795"/>
      <c r="QBL33" s="2795"/>
      <c r="QBM33" s="2795"/>
      <c r="QBN33" s="2795"/>
      <c r="QBO33" s="2795"/>
      <c r="QBP33" s="2795"/>
      <c r="QBQ33" s="2795"/>
      <c r="QBR33" s="2795"/>
      <c r="QBS33" s="2795"/>
      <c r="QBT33" s="2795"/>
      <c r="QBU33" s="2795"/>
      <c r="QBV33" s="2795"/>
      <c r="QBW33" s="2795"/>
      <c r="QBX33" s="2795"/>
      <c r="QBY33" s="2795"/>
      <c r="QBZ33" s="2795"/>
      <c r="QCA33" s="2795"/>
      <c r="QCB33" s="2795"/>
      <c r="QCC33" s="2795"/>
      <c r="QCD33" s="2795"/>
      <c r="QCE33" s="2795"/>
      <c r="QCF33" s="2795"/>
      <c r="QCG33" s="2795"/>
      <c r="QCH33" s="2795"/>
      <c r="QCI33" s="2795"/>
      <c r="QCJ33" s="2795"/>
      <c r="QCK33" s="2795"/>
      <c r="QCL33" s="2795"/>
      <c r="QCM33" s="2795"/>
      <c r="QCN33" s="2795"/>
      <c r="QCO33" s="2795"/>
      <c r="QCP33" s="2795"/>
      <c r="QCQ33" s="2795"/>
      <c r="QCR33" s="2795"/>
      <c r="QCS33" s="2795"/>
      <c r="QCT33" s="2795"/>
      <c r="QCU33" s="2795"/>
      <c r="QCV33" s="2795"/>
      <c r="QCW33" s="2795"/>
      <c r="QCX33" s="2795"/>
      <c r="QCY33" s="2795"/>
      <c r="QCZ33" s="2795"/>
      <c r="QDA33" s="2795"/>
      <c r="QDB33" s="2795"/>
      <c r="QDC33" s="2795"/>
      <c r="QDD33" s="2795"/>
      <c r="QDE33" s="2795"/>
      <c r="QDF33" s="2795"/>
      <c r="QDG33" s="2795"/>
      <c r="QDH33" s="2795"/>
      <c r="QDI33" s="2795"/>
      <c r="QDJ33" s="2795"/>
      <c r="QDK33" s="2795"/>
      <c r="QDL33" s="2795"/>
      <c r="QDM33" s="2795"/>
      <c r="QDN33" s="2795"/>
      <c r="QDO33" s="2795"/>
      <c r="QDP33" s="2795"/>
      <c r="QDQ33" s="2795"/>
      <c r="QDR33" s="2795"/>
      <c r="QDS33" s="2795"/>
      <c r="QDT33" s="2795"/>
      <c r="QDU33" s="2795"/>
      <c r="QDV33" s="2795"/>
      <c r="QDW33" s="2795"/>
      <c r="QDX33" s="2795"/>
      <c r="QDY33" s="2795"/>
      <c r="QDZ33" s="2795"/>
      <c r="QEA33" s="2795"/>
      <c r="QEB33" s="2795"/>
      <c r="QEC33" s="2795"/>
      <c r="QED33" s="2795"/>
      <c r="QEE33" s="2795"/>
      <c r="QEF33" s="2795"/>
      <c r="QEG33" s="2795"/>
      <c r="QEH33" s="2795"/>
      <c r="QEI33" s="2795"/>
      <c r="QEJ33" s="2795"/>
      <c r="QEK33" s="2795"/>
      <c r="QEL33" s="2795"/>
      <c r="QEM33" s="2795"/>
      <c r="QEN33" s="2795"/>
      <c r="QEO33" s="2795"/>
      <c r="QEP33" s="2795"/>
      <c r="QEQ33" s="2795"/>
      <c r="QER33" s="2795"/>
      <c r="QES33" s="2795"/>
      <c r="QET33" s="2795"/>
      <c r="QEU33" s="2795"/>
      <c r="QEV33" s="2795"/>
      <c r="QEW33" s="2795"/>
      <c r="QEX33" s="2795"/>
      <c r="QEY33" s="2795"/>
      <c r="QEZ33" s="2795"/>
      <c r="QFA33" s="2795"/>
      <c r="QFB33" s="2795"/>
      <c r="QFC33" s="2795"/>
      <c r="QFD33" s="2795"/>
      <c r="QFE33" s="2795"/>
      <c r="QFF33" s="2795"/>
      <c r="QFG33" s="2795"/>
      <c r="QFH33" s="2795"/>
      <c r="QFI33" s="2795"/>
      <c r="QFJ33" s="2795"/>
      <c r="QFK33" s="2795"/>
      <c r="QFL33" s="2795"/>
      <c r="QFM33" s="2795"/>
      <c r="QFN33" s="2795"/>
      <c r="QFO33" s="2795"/>
      <c r="QFP33" s="2795"/>
      <c r="QFQ33" s="2795"/>
      <c r="QFR33" s="2795"/>
      <c r="QFS33" s="2795"/>
      <c r="QFT33" s="2795"/>
      <c r="QFU33" s="2795"/>
      <c r="QFV33" s="2795"/>
      <c r="QFW33" s="2795"/>
      <c r="QFX33" s="2795"/>
      <c r="QFY33" s="2795"/>
      <c r="QFZ33" s="2795"/>
      <c r="QGA33" s="2795"/>
      <c r="QGB33" s="2795"/>
      <c r="QGC33" s="2795"/>
      <c r="QGD33" s="2795"/>
      <c r="QGE33" s="2795"/>
      <c r="QGF33" s="2795"/>
      <c r="QGG33" s="2795"/>
      <c r="QGH33" s="2795"/>
      <c r="QGI33" s="2795"/>
      <c r="QGJ33" s="2795"/>
      <c r="QGK33" s="2795"/>
      <c r="QGL33" s="2795"/>
      <c r="QGM33" s="2795"/>
      <c r="QGN33" s="2795"/>
      <c r="QGO33" s="2795"/>
      <c r="QGP33" s="2795"/>
      <c r="QGQ33" s="2795"/>
      <c r="QGR33" s="2795"/>
      <c r="QGS33" s="2795"/>
      <c r="QGT33" s="2795"/>
      <c r="QGU33" s="2795"/>
      <c r="QGV33" s="2795"/>
      <c r="QGW33" s="2795"/>
      <c r="QGX33" s="2795"/>
      <c r="QGY33" s="2795"/>
      <c r="QGZ33" s="2795"/>
      <c r="QHA33" s="2795"/>
      <c r="QHB33" s="2795"/>
      <c r="QHC33" s="2795"/>
      <c r="QHD33" s="2795"/>
      <c r="QHE33" s="2795"/>
      <c r="QHF33" s="2795"/>
      <c r="QHG33" s="2795"/>
      <c r="QHH33" s="2795"/>
      <c r="QHI33" s="2795"/>
      <c r="QHJ33" s="2795"/>
      <c r="QHK33" s="2795"/>
      <c r="QHL33" s="2795"/>
      <c r="QHM33" s="2795"/>
      <c r="QHN33" s="2795"/>
      <c r="QHO33" s="2795"/>
      <c r="QHP33" s="2795"/>
      <c r="QHQ33" s="2795"/>
      <c r="QHR33" s="2795"/>
      <c r="QHS33" s="2795"/>
      <c r="QHT33" s="2795"/>
      <c r="QHU33" s="2795"/>
      <c r="QHV33" s="2795"/>
      <c r="QHW33" s="2795"/>
      <c r="QHX33" s="2795"/>
      <c r="QHY33" s="2795"/>
      <c r="QHZ33" s="2795"/>
      <c r="QIA33" s="2795"/>
      <c r="QIB33" s="2795"/>
      <c r="QIC33" s="2795"/>
      <c r="QID33" s="2795"/>
      <c r="QIE33" s="2795"/>
      <c r="QIF33" s="2795"/>
      <c r="QIG33" s="2795"/>
      <c r="QIH33" s="2795"/>
      <c r="QII33" s="2795"/>
      <c r="QIJ33" s="2795"/>
      <c r="QIK33" s="2795"/>
      <c r="QIL33" s="2795"/>
      <c r="QIM33" s="2795"/>
      <c r="QIN33" s="2795"/>
      <c r="QIO33" s="2795"/>
      <c r="QIP33" s="2795"/>
      <c r="QIQ33" s="2795"/>
      <c r="QIR33" s="2795"/>
      <c r="QIS33" s="2795"/>
      <c r="QIT33" s="2795"/>
      <c r="QIU33" s="2795"/>
      <c r="QIV33" s="2795"/>
      <c r="QIW33" s="2795"/>
      <c r="QIX33" s="2795"/>
      <c r="QIY33" s="2795"/>
      <c r="QIZ33" s="2795"/>
      <c r="QJA33" s="2795"/>
      <c r="QJB33" s="2795"/>
      <c r="QJC33" s="2795"/>
      <c r="QJD33" s="2795"/>
      <c r="QJE33" s="2795"/>
      <c r="QJF33" s="2795"/>
      <c r="QJG33" s="2795"/>
      <c r="QJH33" s="2795"/>
      <c r="QJI33" s="2795"/>
      <c r="QJJ33" s="2795"/>
      <c r="QJK33" s="2795"/>
      <c r="QJL33" s="2795"/>
      <c r="QJM33" s="2795"/>
      <c r="QJN33" s="2795"/>
      <c r="QJO33" s="2795"/>
      <c r="QJP33" s="2795"/>
      <c r="QJQ33" s="2795"/>
      <c r="QJR33" s="2795"/>
      <c r="QJS33" s="2795"/>
      <c r="QJT33" s="2795"/>
      <c r="QJU33" s="2795"/>
      <c r="QJV33" s="2795"/>
      <c r="QJW33" s="2795"/>
      <c r="QJX33" s="2795"/>
      <c r="QJY33" s="2795"/>
      <c r="QJZ33" s="2795"/>
      <c r="QKA33" s="2795"/>
      <c r="QKB33" s="2795"/>
      <c r="QKC33" s="2795"/>
      <c r="QKD33" s="2795"/>
      <c r="QKE33" s="2795"/>
      <c r="QKF33" s="2795"/>
      <c r="QKG33" s="2795"/>
      <c r="QKH33" s="2795"/>
      <c r="QKI33" s="2795"/>
      <c r="QKJ33" s="2795"/>
      <c r="QKK33" s="2795"/>
      <c r="QKL33" s="2795"/>
      <c r="QKM33" s="2795"/>
      <c r="QKN33" s="2795"/>
      <c r="QKO33" s="2795"/>
      <c r="QKP33" s="2795"/>
      <c r="QKQ33" s="2795"/>
      <c r="QKR33" s="2795"/>
      <c r="QKS33" s="2795"/>
      <c r="QKT33" s="2795"/>
      <c r="QKU33" s="2795"/>
      <c r="QKV33" s="2795"/>
      <c r="QKW33" s="2795"/>
      <c r="QKX33" s="2795"/>
      <c r="QKY33" s="2795"/>
      <c r="QKZ33" s="2795"/>
      <c r="QLA33" s="2795"/>
      <c r="QLB33" s="2795"/>
      <c r="QLC33" s="2795"/>
      <c r="QLD33" s="2795"/>
      <c r="QLE33" s="2795"/>
      <c r="QLF33" s="2795"/>
      <c r="QLG33" s="2795"/>
      <c r="QLH33" s="2795"/>
      <c r="QLI33" s="2795"/>
      <c r="QLJ33" s="2795"/>
      <c r="QLK33" s="2795"/>
      <c r="QLL33" s="2795"/>
      <c r="QLM33" s="2795"/>
      <c r="QLN33" s="2795"/>
      <c r="QLO33" s="2795"/>
      <c r="QLP33" s="2795"/>
      <c r="QLQ33" s="2795"/>
      <c r="QLR33" s="2795"/>
      <c r="QLS33" s="2795"/>
      <c r="QLT33" s="2795"/>
      <c r="QLU33" s="2795"/>
      <c r="QLV33" s="2795"/>
      <c r="QLW33" s="2795"/>
      <c r="QLX33" s="2795"/>
      <c r="QLY33" s="2795"/>
      <c r="QLZ33" s="2795"/>
      <c r="QMA33" s="2795"/>
      <c r="QMB33" s="2795"/>
      <c r="QMC33" s="2795"/>
      <c r="QMD33" s="2795"/>
      <c r="QME33" s="2795"/>
      <c r="QMF33" s="2795"/>
      <c r="QMG33" s="2795"/>
      <c r="QMH33" s="2795"/>
      <c r="QMI33" s="2795"/>
      <c r="QMJ33" s="2795"/>
      <c r="QMK33" s="2795"/>
      <c r="QML33" s="2795"/>
      <c r="QMM33" s="2795"/>
      <c r="QMN33" s="2795"/>
      <c r="QMO33" s="2795"/>
      <c r="QMP33" s="2795"/>
      <c r="QMQ33" s="2795"/>
      <c r="QMR33" s="2795"/>
      <c r="QMS33" s="2795"/>
      <c r="QMT33" s="2795"/>
      <c r="QMU33" s="2795"/>
      <c r="QMV33" s="2795"/>
      <c r="QMW33" s="2795"/>
      <c r="QMX33" s="2795"/>
      <c r="QMY33" s="2795"/>
      <c r="QMZ33" s="2795"/>
      <c r="QNA33" s="2795"/>
      <c r="QNB33" s="2795"/>
      <c r="QNC33" s="2795"/>
      <c r="QND33" s="2795"/>
      <c r="QNE33" s="2795"/>
      <c r="QNF33" s="2795"/>
      <c r="QNG33" s="2795"/>
      <c r="QNH33" s="2795"/>
      <c r="QNI33" s="2795"/>
      <c r="QNJ33" s="2795"/>
      <c r="QNK33" s="2795"/>
      <c r="QNL33" s="2795"/>
      <c r="QNM33" s="2795"/>
      <c r="QNN33" s="2795"/>
      <c r="QNO33" s="2795"/>
      <c r="QNP33" s="2795"/>
      <c r="QNQ33" s="2795"/>
      <c r="QNR33" s="2795"/>
      <c r="QNS33" s="2795"/>
      <c r="QNT33" s="2795"/>
      <c r="QNU33" s="2795"/>
      <c r="QNV33" s="2795"/>
      <c r="QNW33" s="2795"/>
      <c r="QNX33" s="2795"/>
      <c r="QNY33" s="2795"/>
      <c r="QNZ33" s="2795"/>
      <c r="QOA33" s="2795"/>
      <c r="QOB33" s="2795"/>
      <c r="QOC33" s="2795"/>
      <c r="QOD33" s="2795"/>
      <c r="QOE33" s="2795"/>
      <c r="QOF33" s="2795"/>
      <c r="QOG33" s="2795"/>
      <c r="QOH33" s="2795"/>
      <c r="QOI33" s="2795"/>
      <c r="QOJ33" s="2795"/>
      <c r="QOK33" s="2795"/>
      <c r="QOL33" s="2795"/>
      <c r="QOM33" s="2795"/>
      <c r="QON33" s="2795"/>
      <c r="QOO33" s="2795"/>
      <c r="QOP33" s="2795"/>
      <c r="QOQ33" s="2795"/>
      <c r="QOR33" s="2795"/>
      <c r="QOS33" s="2795"/>
      <c r="QOT33" s="2795"/>
      <c r="QOU33" s="2795"/>
      <c r="QOV33" s="2795"/>
      <c r="QOW33" s="2795"/>
      <c r="QOX33" s="2795"/>
      <c r="QOY33" s="2795"/>
      <c r="QOZ33" s="2795"/>
      <c r="QPA33" s="2795"/>
      <c r="QPB33" s="2795"/>
      <c r="QPC33" s="2795"/>
      <c r="QPD33" s="2795"/>
      <c r="QPE33" s="2795"/>
      <c r="QPF33" s="2795"/>
      <c r="QPG33" s="2795"/>
      <c r="QPH33" s="2795"/>
      <c r="QPI33" s="2795"/>
      <c r="QPJ33" s="2795"/>
      <c r="QPK33" s="2795"/>
      <c r="QPL33" s="2795"/>
      <c r="QPM33" s="2795"/>
      <c r="QPN33" s="2795"/>
      <c r="QPO33" s="2795"/>
      <c r="QPP33" s="2795"/>
      <c r="QPQ33" s="2795"/>
      <c r="QPR33" s="2795"/>
      <c r="QPS33" s="2795"/>
      <c r="QPT33" s="2795"/>
      <c r="QPU33" s="2795"/>
      <c r="QPV33" s="2795"/>
      <c r="QPW33" s="2795"/>
      <c r="QPX33" s="2795"/>
      <c r="QPY33" s="2795"/>
      <c r="QPZ33" s="2795"/>
      <c r="QQA33" s="2795"/>
      <c r="QQB33" s="2795"/>
      <c r="QQC33" s="2795"/>
      <c r="QQD33" s="2795"/>
      <c r="QQE33" s="2795"/>
      <c r="QQF33" s="2795"/>
      <c r="QQG33" s="2795"/>
      <c r="QQH33" s="2795"/>
      <c r="QQI33" s="2795"/>
      <c r="QQJ33" s="2795"/>
      <c r="QQK33" s="2795"/>
      <c r="QQL33" s="2795"/>
      <c r="QQM33" s="2795"/>
      <c r="QQN33" s="2795"/>
      <c r="QQO33" s="2795"/>
      <c r="QQP33" s="2795"/>
      <c r="QQQ33" s="2795"/>
      <c r="QQR33" s="2795"/>
      <c r="QQS33" s="2795"/>
      <c r="QQT33" s="2795"/>
      <c r="QQU33" s="2795"/>
      <c r="QQV33" s="2795"/>
      <c r="QQW33" s="2795"/>
      <c r="QQX33" s="2795"/>
      <c r="QQY33" s="2795"/>
      <c r="QQZ33" s="2795"/>
      <c r="QRA33" s="2795"/>
      <c r="QRB33" s="2795"/>
      <c r="QRC33" s="2795"/>
      <c r="QRD33" s="2795"/>
      <c r="QRE33" s="2795"/>
      <c r="QRF33" s="2795"/>
      <c r="QRG33" s="2795"/>
      <c r="QRH33" s="2795"/>
      <c r="QRI33" s="2795"/>
      <c r="QRJ33" s="2795"/>
      <c r="QRK33" s="2795"/>
      <c r="QRL33" s="2795"/>
      <c r="QRM33" s="2795"/>
      <c r="QRN33" s="2795"/>
      <c r="QRO33" s="2795"/>
      <c r="QRP33" s="2795"/>
      <c r="QRQ33" s="2795"/>
      <c r="QRR33" s="2795"/>
      <c r="QRS33" s="2795"/>
      <c r="QRT33" s="2795"/>
      <c r="QRU33" s="2795"/>
      <c r="QRV33" s="2795"/>
      <c r="QRW33" s="2795"/>
      <c r="QRX33" s="2795"/>
      <c r="QRY33" s="2795"/>
      <c r="QRZ33" s="2795"/>
      <c r="QSA33" s="2795"/>
      <c r="QSB33" s="2795"/>
      <c r="QSC33" s="2795"/>
      <c r="QSD33" s="2795"/>
      <c r="QSE33" s="2795"/>
      <c r="QSF33" s="2795"/>
      <c r="QSG33" s="2795"/>
      <c r="QSH33" s="2795"/>
      <c r="QSI33" s="2795"/>
      <c r="QSJ33" s="2795"/>
      <c r="QSK33" s="2795"/>
      <c r="QSL33" s="2795"/>
      <c r="QSM33" s="2795"/>
      <c r="QSN33" s="2795"/>
      <c r="QSO33" s="2795"/>
      <c r="QSP33" s="2795"/>
      <c r="QSQ33" s="2795"/>
      <c r="QSR33" s="2795"/>
      <c r="QSS33" s="2795"/>
      <c r="QST33" s="2795"/>
      <c r="QSU33" s="2795"/>
      <c r="QSV33" s="2795"/>
      <c r="QSW33" s="2795"/>
      <c r="QSX33" s="2795"/>
      <c r="QSY33" s="2795"/>
      <c r="QSZ33" s="2795"/>
      <c r="QTA33" s="2795"/>
      <c r="QTB33" s="2795"/>
      <c r="QTC33" s="2795"/>
      <c r="QTD33" s="2795"/>
      <c r="QTE33" s="2795"/>
      <c r="QTF33" s="2795"/>
      <c r="QTG33" s="2795"/>
      <c r="QTH33" s="2795"/>
      <c r="QTI33" s="2795"/>
      <c r="QTJ33" s="2795"/>
      <c r="QTK33" s="2795"/>
      <c r="QTL33" s="2795"/>
      <c r="QTM33" s="2795"/>
      <c r="QTN33" s="2795"/>
      <c r="QTO33" s="2795"/>
      <c r="QTP33" s="2795"/>
      <c r="QTQ33" s="2795"/>
      <c r="QTR33" s="2795"/>
      <c r="QTS33" s="2795"/>
      <c r="QTT33" s="2795"/>
      <c r="QTU33" s="2795"/>
      <c r="QTV33" s="2795"/>
      <c r="QTW33" s="2795"/>
      <c r="QTX33" s="2795"/>
      <c r="QTY33" s="2795"/>
      <c r="QTZ33" s="2795"/>
      <c r="QUA33" s="2795"/>
      <c r="QUB33" s="2795"/>
      <c r="QUC33" s="2795"/>
      <c r="QUD33" s="2795"/>
      <c r="QUE33" s="2795"/>
      <c r="QUF33" s="2795"/>
      <c r="QUG33" s="2795"/>
      <c r="QUH33" s="2795"/>
      <c r="QUI33" s="2795"/>
      <c r="QUJ33" s="2795"/>
      <c r="QUK33" s="2795"/>
      <c r="QUL33" s="2795"/>
      <c r="QUM33" s="2795"/>
      <c r="QUN33" s="2795"/>
      <c r="QUO33" s="2795"/>
      <c r="QUP33" s="2795"/>
      <c r="QUQ33" s="2795"/>
      <c r="QUR33" s="2795"/>
      <c r="QUS33" s="2795"/>
      <c r="QUT33" s="2795"/>
      <c r="QUU33" s="2795"/>
      <c r="QUV33" s="2795"/>
      <c r="QUW33" s="2795"/>
      <c r="QUX33" s="2795"/>
      <c r="QUY33" s="2795"/>
      <c r="QUZ33" s="2795"/>
      <c r="QVA33" s="2795"/>
      <c r="QVB33" s="2795"/>
      <c r="QVC33" s="2795"/>
      <c r="QVD33" s="2795"/>
      <c r="QVE33" s="2795"/>
      <c r="QVF33" s="2795"/>
      <c r="QVG33" s="2795"/>
      <c r="QVH33" s="2795"/>
      <c r="QVI33" s="2795"/>
      <c r="QVJ33" s="2795"/>
      <c r="QVK33" s="2795"/>
      <c r="QVL33" s="2795"/>
      <c r="QVM33" s="2795"/>
      <c r="QVN33" s="2795"/>
      <c r="QVO33" s="2795"/>
      <c r="QVP33" s="2795"/>
      <c r="QVQ33" s="2795"/>
      <c r="QVR33" s="2795"/>
      <c r="QVS33" s="2795"/>
      <c r="QVT33" s="2795"/>
      <c r="QVU33" s="2795"/>
      <c r="QVV33" s="2795"/>
      <c r="QVW33" s="2795"/>
      <c r="QVX33" s="2795"/>
      <c r="QVY33" s="2795"/>
      <c r="QVZ33" s="2795"/>
      <c r="QWA33" s="2795"/>
      <c r="QWB33" s="2795"/>
      <c r="QWC33" s="2795"/>
      <c r="QWD33" s="2795"/>
      <c r="QWE33" s="2795"/>
      <c r="QWF33" s="2795"/>
      <c r="QWG33" s="2795"/>
      <c r="QWH33" s="2795"/>
      <c r="QWI33" s="2795"/>
      <c r="QWJ33" s="2795"/>
      <c r="QWK33" s="2795"/>
      <c r="QWL33" s="2795"/>
      <c r="QWM33" s="2795"/>
      <c r="QWN33" s="2795"/>
      <c r="QWO33" s="2795"/>
      <c r="QWP33" s="2795"/>
      <c r="QWQ33" s="2795"/>
      <c r="QWR33" s="2795"/>
      <c r="QWS33" s="2795"/>
      <c r="QWT33" s="2795"/>
      <c r="QWU33" s="2795"/>
      <c r="QWV33" s="2795"/>
      <c r="QWW33" s="2795"/>
      <c r="QWX33" s="2795"/>
      <c r="QWY33" s="2795"/>
      <c r="QWZ33" s="2795"/>
      <c r="QXA33" s="2795"/>
      <c r="QXB33" s="2795"/>
      <c r="QXC33" s="2795"/>
      <c r="QXD33" s="2795"/>
      <c r="QXE33" s="2795"/>
      <c r="QXF33" s="2795"/>
      <c r="QXG33" s="2795"/>
      <c r="QXH33" s="2795"/>
      <c r="QXI33" s="2795"/>
      <c r="QXJ33" s="2795"/>
      <c r="QXK33" s="2795"/>
      <c r="QXL33" s="2795"/>
      <c r="QXM33" s="2795"/>
      <c r="QXN33" s="2795"/>
      <c r="QXO33" s="2795"/>
      <c r="QXP33" s="2795"/>
      <c r="QXQ33" s="2795"/>
      <c r="QXR33" s="2795"/>
      <c r="QXS33" s="2795"/>
      <c r="QXT33" s="2795"/>
      <c r="QXU33" s="2795"/>
      <c r="QXV33" s="2795"/>
      <c r="QXW33" s="2795"/>
      <c r="QXX33" s="2795"/>
      <c r="QXY33" s="2795"/>
      <c r="QXZ33" s="2795"/>
      <c r="QYA33" s="2795"/>
      <c r="QYB33" s="2795"/>
      <c r="QYC33" s="2795"/>
      <c r="QYD33" s="2795"/>
      <c r="QYE33" s="2795"/>
      <c r="QYF33" s="2795"/>
      <c r="QYG33" s="2795"/>
      <c r="QYH33" s="2795"/>
      <c r="QYI33" s="2795"/>
      <c r="QYJ33" s="2795"/>
      <c r="QYK33" s="2795"/>
      <c r="QYL33" s="2795"/>
      <c r="QYM33" s="2795"/>
      <c r="QYN33" s="2795"/>
      <c r="QYO33" s="2795"/>
      <c r="QYP33" s="2795"/>
      <c r="QYQ33" s="2795"/>
      <c r="QYR33" s="2795"/>
      <c r="QYS33" s="2795"/>
      <c r="QYT33" s="2795"/>
      <c r="QYU33" s="2795"/>
      <c r="QYV33" s="2795"/>
      <c r="QYW33" s="2795"/>
      <c r="QYX33" s="2795"/>
      <c r="QYY33" s="2795"/>
      <c r="QYZ33" s="2795"/>
      <c r="QZA33" s="2795"/>
      <c r="QZB33" s="2795"/>
      <c r="QZC33" s="2795"/>
      <c r="QZD33" s="2795"/>
      <c r="QZE33" s="2795"/>
      <c r="QZF33" s="2795"/>
      <c r="QZG33" s="2795"/>
      <c r="QZH33" s="2795"/>
      <c r="QZI33" s="2795"/>
      <c r="QZJ33" s="2795"/>
      <c r="QZK33" s="2795"/>
      <c r="QZL33" s="2795"/>
      <c r="QZM33" s="2795"/>
      <c r="QZN33" s="2795"/>
      <c r="QZO33" s="2795"/>
      <c r="QZP33" s="2795"/>
      <c r="QZQ33" s="2795"/>
      <c r="QZR33" s="2795"/>
      <c r="QZS33" s="2795"/>
      <c r="QZT33" s="2795"/>
      <c r="QZU33" s="2795"/>
      <c r="QZV33" s="2795"/>
      <c r="QZW33" s="2795"/>
      <c r="QZX33" s="2795"/>
      <c r="QZY33" s="2795"/>
      <c r="QZZ33" s="2795"/>
      <c r="RAA33" s="2795"/>
      <c r="RAB33" s="2795"/>
      <c r="RAC33" s="2795"/>
      <c r="RAD33" s="2795"/>
      <c r="RAE33" s="2795"/>
      <c r="RAF33" s="2795"/>
      <c r="RAG33" s="2795"/>
      <c r="RAH33" s="2795"/>
      <c r="RAI33" s="2795"/>
      <c r="RAJ33" s="2795"/>
      <c r="RAK33" s="2795"/>
      <c r="RAL33" s="2795"/>
      <c r="RAM33" s="2795"/>
      <c r="RAN33" s="2795"/>
      <c r="RAO33" s="2795"/>
      <c r="RAP33" s="2795"/>
      <c r="RAQ33" s="2795"/>
      <c r="RAR33" s="2795"/>
      <c r="RAS33" s="2795"/>
      <c r="RAT33" s="2795"/>
      <c r="RAU33" s="2795"/>
      <c r="RAV33" s="2795"/>
      <c r="RAW33" s="2795"/>
      <c r="RAX33" s="2795"/>
      <c r="RAY33" s="2795"/>
      <c r="RAZ33" s="2795"/>
      <c r="RBA33" s="2795"/>
      <c r="RBB33" s="2795"/>
      <c r="RBC33" s="2795"/>
      <c r="RBD33" s="2795"/>
      <c r="RBE33" s="2795"/>
      <c r="RBF33" s="2795"/>
      <c r="RBG33" s="2795"/>
      <c r="RBH33" s="2795"/>
      <c r="RBI33" s="2795"/>
      <c r="RBJ33" s="2795"/>
      <c r="RBK33" s="2795"/>
      <c r="RBL33" s="2795"/>
      <c r="RBM33" s="2795"/>
      <c r="RBN33" s="2795"/>
      <c r="RBO33" s="2795"/>
      <c r="RBP33" s="2795"/>
      <c r="RBQ33" s="2795"/>
      <c r="RBR33" s="2795"/>
      <c r="RBS33" s="2795"/>
      <c r="RBT33" s="2795"/>
      <c r="RBU33" s="2795"/>
      <c r="RBV33" s="2795"/>
      <c r="RBW33" s="2795"/>
      <c r="RBX33" s="2795"/>
      <c r="RBY33" s="2795"/>
      <c r="RBZ33" s="2795"/>
      <c r="RCA33" s="2795"/>
      <c r="RCB33" s="2795"/>
      <c r="RCC33" s="2795"/>
      <c r="RCD33" s="2795"/>
      <c r="RCE33" s="2795"/>
      <c r="RCF33" s="2795"/>
      <c r="RCG33" s="2795"/>
      <c r="RCH33" s="2795"/>
      <c r="RCI33" s="2795"/>
      <c r="RCJ33" s="2795"/>
      <c r="RCK33" s="2795"/>
      <c r="RCL33" s="2795"/>
      <c r="RCM33" s="2795"/>
      <c r="RCN33" s="2795"/>
      <c r="RCO33" s="2795"/>
      <c r="RCP33" s="2795"/>
      <c r="RCQ33" s="2795"/>
      <c r="RCR33" s="2795"/>
      <c r="RCS33" s="2795"/>
      <c r="RCT33" s="2795"/>
      <c r="RCU33" s="2795"/>
      <c r="RCV33" s="2795"/>
      <c r="RCW33" s="2795"/>
      <c r="RCX33" s="2795"/>
      <c r="RCY33" s="2795"/>
      <c r="RCZ33" s="2795"/>
      <c r="RDA33" s="2795"/>
      <c r="RDB33" s="2795"/>
      <c r="RDC33" s="2795"/>
      <c r="RDD33" s="2795"/>
      <c r="RDE33" s="2795"/>
      <c r="RDF33" s="2795"/>
      <c r="RDG33" s="2795"/>
      <c r="RDH33" s="2795"/>
      <c r="RDI33" s="2795"/>
      <c r="RDJ33" s="2795"/>
      <c r="RDK33" s="2795"/>
      <c r="RDL33" s="2795"/>
      <c r="RDM33" s="2795"/>
      <c r="RDN33" s="2795"/>
      <c r="RDO33" s="2795"/>
      <c r="RDP33" s="2795"/>
      <c r="RDQ33" s="2795"/>
      <c r="RDR33" s="2795"/>
      <c r="RDS33" s="2795"/>
      <c r="RDT33" s="2795"/>
      <c r="RDU33" s="2795"/>
      <c r="RDV33" s="2795"/>
      <c r="RDW33" s="2795"/>
      <c r="RDX33" s="2795"/>
      <c r="RDY33" s="2795"/>
      <c r="RDZ33" s="2795"/>
      <c r="REA33" s="2795"/>
      <c r="REB33" s="2795"/>
      <c r="REC33" s="2795"/>
      <c r="RED33" s="2795"/>
      <c r="REE33" s="2795"/>
      <c r="REF33" s="2795"/>
      <c r="REG33" s="2795"/>
      <c r="REH33" s="2795"/>
      <c r="REI33" s="2795"/>
      <c r="REJ33" s="2795"/>
      <c r="REK33" s="2795"/>
      <c r="REL33" s="2795"/>
      <c r="REM33" s="2795"/>
      <c r="REN33" s="2795"/>
      <c r="REO33" s="2795"/>
      <c r="REP33" s="2795"/>
      <c r="REQ33" s="2795"/>
      <c r="RER33" s="2795"/>
      <c r="RES33" s="2795"/>
      <c r="RET33" s="2795"/>
      <c r="REU33" s="2795"/>
      <c r="REV33" s="2795"/>
      <c r="REW33" s="2795"/>
      <c r="REX33" s="2795"/>
      <c r="REY33" s="2795"/>
      <c r="REZ33" s="2795"/>
      <c r="RFA33" s="2795"/>
      <c r="RFB33" s="2795"/>
      <c r="RFC33" s="2795"/>
      <c r="RFD33" s="2795"/>
      <c r="RFE33" s="2795"/>
      <c r="RFF33" s="2795"/>
      <c r="RFG33" s="2795"/>
      <c r="RFH33" s="2795"/>
      <c r="RFI33" s="2795"/>
      <c r="RFJ33" s="2795"/>
      <c r="RFK33" s="2795"/>
      <c r="RFL33" s="2795"/>
      <c r="RFM33" s="2795"/>
      <c r="RFN33" s="2795"/>
      <c r="RFO33" s="2795"/>
      <c r="RFP33" s="2795"/>
      <c r="RFQ33" s="2795"/>
      <c r="RFR33" s="2795"/>
      <c r="RFS33" s="2795"/>
      <c r="RFT33" s="2795"/>
      <c r="RFU33" s="2795"/>
      <c r="RFV33" s="2795"/>
      <c r="RFW33" s="2795"/>
      <c r="RFX33" s="2795"/>
      <c r="RFY33" s="2795"/>
      <c r="RFZ33" s="2795"/>
      <c r="RGA33" s="2795"/>
      <c r="RGB33" s="2795"/>
      <c r="RGC33" s="2795"/>
      <c r="RGD33" s="2795"/>
      <c r="RGE33" s="2795"/>
      <c r="RGF33" s="2795"/>
      <c r="RGG33" s="2795"/>
      <c r="RGH33" s="2795"/>
      <c r="RGI33" s="2795"/>
      <c r="RGJ33" s="2795"/>
      <c r="RGK33" s="2795"/>
      <c r="RGL33" s="2795"/>
      <c r="RGM33" s="2795"/>
      <c r="RGN33" s="2795"/>
      <c r="RGO33" s="2795"/>
      <c r="RGP33" s="2795"/>
      <c r="RGQ33" s="2795"/>
      <c r="RGR33" s="2795"/>
      <c r="RGS33" s="2795"/>
      <c r="RGT33" s="2795"/>
      <c r="RGU33" s="2795"/>
      <c r="RGV33" s="2795"/>
      <c r="RGW33" s="2795"/>
      <c r="RGX33" s="2795"/>
      <c r="RGY33" s="2795"/>
      <c r="RGZ33" s="2795"/>
      <c r="RHA33" s="2795"/>
      <c r="RHB33" s="2795"/>
      <c r="RHC33" s="2795"/>
      <c r="RHD33" s="2795"/>
      <c r="RHE33" s="2795"/>
      <c r="RHF33" s="2795"/>
      <c r="RHG33" s="2795"/>
      <c r="RHH33" s="2795"/>
      <c r="RHI33" s="2795"/>
      <c r="RHJ33" s="2795"/>
      <c r="RHK33" s="2795"/>
      <c r="RHL33" s="2795"/>
      <c r="RHM33" s="2795"/>
      <c r="RHN33" s="2795"/>
      <c r="RHO33" s="2795"/>
      <c r="RHP33" s="2795"/>
      <c r="RHQ33" s="2795"/>
      <c r="RHR33" s="2795"/>
      <c r="RHS33" s="2795"/>
      <c r="RHT33" s="2795"/>
      <c r="RHU33" s="2795"/>
      <c r="RHV33" s="2795"/>
      <c r="RHW33" s="2795"/>
      <c r="RHX33" s="2795"/>
      <c r="RHY33" s="2795"/>
      <c r="RHZ33" s="2795"/>
      <c r="RIA33" s="2795"/>
      <c r="RIB33" s="2795"/>
      <c r="RIC33" s="2795"/>
      <c r="RID33" s="2795"/>
      <c r="RIE33" s="2795"/>
      <c r="RIF33" s="2795"/>
      <c r="RIG33" s="2795"/>
      <c r="RIH33" s="2795"/>
      <c r="RII33" s="2795"/>
      <c r="RIJ33" s="2795"/>
      <c r="RIK33" s="2795"/>
      <c r="RIL33" s="2795"/>
      <c r="RIM33" s="2795"/>
      <c r="RIN33" s="2795"/>
      <c r="RIO33" s="2795"/>
      <c r="RIP33" s="2795"/>
      <c r="RIQ33" s="2795"/>
      <c r="RIR33" s="2795"/>
      <c r="RIS33" s="2795"/>
      <c r="RIT33" s="2795"/>
      <c r="RIU33" s="2795"/>
      <c r="RIV33" s="2795"/>
      <c r="RIW33" s="2795"/>
      <c r="RIX33" s="2795"/>
      <c r="RIY33" s="2795"/>
      <c r="RIZ33" s="2795"/>
      <c r="RJA33" s="2795"/>
      <c r="RJB33" s="2795"/>
      <c r="RJC33" s="2795"/>
      <c r="RJD33" s="2795"/>
      <c r="RJE33" s="2795"/>
      <c r="RJF33" s="2795"/>
      <c r="RJG33" s="2795"/>
      <c r="RJH33" s="2795"/>
      <c r="RJI33" s="2795"/>
      <c r="RJJ33" s="2795"/>
      <c r="RJK33" s="2795"/>
      <c r="RJL33" s="2795"/>
      <c r="RJM33" s="2795"/>
      <c r="RJN33" s="2795"/>
      <c r="RJO33" s="2795"/>
      <c r="RJP33" s="2795"/>
      <c r="RJQ33" s="2795"/>
      <c r="RJR33" s="2795"/>
      <c r="RJS33" s="2795"/>
      <c r="RJT33" s="2795"/>
      <c r="RJU33" s="2795"/>
      <c r="RJV33" s="2795"/>
      <c r="RJW33" s="2795"/>
      <c r="RJX33" s="2795"/>
      <c r="RJY33" s="2795"/>
      <c r="RJZ33" s="2795"/>
      <c r="RKA33" s="2795"/>
      <c r="RKB33" s="2795"/>
      <c r="RKC33" s="2795"/>
      <c r="RKD33" s="2795"/>
      <c r="RKE33" s="2795"/>
      <c r="RKF33" s="2795"/>
      <c r="RKG33" s="2795"/>
      <c r="RKH33" s="2795"/>
      <c r="RKI33" s="2795"/>
      <c r="RKJ33" s="2795"/>
      <c r="RKK33" s="2795"/>
      <c r="RKL33" s="2795"/>
      <c r="RKM33" s="2795"/>
      <c r="RKN33" s="2795"/>
      <c r="RKO33" s="2795"/>
      <c r="RKP33" s="2795"/>
      <c r="RKQ33" s="2795"/>
      <c r="RKR33" s="2795"/>
      <c r="RKS33" s="2795"/>
      <c r="RKT33" s="2795"/>
      <c r="RKU33" s="2795"/>
      <c r="RKV33" s="2795"/>
      <c r="RKW33" s="2795"/>
      <c r="RKX33" s="2795"/>
      <c r="RKY33" s="2795"/>
      <c r="RKZ33" s="2795"/>
      <c r="RLA33" s="2795"/>
      <c r="RLB33" s="2795"/>
      <c r="RLC33" s="2795"/>
      <c r="RLD33" s="2795"/>
      <c r="RLE33" s="2795"/>
      <c r="RLF33" s="2795"/>
      <c r="RLG33" s="2795"/>
      <c r="RLH33" s="2795"/>
      <c r="RLI33" s="2795"/>
      <c r="RLJ33" s="2795"/>
      <c r="RLK33" s="2795"/>
      <c r="RLL33" s="2795"/>
      <c r="RLM33" s="2795"/>
      <c r="RLN33" s="2795"/>
      <c r="RLO33" s="2795"/>
      <c r="RLP33" s="2795"/>
      <c r="RLQ33" s="2795"/>
      <c r="RLR33" s="2795"/>
      <c r="RLS33" s="2795"/>
      <c r="RLT33" s="2795"/>
      <c r="RLU33" s="2795"/>
      <c r="RLV33" s="2795"/>
      <c r="RLW33" s="2795"/>
      <c r="RLX33" s="2795"/>
      <c r="RLY33" s="2795"/>
      <c r="RLZ33" s="2795"/>
      <c r="RMA33" s="2795"/>
      <c r="RMB33" s="2795"/>
      <c r="RMC33" s="2795"/>
      <c r="RMD33" s="2795"/>
      <c r="RME33" s="2795"/>
      <c r="RMF33" s="2795"/>
      <c r="RMG33" s="2795"/>
      <c r="RMH33" s="2795"/>
      <c r="RMI33" s="2795"/>
      <c r="RMJ33" s="2795"/>
      <c r="RMK33" s="2795"/>
      <c r="RML33" s="2795"/>
      <c r="RMM33" s="2795"/>
      <c r="RMN33" s="2795"/>
      <c r="RMO33" s="2795"/>
      <c r="RMP33" s="2795"/>
      <c r="RMQ33" s="2795"/>
      <c r="RMR33" s="2795"/>
      <c r="RMS33" s="2795"/>
      <c r="RMT33" s="2795"/>
      <c r="RMU33" s="2795"/>
      <c r="RMV33" s="2795"/>
      <c r="RMW33" s="2795"/>
      <c r="RMX33" s="2795"/>
      <c r="RMY33" s="2795"/>
      <c r="RMZ33" s="2795"/>
      <c r="RNA33" s="2795"/>
      <c r="RNB33" s="2795"/>
      <c r="RNC33" s="2795"/>
      <c r="RND33" s="2795"/>
      <c r="RNE33" s="2795"/>
      <c r="RNF33" s="2795"/>
      <c r="RNG33" s="2795"/>
      <c r="RNH33" s="2795"/>
      <c r="RNI33" s="2795"/>
      <c r="RNJ33" s="2795"/>
      <c r="RNK33" s="2795"/>
      <c r="RNL33" s="2795"/>
      <c r="RNM33" s="2795"/>
      <c r="RNN33" s="2795"/>
      <c r="RNO33" s="2795"/>
      <c r="RNP33" s="2795"/>
      <c r="RNQ33" s="2795"/>
      <c r="RNR33" s="2795"/>
      <c r="RNS33" s="2795"/>
      <c r="RNT33" s="2795"/>
      <c r="RNU33" s="2795"/>
      <c r="RNV33" s="2795"/>
      <c r="RNW33" s="2795"/>
      <c r="RNX33" s="2795"/>
      <c r="RNY33" s="2795"/>
      <c r="RNZ33" s="2795"/>
      <c r="ROA33" s="2795"/>
      <c r="ROB33" s="2795"/>
      <c r="ROC33" s="2795"/>
      <c r="ROD33" s="2795"/>
      <c r="ROE33" s="2795"/>
      <c r="ROF33" s="2795"/>
      <c r="ROG33" s="2795"/>
      <c r="ROH33" s="2795"/>
      <c r="ROI33" s="2795"/>
      <c r="ROJ33" s="2795"/>
      <c r="ROK33" s="2795"/>
      <c r="ROL33" s="2795"/>
      <c r="ROM33" s="2795"/>
      <c r="RON33" s="2795"/>
      <c r="ROO33" s="2795"/>
      <c r="ROP33" s="2795"/>
      <c r="ROQ33" s="2795"/>
      <c r="ROR33" s="2795"/>
      <c r="ROS33" s="2795"/>
      <c r="ROT33" s="2795"/>
      <c r="ROU33" s="2795"/>
      <c r="ROV33" s="2795"/>
      <c r="ROW33" s="2795"/>
      <c r="ROX33" s="2795"/>
      <c r="ROY33" s="2795"/>
      <c r="ROZ33" s="2795"/>
      <c r="RPA33" s="2795"/>
      <c r="RPB33" s="2795"/>
      <c r="RPC33" s="2795"/>
      <c r="RPD33" s="2795"/>
      <c r="RPE33" s="2795"/>
      <c r="RPF33" s="2795"/>
      <c r="RPG33" s="2795"/>
      <c r="RPH33" s="2795"/>
      <c r="RPI33" s="2795"/>
      <c r="RPJ33" s="2795"/>
      <c r="RPK33" s="2795"/>
      <c r="RPL33" s="2795"/>
      <c r="RPM33" s="2795"/>
      <c r="RPN33" s="2795"/>
      <c r="RPO33" s="2795"/>
      <c r="RPP33" s="2795"/>
      <c r="RPQ33" s="2795"/>
      <c r="RPR33" s="2795"/>
      <c r="RPS33" s="2795"/>
      <c r="RPT33" s="2795"/>
      <c r="RPU33" s="2795"/>
      <c r="RPV33" s="2795"/>
      <c r="RPW33" s="2795"/>
      <c r="RPX33" s="2795"/>
      <c r="RPY33" s="2795"/>
      <c r="RPZ33" s="2795"/>
      <c r="RQA33" s="2795"/>
      <c r="RQB33" s="2795"/>
      <c r="RQC33" s="2795"/>
      <c r="RQD33" s="2795"/>
      <c r="RQE33" s="2795"/>
      <c r="RQF33" s="2795"/>
      <c r="RQG33" s="2795"/>
      <c r="RQH33" s="2795"/>
      <c r="RQI33" s="2795"/>
      <c r="RQJ33" s="2795"/>
      <c r="RQK33" s="2795"/>
      <c r="RQL33" s="2795"/>
      <c r="RQM33" s="2795"/>
      <c r="RQN33" s="2795"/>
      <c r="RQO33" s="2795"/>
      <c r="RQP33" s="2795"/>
      <c r="RQQ33" s="2795"/>
      <c r="RQR33" s="2795"/>
      <c r="RQS33" s="2795"/>
      <c r="RQT33" s="2795"/>
      <c r="RQU33" s="2795"/>
      <c r="RQV33" s="2795"/>
      <c r="RQW33" s="2795"/>
      <c r="RQX33" s="2795"/>
      <c r="RQY33" s="2795"/>
      <c r="RQZ33" s="2795"/>
      <c r="RRA33" s="2795"/>
      <c r="RRB33" s="2795"/>
      <c r="RRC33" s="2795"/>
      <c r="RRD33" s="2795"/>
      <c r="RRE33" s="2795"/>
      <c r="RRF33" s="2795"/>
      <c r="RRG33" s="2795"/>
      <c r="RRH33" s="2795"/>
      <c r="RRI33" s="2795"/>
      <c r="RRJ33" s="2795"/>
      <c r="RRK33" s="2795"/>
      <c r="RRL33" s="2795"/>
      <c r="RRM33" s="2795"/>
      <c r="RRN33" s="2795"/>
      <c r="RRO33" s="2795"/>
      <c r="RRP33" s="2795"/>
      <c r="RRQ33" s="2795"/>
      <c r="RRR33" s="2795"/>
      <c r="RRS33" s="2795"/>
      <c r="RRT33" s="2795"/>
      <c r="RRU33" s="2795"/>
      <c r="RRV33" s="2795"/>
      <c r="RRW33" s="2795"/>
      <c r="RRX33" s="2795"/>
      <c r="RRY33" s="2795"/>
      <c r="RRZ33" s="2795"/>
      <c r="RSA33" s="2795"/>
      <c r="RSB33" s="2795"/>
      <c r="RSC33" s="2795"/>
      <c r="RSD33" s="2795"/>
      <c r="RSE33" s="2795"/>
      <c r="RSF33" s="2795"/>
      <c r="RSG33" s="2795"/>
      <c r="RSH33" s="2795"/>
      <c r="RSI33" s="2795"/>
      <c r="RSJ33" s="2795"/>
      <c r="RSK33" s="2795"/>
      <c r="RSL33" s="2795"/>
      <c r="RSM33" s="2795"/>
      <c r="RSN33" s="2795"/>
      <c r="RSO33" s="2795"/>
      <c r="RSP33" s="2795"/>
      <c r="RSQ33" s="2795"/>
      <c r="RSR33" s="2795"/>
      <c r="RSS33" s="2795"/>
      <c r="RST33" s="2795"/>
      <c r="RSU33" s="2795"/>
      <c r="RSV33" s="2795"/>
      <c r="RSW33" s="2795"/>
      <c r="RSX33" s="2795"/>
      <c r="RSY33" s="2795"/>
      <c r="RSZ33" s="2795"/>
      <c r="RTA33" s="2795"/>
      <c r="RTB33" s="2795"/>
      <c r="RTC33" s="2795"/>
      <c r="RTD33" s="2795"/>
      <c r="RTE33" s="2795"/>
      <c r="RTF33" s="2795"/>
      <c r="RTG33" s="2795"/>
      <c r="RTH33" s="2795"/>
      <c r="RTI33" s="2795"/>
      <c r="RTJ33" s="2795"/>
      <c r="RTK33" s="2795"/>
      <c r="RTL33" s="2795"/>
      <c r="RTM33" s="2795"/>
      <c r="RTN33" s="2795"/>
      <c r="RTO33" s="2795"/>
      <c r="RTP33" s="2795"/>
      <c r="RTQ33" s="2795"/>
      <c r="RTR33" s="2795"/>
      <c r="RTS33" s="2795"/>
      <c r="RTT33" s="2795"/>
      <c r="RTU33" s="2795"/>
      <c r="RTV33" s="2795"/>
      <c r="RTW33" s="2795"/>
      <c r="RTX33" s="2795"/>
      <c r="RTY33" s="2795"/>
      <c r="RTZ33" s="2795"/>
      <c r="RUA33" s="2795"/>
      <c r="RUB33" s="2795"/>
      <c r="RUC33" s="2795"/>
      <c r="RUD33" s="2795"/>
      <c r="RUE33" s="2795"/>
      <c r="RUF33" s="2795"/>
      <c r="RUG33" s="2795"/>
      <c r="RUH33" s="2795"/>
      <c r="RUI33" s="2795"/>
      <c r="RUJ33" s="2795"/>
      <c r="RUK33" s="2795"/>
      <c r="RUL33" s="2795"/>
      <c r="RUM33" s="2795"/>
      <c r="RUN33" s="2795"/>
      <c r="RUO33" s="2795"/>
      <c r="RUP33" s="2795"/>
      <c r="RUQ33" s="2795"/>
      <c r="RUR33" s="2795"/>
      <c r="RUS33" s="2795"/>
      <c r="RUT33" s="2795"/>
      <c r="RUU33" s="2795"/>
      <c r="RUV33" s="2795"/>
      <c r="RUW33" s="2795"/>
      <c r="RUX33" s="2795"/>
      <c r="RUY33" s="2795"/>
      <c r="RUZ33" s="2795"/>
      <c r="RVA33" s="2795"/>
      <c r="RVB33" s="2795"/>
      <c r="RVC33" s="2795"/>
      <c r="RVD33" s="2795"/>
      <c r="RVE33" s="2795"/>
      <c r="RVF33" s="2795"/>
      <c r="RVG33" s="2795"/>
      <c r="RVH33" s="2795"/>
      <c r="RVI33" s="2795"/>
      <c r="RVJ33" s="2795"/>
      <c r="RVK33" s="2795"/>
      <c r="RVL33" s="2795"/>
      <c r="RVM33" s="2795"/>
      <c r="RVN33" s="2795"/>
      <c r="RVO33" s="2795"/>
      <c r="RVP33" s="2795"/>
      <c r="RVQ33" s="2795"/>
      <c r="RVR33" s="2795"/>
      <c r="RVS33" s="2795"/>
      <c r="RVT33" s="2795"/>
      <c r="RVU33" s="2795"/>
      <c r="RVV33" s="2795"/>
      <c r="RVW33" s="2795"/>
      <c r="RVX33" s="2795"/>
      <c r="RVY33" s="2795"/>
      <c r="RVZ33" s="2795"/>
      <c r="RWA33" s="2795"/>
      <c r="RWB33" s="2795"/>
      <c r="RWC33" s="2795"/>
      <c r="RWD33" s="2795"/>
      <c r="RWE33" s="2795"/>
      <c r="RWF33" s="2795"/>
      <c r="RWG33" s="2795"/>
      <c r="RWH33" s="2795"/>
      <c r="RWI33" s="2795"/>
      <c r="RWJ33" s="2795"/>
      <c r="RWK33" s="2795"/>
      <c r="RWL33" s="2795"/>
      <c r="RWM33" s="2795"/>
      <c r="RWN33" s="2795"/>
      <c r="RWO33" s="2795"/>
      <c r="RWP33" s="2795"/>
      <c r="RWQ33" s="2795"/>
      <c r="RWR33" s="2795"/>
      <c r="RWS33" s="2795"/>
      <c r="RWT33" s="2795"/>
      <c r="RWU33" s="2795"/>
      <c r="RWV33" s="2795"/>
      <c r="RWW33" s="2795"/>
      <c r="RWX33" s="2795"/>
      <c r="RWY33" s="2795"/>
      <c r="RWZ33" s="2795"/>
      <c r="RXA33" s="2795"/>
      <c r="RXB33" s="2795"/>
      <c r="RXC33" s="2795"/>
      <c r="RXD33" s="2795"/>
      <c r="RXE33" s="2795"/>
      <c r="RXF33" s="2795"/>
      <c r="RXG33" s="2795"/>
      <c r="RXH33" s="2795"/>
      <c r="RXI33" s="2795"/>
      <c r="RXJ33" s="2795"/>
      <c r="RXK33" s="2795"/>
      <c r="RXL33" s="2795"/>
      <c r="RXM33" s="2795"/>
      <c r="RXN33" s="2795"/>
      <c r="RXO33" s="2795"/>
      <c r="RXP33" s="2795"/>
      <c r="RXQ33" s="2795"/>
      <c r="RXR33" s="2795"/>
      <c r="RXS33" s="2795"/>
      <c r="RXT33" s="2795"/>
      <c r="RXU33" s="2795"/>
      <c r="RXV33" s="2795"/>
      <c r="RXW33" s="2795"/>
      <c r="RXX33" s="2795"/>
      <c r="RXY33" s="2795"/>
      <c r="RXZ33" s="2795"/>
      <c r="RYA33" s="2795"/>
      <c r="RYB33" s="2795"/>
      <c r="RYC33" s="2795"/>
      <c r="RYD33" s="2795"/>
      <c r="RYE33" s="2795"/>
      <c r="RYF33" s="2795"/>
      <c r="RYG33" s="2795"/>
      <c r="RYH33" s="2795"/>
      <c r="RYI33" s="2795"/>
      <c r="RYJ33" s="2795"/>
      <c r="RYK33" s="2795"/>
      <c r="RYL33" s="2795"/>
      <c r="RYM33" s="2795"/>
      <c r="RYN33" s="2795"/>
      <c r="RYO33" s="2795"/>
      <c r="RYP33" s="2795"/>
      <c r="RYQ33" s="2795"/>
      <c r="RYR33" s="2795"/>
      <c r="RYS33" s="2795"/>
      <c r="RYT33" s="2795"/>
      <c r="RYU33" s="2795"/>
      <c r="RYV33" s="2795"/>
      <c r="RYW33" s="2795"/>
      <c r="RYX33" s="2795"/>
      <c r="RYY33" s="2795"/>
      <c r="RYZ33" s="2795"/>
      <c r="RZA33" s="2795"/>
      <c r="RZB33" s="2795"/>
      <c r="RZC33" s="2795"/>
      <c r="RZD33" s="2795"/>
      <c r="RZE33" s="2795"/>
      <c r="RZF33" s="2795"/>
      <c r="RZG33" s="2795"/>
      <c r="RZH33" s="2795"/>
      <c r="RZI33" s="2795"/>
      <c r="RZJ33" s="2795"/>
      <c r="RZK33" s="2795"/>
      <c r="RZL33" s="2795"/>
      <c r="RZM33" s="2795"/>
      <c r="RZN33" s="2795"/>
      <c r="RZO33" s="2795"/>
      <c r="RZP33" s="2795"/>
      <c r="RZQ33" s="2795"/>
      <c r="RZR33" s="2795"/>
      <c r="RZS33" s="2795"/>
      <c r="RZT33" s="2795"/>
      <c r="RZU33" s="2795"/>
      <c r="RZV33" s="2795"/>
      <c r="RZW33" s="2795"/>
      <c r="RZX33" s="2795"/>
      <c r="RZY33" s="2795"/>
      <c r="RZZ33" s="2795"/>
      <c r="SAA33" s="2795"/>
      <c r="SAB33" s="2795"/>
      <c r="SAC33" s="2795"/>
      <c r="SAD33" s="2795"/>
      <c r="SAE33" s="2795"/>
      <c r="SAF33" s="2795"/>
      <c r="SAG33" s="2795"/>
      <c r="SAH33" s="2795"/>
      <c r="SAI33" s="2795"/>
      <c r="SAJ33" s="2795"/>
      <c r="SAK33" s="2795"/>
      <c r="SAL33" s="2795"/>
      <c r="SAM33" s="2795"/>
      <c r="SAN33" s="2795"/>
      <c r="SAO33" s="2795"/>
      <c r="SAP33" s="2795"/>
      <c r="SAQ33" s="2795"/>
      <c r="SAR33" s="2795"/>
      <c r="SAS33" s="2795"/>
      <c r="SAT33" s="2795"/>
      <c r="SAU33" s="2795"/>
      <c r="SAV33" s="2795"/>
      <c r="SAW33" s="2795"/>
      <c r="SAX33" s="2795"/>
      <c r="SAY33" s="2795"/>
      <c r="SAZ33" s="2795"/>
      <c r="SBA33" s="2795"/>
      <c r="SBB33" s="2795"/>
      <c r="SBC33" s="2795"/>
      <c r="SBD33" s="2795"/>
      <c r="SBE33" s="2795"/>
      <c r="SBF33" s="2795"/>
      <c r="SBG33" s="2795"/>
      <c r="SBH33" s="2795"/>
      <c r="SBI33" s="2795"/>
      <c r="SBJ33" s="2795"/>
      <c r="SBK33" s="2795"/>
      <c r="SBL33" s="2795"/>
      <c r="SBM33" s="2795"/>
      <c r="SBN33" s="2795"/>
      <c r="SBO33" s="2795"/>
      <c r="SBP33" s="2795"/>
      <c r="SBQ33" s="2795"/>
      <c r="SBR33" s="2795"/>
      <c r="SBS33" s="2795"/>
      <c r="SBT33" s="2795"/>
      <c r="SBU33" s="2795"/>
      <c r="SBV33" s="2795"/>
      <c r="SBW33" s="2795"/>
      <c r="SBX33" s="2795"/>
      <c r="SBY33" s="2795"/>
      <c r="SBZ33" s="2795"/>
      <c r="SCA33" s="2795"/>
      <c r="SCB33" s="2795"/>
      <c r="SCC33" s="2795"/>
      <c r="SCD33" s="2795"/>
      <c r="SCE33" s="2795"/>
      <c r="SCF33" s="2795"/>
      <c r="SCG33" s="2795"/>
      <c r="SCH33" s="2795"/>
      <c r="SCI33" s="2795"/>
      <c r="SCJ33" s="2795"/>
      <c r="SCK33" s="2795"/>
      <c r="SCL33" s="2795"/>
      <c r="SCM33" s="2795"/>
      <c r="SCN33" s="2795"/>
      <c r="SCO33" s="2795"/>
      <c r="SCP33" s="2795"/>
      <c r="SCQ33" s="2795"/>
      <c r="SCR33" s="2795"/>
      <c r="SCS33" s="2795"/>
      <c r="SCT33" s="2795"/>
      <c r="SCU33" s="2795"/>
      <c r="SCV33" s="2795"/>
      <c r="SCW33" s="2795"/>
      <c r="SCX33" s="2795"/>
      <c r="SCY33" s="2795"/>
      <c r="SCZ33" s="2795"/>
      <c r="SDA33" s="2795"/>
      <c r="SDB33" s="2795"/>
      <c r="SDC33" s="2795"/>
      <c r="SDD33" s="2795"/>
      <c r="SDE33" s="2795"/>
      <c r="SDF33" s="2795"/>
      <c r="SDG33" s="2795"/>
      <c r="SDH33" s="2795"/>
      <c r="SDI33" s="2795"/>
      <c r="SDJ33" s="2795"/>
      <c r="SDK33" s="2795"/>
      <c r="SDL33" s="2795"/>
      <c r="SDM33" s="2795"/>
      <c r="SDN33" s="2795"/>
      <c r="SDO33" s="2795"/>
      <c r="SDP33" s="2795"/>
      <c r="SDQ33" s="2795"/>
      <c r="SDR33" s="2795"/>
      <c r="SDS33" s="2795"/>
      <c r="SDT33" s="2795"/>
      <c r="SDU33" s="2795"/>
      <c r="SDV33" s="2795"/>
      <c r="SDW33" s="2795"/>
      <c r="SDX33" s="2795"/>
      <c r="SDY33" s="2795"/>
      <c r="SDZ33" s="2795"/>
      <c r="SEA33" s="2795"/>
      <c r="SEB33" s="2795"/>
      <c r="SEC33" s="2795"/>
      <c r="SED33" s="2795"/>
      <c r="SEE33" s="2795"/>
      <c r="SEF33" s="2795"/>
      <c r="SEG33" s="2795"/>
      <c r="SEH33" s="2795"/>
      <c r="SEI33" s="2795"/>
      <c r="SEJ33" s="2795"/>
      <c r="SEK33" s="2795"/>
      <c r="SEL33" s="2795"/>
      <c r="SEM33" s="2795"/>
      <c r="SEN33" s="2795"/>
      <c r="SEO33" s="2795"/>
      <c r="SEP33" s="2795"/>
      <c r="SEQ33" s="2795"/>
      <c r="SER33" s="2795"/>
      <c r="SES33" s="2795"/>
      <c r="SET33" s="2795"/>
      <c r="SEU33" s="2795"/>
      <c r="SEV33" s="2795"/>
      <c r="SEW33" s="2795"/>
      <c r="SEX33" s="2795"/>
      <c r="SEY33" s="2795"/>
      <c r="SEZ33" s="2795"/>
      <c r="SFA33" s="2795"/>
      <c r="SFB33" s="2795"/>
      <c r="SFC33" s="2795"/>
      <c r="SFD33" s="2795"/>
      <c r="SFE33" s="2795"/>
      <c r="SFF33" s="2795"/>
      <c r="SFG33" s="2795"/>
      <c r="SFH33" s="2795"/>
      <c r="SFI33" s="2795"/>
      <c r="SFJ33" s="2795"/>
      <c r="SFK33" s="2795"/>
      <c r="SFL33" s="2795"/>
      <c r="SFM33" s="2795"/>
      <c r="SFN33" s="2795"/>
      <c r="SFO33" s="2795"/>
      <c r="SFP33" s="2795"/>
      <c r="SFQ33" s="2795"/>
      <c r="SFR33" s="2795"/>
      <c r="SFS33" s="2795"/>
      <c r="SFT33" s="2795"/>
      <c r="SFU33" s="2795"/>
      <c r="SFV33" s="2795"/>
      <c r="SFW33" s="2795"/>
      <c r="SFX33" s="2795"/>
      <c r="SFY33" s="2795"/>
      <c r="SFZ33" s="2795"/>
      <c r="SGA33" s="2795"/>
      <c r="SGB33" s="2795"/>
      <c r="SGC33" s="2795"/>
      <c r="SGD33" s="2795"/>
      <c r="SGE33" s="2795"/>
      <c r="SGF33" s="2795"/>
      <c r="SGG33" s="2795"/>
      <c r="SGH33" s="2795"/>
      <c r="SGI33" s="2795"/>
      <c r="SGJ33" s="2795"/>
      <c r="SGK33" s="2795"/>
      <c r="SGL33" s="2795"/>
      <c r="SGM33" s="2795"/>
      <c r="SGN33" s="2795"/>
      <c r="SGO33" s="2795"/>
      <c r="SGP33" s="2795"/>
      <c r="SGQ33" s="2795"/>
      <c r="SGR33" s="2795"/>
      <c r="SGS33" s="2795"/>
      <c r="SGT33" s="2795"/>
      <c r="SGU33" s="2795"/>
      <c r="SGV33" s="2795"/>
      <c r="SGW33" s="2795"/>
      <c r="SGX33" s="2795"/>
      <c r="SGY33" s="2795"/>
      <c r="SGZ33" s="2795"/>
      <c r="SHA33" s="2795"/>
      <c r="SHB33" s="2795"/>
      <c r="SHC33" s="2795"/>
      <c r="SHD33" s="2795"/>
      <c r="SHE33" s="2795"/>
      <c r="SHF33" s="2795"/>
      <c r="SHG33" s="2795"/>
      <c r="SHH33" s="2795"/>
      <c r="SHI33" s="2795"/>
      <c r="SHJ33" s="2795"/>
      <c r="SHK33" s="2795"/>
      <c r="SHL33" s="2795"/>
      <c r="SHM33" s="2795"/>
      <c r="SHN33" s="2795"/>
      <c r="SHO33" s="2795"/>
      <c r="SHP33" s="2795"/>
      <c r="SHQ33" s="2795"/>
      <c r="SHR33" s="2795"/>
      <c r="SHS33" s="2795"/>
      <c r="SHT33" s="2795"/>
      <c r="SHU33" s="2795"/>
      <c r="SHV33" s="2795"/>
      <c r="SHW33" s="2795"/>
      <c r="SHX33" s="2795"/>
      <c r="SHY33" s="2795"/>
      <c r="SHZ33" s="2795"/>
      <c r="SIA33" s="2795"/>
      <c r="SIB33" s="2795"/>
      <c r="SIC33" s="2795"/>
      <c r="SID33" s="2795"/>
      <c r="SIE33" s="2795"/>
      <c r="SIF33" s="2795"/>
      <c r="SIG33" s="2795"/>
      <c r="SIH33" s="2795"/>
      <c r="SII33" s="2795"/>
      <c r="SIJ33" s="2795"/>
      <c r="SIK33" s="2795"/>
      <c r="SIL33" s="2795"/>
      <c r="SIM33" s="2795"/>
      <c r="SIN33" s="2795"/>
      <c r="SIO33" s="2795"/>
      <c r="SIP33" s="2795"/>
      <c r="SIQ33" s="2795"/>
      <c r="SIR33" s="2795"/>
      <c r="SIS33" s="2795"/>
      <c r="SIT33" s="2795"/>
      <c r="SIU33" s="2795"/>
      <c r="SIV33" s="2795"/>
      <c r="SIW33" s="2795"/>
      <c r="SIX33" s="2795"/>
      <c r="SIY33" s="2795"/>
      <c r="SIZ33" s="2795"/>
      <c r="SJA33" s="2795"/>
      <c r="SJB33" s="2795"/>
      <c r="SJC33" s="2795"/>
      <c r="SJD33" s="2795"/>
      <c r="SJE33" s="2795"/>
      <c r="SJF33" s="2795"/>
      <c r="SJG33" s="2795"/>
      <c r="SJH33" s="2795"/>
      <c r="SJI33" s="2795"/>
      <c r="SJJ33" s="2795"/>
      <c r="SJK33" s="2795"/>
      <c r="SJL33" s="2795"/>
      <c r="SJM33" s="2795"/>
      <c r="SJN33" s="2795"/>
      <c r="SJO33" s="2795"/>
      <c r="SJP33" s="2795"/>
      <c r="SJQ33" s="2795"/>
      <c r="SJR33" s="2795"/>
      <c r="SJS33" s="2795"/>
      <c r="SJT33" s="2795"/>
      <c r="SJU33" s="2795"/>
      <c r="SJV33" s="2795"/>
      <c r="SJW33" s="2795"/>
      <c r="SJX33" s="2795"/>
      <c r="SJY33" s="2795"/>
      <c r="SJZ33" s="2795"/>
      <c r="SKA33" s="2795"/>
      <c r="SKB33" s="2795"/>
      <c r="SKC33" s="2795"/>
      <c r="SKD33" s="2795"/>
      <c r="SKE33" s="2795"/>
      <c r="SKF33" s="2795"/>
      <c r="SKG33" s="2795"/>
      <c r="SKH33" s="2795"/>
      <c r="SKI33" s="2795"/>
      <c r="SKJ33" s="2795"/>
      <c r="SKK33" s="2795"/>
      <c r="SKL33" s="2795"/>
      <c r="SKM33" s="2795"/>
      <c r="SKN33" s="2795"/>
      <c r="SKO33" s="2795"/>
      <c r="SKP33" s="2795"/>
      <c r="SKQ33" s="2795"/>
      <c r="SKR33" s="2795"/>
      <c r="SKS33" s="2795"/>
      <c r="SKT33" s="2795"/>
      <c r="SKU33" s="2795"/>
      <c r="SKV33" s="2795"/>
      <c r="SKW33" s="2795"/>
      <c r="SKX33" s="2795"/>
      <c r="SKY33" s="2795"/>
      <c r="SKZ33" s="2795"/>
      <c r="SLA33" s="2795"/>
      <c r="SLB33" s="2795"/>
      <c r="SLC33" s="2795"/>
      <c r="SLD33" s="2795"/>
      <c r="SLE33" s="2795"/>
      <c r="SLF33" s="2795"/>
      <c r="SLG33" s="2795"/>
      <c r="SLH33" s="2795"/>
      <c r="SLI33" s="2795"/>
      <c r="SLJ33" s="2795"/>
      <c r="SLK33" s="2795"/>
      <c r="SLL33" s="2795"/>
      <c r="SLM33" s="2795"/>
      <c r="SLN33" s="2795"/>
      <c r="SLO33" s="2795"/>
      <c r="SLP33" s="2795"/>
      <c r="SLQ33" s="2795"/>
      <c r="SLR33" s="2795"/>
      <c r="SLS33" s="2795"/>
      <c r="SLT33" s="2795"/>
      <c r="SLU33" s="2795"/>
      <c r="SLV33" s="2795"/>
      <c r="SLW33" s="2795"/>
      <c r="SLX33" s="2795"/>
      <c r="SLY33" s="2795"/>
      <c r="SLZ33" s="2795"/>
      <c r="SMA33" s="2795"/>
      <c r="SMB33" s="2795"/>
      <c r="SMC33" s="2795"/>
      <c r="SMD33" s="2795"/>
      <c r="SME33" s="2795"/>
      <c r="SMF33" s="2795"/>
      <c r="SMG33" s="2795"/>
      <c r="SMH33" s="2795"/>
      <c r="SMI33" s="2795"/>
      <c r="SMJ33" s="2795"/>
      <c r="SMK33" s="2795"/>
      <c r="SML33" s="2795"/>
      <c r="SMM33" s="2795"/>
      <c r="SMN33" s="2795"/>
      <c r="SMO33" s="2795"/>
      <c r="SMP33" s="2795"/>
      <c r="SMQ33" s="2795"/>
      <c r="SMR33" s="2795"/>
      <c r="SMS33" s="2795"/>
      <c r="SMT33" s="2795"/>
      <c r="SMU33" s="2795"/>
      <c r="SMV33" s="2795"/>
      <c r="SMW33" s="2795"/>
      <c r="SMX33" s="2795"/>
      <c r="SMY33" s="2795"/>
      <c r="SMZ33" s="2795"/>
      <c r="SNA33" s="2795"/>
      <c r="SNB33" s="2795"/>
      <c r="SNC33" s="2795"/>
      <c r="SND33" s="2795"/>
      <c r="SNE33" s="2795"/>
      <c r="SNF33" s="2795"/>
      <c r="SNG33" s="2795"/>
      <c r="SNH33" s="2795"/>
      <c r="SNI33" s="2795"/>
      <c r="SNJ33" s="2795"/>
      <c r="SNK33" s="2795"/>
      <c r="SNL33" s="2795"/>
      <c r="SNM33" s="2795"/>
      <c r="SNN33" s="2795"/>
      <c r="SNO33" s="2795"/>
      <c r="SNP33" s="2795"/>
      <c r="SNQ33" s="2795"/>
      <c r="SNR33" s="2795"/>
      <c r="SNS33" s="2795"/>
      <c r="SNT33" s="2795"/>
      <c r="SNU33" s="2795"/>
      <c r="SNV33" s="2795"/>
      <c r="SNW33" s="2795"/>
      <c r="SNX33" s="2795"/>
      <c r="SNY33" s="2795"/>
      <c r="SNZ33" s="2795"/>
      <c r="SOA33" s="2795"/>
      <c r="SOB33" s="2795"/>
      <c r="SOC33" s="2795"/>
      <c r="SOD33" s="2795"/>
      <c r="SOE33" s="2795"/>
      <c r="SOF33" s="2795"/>
      <c r="SOG33" s="2795"/>
      <c r="SOH33" s="2795"/>
      <c r="SOI33" s="2795"/>
      <c r="SOJ33" s="2795"/>
      <c r="SOK33" s="2795"/>
      <c r="SOL33" s="2795"/>
      <c r="SOM33" s="2795"/>
      <c r="SON33" s="2795"/>
      <c r="SOO33" s="2795"/>
      <c r="SOP33" s="2795"/>
      <c r="SOQ33" s="2795"/>
      <c r="SOR33" s="2795"/>
      <c r="SOS33" s="2795"/>
      <c r="SOT33" s="2795"/>
      <c r="SOU33" s="2795"/>
      <c r="SOV33" s="2795"/>
      <c r="SOW33" s="2795"/>
      <c r="SOX33" s="2795"/>
      <c r="SOY33" s="2795"/>
      <c r="SOZ33" s="2795"/>
      <c r="SPA33" s="2795"/>
      <c r="SPB33" s="2795"/>
      <c r="SPC33" s="2795"/>
      <c r="SPD33" s="2795"/>
      <c r="SPE33" s="2795"/>
      <c r="SPF33" s="2795"/>
      <c r="SPG33" s="2795"/>
      <c r="SPH33" s="2795"/>
      <c r="SPI33" s="2795"/>
      <c r="SPJ33" s="2795"/>
      <c r="SPK33" s="2795"/>
      <c r="SPL33" s="2795"/>
      <c r="SPM33" s="2795"/>
      <c r="SPN33" s="2795"/>
      <c r="SPO33" s="2795"/>
      <c r="SPP33" s="2795"/>
      <c r="SPQ33" s="2795"/>
      <c r="SPR33" s="2795"/>
      <c r="SPS33" s="2795"/>
      <c r="SPT33" s="2795"/>
      <c r="SPU33" s="2795"/>
      <c r="SPV33" s="2795"/>
      <c r="SPW33" s="2795"/>
      <c r="SPX33" s="2795"/>
      <c r="SPY33" s="2795"/>
      <c r="SPZ33" s="2795"/>
      <c r="SQA33" s="2795"/>
      <c r="SQB33" s="2795"/>
      <c r="SQC33" s="2795"/>
      <c r="SQD33" s="2795"/>
      <c r="SQE33" s="2795"/>
      <c r="SQF33" s="2795"/>
      <c r="SQG33" s="2795"/>
      <c r="SQH33" s="2795"/>
      <c r="SQI33" s="2795"/>
      <c r="SQJ33" s="2795"/>
      <c r="SQK33" s="2795"/>
      <c r="SQL33" s="2795"/>
      <c r="SQM33" s="2795"/>
      <c r="SQN33" s="2795"/>
      <c r="SQO33" s="2795"/>
      <c r="SQP33" s="2795"/>
      <c r="SQQ33" s="2795"/>
      <c r="SQR33" s="2795"/>
      <c r="SQS33" s="2795"/>
      <c r="SQT33" s="2795"/>
      <c r="SQU33" s="2795"/>
      <c r="SQV33" s="2795"/>
      <c r="SQW33" s="2795"/>
      <c r="SQX33" s="2795"/>
      <c r="SQY33" s="2795"/>
      <c r="SQZ33" s="2795"/>
      <c r="SRA33" s="2795"/>
      <c r="SRB33" s="2795"/>
      <c r="SRC33" s="2795"/>
      <c r="SRD33" s="2795"/>
      <c r="SRE33" s="2795"/>
      <c r="SRF33" s="2795"/>
      <c r="SRG33" s="2795"/>
      <c r="SRH33" s="2795"/>
      <c r="SRI33" s="2795"/>
      <c r="SRJ33" s="2795"/>
      <c r="SRK33" s="2795"/>
      <c r="SRL33" s="2795"/>
      <c r="SRM33" s="2795"/>
      <c r="SRN33" s="2795"/>
      <c r="SRO33" s="2795"/>
      <c r="SRP33" s="2795"/>
      <c r="SRQ33" s="2795"/>
      <c r="SRR33" s="2795"/>
      <c r="SRS33" s="2795"/>
      <c r="SRT33" s="2795"/>
      <c r="SRU33" s="2795"/>
      <c r="SRV33" s="2795"/>
      <c r="SRW33" s="2795"/>
      <c r="SRX33" s="2795"/>
      <c r="SRY33" s="2795"/>
      <c r="SRZ33" s="2795"/>
      <c r="SSA33" s="2795"/>
      <c r="SSB33" s="2795"/>
      <c r="SSC33" s="2795"/>
      <c r="SSD33" s="2795"/>
      <c r="SSE33" s="2795"/>
      <c r="SSF33" s="2795"/>
      <c r="SSG33" s="2795"/>
      <c r="SSH33" s="2795"/>
      <c r="SSI33" s="2795"/>
      <c r="SSJ33" s="2795"/>
      <c r="SSK33" s="2795"/>
      <c r="SSL33" s="2795"/>
      <c r="SSM33" s="2795"/>
      <c r="SSN33" s="2795"/>
      <c r="SSO33" s="2795"/>
      <c r="SSP33" s="2795"/>
      <c r="SSQ33" s="2795"/>
      <c r="SSR33" s="2795"/>
      <c r="SSS33" s="2795"/>
      <c r="SST33" s="2795"/>
      <c r="SSU33" s="2795"/>
      <c r="SSV33" s="2795"/>
      <c r="SSW33" s="2795"/>
      <c r="SSX33" s="2795"/>
      <c r="SSY33" s="2795"/>
      <c r="SSZ33" s="2795"/>
      <c r="STA33" s="2795"/>
      <c r="STB33" s="2795"/>
      <c r="STC33" s="2795"/>
      <c r="STD33" s="2795"/>
      <c r="STE33" s="2795"/>
      <c r="STF33" s="2795"/>
      <c r="STG33" s="2795"/>
      <c r="STH33" s="2795"/>
      <c r="STI33" s="2795"/>
      <c r="STJ33" s="2795"/>
      <c r="STK33" s="2795"/>
      <c r="STL33" s="2795"/>
      <c r="STM33" s="2795"/>
      <c r="STN33" s="2795"/>
      <c r="STO33" s="2795"/>
      <c r="STP33" s="2795"/>
      <c r="STQ33" s="2795"/>
      <c r="STR33" s="2795"/>
      <c r="STS33" s="2795"/>
      <c r="STT33" s="2795"/>
      <c r="STU33" s="2795"/>
      <c r="STV33" s="2795"/>
      <c r="STW33" s="2795"/>
      <c r="STX33" s="2795"/>
      <c r="STY33" s="2795"/>
      <c r="STZ33" s="2795"/>
      <c r="SUA33" s="2795"/>
      <c r="SUB33" s="2795"/>
      <c r="SUC33" s="2795"/>
      <c r="SUD33" s="2795"/>
      <c r="SUE33" s="2795"/>
      <c r="SUF33" s="2795"/>
      <c r="SUG33" s="2795"/>
      <c r="SUH33" s="2795"/>
      <c r="SUI33" s="2795"/>
      <c r="SUJ33" s="2795"/>
      <c r="SUK33" s="2795"/>
      <c r="SUL33" s="2795"/>
      <c r="SUM33" s="2795"/>
      <c r="SUN33" s="2795"/>
      <c r="SUO33" s="2795"/>
      <c r="SUP33" s="2795"/>
      <c r="SUQ33" s="2795"/>
      <c r="SUR33" s="2795"/>
      <c r="SUS33" s="2795"/>
      <c r="SUT33" s="2795"/>
      <c r="SUU33" s="2795"/>
      <c r="SUV33" s="2795"/>
      <c r="SUW33" s="2795"/>
      <c r="SUX33" s="2795"/>
      <c r="SUY33" s="2795"/>
      <c r="SUZ33" s="2795"/>
      <c r="SVA33" s="2795"/>
      <c r="SVB33" s="2795"/>
      <c r="SVC33" s="2795"/>
      <c r="SVD33" s="2795"/>
      <c r="SVE33" s="2795"/>
      <c r="SVF33" s="2795"/>
      <c r="SVG33" s="2795"/>
      <c r="SVH33" s="2795"/>
      <c r="SVI33" s="2795"/>
      <c r="SVJ33" s="2795"/>
      <c r="SVK33" s="2795"/>
      <c r="SVL33" s="2795"/>
      <c r="SVM33" s="2795"/>
      <c r="SVN33" s="2795"/>
      <c r="SVO33" s="2795"/>
      <c r="SVP33" s="2795"/>
      <c r="SVQ33" s="2795"/>
      <c r="SVR33" s="2795"/>
      <c r="SVS33" s="2795"/>
      <c r="SVT33" s="2795"/>
      <c r="SVU33" s="2795"/>
      <c r="SVV33" s="2795"/>
      <c r="SVW33" s="2795"/>
      <c r="SVX33" s="2795"/>
      <c r="SVY33" s="2795"/>
      <c r="SVZ33" s="2795"/>
      <c r="SWA33" s="2795"/>
      <c r="SWB33" s="2795"/>
      <c r="SWC33" s="2795"/>
      <c r="SWD33" s="2795"/>
      <c r="SWE33" s="2795"/>
      <c r="SWF33" s="2795"/>
      <c r="SWG33" s="2795"/>
      <c r="SWH33" s="2795"/>
      <c r="SWI33" s="2795"/>
      <c r="SWJ33" s="2795"/>
      <c r="SWK33" s="2795"/>
      <c r="SWL33" s="2795"/>
      <c r="SWM33" s="2795"/>
      <c r="SWN33" s="2795"/>
      <c r="SWO33" s="2795"/>
      <c r="SWP33" s="2795"/>
      <c r="SWQ33" s="2795"/>
      <c r="SWR33" s="2795"/>
      <c r="SWS33" s="2795"/>
      <c r="SWT33" s="2795"/>
      <c r="SWU33" s="2795"/>
      <c r="SWV33" s="2795"/>
      <c r="SWW33" s="2795"/>
      <c r="SWX33" s="2795"/>
      <c r="SWY33" s="2795"/>
      <c r="SWZ33" s="2795"/>
      <c r="SXA33" s="2795"/>
      <c r="SXB33" s="2795"/>
      <c r="SXC33" s="2795"/>
      <c r="SXD33" s="2795"/>
      <c r="SXE33" s="2795"/>
      <c r="SXF33" s="2795"/>
      <c r="SXG33" s="2795"/>
      <c r="SXH33" s="2795"/>
      <c r="SXI33" s="2795"/>
      <c r="SXJ33" s="2795"/>
      <c r="SXK33" s="2795"/>
      <c r="SXL33" s="2795"/>
      <c r="SXM33" s="2795"/>
      <c r="SXN33" s="2795"/>
      <c r="SXO33" s="2795"/>
      <c r="SXP33" s="2795"/>
      <c r="SXQ33" s="2795"/>
      <c r="SXR33" s="2795"/>
      <c r="SXS33" s="2795"/>
      <c r="SXT33" s="2795"/>
      <c r="SXU33" s="2795"/>
      <c r="SXV33" s="2795"/>
      <c r="SXW33" s="2795"/>
      <c r="SXX33" s="2795"/>
      <c r="SXY33" s="2795"/>
      <c r="SXZ33" s="2795"/>
      <c r="SYA33" s="2795"/>
      <c r="SYB33" s="2795"/>
      <c r="SYC33" s="2795"/>
      <c r="SYD33" s="2795"/>
      <c r="SYE33" s="2795"/>
      <c r="SYF33" s="2795"/>
      <c r="SYG33" s="2795"/>
      <c r="SYH33" s="2795"/>
      <c r="SYI33" s="2795"/>
      <c r="SYJ33" s="2795"/>
      <c r="SYK33" s="2795"/>
      <c r="SYL33" s="2795"/>
      <c r="SYM33" s="2795"/>
      <c r="SYN33" s="2795"/>
      <c r="SYO33" s="2795"/>
      <c r="SYP33" s="2795"/>
      <c r="SYQ33" s="2795"/>
      <c r="SYR33" s="2795"/>
      <c r="SYS33" s="2795"/>
      <c r="SYT33" s="2795"/>
      <c r="SYU33" s="2795"/>
      <c r="SYV33" s="2795"/>
      <c r="SYW33" s="2795"/>
      <c r="SYX33" s="2795"/>
      <c r="SYY33" s="2795"/>
      <c r="SYZ33" s="2795"/>
      <c r="SZA33" s="2795"/>
      <c r="SZB33" s="2795"/>
      <c r="SZC33" s="2795"/>
      <c r="SZD33" s="2795"/>
      <c r="SZE33" s="2795"/>
      <c r="SZF33" s="2795"/>
      <c r="SZG33" s="2795"/>
      <c r="SZH33" s="2795"/>
      <c r="SZI33" s="2795"/>
      <c r="SZJ33" s="2795"/>
      <c r="SZK33" s="2795"/>
      <c r="SZL33" s="2795"/>
      <c r="SZM33" s="2795"/>
      <c r="SZN33" s="2795"/>
      <c r="SZO33" s="2795"/>
      <c r="SZP33" s="2795"/>
      <c r="SZQ33" s="2795"/>
      <c r="SZR33" s="2795"/>
      <c r="SZS33" s="2795"/>
      <c r="SZT33" s="2795"/>
      <c r="SZU33" s="2795"/>
      <c r="SZV33" s="2795"/>
      <c r="SZW33" s="2795"/>
      <c r="SZX33" s="2795"/>
      <c r="SZY33" s="2795"/>
      <c r="SZZ33" s="2795"/>
      <c r="TAA33" s="2795"/>
      <c r="TAB33" s="2795"/>
      <c r="TAC33" s="2795"/>
      <c r="TAD33" s="2795"/>
      <c r="TAE33" s="2795"/>
      <c r="TAF33" s="2795"/>
      <c r="TAG33" s="2795"/>
      <c r="TAH33" s="2795"/>
      <c r="TAI33" s="2795"/>
      <c r="TAJ33" s="2795"/>
      <c r="TAK33" s="2795"/>
      <c r="TAL33" s="2795"/>
      <c r="TAM33" s="2795"/>
      <c r="TAN33" s="2795"/>
      <c r="TAO33" s="2795"/>
      <c r="TAP33" s="2795"/>
      <c r="TAQ33" s="2795"/>
      <c r="TAR33" s="2795"/>
      <c r="TAS33" s="2795"/>
      <c r="TAT33" s="2795"/>
      <c r="TAU33" s="2795"/>
      <c r="TAV33" s="2795"/>
      <c r="TAW33" s="2795"/>
      <c r="TAX33" s="2795"/>
      <c r="TAY33" s="2795"/>
      <c r="TAZ33" s="2795"/>
      <c r="TBA33" s="2795"/>
      <c r="TBB33" s="2795"/>
      <c r="TBC33" s="2795"/>
      <c r="TBD33" s="2795"/>
      <c r="TBE33" s="2795"/>
      <c r="TBF33" s="2795"/>
      <c r="TBG33" s="2795"/>
      <c r="TBH33" s="2795"/>
      <c r="TBI33" s="2795"/>
      <c r="TBJ33" s="2795"/>
      <c r="TBK33" s="2795"/>
      <c r="TBL33" s="2795"/>
      <c r="TBM33" s="2795"/>
      <c r="TBN33" s="2795"/>
      <c r="TBO33" s="2795"/>
      <c r="TBP33" s="2795"/>
      <c r="TBQ33" s="2795"/>
      <c r="TBR33" s="2795"/>
      <c r="TBS33" s="2795"/>
      <c r="TBT33" s="2795"/>
      <c r="TBU33" s="2795"/>
      <c r="TBV33" s="2795"/>
      <c r="TBW33" s="2795"/>
      <c r="TBX33" s="2795"/>
      <c r="TBY33" s="2795"/>
      <c r="TBZ33" s="2795"/>
      <c r="TCA33" s="2795"/>
      <c r="TCB33" s="2795"/>
      <c r="TCC33" s="2795"/>
      <c r="TCD33" s="2795"/>
      <c r="TCE33" s="2795"/>
      <c r="TCF33" s="2795"/>
      <c r="TCG33" s="2795"/>
      <c r="TCH33" s="2795"/>
      <c r="TCI33" s="2795"/>
      <c r="TCJ33" s="2795"/>
      <c r="TCK33" s="2795"/>
      <c r="TCL33" s="2795"/>
      <c r="TCM33" s="2795"/>
      <c r="TCN33" s="2795"/>
      <c r="TCO33" s="2795"/>
      <c r="TCP33" s="2795"/>
      <c r="TCQ33" s="2795"/>
      <c r="TCR33" s="2795"/>
      <c r="TCS33" s="2795"/>
      <c r="TCT33" s="2795"/>
      <c r="TCU33" s="2795"/>
      <c r="TCV33" s="2795"/>
      <c r="TCW33" s="2795"/>
      <c r="TCX33" s="2795"/>
      <c r="TCY33" s="2795"/>
      <c r="TCZ33" s="2795"/>
      <c r="TDA33" s="2795"/>
      <c r="TDB33" s="2795"/>
      <c r="TDC33" s="2795"/>
      <c r="TDD33" s="2795"/>
      <c r="TDE33" s="2795"/>
      <c r="TDF33" s="2795"/>
      <c r="TDG33" s="2795"/>
      <c r="TDH33" s="2795"/>
      <c r="TDI33" s="2795"/>
      <c r="TDJ33" s="2795"/>
      <c r="TDK33" s="2795"/>
      <c r="TDL33" s="2795"/>
      <c r="TDM33" s="2795"/>
      <c r="TDN33" s="2795"/>
      <c r="TDO33" s="2795"/>
      <c r="TDP33" s="2795"/>
      <c r="TDQ33" s="2795"/>
      <c r="TDR33" s="2795"/>
      <c r="TDS33" s="2795"/>
      <c r="TDT33" s="2795"/>
      <c r="TDU33" s="2795"/>
      <c r="TDV33" s="2795"/>
      <c r="TDW33" s="2795"/>
      <c r="TDX33" s="2795"/>
      <c r="TDY33" s="2795"/>
      <c r="TDZ33" s="2795"/>
      <c r="TEA33" s="2795"/>
      <c r="TEB33" s="2795"/>
      <c r="TEC33" s="2795"/>
      <c r="TED33" s="2795"/>
      <c r="TEE33" s="2795"/>
      <c r="TEF33" s="2795"/>
      <c r="TEG33" s="2795"/>
      <c r="TEH33" s="2795"/>
      <c r="TEI33" s="2795"/>
      <c r="TEJ33" s="2795"/>
      <c r="TEK33" s="2795"/>
      <c r="TEL33" s="2795"/>
      <c r="TEM33" s="2795"/>
      <c r="TEN33" s="2795"/>
      <c r="TEO33" s="2795"/>
      <c r="TEP33" s="2795"/>
      <c r="TEQ33" s="2795"/>
      <c r="TER33" s="2795"/>
      <c r="TES33" s="2795"/>
      <c r="TET33" s="2795"/>
      <c r="TEU33" s="2795"/>
      <c r="TEV33" s="2795"/>
      <c r="TEW33" s="2795"/>
      <c r="TEX33" s="2795"/>
      <c r="TEY33" s="2795"/>
      <c r="TEZ33" s="2795"/>
      <c r="TFA33" s="2795"/>
      <c r="TFB33" s="2795"/>
      <c r="TFC33" s="2795"/>
      <c r="TFD33" s="2795"/>
      <c r="TFE33" s="2795"/>
      <c r="TFF33" s="2795"/>
      <c r="TFG33" s="2795"/>
      <c r="TFH33" s="2795"/>
      <c r="TFI33" s="2795"/>
      <c r="TFJ33" s="2795"/>
      <c r="TFK33" s="2795"/>
      <c r="TFL33" s="2795"/>
      <c r="TFM33" s="2795"/>
      <c r="TFN33" s="2795"/>
      <c r="TFO33" s="2795"/>
      <c r="TFP33" s="2795"/>
      <c r="TFQ33" s="2795"/>
      <c r="TFR33" s="2795"/>
      <c r="TFS33" s="2795"/>
      <c r="TFT33" s="2795"/>
      <c r="TFU33" s="2795"/>
      <c r="TFV33" s="2795"/>
      <c r="TFW33" s="2795"/>
      <c r="TFX33" s="2795"/>
      <c r="TFY33" s="2795"/>
      <c r="TFZ33" s="2795"/>
      <c r="TGA33" s="2795"/>
      <c r="TGB33" s="2795"/>
      <c r="TGC33" s="2795"/>
      <c r="TGD33" s="2795"/>
      <c r="TGE33" s="2795"/>
      <c r="TGF33" s="2795"/>
      <c r="TGG33" s="2795"/>
      <c r="TGH33" s="2795"/>
      <c r="TGI33" s="2795"/>
      <c r="TGJ33" s="2795"/>
      <c r="TGK33" s="2795"/>
      <c r="TGL33" s="2795"/>
      <c r="TGM33" s="2795"/>
      <c r="TGN33" s="2795"/>
      <c r="TGO33" s="2795"/>
      <c r="TGP33" s="2795"/>
      <c r="TGQ33" s="2795"/>
      <c r="TGR33" s="2795"/>
      <c r="TGS33" s="2795"/>
      <c r="TGT33" s="2795"/>
      <c r="TGU33" s="2795"/>
      <c r="TGV33" s="2795"/>
      <c r="TGW33" s="2795"/>
      <c r="TGX33" s="2795"/>
      <c r="TGY33" s="2795"/>
      <c r="TGZ33" s="2795"/>
      <c r="THA33" s="2795"/>
      <c r="THB33" s="2795"/>
      <c r="THC33" s="2795"/>
      <c r="THD33" s="2795"/>
      <c r="THE33" s="2795"/>
      <c r="THF33" s="2795"/>
      <c r="THG33" s="2795"/>
      <c r="THH33" s="2795"/>
      <c r="THI33" s="2795"/>
      <c r="THJ33" s="2795"/>
      <c r="THK33" s="2795"/>
      <c r="THL33" s="2795"/>
      <c r="THM33" s="2795"/>
      <c r="THN33" s="2795"/>
      <c r="THO33" s="2795"/>
      <c r="THP33" s="2795"/>
      <c r="THQ33" s="2795"/>
      <c r="THR33" s="2795"/>
      <c r="THS33" s="2795"/>
      <c r="THT33" s="2795"/>
      <c r="THU33" s="2795"/>
      <c r="THV33" s="2795"/>
      <c r="THW33" s="2795"/>
      <c r="THX33" s="2795"/>
      <c r="THY33" s="2795"/>
      <c r="THZ33" s="2795"/>
      <c r="TIA33" s="2795"/>
      <c r="TIB33" s="2795"/>
      <c r="TIC33" s="2795"/>
      <c r="TID33" s="2795"/>
      <c r="TIE33" s="2795"/>
      <c r="TIF33" s="2795"/>
      <c r="TIG33" s="2795"/>
      <c r="TIH33" s="2795"/>
      <c r="TII33" s="2795"/>
      <c r="TIJ33" s="2795"/>
      <c r="TIK33" s="2795"/>
      <c r="TIL33" s="2795"/>
      <c r="TIM33" s="2795"/>
      <c r="TIN33" s="2795"/>
      <c r="TIO33" s="2795"/>
      <c r="TIP33" s="2795"/>
      <c r="TIQ33" s="2795"/>
      <c r="TIR33" s="2795"/>
      <c r="TIS33" s="2795"/>
      <c r="TIT33" s="2795"/>
      <c r="TIU33" s="2795"/>
      <c r="TIV33" s="2795"/>
      <c r="TIW33" s="2795"/>
      <c r="TIX33" s="2795"/>
      <c r="TIY33" s="2795"/>
      <c r="TIZ33" s="2795"/>
      <c r="TJA33" s="2795"/>
      <c r="TJB33" s="2795"/>
      <c r="TJC33" s="2795"/>
      <c r="TJD33" s="2795"/>
      <c r="TJE33" s="2795"/>
      <c r="TJF33" s="2795"/>
      <c r="TJG33" s="2795"/>
      <c r="TJH33" s="2795"/>
      <c r="TJI33" s="2795"/>
      <c r="TJJ33" s="2795"/>
      <c r="TJK33" s="2795"/>
      <c r="TJL33" s="2795"/>
      <c r="TJM33" s="2795"/>
      <c r="TJN33" s="2795"/>
      <c r="TJO33" s="2795"/>
      <c r="TJP33" s="2795"/>
      <c r="TJQ33" s="2795"/>
      <c r="TJR33" s="2795"/>
      <c r="TJS33" s="2795"/>
      <c r="TJT33" s="2795"/>
      <c r="TJU33" s="2795"/>
      <c r="TJV33" s="2795"/>
      <c r="TJW33" s="2795"/>
      <c r="TJX33" s="2795"/>
      <c r="TJY33" s="2795"/>
      <c r="TJZ33" s="2795"/>
      <c r="TKA33" s="2795"/>
      <c r="TKB33" s="2795"/>
      <c r="TKC33" s="2795"/>
      <c r="TKD33" s="2795"/>
      <c r="TKE33" s="2795"/>
      <c r="TKF33" s="2795"/>
      <c r="TKG33" s="2795"/>
      <c r="TKH33" s="2795"/>
      <c r="TKI33" s="2795"/>
      <c r="TKJ33" s="2795"/>
      <c r="TKK33" s="2795"/>
      <c r="TKL33" s="2795"/>
      <c r="TKM33" s="2795"/>
      <c r="TKN33" s="2795"/>
      <c r="TKO33" s="2795"/>
      <c r="TKP33" s="2795"/>
      <c r="TKQ33" s="2795"/>
      <c r="TKR33" s="2795"/>
      <c r="TKS33" s="2795"/>
      <c r="TKT33" s="2795"/>
      <c r="TKU33" s="2795"/>
      <c r="TKV33" s="2795"/>
      <c r="TKW33" s="2795"/>
      <c r="TKX33" s="2795"/>
      <c r="TKY33" s="2795"/>
      <c r="TKZ33" s="2795"/>
      <c r="TLA33" s="2795"/>
      <c r="TLB33" s="2795"/>
      <c r="TLC33" s="2795"/>
      <c r="TLD33" s="2795"/>
      <c r="TLE33" s="2795"/>
      <c r="TLF33" s="2795"/>
      <c r="TLG33" s="2795"/>
      <c r="TLH33" s="2795"/>
      <c r="TLI33" s="2795"/>
      <c r="TLJ33" s="2795"/>
      <c r="TLK33" s="2795"/>
      <c r="TLL33" s="2795"/>
      <c r="TLM33" s="2795"/>
      <c r="TLN33" s="2795"/>
      <c r="TLO33" s="2795"/>
      <c r="TLP33" s="2795"/>
      <c r="TLQ33" s="2795"/>
      <c r="TLR33" s="2795"/>
      <c r="TLS33" s="2795"/>
      <c r="TLT33" s="2795"/>
      <c r="TLU33" s="2795"/>
      <c r="TLV33" s="2795"/>
      <c r="TLW33" s="2795"/>
      <c r="TLX33" s="2795"/>
      <c r="TLY33" s="2795"/>
      <c r="TLZ33" s="2795"/>
      <c r="TMA33" s="2795"/>
      <c r="TMB33" s="2795"/>
      <c r="TMC33" s="2795"/>
      <c r="TMD33" s="2795"/>
      <c r="TME33" s="2795"/>
      <c r="TMF33" s="2795"/>
      <c r="TMG33" s="2795"/>
      <c r="TMH33" s="2795"/>
      <c r="TMI33" s="2795"/>
      <c r="TMJ33" s="2795"/>
      <c r="TMK33" s="2795"/>
      <c r="TML33" s="2795"/>
      <c r="TMM33" s="2795"/>
      <c r="TMN33" s="2795"/>
      <c r="TMO33" s="2795"/>
      <c r="TMP33" s="2795"/>
      <c r="TMQ33" s="2795"/>
      <c r="TMR33" s="2795"/>
      <c r="TMS33" s="2795"/>
      <c r="TMT33" s="2795"/>
      <c r="TMU33" s="2795"/>
      <c r="TMV33" s="2795"/>
      <c r="TMW33" s="2795"/>
      <c r="TMX33" s="2795"/>
      <c r="TMY33" s="2795"/>
      <c r="TMZ33" s="2795"/>
      <c r="TNA33" s="2795"/>
      <c r="TNB33" s="2795"/>
      <c r="TNC33" s="2795"/>
      <c r="TND33" s="2795"/>
      <c r="TNE33" s="2795"/>
      <c r="TNF33" s="2795"/>
      <c r="TNG33" s="2795"/>
      <c r="TNH33" s="2795"/>
      <c r="TNI33" s="2795"/>
      <c r="TNJ33" s="2795"/>
      <c r="TNK33" s="2795"/>
      <c r="TNL33" s="2795"/>
      <c r="TNM33" s="2795"/>
      <c r="TNN33" s="2795"/>
      <c r="TNO33" s="2795"/>
      <c r="TNP33" s="2795"/>
      <c r="TNQ33" s="2795"/>
      <c r="TNR33" s="2795"/>
      <c r="TNS33" s="2795"/>
      <c r="TNT33" s="2795"/>
      <c r="TNU33" s="2795"/>
      <c r="TNV33" s="2795"/>
      <c r="TNW33" s="2795"/>
      <c r="TNX33" s="2795"/>
      <c r="TNY33" s="2795"/>
      <c r="TNZ33" s="2795"/>
      <c r="TOA33" s="2795"/>
      <c r="TOB33" s="2795"/>
      <c r="TOC33" s="2795"/>
      <c r="TOD33" s="2795"/>
      <c r="TOE33" s="2795"/>
      <c r="TOF33" s="2795"/>
      <c r="TOG33" s="2795"/>
      <c r="TOH33" s="2795"/>
      <c r="TOI33" s="2795"/>
      <c r="TOJ33" s="2795"/>
      <c r="TOK33" s="2795"/>
      <c r="TOL33" s="2795"/>
      <c r="TOM33" s="2795"/>
      <c r="TON33" s="2795"/>
      <c r="TOO33" s="2795"/>
      <c r="TOP33" s="2795"/>
      <c r="TOQ33" s="2795"/>
      <c r="TOR33" s="2795"/>
      <c r="TOS33" s="2795"/>
      <c r="TOT33" s="2795"/>
      <c r="TOU33" s="2795"/>
      <c r="TOV33" s="2795"/>
      <c r="TOW33" s="2795"/>
      <c r="TOX33" s="2795"/>
      <c r="TOY33" s="2795"/>
      <c r="TOZ33" s="2795"/>
      <c r="TPA33" s="2795"/>
      <c r="TPB33" s="2795"/>
      <c r="TPC33" s="2795"/>
      <c r="TPD33" s="2795"/>
      <c r="TPE33" s="2795"/>
      <c r="TPF33" s="2795"/>
      <c r="TPG33" s="2795"/>
      <c r="TPH33" s="2795"/>
      <c r="TPI33" s="2795"/>
      <c r="TPJ33" s="2795"/>
      <c r="TPK33" s="2795"/>
      <c r="TPL33" s="2795"/>
      <c r="TPM33" s="2795"/>
      <c r="TPN33" s="2795"/>
      <c r="TPO33" s="2795"/>
      <c r="TPP33" s="2795"/>
      <c r="TPQ33" s="2795"/>
      <c r="TPR33" s="2795"/>
      <c r="TPS33" s="2795"/>
      <c r="TPT33" s="2795"/>
      <c r="TPU33" s="2795"/>
      <c r="TPV33" s="2795"/>
      <c r="TPW33" s="2795"/>
      <c r="TPX33" s="2795"/>
      <c r="TPY33" s="2795"/>
      <c r="TPZ33" s="2795"/>
      <c r="TQA33" s="2795"/>
      <c r="TQB33" s="2795"/>
      <c r="TQC33" s="2795"/>
      <c r="TQD33" s="2795"/>
      <c r="TQE33" s="2795"/>
      <c r="TQF33" s="2795"/>
      <c r="TQG33" s="2795"/>
      <c r="TQH33" s="2795"/>
      <c r="TQI33" s="2795"/>
      <c r="TQJ33" s="2795"/>
      <c r="TQK33" s="2795"/>
      <c r="TQL33" s="2795"/>
      <c r="TQM33" s="2795"/>
      <c r="TQN33" s="2795"/>
      <c r="TQO33" s="2795"/>
      <c r="TQP33" s="2795"/>
      <c r="TQQ33" s="2795"/>
      <c r="TQR33" s="2795"/>
      <c r="TQS33" s="2795"/>
      <c r="TQT33" s="2795"/>
      <c r="TQU33" s="2795"/>
      <c r="TQV33" s="2795"/>
      <c r="TQW33" s="2795"/>
      <c r="TQX33" s="2795"/>
      <c r="TQY33" s="2795"/>
      <c r="TQZ33" s="2795"/>
      <c r="TRA33" s="2795"/>
      <c r="TRB33" s="2795"/>
      <c r="TRC33" s="2795"/>
      <c r="TRD33" s="2795"/>
      <c r="TRE33" s="2795"/>
      <c r="TRF33" s="2795"/>
      <c r="TRG33" s="2795"/>
      <c r="TRH33" s="2795"/>
      <c r="TRI33" s="2795"/>
      <c r="TRJ33" s="2795"/>
      <c r="TRK33" s="2795"/>
      <c r="TRL33" s="2795"/>
      <c r="TRM33" s="2795"/>
      <c r="TRN33" s="2795"/>
      <c r="TRO33" s="2795"/>
      <c r="TRP33" s="2795"/>
      <c r="TRQ33" s="2795"/>
      <c r="TRR33" s="2795"/>
      <c r="TRS33" s="2795"/>
      <c r="TRT33" s="2795"/>
      <c r="TRU33" s="2795"/>
      <c r="TRV33" s="2795"/>
      <c r="TRW33" s="2795"/>
      <c r="TRX33" s="2795"/>
      <c r="TRY33" s="2795"/>
      <c r="TRZ33" s="2795"/>
      <c r="TSA33" s="2795"/>
      <c r="TSB33" s="2795"/>
      <c r="TSC33" s="2795"/>
      <c r="TSD33" s="2795"/>
      <c r="TSE33" s="2795"/>
      <c r="TSF33" s="2795"/>
      <c r="TSG33" s="2795"/>
      <c r="TSH33" s="2795"/>
      <c r="TSI33" s="2795"/>
      <c r="TSJ33" s="2795"/>
      <c r="TSK33" s="2795"/>
      <c r="TSL33" s="2795"/>
      <c r="TSM33" s="2795"/>
      <c r="TSN33" s="2795"/>
      <c r="TSO33" s="2795"/>
      <c r="TSP33" s="2795"/>
      <c r="TSQ33" s="2795"/>
      <c r="TSR33" s="2795"/>
      <c r="TSS33" s="2795"/>
      <c r="TST33" s="2795"/>
      <c r="TSU33" s="2795"/>
      <c r="TSV33" s="2795"/>
      <c r="TSW33" s="2795"/>
      <c r="TSX33" s="2795"/>
      <c r="TSY33" s="2795"/>
      <c r="TSZ33" s="2795"/>
      <c r="TTA33" s="2795"/>
      <c r="TTB33" s="2795"/>
      <c r="TTC33" s="2795"/>
      <c r="TTD33" s="2795"/>
      <c r="TTE33" s="2795"/>
      <c r="TTF33" s="2795"/>
      <c r="TTG33" s="2795"/>
      <c r="TTH33" s="2795"/>
      <c r="TTI33" s="2795"/>
      <c r="TTJ33" s="2795"/>
      <c r="TTK33" s="2795"/>
      <c r="TTL33" s="2795"/>
      <c r="TTM33" s="2795"/>
      <c r="TTN33" s="2795"/>
      <c r="TTO33" s="2795"/>
      <c r="TTP33" s="2795"/>
      <c r="TTQ33" s="2795"/>
      <c r="TTR33" s="2795"/>
      <c r="TTS33" s="2795"/>
      <c r="TTT33" s="2795"/>
      <c r="TTU33" s="2795"/>
      <c r="TTV33" s="2795"/>
      <c r="TTW33" s="2795"/>
      <c r="TTX33" s="2795"/>
      <c r="TTY33" s="2795"/>
      <c r="TTZ33" s="2795"/>
      <c r="TUA33" s="2795"/>
      <c r="TUB33" s="2795"/>
      <c r="TUC33" s="2795"/>
      <c r="TUD33" s="2795"/>
      <c r="TUE33" s="2795"/>
      <c r="TUF33" s="2795"/>
      <c r="TUG33" s="2795"/>
      <c r="TUH33" s="2795"/>
      <c r="TUI33" s="2795"/>
      <c r="TUJ33" s="2795"/>
      <c r="TUK33" s="2795"/>
      <c r="TUL33" s="2795"/>
      <c r="TUM33" s="2795"/>
      <c r="TUN33" s="2795"/>
      <c r="TUO33" s="2795"/>
      <c r="TUP33" s="2795"/>
      <c r="TUQ33" s="2795"/>
      <c r="TUR33" s="2795"/>
      <c r="TUS33" s="2795"/>
      <c r="TUT33" s="2795"/>
      <c r="TUU33" s="2795"/>
      <c r="TUV33" s="2795"/>
      <c r="TUW33" s="2795"/>
      <c r="TUX33" s="2795"/>
      <c r="TUY33" s="2795"/>
      <c r="TUZ33" s="2795"/>
      <c r="TVA33" s="2795"/>
      <c r="TVB33" s="2795"/>
      <c r="TVC33" s="2795"/>
      <c r="TVD33" s="2795"/>
      <c r="TVE33" s="2795"/>
      <c r="TVF33" s="2795"/>
      <c r="TVG33" s="2795"/>
      <c r="TVH33" s="2795"/>
      <c r="TVI33" s="2795"/>
      <c r="TVJ33" s="2795"/>
      <c r="TVK33" s="2795"/>
      <c r="TVL33" s="2795"/>
      <c r="TVM33" s="2795"/>
      <c r="TVN33" s="2795"/>
      <c r="TVO33" s="2795"/>
      <c r="TVP33" s="2795"/>
      <c r="TVQ33" s="2795"/>
      <c r="TVR33" s="2795"/>
      <c r="TVS33" s="2795"/>
      <c r="TVT33" s="2795"/>
      <c r="TVU33" s="2795"/>
      <c r="TVV33" s="2795"/>
      <c r="TVW33" s="2795"/>
      <c r="TVX33" s="2795"/>
      <c r="TVY33" s="2795"/>
      <c r="TVZ33" s="2795"/>
      <c r="TWA33" s="2795"/>
      <c r="TWB33" s="2795"/>
      <c r="TWC33" s="2795"/>
      <c r="TWD33" s="2795"/>
      <c r="TWE33" s="2795"/>
      <c r="TWF33" s="2795"/>
      <c r="TWG33" s="2795"/>
      <c r="TWH33" s="2795"/>
      <c r="TWI33" s="2795"/>
      <c r="TWJ33" s="2795"/>
      <c r="TWK33" s="2795"/>
      <c r="TWL33" s="2795"/>
      <c r="TWM33" s="2795"/>
      <c r="TWN33" s="2795"/>
      <c r="TWO33" s="2795"/>
      <c r="TWP33" s="2795"/>
      <c r="TWQ33" s="2795"/>
      <c r="TWR33" s="2795"/>
      <c r="TWS33" s="2795"/>
      <c r="TWT33" s="2795"/>
      <c r="TWU33" s="2795"/>
      <c r="TWV33" s="2795"/>
      <c r="TWW33" s="2795"/>
      <c r="TWX33" s="2795"/>
      <c r="TWY33" s="2795"/>
      <c r="TWZ33" s="2795"/>
      <c r="TXA33" s="2795"/>
      <c r="TXB33" s="2795"/>
      <c r="TXC33" s="2795"/>
      <c r="TXD33" s="2795"/>
      <c r="TXE33" s="2795"/>
      <c r="TXF33" s="2795"/>
      <c r="TXG33" s="2795"/>
      <c r="TXH33" s="2795"/>
      <c r="TXI33" s="2795"/>
      <c r="TXJ33" s="2795"/>
      <c r="TXK33" s="2795"/>
      <c r="TXL33" s="2795"/>
      <c r="TXM33" s="2795"/>
      <c r="TXN33" s="2795"/>
      <c r="TXO33" s="2795"/>
      <c r="TXP33" s="2795"/>
      <c r="TXQ33" s="2795"/>
      <c r="TXR33" s="2795"/>
      <c r="TXS33" s="2795"/>
      <c r="TXT33" s="2795"/>
      <c r="TXU33" s="2795"/>
      <c r="TXV33" s="2795"/>
      <c r="TXW33" s="2795"/>
      <c r="TXX33" s="2795"/>
      <c r="TXY33" s="2795"/>
      <c r="TXZ33" s="2795"/>
      <c r="TYA33" s="2795"/>
      <c r="TYB33" s="2795"/>
      <c r="TYC33" s="2795"/>
      <c r="TYD33" s="2795"/>
      <c r="TYE33" s="2795"/>
      <c r="TYF33" s="2795"/>
      <c r="TYG33" s="2795"/>
      <c r="TYH33" s="2795"/>
      <c r="TYI33" s="2795"/>
      <c r="TYJ33" s="2795"/>
      <c r="TYK33" s="2795"/>
      <c r="TYL33" s="2795"/>
      <c r="TYM33" s="2795"/>
      <c r="TYN33" s="2795"/>
      <c r="TYO33" s="2795"/>
      <c r="TYP33" s="2795"/>
      <c r="TYQ33" s="2795"/>
      <c r="TYR33" s="2795"/>
      <c r="TYS33" s="2795"/>
      <c r="TYT33" s="2795"/>
      <c r="TYU33" s="2795"/>
      <c r="TYV33" s="2795"/>
      <c r="TYW33" s="2795"/>
      <c r="TYX33" s="2795"/>
      <c r="TYY33" s="2795"/>
      <c r="TYZ33" s="2795"/>
      <c r="TZA33" s="2795"/>
      <c r="TZB33" s="2795"/>
      <c r="TZC33" s="2795"/>
      <c r="TZD33" s="2795"/>
      <c r="TZE33" s="2795"/>
      <c r="TZF33" s="2795"/>
      <c r="TZG33" s="2795"/>
      <c r="TZH33" s="2795"/>
      <c r="TZI33" s="2795"/>
      <c r="TZJ33" s="2795"/>
      <c r="TZK33" s="2795"/>
      <c r="TZL33" s="2795"/>
      <c r="TZM33" s="2795"/>
      <c r="TZN33" s="2795"/>
      <c r="TZO33" s="2795"/>
      <c r="TZP33" s="2795"/>
      <c r="TZQ33" s="2795"/>
      <c r="TZR33" s="2795"/>
      <c r="TZS33" s="2795"/>
      <c r="TZT33" s="2795"/>
      <c r="TZU33" s="2795"/>
      <c r="TZV33" s="2795"/>
      <c r="TZW33" s="2795"/>
      <c r="TZX33" s="2795"/>
      <c r="TZY33" s="2795"/>
      <c r="TZZ33" s="2795"/>
      <c r="UAA33" s="2795"/>
      <c r="UAB33" s="2795"/>
      <c r="UAC33" s="2795"/>
      <c r="UAD33" s="2795"/>
      <c r="UAE33" s="2795"/>
      <c r="UAF33" s="2795"/>
      <c r="UAG33" s="2795"/>
      <c r="UAH33" s="2795"/>
      <c r="UAI33" s="2795"/>
      <c r="UAJ33" s="2795"/>
      <c r="UAK33" s="2795"/>
      <c r="UAL33" s="2795"/>
      <c r="UAM33" s="2795"/>
      <c r="UAN33" s="2795"/>
      <c r="UAO33" s="2795"/>
      <c r="UAP33" s="2795"/>
      <c r="UAQ33" s="2795"/>
      <c r="UAR33" s="2795"/>
      <c r="UAS33" s="2795"/>
      <c r="UAT33" s="2795"/>
      <c r="UAU33" s="2795"/>
      <c r="UAV33" s="2795"/>
      <c r="UAW33" s="2795"/>
      <c r="UAX33" s="2795"/>
      <c r="UAY33" s="2795"/>
      <c r="UAZ33" s="2795"/>
      <c r="UBA33" s="2795"/>
      <c r="UBB33" s="2795"/>
      <c r="UBC33" s="2795"/>
      <c r="UBD33" s="2795"/>
      <c r="UBE33" s="2795"/>
      <c r="UBF33" s="2795"/>
      <c r="UBG33" s="2795"/>
      <c r="UBH33" s="2795"/>
      <c r="UBI33" s="2795"/>
      <c r="UBJ33" s="2795"/>
      <c r="UBK33" s="2795"/>
      <c r="UBL33" s="2795"/>
      <c r="UBM33" s="2795"/>
      <c r="UBN33" s="2795"/>
      <c r="UBO33" s="2795"/>
      <c r="UBP33" s="2795"/>
      <c r="UBQ33" s="2795"/>
      <c r="UBR33" s="2795"/>
      <c r="UBS33" s="2795"/>
      <c r="UBT33" s="2795"/>
      <c r="UBU33" s="2795"/>
      <c r="UBV33" s="2795"/>
      <c r="UBW33" s="2795"/>
      <c r="UBX33" s="2795"/>
      <c r="UBY33" s="2795"/>
      <c r="UBZ33" s="2795"/>
      <c r="UCA33" s="2795"/>
      <c r="UCB33" s="2795"/>
      <c r="UCC33" s="2795"/>
      <c r="UCD33" s="2795"/>
      <c r="UCE33" s="2795"/>
      <c r="UCF33" s="2795"/>
      <c r="UCG33" s="2795"/>
      <c r="UCH33" s="2795"/>
      <c r="UCI33" s="2795"/>
      <c r="UCJ33" s="2795"/>
      <c r="UCK33" s="2795"/>
      <c r="UCL33" s="2795"/>
      <c r="UCM33" s="2795"/>
      <c r="UCN33" s="2795"/>
      <c r="UCO33" s="2795"/>
      <c r="UCP33" s="2795"/>
      <c r="UCQ33" s="2795"/>
      <c r="UCR33" s="2795"/>
      <c r="UCS33" s="2795"/>
      <c r="UCT33" s="2795"/>
      <c r="UCU33" s="2795"/>
      <c r="UCV33" s="2795"/>
      <c r="UCW33" s="2795"/>
      <c r="UCX33" s="2795"/>
      <c r="UCY33" s="2795"/>
      <c r="UCZ33" s="2795"/>
      <c r="UDA33" s="2795"/>
      <c r="UDB33" s="2795"/>
      <c r="UDC33" s="2795"/>
      <c r="UDD33" s="2795"/>
      <c r="UDE33" s="2795"/>
      <c r="UDF33" s="2795"/>
      <c r="UDG33" s="2795"/>
      <c r="UDH33" s="2795"/>
      <c r="UDI33" s="2795"/>
      <c r="UDJ33" s="2795"/>
      <c r="UDK33" s="2795"/>
      <c r="UDL33" s="2795"/>
      <c r="UDM33" s="2795"/>
      <c r="UDN33" s="2795"/>
      <c r="UDO33" s="2795"/>
      <c r="UDP33" s="2795"/>
      <c r="UDQ33" s="2795"/>
      <c r="UDR33" s="2795"/>
      <c r="UDS33" s="2795"/>
      <c r="UDT33" s="2795"/>
      <c r="UDU33" s="2795"/>
      <c r="UDV33" s="2795"/>
      <c r="UDW33" s="2795"/>
      <c r="UDX33" s="2795"/>
      <c r="UDY33" s="2795"/>
      <c r="UDZ33" s="2795"/>
      <c r="UEA33" s="2795"/>
      <c r="UEB33" s="2795"/>
      <c r="UEC33" s="2795"/>
      <c r="UED33" s="2795"/>
      <c r="UEE33" s="2795"/>
      <c r="UEF33" s="2795"/>
      <c r="UEG33" s="2795"/>
      <c r="UEH33" s="2795"/>
      <c r="UEI33" s="2795"/>
      <c r="UEJ33" s="2795"/>
      <c r="UEK33" s="2795"/>
      <c r="UEL33" s="2795"/>
      <c r="UEM33" s="2795"/>
      <c r="UEN33" s="2795"/>
      <c r="UEO33" s="2795"/>
      <c r="UEP33" s="2795"/>
      <c r="UEQ33" s="2795"/>
      <c r="UER33" s="2795"/>
      <c r="UES33" s="2795"/>
      <c r="UET33" s="2795"/>
      <c r="UEU33" s="2795"/>
      <c r="UEV33" s="2795"/>
      <c r="UEW33" s="2795"/>
      <c r="UEX33" s="2795"/>
      <c r="UEY33" s="2795"/>
      <c r="UEZ33" s="2795"/>
      <c r="UFA33" s="2795"/>
      <c r="UFB33" s="2795"/>
      <c r="UFC33" s="2795"/>
      <c r="UFD33" s="2795"/>
      <c r="UFE33" s="2795"/>
      <c r="UFF33" s="2795"/>
      <c r="UFG33" s="2795"/>
      <c r="UFH33" s="2795"/>
      <c r="UFI33" s="2795"/>
      <c r="UFJ33" s="2795"/>
      <c r="UFK33" s="2795"/>
      <c r="UFL33" s="2795"/>
      <c r="UFM33" s="2795"/>
      <c r="UFN33" s="2795"/>
      <c r="UFO33" s="2795"/>
      <c r="UFP33" s="2795"/>
      <c r="UFQ33" s="2795"/>
      <c r="UFR33" s="2795"/>
      <c r="UFS33" s="2795"/>
      <c r="UFT33" s="2795"/>
      <c r="UFU33" s="2795"/>
      <c r="UFV33" s="2795"/>
      <c r="UFW33" s="2795"/>
      <c r="UFX33" s="2795"/>
      <c r="UFY33" s="2795"/>
      <c r="UFZ33" s="2795"/>
      <c r="UGA33" s="2795"/>
      <c r="UGB33" s="2795"/>
      <c r="UGC33" s="2795"/>
      <c r="UGD33" s="2795"/>
      <c r="UGE33" s="2795"/>
      <c r="UGF33" s="2795"/>
      <c r="UGG33" s="2795"/>
      <c r="UGH33" s="2795"/>
      <c r="UGI33" s="2795"/>
      <c r="UGJ33" s="2795"/>
      <c r="UGK33" s="2795"/>
      <c r="UGL33" s="2795"/>
      <c r="UGM33" s="2795"/>
      <c r="UGN33" s="2795"/>
      <c r="UGO33" s="2795"/>
      <c r="UGP33" s="2795"/>
      <c r="UGQ33" s="2795"/>
      <c r="UGR33" s="2795"/>
      <c r="UGS33" s="2795"/>
      <c r="UGT33" s="2795"/>
      <c r="UGU33" s="2795"/>
      <c r="UGV33" s="2795"/>
      <c r="UGW33" s="2795"/>
      <c r="UGX33" s="2795"/>
      <c r="UGY33" s="2795"/>
      <c r="UGZ33" s="2795"/>
      <c r="UHA33" s="2795"/>
      <c r="UHB33" s="2795"/>
      <c r="UHC33" s="2795"/>
      <c r="UHD33" s="2795"/>
      <c r="UHE33" s="2795"/>
      <c r="UHF33" s="2795"/>
      <c r="UHG33" s="2795"/>
      <c r="UHH33" s="2795"/>
      <c r="UHI33" s="2795"/>
      <c r="UHJ33" s="2795"/>
      <c r="UHK33" s="2795"/>
      <c r="UHL33" s="2795"/>
      <c r="UHM33" s="2795"/>
      <c r="UHN33" s="2795"/>
      <c r="UHO33" s="2795"/>
      <c r="UHP33" s="2795"/>
      <c r="UHQ33" s="2795"/>
      <c r="UHR33" s="2795"/>
      <c r="UHS33" s="2795"/>
      <c r="UHT33" s="2795"/>
      <c r="UHU33" s="2795"/>
      <c r="UHV33" s="2795"/>
      <c r="UHW33" s="2795"/>
      <c r="UHX33" s="2795"/>
      <c r="UHY33" s="2795"/>
      <c r="UHZ33" s="2795"/>
      <c r="UIA33" s="2795"/>
      <c r="UIB33" s="2795"/>
      <c r="UIC33" s="2795"/>
      <c r="UID33" s="2795"/>
      <c r="UIE33" s="2795"/>
      <c r="UIF33" s="2795"/>
      <c r="UIG33" s="2795"/>
      <c r="UIH33" s="2795"/>
      <c r="UII33" s="2795"/>
      <c r="UIJ33" s="2795"/>
      <c r="UIK33" s="2795"/>
      <c r="UIL33" s="2795"/>
      <c r="UIM33" s="2795"/>
      <c r="UIN33" s="2795"/>
      <c r="UIO33" s="2795"/>
      <c r="UIP33" s="2795"/>
      <c r="UIQ33" s="2795"/>
      <c r="UIR33" s="2795"/>
      <c r="UIS33" s="2795"/>
      <c r="UIT33" s="2795"/>
      <c r="UIU33" s="2795"/>
      <c r="UIV33" s="2795"/>
      <c r="UIW33" s="2795"/>
      <c r="UIX33" s="2795"/>
      <c r="UIY33" s="2795"/>
      <c r="UIZ33" s="2795"/>
      <c r="UJA33" s="2795"/>
      <c r="UJB33" s="2795"/>
      <c r="UJC33" s="2795"/>
      <c r="UJD33" s="2795"/>
      <c r="UJE33" s="2795"/>
      <c r="UJF33" s="2795"/>
      <c r="UJG33" s="2795"/>
      <c r="UJH33" s="2795"/>
      <c r="UJI33" s="2795"/>
      <c r="UJJ33" s="2795"/>
      <c r="UJK33" s="2795"/>
      <c r="UJL33" s="2795"/>
      <c r="UJM33" s="2795"/>
      <c r="UJN33" s="2795"/>
      <c r="UJO33" s="2795"/>
      <c r="UJP33" s="2795"/>
      <c r="UJQ33" s="2795"/>
      <c r="UJR33" s="2795"/>
      <c r="UJS33" s="2795"/>
      <c r="UJT33" s="2795"/>
      <c r="UJU33" s="2795"/>
      <c r="UJV33" s="2795"/>
      <c r="UJW33" s="2795"/>
      <c r="UJX33" s="2795"/>
      <c r="UJY33" s="2795"/>
      <c r="UJZ33" s="2795"/>
      <c r="UKA33" s="2795"/>
      <c r="UKB33" s="2795"/>
      <c r="UKC33" s="2795"/>
      <c r="UKD33" s="2795"/>
      <c r="UKE33" s="2795"/>
      <c r="UKF33" s="2795"/>
      <c r="UKG33" s="2795"/>
      <c r="UKH33" s="2795"/>
      <c r="UKI33" s="2795"/>
      <c r="UKJ33" s="2795"/>
      <c r="UKK33" s="2795"/>
      <c r="UKL33" s="2795"/>
      <c r="UKM33" s="2795"/>
      <c r="UKN33" s="2795"/>
      <c r="UKO33" s="2795"/>
      <c r="UKP33" s="2795"/>
      <c r="UKQ33" s="2795"/>
      <c r="UKR33" s="2795"/>
      <c r="UKS33" s="2795"/>
      <c r="UKT33" s="2795"/>
      <c r="UKU33" s="2795"/>
      <c r="UKV33" s="2795"/>
      <c r="UKW33" s="2795"/>
      <c r="UKX33" s="2795"/>
      <c r="UKY33" s="2795"/>
      <c r="UKZ33" s="2795"/>
      <c r="ULA33" s="2795"/>
      <c r="ULB33" s="2795"/>
      <c r="ULC33" s="2795"/>
      <c r="ULD33" s="2795"/>
      <c r="ULE33" s="2795"/>
      <c r="ULF33" s="2795"/>
      <c r="ULG33" s="2795"/>
      <c r="ULH33" s="2795"/>
      <c r="ULI33" s="2795"/>
      <c r="ULJ33" s="2795"/>
      <c r="ULK33" s="2795"/>
      <c r="ULL33" s="2795"/>
      <c r="ULM33" s="2795"/>
      <c r="ULN33" s="2795"/>
      <c r="ULO33" s="2795"/>
      <c r="ULP33" s="2795"/>
      <c r="ULQ33" s="2795"/>
      <c r="ULR33" s="2795"/>
      <c r="ULS33" s="2795"/>
      <c r="ULT33" s="2795"/>
      <c r="ULU33" s="2795"/>
      <c r="ULV33" s="2795"/>
      <c r="ULW33" s="2795"/>
      <c r="ULX33" s="2795"/>
      <c r="ULY33" s="2795"/>
      <c r="ULZ33" s="2795"/>
      <c r="UMA33" s="2795"/>
      <c r="UMB33" s="2795"/>
      <c r="UMC33" s="2795"/>
      <c r="UMD33" s="2795"/>
      <c r="UME33" s="2795"/>
      <c r="UMF33" s="2795"/>
      <c r="UMG33" s="2795"/>
      <c r="UMH33" s="2795"/>
      <c r="UMI33" s="2795"/>
      <c r="UMJ33" s="2795"/>
      <c r="UMK33" s="2795"/>
      <c r="UML33" s="2795"/>
      <c r="UMM33" s="2795"/>
      <c r="UMN33" s="2795"/>
      <c r="UMO33" s="2795"/>
      <c r="UMP33" s="2795"/>
      <c r="UMQ33" s="2795"/>
      <c r="UMR33" s="2795"/>
      <c r="UMS33" s="2795"/>
      <c r="UMT33" s="2795"/>
      <c r="UMU33" s="2795"/>
      <c r="UMV33" s="2795"/>
      <c r="UMW33" s="2795"/>
      <c r="UMX33" s="2795"/>
      <c r="UMY33" s="2795"/>
      <c r="UMZ33" s="2795"/>
      <c r="UNA33" s="2795"/>
      <c r="UNB33" s="2795"/>
      <c r="UNC33" s="2795"/>
      <c r="UND33" s="2795"/>
      <c r="UNE33" s="2795"/>
      <c r="UNF33" s="2795"/>
      <c r="UNG33" s="2795"/>
      <c r="UNH33" s="2795"/>
      <c r="UNI33" s="2795"/>
      <c r="UNJ33" s="2795"/>
      <c r="UNK33" s="2795"/>
      <c r="UNL33" s="2795"/>
      <c r="UNM33" s="2795"/>
      <c r="UNN33" s="2795"/>
      <c r="UNO33" s="2795"/>
      <c r="UNP33" s="2795"/>
      <c r="UNQ33" s="2795"/>
      <c r="UNR33" s="2795"/>
      <c r="UNS33" s="2795"/>
      <c r="UNT33" s="2795"/>
      <c r="UNU33" s="2795"/>
      <c r="UNV33" s="2795"/>
      <c r="UNW33" s="2795"/>
      <c r="UNX33" s="2795"/>
      <c r="UNY33" s="2795"/>
      <c r="UNZ33" s="2795"/>
      <c r="UOA33" s="2795"/>
      <c r="UOB33" s="2795"/>
      <c r="UOC33" s="2795"/>
      <c r="UOD33" s="2795"/>
      <c r="UOE33" s="2795"/>
      <c r="UOF33" s="2795"/>
      <c r="UOG33" s="2795"/>
      <c r="UOH33" s="2795"/>
      <c r="UOI33" s="2795"/>
      <c r="UOJ33" s="2795"/>
      <c r="UOK33" s="2795"/>
      <c r="UOL33" s="2795"/>
      <c r="UOM33" s="2795"/>
      <c r="UON33" s="2795"/>
      <c r="UOO33" s="2795"/>
      <c r="UOP33" s="2795"/>
      <c r="UOQ33" s="2795"/>
      <c r="UOR33" s="2795"/>
      <c r="UOS33" s="2795"/>
      <c r="UOT33" s="2795"/>
      <c r="UOU33" s="2795"/>
      <c r="UOV33" s="2795"/>
      <c r="UOW33" s="2795"/>
      <c r="UOX33" s="2795"/>
      <c r="UOY33" s="2795"/>
      <c r="UOZ33" s="2795"/>
      <c r="UPA33" s="2795"/>
      <c r="UPB33" s="2795"/>
      <c r="UPC33" s="2795"/>
      <c r="UPD33" s="2795"/>
      <c r="UPE33" s="2795"/>
      <c r="UPF33" s="2795"/>
      <c r="UPG33" s="2795"/>
      <c r="UPH33" s="2795"/>
      <c r="UPI33" s="2795"/>
      <c r="UPJ33" s="2795"/>
      <c r="UPK33" s="2795"/>
      <c r="UPL33" s="2795"/>
      <c r="UPM33" s="2795"/>
      <c r="UPN33" s="2795"/>
      <c r="UPO33" s="2795"/>
      <c r="UPP33" s="2795"/>
      <c r="UPQ33" s="2795"/>
      <c r="UPR33" s="2795"/>
      <c r="UPS33" s="2795"/>
      <c r="UPT33" s="2795"/>
      <c r="UPU33" s="2795"/>
      <c r="UPV33" s="2795"/>
      <c r="UPW33" s="2795"/>
      <c r="UPX33" s="2795"/>
      <c r="UPY33" s="2795"/>
      <c r="UPZ33" s="2795"/>
      <c r="UQA33" s="2795"/>
      <c r="UQB33" s="2795"/>
      <c r="UQC33" s="2795"/>
      <c r="UQD33" s="2795"/>
      <c r="UQE33" s="2795"/>
      <c r="UQF33" s="2795"/>
      <c r="UQG33" s="2795"/>
      <c r="UQH33" s="2795"/>
      <c r="UQI33" s="2795"/>
      <c r="UQJ33" s="2795"/>
      <c r="UQK33" s="2795"/>
      <c r="UQL33" s="2795"/>
      <c r="UQM33" s="2795"/>
      <c r="UQN33" s="2795"/>
      <c r="UQO33" s="2795"/>
      <c r="UQP33" s="2795"/>
      <c r="UQQ33" s="2795"/>
      <c r="UQR33" s="2795"/>
      <c r="UQS33" s="2795"/>
      <c r="UQT33" s="2795"/>
      <c r="UQU33" s="2795"/>
      <c r="UQV33" s="2795"/>
      <c r="UQW33" s="2795"/>
      <c r="UQX33" s="2795"/>
      <c r="UQY33" s="2795"/>
      <c r="UQZ33" s="2795"/>
      <c r="URA33" s="2795"/>
      <c r="URB33" s="2795"/>
      <c r="URC33" s="2795"/>
      <c r="URD33" s="2795"/>
      <c r="URE33" s="2795"/>
      <c r="URF33" s="2795"/>
      <c r="URG33" s="2795"/>
      <c r="URH33" s="2795"/>
      <c r="URI33" s="2795"/>
      <c r="URJ33" s="2795"/>
      <c r="URK33" s="2795"/>
      <c r="URL33" s="2795"/>
      <c r="URM33" s="2795"/>
      <c r="URN33" s="2795"/>
      <c r="URO33" s="2795"/>
      <c r="URP33" s="2795"/>
      <c r="URQ33" s="2795"/>
      <c r="URR33" s="2795"/>
      <c r="URS33" s="2795"/>
      <c r="URT33" s="2795"/>
      <c r="URU33" s="2795"/>
      <c r="URV33" s="2795"/>
      <c r="URW33" s="2795"/>
      <c r="URX33" s="2795"/>
      <c r="URY33" s="2795"/>
      <c r="URZ33" s="2795"/>
      <c r="USA33" s="2795"/>
      <c r="USB33" s="2795"/>
      <c r="USC33" s="2795"/>
      <c r="USD33" s="2795"/>
      <c r="USE33" s="2795"/>
      <c r="USF33" s="2795"/>
      <c r="USG33" s="2795"/>
      <c r="USH33" s="2795"/>
      <c r="USI33" s="2795"/>
      <c r="USJ33" s="2795"/>
      <c r="USK33" s="2795"/>
      <c r="USL33" s="2795"/>
      <c r="USM33" s="2795"/>
      <c r="USN33" s="2795"/>
      <c r="USO33" s="2795"/>
      <c r="USP33" s="2795"/>
      <c r="USQ33" s="2795"/>
      <c r="USR33" s="2795"/>
      <c r="USS33" s="2795"/>
      <c r="UST33" s="2795"/>
      <c r="USU33" s="2795"/>
      <c r="USV33" s="2795"/>
      <c r="USW33" s="2795"/>
      <c r="USX33" s="2795"/>
      <c r="USY33" s="2795"/>
      <c r="USZ33" s="2795"/>
      <c r="UTA33" s="2795"/>
      <c r="UTB33" s="2795"/>
      <c r="UTC33" s="2795"/>
      <c r="UTD33" s="2795"/>
      <c r="UTE33" s="2795"/>
      <c r="UTF33" s="2795"/>
      <c r="UTG33" s="2795"/>
      <c r="UTH33" s="2795"/>
      <c r="UTI33" s="2795"/>
      <c r="UTJ33" s="2795"/>
      <c r="UTK33" s="2795"/>
      <c r="UTL33" s="2795"/>
      <c r="UTM33" s="2795"/>
      <c r="UTN33" s="2795"/>
      <c r="UTO33" s="2795"/>
      <c r="UTP33" s="2795"/>
      <c r="UTQ33" s="2795"/>
      <c r="UTR33" s="2795"/>
      <c r="UTS33" s="2795"/>
      <c r="UTT33" s="2795"/>
      <c r="UTU33" s="2795"/>
      <c r="UTV33" s="2795"/>
      <c r="UTW33" s="2795"/>
      <c r="UTX33" s="2795"/>
      <c r="UTY33" s="2795"/>
      <c r="UTZ33" s="2795"/>
      <c r="UUA33" s="2795"/>
      <c r="UUB33" s="2795"/>
      <c r="UUC33" s="2795"/>
      <c r="UUD33" s="2795"/>
      <c r="UUE33" s="2795"/>
      <c r="UUF33" s="2795"/>
      <c r="UUG33" s="2795"/>
      <c r="UUH33" s="2795"/>
      <c r="UUI33" s="2795"/>
      <c r="UUJ33" s="2795"/>
      <c r="UUK33" s="2795"/>
      <c r="UUL33" s="2795"/>
      <c r="UUM33" s="2795"/>
      <c r="UUN33" s="2795"/>
      <c r="UUO33" s="2795"/>
      <c r="UUP33" s="2795"/>
      <c r="UUQ33" s="2795"/>
      <c r="UUR33" s="2795"/>
      <c r="UUS33" s="2795"/>
      <c r="UUT33" s="2795"/>
      <c r="UUU33" s="2795"/>
      <c r="UUV33" s="2795"/>
      <c r="UUW33" s="2795"/>
      <c r="UUX33" s="2795"/>
      <c r="UUY33" s="2795"/>
      <c r="UUZ33" s="2795"/>
      <c r="UVA33" s="2795"/>
      <c r="UVB33" s="2795"/>
      <c r="UVC33" s="2795"/>
      <c r="UVD33" s="2795"/>
      <c r="UVE33" s="2795"/>
      <c r="UVF33" s="2795"/>
      <c r="UVG33" s="2795"/>
      <c r="UVH33" s="2795"/>
      <c r="UVI33" s="2795"/>
      <c r="UVJ33" s="2795"/>
      <c r="UVK33" s="2795"/>
      <c r="UVL33" s="2795"/>
      <c r="UVM33" s="2795"/>
      <c r="UVN33" s="2795"/>
      <c r="UVO33" s="2795"/>
      <c r="UVP33" s="2795"/>
      <c r="UVQ33" s="2795"/>
      <c r="UVR33" s="2795"/>
      <c r="UVS33" s="2795"/>
      <c r="UVT33" s="2795"/>
      <c r="UVU33" s="2795"/>
      <c r="UVV33" s="2795"/>
      <c r="UVW33" s="2795"/>
      <c r="UVX33" s="2795"/>
      <c r="UVY33" s="2795"/>
      <c r="UVZ33" s="2795"/>
      <c r="UWA33" s="2795"/>
      <c r="UWB33" s="2795"/>
      <c r="UWC33" s="2795"/>
      <c r="UWD33" s="2795"/>
      <c r="UWE33" s="2795"/>
      <c r="UWF33" s="2795"/>
      <c r="UWG33" s="2795"/>
      <c r="UWH33" s="2795"/>
      <c r="UWI33" s="2795"/>
      <c r="UWJ33" s="2795"/>
      <c r="UWK33" s="2795"/>
      <c r="UWL33" s="2795"/>
      <c r="UWM33" s="2795"/>
      <c r="UWN33" s="2795"/>
      <c r="UWO33" s="2795"/>
      <c r="UWP33" s="2795"/>
      <c r="UWQ33" s="2795"/>
      <c r="UWR33" s="2795"/>
      <c r="UWS33" s="2795"/>
      <c r="UWT33" s="2795"/>
      <c r="UWU33" s="2795"/>
      <c r="UWV33" s="2795"/>
      <c r="UWW33" s="2795"/>
      <c r="UWX33" s="2795"/>
      <c r="UWY33" s="2795"/>
      <c r="UWZ33" s="2795"/>
      <c r="UXA33" s="2795"/>
      <c r="UXB33" s="2795"/>
      <c r="UXC33" s="2795"/>
      <c r="UXD33" s="2795"/>
      <c r="UXE33" s="2795"/>
      <c r="UXF33" s="2795"/>
      <c r="UXG33" s="2795"/>
      <c r="UXH33" s="2795"/>
      <c r="UXI33" s="2795"/>
      <c r="UXJ33" s="2795"/>
      <c r="UXK33" s="2795"/>
      <c r="UXL33" s="2795"/>
      <c r="UXM33" s="2795"/>
      <c r="UXN33" s="2795"/>
      <c r="UXO33" s="2795"/>
      <c r="UXP33" s="2795"/>
      <c r="UXQ33" s="2795"/>
      <c r="UXR33" s="2795"/>
      <c r="UXS33" s="2795"/>
      <c r="UXT33" s="2795"/>
      <c r="UXU33" s="2795"/>
      <c r="UXV33" s="2795"/>
      <c r="UXW33" s="2795"/>
      <c r="UXX33" s="2795"/>
      <c r="UXY33" s="2795"/>
      <c r="UXZ33" s="2795"/>
      <c r="UYA33" s="2795"/>
      <c r="UYB33" s="2795"/>
      <c r="UYC33" s="2795"/>
      <c r="UYD33" s="2795"/>
      <c r="UYE33" s="2795"/>
      <c r="UYF33" s="2795"/>
      <c r="UYG33" s="2795"/>
      <c r="UYH33" s="2795"/>
      <c r="UYI33" s="2795"/>
      <c r="UYJ33" s="2795"/>
      <c r="UYK33" s="2795"/>
      <c r="UYL33" s="2795"/>
      <c r="UYM33" s="2795"/>
      <c r="UYN33" s="2795"/>
      <c r="UYO33" s="2795"/>
      <c r="UYP33" s="2795"/>
      <c r="UYQ33" s="2795"/>
      <c r="UYR33" s="2795"/>
      <c r="UYS33" s="2795"/>
      <c r="UYT33" s="2795"/>
      <c r="UYU33" s="2795"/>
      <c r="UYV33" s="2795"/>
      <c r="UYW33" s="2795"/>
      <c r="UYX33" s="2795"/>
      <c r="UYY33" s="2795"/>
      <c r="UYZ33" s="2795"/>
      <c r="UZA33" s="2795"/>
      <c r="UZB33" s="2795"/>
      <c r="UZC33" s="2795"/>
      <c r="UZD33" s="2795"/>
      <c r="UZE33" s="2795"/>
      <c r="UZF33" s="2795"/>
      <c r="UZG33" s="2795"/>
      <c r="UZH33" s="2795"/>
      <c r="UZI33" s="2795"/>
      <c r="UZJ33" s="2795"/>
      <c r="UZK33" s="2795"/>
      <c r="UZL33" s="2795"/>
      <c r="UZM33" s="2795"/>
      <c r="UZN33" s="2795"/>
      <c r="UZO33" s="2795"/>
      <c r="UZP33" s="2795"/>
      <c r="UZQ33" s="2795"/>
      <c r="UZR33" s="2795"/>
      <c r="UZS33" s="2795"/>
      <c r="UZT33" s="2795"/>
      <c r="UZU33" s="2795"/>
      <c r="UZV33" s="2795"/>
      <c r="UZW33" s="2795"/>
      <c r="UZX33" s="2795"/>
      <c r="UZY33" s="2795"/>
      <c r="UZZ33" s="2795"/>
      <c r="VAA33" s="2795"/>
      <c r="VAB33" s="2795"/>
      <c r="VAC33" s="2795"/>
      <c r="VAD33" s="2795"/>
      <c r="VAE33" s="2795"/>
      <c r="VAF33" s="2795"/>
      <c r="VAG33" s="2795"/>
      <c r="VAH33" s="2795"/>
      <c r="VAI33" s="2795"/>
      <c r="VAJ33" s="2795"/>
      <c r="VAK33" s="2795"/>
      <c r="VAL33" s="2795"/>
      <c r="VAM33" s="2795"/>
      <c r="VAN33" s="2795"/>
      <c r="VAO33" s="2795"/>
      <c r="VAP33" s="2795"/>
      <c r="VAQ33" s="2795"/>
      <c r="VAR33" s="2795"/>
      <c r="VAS33" s="2795"/>
      <c r="VAT33" s="2795"/>
      <c r="VAU33" s="2795"/>
      <c r="VAV33" s="2795"/>
      <c r="VAW33" s="2795"/>
      <c r="VAX33" s="2795"/>
      <c r="VAY33" s="2795"/>
      <c r="VAZ33" s="2795"/>
      <c r="VBA33" s="2795"/>
      <c r="VBB33" s="2795"/>
      <c r="VBC33" s="2795"/>
      <c r="VBD33" s="2795"/>
      <c r="VBE33" s="2795"/>
      <c r="VBF33" s="2795"/>
      <c r="VBG33" s="2795"/>
      <c r="VBH33" s="2795"/>
      <c r="VBI33" s="2795"/>
      <c r="VBJ33" s="2795"/>
      <c r="VBK33" s="2795"/>
      <c r="VBL33" s="2795"/>
      <c r="VBM33" s="2795"/>
      <c r="VBN33" s="2795"/>
      <c r="VBO33" s="2795"/>
      <c r="VBP33" s="2795"/>
      <c r="VBQ33" s="2795"/>
      <c r="VBR33" s="2795"/>
      <c r="VBS33" s="2795"/>
      <c r="VBT33" s="2795"/>
      <c r="VBU33" s="2795"/>
      <c r="VBV33" s="2795"/>
      <c r="VBW33" s="2795"/>
      <c r="VBX33" s="2795"/>
      <c r="VBY33" s="2795"/>
      <c r="VBZ33" s="2795"/>
      <c r="VCA33" s="2795"/>
      <c r="VCB33" s="2795"/>
      <c r="VCC33" s="2795"/>
      <c r="VCD33" s="2795"/>
      <c r="VCE33" s="2795"/>
      <c r="VCF33" s="2795"/>
      <c r="VCG33" s="2795"/>
      <c r="VCH33" s="2795"/>
      <c r="VCI33" s="2795"/>
      <c r="VCJ33" s="2795"/>
      <c r="VCK33" s="2795"/>
      <c r="VCL33" s="2795"/>
      <c r="VCM33" s="2795"/>
      <c r="VCN33" s="2795"/>
      <c r="VCO33" s="2795"/>
      <c r="VCP33" s="2795"/>
      <c r="VCQ33" s="2795"/>
      <c r="VCR33" s="2795"/>
      <c r="VCS33" s="2795"/>
      <c r="VCT33" s="2795"/>
      <c r="VCU33" s="2795"/>
      <c r="VCV33" s="2795"/>
      <c r="VCW33" s="2795"/>
      <c r="VCX33" s="2795"/>
      <c r="VCY33" s="2795"/>
      <c r="VCZ33" s="2795"/>
      <c r="VDA33" s="2795"/>
      <c r="VDB33" s="2795"/>
      <c r="VDC33" s="2795"/>
      <c r="VDD33" s="2795"/>
      <c r="VDE33" s="2795"/>
      <c r="VDF33" s="2795"/>
      <c r="VDG33" s="2795"/>
      <c r="VDH33" s="2795"/>
      <c r="VDI33" s="2795"/>
      <c r="VDJ33" s="2795"/>
      <c r="VDK33" s="2795"/>
      <c r="VDL33" s="2795"/>
      <c r="VDM33" s="2795"/>
      <c r="VDN33" s="2795"/>
      <c r="VDO33" s="2795"/>
      <c r="VDP33" s="2795"/>
      <c r="VDQ33" s="2795"/>
      <c r="VDR33" s="2795"/>
      <c r="VDS33" s="2795"/>
      <c r="VDT33" s="2795"/>
      <c r="VDU33" s="2795"/>
      <c r="VDV33" s="2795"/>
      <c r="VDW33" s="2795"/>
      <c r="VDX33" s="2795"/>
      <c r="VDY33" s="2795"/>
      <c r="VDZ33" s="2795"/>
      <c r="VEA33" s="2795"/>
      <c r="VEB33" s="2795"/>
      <c r="VEC33" s="2795"/>
      <c r="VED33" s="2795"/>
      <c r="VEE33" s="2795"/>
      <c r="VEF33" s="2795"/>
      <c r="VEG33" s="2795"/>
      <c r="VEH33" s="2795"/>
      <c r="VEI33" s="2795"/>
      <c r="VEJ33" s="2795"/>
      <c r="VEK33" s="2795"/>
      <c r="VEL33" s="2795"/>
      <c r="VEM33" s="2795"/>
      <c r="VEN33" s="2795"/>
      <c r="VEO33" s="2795"/>
      <c r="VEP33" s="2795"/>
      <c r="VEQ33" s="2795"/>
      <c r="VER33" s="2795"/>
      <c r="VES33" s="2795"/>
      <c r="VET33" s="2795"/>
      <c r="VEU33" s="2795"/>
      <c r="VEV33" s="2795"/>
      <c r="VEW33" s="2795"/>
      <c r="VEX33" s="2795"/>
      <c r="VEY33" s="2795"/>
      <c r="VEZ33" s="2795"/>
      <c r="VFA33" s="2795"/>
      <c r="VFB33" s="2795"/>
      <c r="VFC33" s="2795"/>
      <c r="VFD33" s="2795"/>
      <c r="VFE33" s="2795"/>
      <c r="VFF33" s="2795"/>
      <c r="VFG33" s="2795"/>
      <c r="VFH33" s="2795"/>
      <c r="VFI33" s="2795"/>
      <c r="VFJ33" s="2795"/>
      <c r="VFK33" s="2795"/>
      <c r="VFL33" s="2795"/>
      <c r="VFM33" s="2795"/>
      <c r="VFN33" s="2795"/>
      <c r="VFO33" s="2795"/>
      <c r="VFP33" s="2795"/>
      <c r="VFQ33" s="2795"/>
      <c r="VFR33" s="2795"/>
      <c r="VFS33" s="2795"/>
      <c r="VFT33" s="2795"/>
      <c r="VFU33" s="2795"/>
      <c r="VFV33" s="2795"/>
      <c r="VFW33" s="2795"/>
      <c r="VFX33" s="2795"/>
      <c r="VFY33" s="2795"/>
      <c r="VFZ33" s="2795"/>
      <c r="VGA33" s="2795"/>
      <c r="VGB33" s="2795"/>
      <c r="VGC33" s="2795"/>
      <c r="VGD33" s="2795"/>
      <c r="VGE33" s="2795"/>
      <c r="VGF33" s="2795"/>
      <c r="VGG33" s="2795"/>
      <c r="VGH33" s="2795"/>
      <c r="VGI33" s="2795"/>
      <c r="VGJ33" s="2795"/>
      <c r="VGK33" s="2795"/>
      <c r="VGL33" s="2795"/>
      <c r="VGM33" s="2795"/>
      <c r="VGN33" s="2795"/>
      <c r="VGO33" s="2795"/>
      <c r="VGP33" s="2795"/>
      <c r="VGQ33" s="2795"/>
      <c r="VGR33" s="2795"/>
      <c r="VGS33" s="2795"/>
      <c r="VGT33" s="2795"/>
      <c r="VGU33" s="2795"/>
      <c r="VGV33" s="2795"/>
      <c r="VGW33" s="2795"/>
      <c r="VGX33" s="2795"/>
      <c r="VGY33" s="2795"/>
      <c r="VGZ33" s="2795"/>
      <c r="VHA33" s="2795"/>
      <c r="VHB33" s="2795"/>
      <c r="VHC33" s="2795"/>
      <c r="VHD33" s="2795"/>
      <c r="VHE33" s="2795"/>
      <c r="VHF33" s="2795"/>
      <c r="VHG33" s="2795"/>
      <c r="VHH33" s="2795"/>
      <c r="VHI33" s="2795"/>
      <c r="VHJ33" s="2795"/>
      <c r="VHK33" s="2795"/>
      <c r="VHL33" s="2795"/>
      <c r="VHM33" s="2795"/>
      <c r="VHN33" s="2795"/>
      <c r="VHO33" s="2795"/>
      <c r="VHP33" s="2795"/>
      <c r="VHQ33" s="2795"/>
      <c r="VHR33" s="2795"/>
      <c r="VHS33" s="2795"/>
      <c r="VHT33" s="2795"/>
      <c r="VHU33" s="2795"/>
      <c r="VHV33" s="2795"/>
      <c r="VHW33" s="2795"/>
      <c r="VHX33" s="2795"/>
      <c r="VHY33" s="2795"/>
      <c r="VHZ33" s="2795"/>
      <c r="VIA33" s="2795"/>
      <c r="VIB33" s="2795"/>
      <c r="VIC33" s="2795"/>
      <c r="VID33" s="2795"/>
      <c r="VIE33" s="2795"/>
      <c r="VIF33" s="2795"/>
      <c r="VIG33" s="2795"/>
      <c r="VIH33" s="2795"/>
      <c r="VII33" s="2795"/>
      <c r="VIJ33" s="2795"/>
      <c r="VIK33" s="2795"/>
      <c r="VIL33" s="2795"/>
      <c r="VIM33" s="2795"/>
      <c r="VIN33" s="2795"/>
      <c r="VIO33" s="2795"/>
      <c r="VIP33" s="2795"/>
      <c r="VIQ33" s="2795"/>
      <c r="VIR33" s="2795"/>
      <c r="VIS33" s="2795"/>
      <c r="VIT33" s="2795"/>
      <c r="VIU33" s="2795"/>
      <c r="VIV33" s="2795"/>
      <c r="VIW33" s="2795"/>
      <c r="VIX33" s="2795"/>
      <c r="VIY33" s="2795"/>
      <c r="VIZ33" s="2795"/>
      <c r="VJA33" s="2795"/>
      <c r="VJB33" s="2795"/>
      <c r="VJC33" s="2795"/>
      <c r="VJD33" s="2795"/>
      <c r="VJE33" s="2795"/>
      <c r="VJF33" s="2795"/>
      <c r="VJG33" s="2795"/>
      <c r="VJH33" s="2795"/>
      <c r="VJI33" s="2795"/>
      <c r="VJJ33" s="2795"/>
      <c r="VJK33" s="2795"/>
      <c r="VJL33" s="2795"/>
      <c r="VJM33" s="2795"/>
      <c r="VJN33" s="2795"/>
      <c r="VJO33" s="2795"/>
      <c r="VJP33" s="2795"/>
      <c r="VJQ33" s="2795"/>
      <c r="VJR33" s="2795"/>
      <c r="VJS33" s="2795"/>
      <c r="VJT33" s="2795"/>
      <c r="VJU33" s="2795"/>
      <c r="VJV33" s="2795"/>
      <c r="VJW33" s="2795"/>
      <c r="VJX33" s="2795"/>
      <c r="VJY33" s="2795"/>
      <c r="VJZ33" s="2795"/>
      <c r="VKA33" s="2795"/>
      <c r="VKB33" s="2795"/>
      <c r="VKC33" s="2795"/>
      <c r="VKD33" s="2795"/>
      <c r="VKE33" s="2795"/>
      <c r="VKF33" s="2795"/>
      <c r="VKG33" s="2795"/>
      <c r="VKH33" s="2795"/>
      <c r="VKI33" s="2795"/>
      <c r="VKJ33" s="2795"/>
      <c r="VKK33" s="2795"/>
      <c r="VKL33" s="2795"/>
      <c r="VKM33" s="2795"/>
      <c r="VKN33" s="2795"/>
      <c r="VKO33" s="2795"/>
      <c r="VKP33" s="2795"/>
      <c r="VKQ33" s="2795"/>
      <c r="VKR33" s="2795"/>
      <c r="VKS33" s="2795"/>
      <c r="VKT33" s="2795"/>
      <c r="VKU33" s="2795"/>
      <c r="VKV33" s="2795"/>
      <c r="VKW33" s="2795"/>
      <c r="VKX33" s="2795"/>
      <c r="VKY33" s="2795"/>
      <c r="VKZ33" s="2795"/>
      <c r="VLA33" s="2795"/>
      <c r="VLB33" s="2795"/>
      <c r="VLC33" s="2795"/>
      <c r="VLD33" s="2795"/>
      <c r="VLE33" s="2795"/>
      <c r="VLF33" s="2795"/>
      <c r="VLG33" s="2795"/>
      <c r="VLH33" s="2795"/>
      <c r="VLI33" s="2795"/>
      <c r="VLJ33" s="2795"/>
      <c r="VLK33" s="2795"/>
      <c r="VLL33" s="2795"/>
      <c r="VLM33" s="2795"/>
      <c r="VLN33" s="2795"/>
      <c r="VLO33" s="2795"/>
      <c r="VLP33" s="2795"/>
      <c r="VLQ33" s="2795"/>
      <c r="VLR33" s="2795"/>
      <c r="VLS33" s="2795"/>
      <c r="VLT33" s="2795"/>
      <c r="VLU33" s="2795"/>
      <c r="VLV33" s="2795"/>
      <c r="VLW33" s="2795"/>
      <c r="VLX33" s="2795"/>
      <c r="VLY33" s="2795"/>
      <c r="VLZ33" s="2795"/>
      <c r="VMA33" s="2795"/>
      <c r="VMB33" s="2795"/>
      <c r="VMC33" s="2795"/>
      <c r="VMD33" s="2795"/>
      <c r="VME33" s="2795"/>
      <c r="VMF33" s="2795"/>
      <c r="VMG33" s="2795"/>
      <c r="VMH33" s="2795"/>
      <c r="VMI33" s="2795"/>
      <c r="VMJ33" s="2795"/>
      <c r="VMK33" s="2795"/>
      <c r="VML33" s="2795"/>
      <c r="VMM33" s="2795"/>
      <c r="VMN33" s="2795"/>
      <c r="VMO33" s="2795"/>
      <c r="VMP33" s="2795"/>
      <c r="VMQ33" s="2795"/>
      <c r="VMR33" s="2795"/>
      <c r="VMS33" s="2795"/>
      <c r="VMT33" s="2795"/>
      <c r="VMU33" s="2795"/>
      <c r="VMV33" s="2795"/>
      <c r="VMW33" s="2795"/>
      <c r="VMX33" s="2795"/>
      <c r="VMY33" s="2795"/>
      <c r="VMZ33" s="2795"/>
      <c r="VNA33" s="2795"/>
      <c r="VNB33" s="2795"/>
      <c r="VNC33" s="2795"/>
      <c r="VND33" s="2795"/>
      <c r="VNE33" s="2795"/>
      <c r="VNF33" s="2795"/>
      <c r="VNG33" s="2795"/>
      <c r="VNH33" s="2795"/>
      <c r="VNI33" s="2795"/>
      <c r="VNJ33" s="2795"/>
      <c r="VNK33" s="2795"/>
      <c r="VNL33" s="2795"/>
      <c r="VNM33" s="2795"/>
      <c r="VNN33" s="2795"/>
      <c r="VNO33" s="2795"/>
      <c r="VNP33" s="2795"/>
      <c r="VNQ33" s="2795"/>
      <c r="VNR33" s="2795"/>
      <c r="VNS33" s="2795"/>
      <c r="VNT33" s="2795"/>
      <c r="VNU33" s="2795"/>
      <c r="VNV33" s="2795"/>
      <c r="VNW33" s="2795"/>
      <c r="VNX33" s="2795"/>
      <c r="VNY33" s="2795"/>
      <c r="VNZ33" s="2795"/>
      <c r="VOA33" s="2795"/>
      <c r="VOB33" s="2795"/>
      <c r="VOC33" s="2795"/>
      <c r="VOD33" s="2795"/>
      <c r="VOE33" s="2795"/>
      <c r="VOF33" s="2795"/>
      <c r="VOG33" s="2795"/>
      <c r="VOH33" s="2795"/>
      <c r="VOI33" s="2795"/>
      <c r="VOJ33" s="2795"/>
      <c r="VOK33" s="2795"/>
      <c r="VOL33" s="2795"/>
      <c r="VOM33" s="2795"/>
      <c r="VON33" s="2795"/>
      <c r="VOO33" s="2795"/>
      <c r="VOP33" s="2795"/>
      <c r="VOQ33" s="2795"/>
      <c r="VOR33" s="2795"/>
      <c r="VOS33" s="2795"/>
      <c r="VOT33" s="2795"/>
      <c r="VOU33" s="2795"/>
      <c r="VOV33" s="2795"/>
      <c r="VOW33" s="2795"/>
      <c r="VOX33" s="2795"/>
      <c r="VOY33" s="2795"/>
      <c r="VOZ33" s="2795"/>
      <c r="VPA33" s="2795"/>
      <c r="VPB33" s="2795"/>
      <c r="VPC33" s="2795"/>
      <c r="VPD33" s="2795"/>
      <c r="VPE33" s="2795"/>
      <c r="VPF33" s="2795"/>
      <c r="VPG33" s="2795"/>
      <c r="VPH33" s="2795"/>
      <c r="VPI33" s="2795"/>
      <c r="VPJ33" s="2795"/>
      <c r="VPK33" s="2795"/>
      <c r="VPL33" s="2795"/>
      <c r="VPM33" s="2795"/>
      <c r="VPN33" s="2795"/>
      <c r="VPO33" s="2795"/>
      <c r="VPP33" s="2795"/>
      <c r="VPQ33" s="2795"/>
      <c r="VPR33" s="2795"/>
      <c r="VPS33" s="2795"/>
      <c r="VPT33" s="2795"/>
      <c r="VPU33" s="2795"/>
      <c r="VPV33" s="2795"/>
      <c r="VPW33" s="2795"/>
      <c r="VPX33" s="2795"/>
      <c r="VPY33" s="2795"/>
      <c r="VPZ33" s="2795"/>
      <c r="VQA33" s="2795"/>
      <c r="VQB33" s="2795"/>
      <c r="VQC33" s="2795"/>
      <c r="VQD33" s="2795"/>
      <c r="VQE33" s="2795"/>
      <c r="VQF33" s="2795"/>
      <c r="VQG33" s="2795"/>
      <c r="VQH33" s="2795"/>
      <c r="VQI33" s="2795"/>
      <c r="VQJ33" s="2795"/>
      <c r="VQK33" s="2795"/>
      <c r="VQL33" s="2795"/>
      <c r="VQM33" s="2795"/>
      <c r="VQN33" s="2795"/>
      <c r="VQO33" s="2795"/>
      <c r="VQP33" s="2795"/>
      <c r="VQQ33" s="2795"/>
      <c r="VQR33" s="2795"/>
      <c r="VQS33" s="2795"/>
      <c r="VQT33" s="2795"/>
      <c r="VQU33" s="2795"/>
      <c r="VQV33" s="2795"/>
      <c r="VQW33" s="2795"/>
      <c r="VQX33" s="2795"/>
      <c r="VQY33" s="2795"/>
      <c r="VQZ33" s="2795"/>
      <c r="VRA33" s="2795"/>
      <c r="VRB33" s="2795"/>
      <c r="VRC33" s="2795"/>
      <c r="VRD33" s="2795"/>
      <c r="VRE33" s="2795"/>
      <c r="VRF33" s="2795"/>
      <c r="VRG33" s="2795"/>
      <c r="VRH33" s="2795"/>
      <c r="VRI33" s="2795"/>
      <c r="VRJ33" s="2795"/>
      <c r="VRK33" s="2795"/>
      <c r="VRL33" s="2795"/>
      <c r="VRM33" s="2795"/>
      <c r="VRN33" s="2795"/>
      <c r="VRO33" s="2795"/>
      <c r="VRP33" s="2795"/>
      <c r="VRQ33" s="2795"/>
      <c r="VRR33" s="2795"/>
      <c r="VRS33" s="2795"/>
      <c r="VRT33" s="2795"/>
      <c r="VRU33" s="2795"/>
      <c r="VRV33" s="2795"/>
      <c r="VRW33" s="2795"/>
      <c r="VRX33" s="2795"/>
      <c r="VRY33" s="2795"/>
      <c r="VRZ33" s="2795"/>
      <c r="VSA33" s="2795"/>
      <c r="VSB33" s="2795"/>
      <c r="VSC33" s="2795"/>
      <c r="VSD33" s="2795"/>
      <c r="VSE33" s="2795"/>
      <c r="VSF33" s="2795"/>
      <c r="VSG33" s="2795"/>
      <c r="VSH33" s="2795"/>
      <c r="VSI33" s="2795"/>
      <c r="VSJ33" s="2795"/>
      <c r="VSK33" s="2795"/>
      <c r="VSL33" s="2795"/>
      <c r="VSM33" s="2795"/>
      <c r="VSN33" s="2795"/>
      <c r="VSO33" s="2795"/>
      <c r="VSP33" s="2795"/>
      <c r="VSQ33" s="2795"/>
      <c r="VSR33" s="2795"/>
      <c r="VSS33" s="2795"/>
      <c r="VST33" s="2795"/>
      <c r="VSU33" s="2795"/>
      <c r="VSV33" s="2795"/>
      <c r="VSW33" s="2795"/>
      <c r="VSX33" s="2795"/>
      <c r="VSY33" s="2795"/>
      <c r="VSZ33" s="2795"/>
      <c r="VTA33" s="2795"/>
      <c r="VTB33" s="2795"/>
      <c r="VTC33" s="2795"/>
      <c r="VTD33" s="2795"/>
      <c r="VTE33" s="2795"/>
      <c r="VTF33" s="2795"/>
      <c r="VTG33" s="2795"/>
      <c r="VTH33" s="2795"/>
      <c r="VTI33" s="2795"/>
      <c r="VTJ33" s="2795"/>
      <c r="VTK33" s="2795"/>
      <c r="VTL33" s="2795"/>
      <c r="VTM33" s="2795"/>
      <c r="VTN33" s="2795"/>
      <c r="VTO33" s="2795"/>
      <c r="VTP33" s="2795"/>
      <c r="VTQ33" s="2795"/>
      <c r="VTR33" s="2795"/>
      <c r="VTS33" s="2795"/>
      <c r="VTT33" s="2795"/>
      <c r="VTU33" s="2795"/>
      <c r="VTV33" s="2795"/>
      <c r="VTW33" s="2795"/>
      <c r="VTX33" s="2795"/>
      <c r="VTY33" s="2795"/>
      <c r="VTZ33" s="2795"/>
      <c r="VUA33" s="2795"/>
      <c r="VUB33" s="2795"/>
      <c r="VUC33" s="2795"/>
      <c r="VUD33" s="2795"/>
      <c r="VUE33" s="2795"/>
      <c r="VUF33" s="2795"/>
      <c r="VUG33" s="2795"/>
      <c r="VUH33" s="2795"/>
      <c r="VUI33" s="2795"/>
      <c r="VUJ33" s="2795"/>
      <c r="VUK33" s="2795"/>
      <c r="VUL33" s="2795"/>
      <c r="VUM33" s="2795"/>
      <c r="VUN33" s="2795"/>
      <c r="VUO33" s="2795"/>
      <c r="VUP33" s="2795"/>
      <c r="VUQ33" s="2795"/>
      <c r="VUR33" s="2795"/>
      <c r="VUS33" s="2795"/>
      <c r="VUT33" s="2795"/>
      <c r="VUU33" s="2795"/>
      <c r="VUV33" s="2795"/>
      <c r="VUW33" s="2795"/>
      <c r="VUX33" s="2795"/>
      <c r="VUY33" s="2795"/>
      <c r="VUZ33" s="2795"/>
      <c r="VVA33" s="2795"/>
      <c r="VVB33" s="2795"/>
      <c r="VVC33" s="2795"/>
      <c r="VVD33" s="2795"/>
      <c r="VVE33" s="2795"/>
      <c r="VVF33" s="2795"/>
      <c r="VVG33" s="2795"/>
      <c r="VVH33" s="2795"/>
      <c r="VVI33" s="2795"/>
      <c r="VVJ33" s="2795"/>
      <c r="VVK33" s="2795"/>
      <c r="VVL33" s="2795"/>
      <c r="VVM33" s="2795"/>
      <c r="VVN33" s="2795"/>
      <c r="VVO33" s="2795"/>
      <c r="VVP33" s="2795"/>
      <c r="VVQ33" s="2795"/>
      <c r="VVR33" s="2795"/>
      <c r="VVS33" s="2795"/>
      <c r="VVT33" s="2795"/>
      <c r="VVU33" s="2795"/>
      <c r="VVV33" s="2795"/>
      <c r="VVW33" s="2795"/>
      <c r="VVX33" s="2795"/>
      <c r="VVY33" s="2795"/>
      <c r="VVZ33" s="2795"/>
      <c r="VWA33" s="2795"/>
      <c r="VWB33" s="2795"/>
      <c r="VWC33" s="2795"/>
      <c r="VWD33" s="2795"/>
      <c r="VWE33" s="2795"/>
      <c r="VWF33" s="2795"/>
      <c r="VWG33" s="2795"/>
      <c r="VWH33" s="2795"/>
      <c r="VWI33" s="2795"/>
      <c r="VWJ33" s="2795"/>
      <c r="VWK33" s="2795"/>
      <c r="VWL33" s="2795"/>
      <c r="VWM33" s="2795"/>
      <c r="VWN33" s="2795"/>
      <c r="VWO33" s="2795"/>
      <c r="VWP33" s="2795"/>
      <c r="VWQ33" s="2795"/>
      <c r="VWR33" s="2795"/>
      <c r="VWS33" s="2795"/>
      <c r="VWT33" s="2795"/>
      <c r="VWU33" s="2795"/>
      <c r="VWV33" s="2795"/>
      <c r="VWW33" s="2795"/>
      <c r="VWX33" s="2795"/>
      <c r="VWY33" s="2795"/>
      <c r="VWZ33" s="2795"/>
      <c r="VXA33" s="2795"/>
      <c r="VXB33" s="2795"/>
      <c r="VXC33" s="2795"/>
      <c r="VXD33" s="2795"/>
      <c r="VXE33" s="2795"/>
      <c r="VXF33" s="2795"/>
      <c r="VXG33" s="2795"/>
      <c r="VXH33" s="2795"/>
      <c r="VXI33" s="2795"/>
      <c r="VXJ33" s="2795"/>
      <c r="VXK33" s="2795"/>
      <c r="VXL33" s="2795"/>
      <c r="VXM33" s="2795"/>
      <c r="VXN33" s="2795"/>
      <c r="VXO33" s="2795"/>
      <c r="VXP33" s="2795"/>
      <c r="VXQ33" s="2795"/>
      <c r="VXR33" s="2795"/>
      <c r="VXS33" s="2795"/>
      <c r="VXT33" s="2795"/>
      <c r="VXU33" s="2795"/>
      <c r="VXV33" s="2795"/>
      <c r="VXW33" s="2795"/>
      <c r="VXX33" s="2795"/>
      <c r="VXY33" s="2795"/>
      <c r="VXZ33" s="2795"/>
      <c r="VYA33" s="2795"/>
      <c r="VYB33" s="2795"/>
      <c r="VYC33" s="2795"/>
      <c r="VYD33" s="2795"/>
      <c r="VYE33" s="2795"/>
      <c r="VYF33" s="2795"/>
      <c r="VYG33" s="2795"/>
      <c r="VYH33" s="2795"/>
      <c r="VYI33" s="2795"/>
      <c r="VYJ33" s="2795"/>
      <c r="VYK33" s="2795"/>
      <c r="VYL33" s="2795"/>
      <c r="VYM33" s="2795"/>
      <c r="VYN33" s="2795"/>
      <c r="VYO33" s="2795"/>
      <c r="VYP33" s="2795"/>
      <c r="VYQ33" s="2795"/>
      <c r="VYR33" s="2795"/>
      <c r="VYS33" s="2795"/>
      <c r="VYT33" s="2795"/>
      <c r="VYU33" s="2795"/>
      <c r="VYV33" s="2795"/>
      <c r="VYW33" s="2795"/>
      <c r="VYX33" s="2795"/>
      <c r="VYY33" s="2795"/>
      <c r="VYZ33" s="2795"/>
      <c r="VZA33" s="2795"/>
      <c r="VZB33" s="2795"/>
      <c r="VZC33" s="2795"/>
      <c r="VZD33" s="2795"/>
      <c r="VZE33" s="2795"/>
      <c r="VZF33" s="2795"/>
      <c r="VZG33" s="2795"/>
      <c r="VZH33" s="2795"/>
      <c r="VZI33" s="2795"/>
      <c r="VZJ33" s="2795"/>
      <c r="VZK33" s="2795"/>
      <c r="VZL33" s="2795"/>
      <c r="VZM33" s="2795"/>
      <c r="VZN33" s="2795"/>
      <c r="VZO33" s="2795"/>
      <c r="VZP33" s="2795"/>
      <c r="VZQ33" s="2795"/>
      <c r="VZR33" s="2795"/>
      <c r="VZS33" s="2795"/>
      <c r="VZT33" s="2795"/>
      <c r="VZU33" s="2795"/>
      <c r="VZV33" s="2795"/>
      <c r="VZW33" s="2795"/>
      <c r="VZX33" s="2795"/>
      <c r="VZY33" s="2795"/>
      <c r="VZZ33" s="2795"/>
      <c r="WAA33" s="2795"/>
      <c r="WAB33" s="2795"/>
      <c r="WAC33" s="2795"/>
      <c r="WAD33" s="2795"/>
      <c r="WAE33" s="2795"/>
      <c r="WAF33" s="2795"/>
      <c r="WAG33" s="2795"/>
      <c r="WAH33" s="2795"/>
      <c r="WAI33" s="2795"/>
      <c r="WAJ33" s="2795"/>
      <c r="WAK33" s="2795"/>
      <c r="WAL33" s="2795"/>
      <c r="WAM33" s="2795"/>
      <c r="WAN33" s="2795"/>
      <c r="WAO33" s="2795"/>
      <c r="WAP33" s="2795"/>
      <c r="WAQ33" s="2795"/>
      <c r="WAR33" s="2795"/>
      <c r="WAS33" s="2795"/>
      <c r="WAT33" s="2795"/>
      <c r="WAU33" s="2795"/>
      <c r="WAV33" s="2795"/>
      <c r="WAW33" s="2795"/>
      <c r="WAX33" s="2795"/>
      <c r="WAY33" s="2795"/>
      <c r="WAZ33" s="2795"/>
      <c r="WBA33" s="2795"/>
      <c r="WBB33" s="2795"/>
      <c r="WBC33" s="2795"/>
      <c r="WBD33" s="2795"/>
      <c r="WBE33" s="2795"/>
      <c r="WBF33" s="2795"/>
      <c r="WBG33" s="2795"/>
      <c r="WBH33" s="2795"/>
      <c r="WBI33" s="2795"/>
      <c r="WBJ33" s="2795"/>
      <c r="WBK33" s="2795"/>
      <c r="WBL33" s="2795"/>
      <c r="WBM33" s="2795"/>
      <c r="WBN33" s="2795"/>
      <c r="WBO33" s="2795"/>
      <c r="WBP33" s="2795"/>
      <c r="WBQ33" s="2795"/>
      <c r="WBR33" s="2795"/>
      <c r="WBS33" s="2795"/>
      <c r="WBT33" s="2795"/>
      <c r="WBU33" s="2795"/>
      <c r="WBV33" s="2795"/>
      <c r="WBW33" s="2795"/>
      <c r="WBX33" s="2795"/>
      <c r="WBY33" s="2795"/>
      <c r="WBZ33" s="2795"/>
      <c r="WCA33" s="2795"/>
      <c r="WCB33" s="2795"/>
      <c r="WCC33" s="2795"/>
      <c r="WCD33" s="2795"/>
      <c r="WCE33" s="2795"/>
      <c r="WCF33" s="2795"/>
      <c r="WCG33" s="2795"/>
      <c r="WCH33" s="2795"/>
      <c r="WCI33" s="2795"/>
      <c r="WCJ33" s="2795"/>
      <c r="WCK33" s="2795"/>
      <c r="WCL33" s="2795"/>
      <c r="WCM33" s="2795"/>
      <c r="WCN33" s="2795"/>
      <c r="WCO33" s="2795"/>
      <c r="WCP33" s="2795"/>
      <c r="WCQ33" s="2795"/>
      <c r="WCR33" s="2795"/>
      <c r="WCS33" s="2795"/>
      <c r="WCT33" s="2795"/>
      <c r="WCU33" s="2795"/>
      <c r="WCV33" s="2795"/>
      <c r="WCW33" s="2795"/>
      <c r="WCX33" s="2795"/>
      <c r="WCY33" s="2795"/>
      <c r="WCZ33" s="2795"/>
      <c r="WDA33" s="2795"/>
      <c r="WDB33" s="2795"/>
      <c r="WDC33" s="2795"/>
      <c r="WDD33" s="2795"/>
      <c r="WDE33" s="2795"/>
      <c r="WDF33" s="2795"/>
      <c r="WDG33" s="2795"/>
      <c r="WDH33" s="2795"/>
      <c r="WDI33" s="2795"/>
      <c r="WDJ33" s="2795"/>
      <c r="WDK33" s="2795"/>
      <c r="WDL33" s="2795"/>
      <c r="WDM33" s="2795"/>
      <c r="WDN33" s="2795"/>
      <c r="WDO33" s="2795"/>
      <c r="WDP33" s="2795"/>
      <c r="WDQ33" s="2795"/>
      <c r="WDR33" s="2795"/>
      <c r="WDS33" s="2795"/>
      <c r="WDT33" s="2795"/>
      <c r="WDU33" s="2795"/>
      <c r="WDV33" s="2795"/>
      <c r="WDW33" s="2795"/>
      <c r="WDX33" s="2795"/>
      <c r="WDY33" s="2795"/>
      <c r="WDZ33" s="2795"/>
      <c r="WEA33" s="2795"/>
      <c r="WEB33" s="2795"/>
      <c r="WEC33" s="2795"/>
      <c r="WED33" s="2795"/>
      <c r="WEE33" s="2795"/>
      <c r="WEF33" s="2795"/>
      <c r="WEG33" s="2795"/>
      <c r="WEH33" s="2795"/>
      <c r="WEI33" s="2795"/>
      <c r="WEJ33" s="2795"/>
      <c r="WEK33" s="2795"/>
      <c r="WEL33" s="2795"/>
      <c r="WEM33" s="2795"/>
      <c r="WEN33" s="2795"/>
      <c r="WEO33" s="2795"/>
      <c r="WEP33" s="2795"/>
      <c r="WEQ33" s="2795"/>
      <c r="WER33" s="2795"/>
      <c r="WES33" s="2795"/>
      <c r="WET33" s="2795"/>
      <c r="WEU33" s="2795"/>
      <c r="WEV33" s="2795"/>
      <c r="WEW33" s="2795"/>
      <c r="WEX33" s="2795"/>
      <c r="WEY33" s="2795"/>
      <c r="WEZ33" s="2795"/>
      <c r="WFA33" s="2795"/>
      <c r="WFB33" s="2795"/>
      <c r="WFC33" s="2795"/>
      <c r="WFD33" s="2795"/>
      <c r="WFE33" s="2795"/>
      <c r="WFF33" s="2795"/>
      <c r="WFG33" s="2795"/>
      <c r="WFH33" s="2795"/>
      <c r="WFI33" s="2795"/>
      <c r="WFJ33" s="2795"/>
      <c r="WFK33" s="2795"/>
      <c r="WFL33" s="2795"/>
      <c r="WFM33" s="2795"/>
      <c r="WFN33" s="2795"/>
      <c r="WFO33" s="2795"/>
      <c r="WFP33" s="2795"/>
      <c r="WFQ33" s="2795"/>
      <c r="WFR33" s="2795"/>
      <c r="WFS33" s="2795"/>
      <c r="WFT33" s="2795"/>
      <c r="WFU33" s="2795"/>
      <c r="WFV33" s="2795"/>
      <c r="WFW33" s="2795"/>
      <c r="WFX33" s="2795"/>
      <c r="WFY33" s="2795"/>
      <c r="WFZ33" s="2795"/>
      <c r="WGA33" s="2795"/>
      <c r="WGB33" s="2795"/>
      <c r="WGC33" s="2795"/>
      <c r="WGD33" s="2795"/>
      <c r="WGE33" s="2795"/>
      <c r="WGF33" s="2795"/>
      <c r="WGG33" s="2795"/>
      <c r="WGH33" s="2795"/>
      <c r="WGI33" s="2795"/>
      <c r="WGJ33" s="2795"/>
      <c r="WGK33" s="2795"/>
      <c r="WGL33" s="2795"/>
      <c r="WGM33" s="2795"/>
      <c r="WGN33" s="2795"/>
      <c r="WGO33" s="2795"/>
      <c r="WGP33" s="2795"/>
      <c r="WGQ33" s="2795"/>
      <c r="WGR33" s="2795"/>
      <c r="WGS33" s="2795"/>
      <c r="WGT33" s="2795"/>
      <c r="WGU33" s="2795"/>
      <c r="WGV33" s="2795"/>
      <c r="WGW33" s="2795"/>
      <c r="WGX33" s="2795"/>
      <c r="WGY33" s="2795"/>
      <c r="WGZ33" s="2795"/>
      <c r="WHA33" s="2795"/>
      <c r="WHB33" s="2795"/>
      <c r="WHC33" s="2795"/>
      <c r="WHD33" s="2795"/>
      <c r="WHE33" s="2795"/>
      <c r="WHF33" s="2795"/>
      <c r="WHG33" s="2795"/>
      <c r="WHH33" s="2795"/>
      <c r="WHI33" s="2795"/>
      <c r="WHJ33" s="2795"/>
      <c r="WHK33" s="2795"/>
      <c r="WHL33" s="2795"/>
      <c r="WHM33" s="2795"/>
      <c r="WHN33" s="2795"/>
      <c r="WHO33" s="2795"/>
      <c r="WHP33" s="2795"/>
      <c r="WHQ33" s="2795"/>
      <c r="WHR33" s="2795"/>
      <c r="WHS33" s="2795"/>
      <c r="WHT33" s="2795"/>
      <c r="WHU33" s="2795"/>
      <c r="WHV33" s="2795"/>
      <c r="WHW33" s="2795"/>
      <c r="WHX33" s="2795"/>
      <c r="WHY33" s="2795"/>
      <c r="WHZ33" s="2795"/>
      <c r="WIA33" s="2795"/>
      <c r="WIB33" s="2795"/>
      <c r="WIC33" s="2795"/>
      <c r="WID33" s="2795"/>
      <c r="WIE33" s="2795"/>
      <c r="WIF33" s="2795"/>
      <c r="WIG33" s="2795"/>
      <c r="WIH33" s="2795"/>
      <c r="WII33" s="2795"/>
      <c r="WIJ33" s="2795"/>
      <c r="WIK33" s="2795"/>
      <c r="WIL33" s="2795"/>
      <c r="WIM33" s="2795"/>
      <c r="WIN33" s="2795"/>
      <c r="WIO33" s="2795"/>
      <c r="WIP33" s="2795"/>
      <c r="WIQ33" s="2795"/>
      <c r="WIR33" s="2795"/>
      <c r="WIS33" s="2795"/>
      <c r="WIT33" s="2795"/>
      <c r="WIU33" s="2795"/>
      <c r="WIV33" s="2795"/>
      <c r="WIW33" s="2795"/>
      <c r="WIX33" s="2795"/>
      <c r="WIY33" s="2795"/>
      <c r="WIZ33" s="2795"/>
      <c r="WJA33" s="2795"/>
      <c r="WJB33" s="2795"/>
      <c r="WJC33" s="2795"/>
      <c r="WJD33" s="2795"/>
      <c r="WJE33" s="2795"/>
      <c r="WJF33" s="2795"/>
      <c r="WJG33" s="2795"/>
      <c r="WJH33" s="2795"/>
      <c r="WJI33" s="2795"/>
      <c r="WJJ33" s="2795"/>
      <c r="WJK33" s="2795"/>
      <c r="WJL33" s="2795"/>
      <c r="WJM33" s="2795"/>
      <c r="WJN33" s="2795"/>
      <c r="WJO33" s="2795"/>
      <c r="WJP33" s="2795"/>
      <c r="WJQ33" s="2795"/>
      <c r="WJR33" s="2795"/>
      <c r="WJS33" s="2795"/>
      <c r="WJT33" s="2795"/>
      <c r="WJU33" s="2795"/>
      <c r="WJV33" s="2795"/>
      <c r="WJW33" s="2795"/>
      <c r="WJX33" s="2795"/>
      <c r="WJY33" s="2795"/>
      <c r="WJZ33" s="2795"/>
      <c r="WKA33" s="2795"/>
      <c r="WKB33" s="2795"/>
      <c r="WKC33" s="2795"/>
      <c r="WKD33" s="2795"/>
      <c r="WKE33" s="2795"/>
      <c r="WKF33" s="2795"/>
      <c r="WKG33" s="2795"/>
      <c r="WKH33" s="2795"/>
      <c r="WKI33" s="2795"/>
      <c r="WKJ33" s="2795"/>
      <c r="WKK33" s="2795"/>
      <c r="WKL33" s="2795"/>
      <c r="WKM33" s="2795"/>
      <c r="WKN33" s="2795"/>
      <c r="WKO33" s="2795"/>
      <c r="WKP33" s="2795"/>
      <c r="WKQ33" s="2795"/>
      <c r="WKR33" s="2795"/>
      <c r="WKS33" s="2795"/>
      <c r="WKT33" s="2795"/>
      <c r="WKU33" s="2795"/>
      <c r="WKV33" s="2795"/>
      <c r="WKW33" s="2795"/>
      <c r="WKX33" s="2795"/>
      <c r="WKY33" s="2795"/>
      <c r="WKZ33" s="2795"/>
      <c r="WLA33" s="2795"/>
      <c r="WLB33" s="2795"/>
      <c r="WLC33" s="2795"/>
      <c r="WLD33" s="2795"/>
      <c r="WLE33" s="2795"/>
      <c r="WLF33" s="2795"/>
      <c r="WLG33" s="2795"/>
      <c r="WLH33" s="2795"/>
      <c r="WLI33" s="2795"/>
      <c r="WLJ33" s="2795"/>
      <c r="WLK33" s="2795"/>
      <c r="WLL33" s="2795"/>
      <c r="WLM33" s="2795"/>
      <c r="WLN33" s="2795"/>
      <c r="WLO33" s="2795"/>
      <c r="WLP33" s="2795"/>
      <c r="WLQ33" s="2795"/>
      <c r="WLR33" s="2795"/>
      <c r="WLS33" s="2795"/>
      <c r="WLT33" s="2795"/>
      <c r="WLU33" s="2795"/>
      <c r="WLV33" s="2795"/>
      <c r="WLW33" s="2795"/>
      <c r="WLX33" s="2795"/>
      <c r="WLY33" s="2795"/>
      <c r="WLZ33" s="2795"/>
      <c r="WMA33" s="2795"/>
      <c r="WMB33" s="2795"/>
      <c r="WMC33" s="2795"/>
      <c r="WMD33" s="2795"/>
      <c r="WME33" s="2795"/>
      <c r="WMF33" s="2795"/>
      <c r="WMG33" s="2795"/>
      <c r="WMH33" s="2795"/>
      <c r="WMI33" s="2795"/>
      <c r="WMJ33" s="2795"/>
      <c r="WMK33" s="2795"/>
      <c r="WML33" s="2795"/>
      <c r="WMM33" s="2795"/>
      <c r="WMN33" s="2795"/>
      <c r="WMO33" s="2795"/>
      <c r="WMP33" s="2795"/>
      <c r="WMQ33" s="2795"/>
      <c r="WMR33" s="2795"/>
      <c r="WMS33" s="2795"/>
      <c r="WMT33" s="2795"/>
      <c r="WMU33" s="2795"/>
      <c r="WMV33" s="2795"/>
      <c r="WMW33" s="2795"/>
      <c r="WMX33" s="2795"/>
      <c r="WMY33" s="2795"/>
      <c r="WMZ33" s="2795"/>
      <c r="WNA33" s="2795"/>
      <c r="WNB33" s="2795"/>
      <c r="WNC33" s="2795"/>
      <c r="WND33" s="2795"/>
      <c r="WNE33" s="2795"/>
      <c r="WNF33" s="2795"/>
      <c r="WNG33" s="2795"/>
      <c r="WNH33" s="2795"/>
      <c r="WNI33" s="2795"/>
      <c r="WNJ33" s="2795"/>
      <c r="WNK33" s="2795"/>
      <c r="WNL33" s="2795"/>
      <c r="WNM33" s="2795"/>
      <c r="WNN33" s="2795"/>
      <c r="WNO33" s="2795"/>
      <c r="WNP33" s="2795"/>
      <c r="WNQ33" s="2795"/>
      <c r="WNR33" s="2795"/>
      <c r="WNS33" s="2795"/>
      <c r="WNT33" s="2795"/>
      <c r="WNU33" s="2795"/>
      <c r="WNV33" s="2795"/>
      <c r="WNW33" s="2795"/>
      <c r="WNX33" s="2795"/>
      <c r="WNY33" s="2795"/>
      <c r="WNZ33" s="2795"/>
      <c r="WOA33" s="2795"/>
      <c r="WOB33" s="2795"/>
      <c r="WOC33" s="2795"/>
      <c r="WOD33" s="2795"/>
      <c r="WOE33" s="2795"/>
      <c r="WOF33" s="2795"/>
      <c r="WOG33" s="2795"/>
      <c r="WOH33" s="2795"/>
      <c r="WOI33" s="2795"/>
      <c r="WOJ33" s="2795"/>
      <c r="WOK33" s="2795"/>
      <c r="WOL33" s="2795"/>
      <c r="WOM33" s="2795"/>
      <c r="WON33" s="2795"/>
      <c r="WOO33" s="2795"/>
      <c r="WOP33" s="2795"/>
      <c r="WOQ33" s="2795"/>
      <c r="WOR33" s="2795"/>
      <c r="WOS33" s="2795"/>
      <c r="WOT33" s="2795"/>
      <c r="WOU33" s="2795"/>
      <c r="WOV33" s="2795"/>
      <c r="WOW33" s="2795"/>
      <c r="WOX33" s="2795"/>
      <c r="WOY33" s="2795"/>
      <c r="WOZ33" s="2795"/>
      <c r="WPA33" s="2795"/>
      <c r="WPB33" s="2795"/>
      <c r="WPC33" s="2795"/>
      <c r="WPD33" s="2795"/>
      <c r="WPE33" s="2795"/>
      <c r="WPF33" s="2795"/>
      <c r="WPG33" s="2795"/>
      <c r="WPH33" s="2795"/>
      <c r="WPI33" s="2795"/>
      <c r="WPJ33" s="2795"/>
      <c r="WPK33" s="2795"/>
      <c r="WPL33" s="2795"/>
      <c r="WPM33" s="2795"/>
      <c r="WPN33" s="2795"/>
      <c r="WPO33" s="2795"/>
      <c r="WPP33" s="2795"/>
      <c r="WPQ33" s="2795"/>
      <c r="WPR33" s="2795"/>
      <c r="WPS33" s="2795"/>
      <c r="WPT33" s="2795"/>
      <c r="WPU33" s="2795"/>
      <c r="WPV33" s="2795"/>
      <c r="WPW33" s="2795"/>
      <c r="WPX33" s="2795"/>
      <c r="WPY33" s="2795"/>
      <c r="WPZ33" s="2795"/>
      <c r="WQA33" s="2795"/>
      <c r="WQB33" s="2795"/>
      <c r="WQC33" s="2795"/>
      <c r="WQD33" s="2795"/>
      <c r="WQE33" s="2795"/>
      <c r="WQF33" s="2795"/>
      <c r="WQG33" s="2795"/>
      <c r="WQH33" s="2795"/>
      <c r="WQI33" s="2795"/>
      <c r="WQJ33" s="2795"/>
      <c r="WQK33" s="2795"/>
      <c r="WQL33" s="2795"/>
      <c r="WQM33" s="2795"/>
      <c r="WQN33" s="2795"/>
      <c r="WQO33" s="2795"/>
      <c r="WQP33" s="2795"/>
      <c r="WQQ33" s="2795"/>
      <c r="WQR33" s="2795"/>
      <c r="WQS33" s="2795"/>
      <c r="WQT33" s="2795"/>
      <c r="WQU33" s="2795"/>
      <c r="WQV33" s="2795"/>
      <c r="WQW33" s="2795"/>
      <c r="WQX33" s="2795"/>
      <c r="WQY33" s="2795"/>
      <c r="WQZ33" s="2795"/>
      <c r="WRA33" s="2795"/>
      <c r="WRB33" s="2795"/>
      <c r="WRC33" s="2795"/>
      <c r="WRD33" s="2795"/>
      <c r="WRE33" s="2795"/>
      <c r="WRF33" s="2795"/>
      <c r="WRG33" s="2795"/>
      <c r="WRH33" s="2795"/>
      <c r="WRI33" s="2795"/>
      <c r="WRJ33" s="2795"/>
      <c r="WRK33" s="2795"/>
      <c r="WRL33" s="2795"/>
      <c r="WRM33" s="2795"/>
      <c r="WRN33" s="2795"/>
      <c r="WRO33" s="2795"/>
      <c r="WRP33" s="2795"/>
      <c r="WRQ33" s="2795"/>
      <c r="WRR33" s="2795"/>
      <c r="WRS33" s="2795"/>
      <c r="WRT33" s="2795"/>
      <c r="WRU33" s="2795"/>
      <c r="WRV33" s="2795"/>
      <c r="WRW33" s="2795"/>
      <c r="WRX33" s="2795"/>
      <c r="WRY33" s="2795"/>
      <c r="WRZ33" s="2795"/>
      <c r="WSA33" s="2795"/>
      <c r="WSB33" s="2795"/>
      <c r="WSC33" s="2795"/>
      <c r="WSD33" s="2795"/>
      <c r="WSE33" s="2795"/>
      <c r="WSF33" s="2795"/>
      <c r="WSG33" s="2795"/>
      <c r="WSH33" s="2795"/>
      <c r="WSI33" s="2795"/>
      <c r="WSJ33" s="2795"/>
      <c r="WSK33" s="2795"/>
      <c r="WSL33" s="2795"/>
      <c r="WSM33" s="2795"/>
      <c r="WSN33" s="2795"/>
      <c r="WSO33" s="2795"/>
      <c r="WSP33" s="2795"/>
      <c r="WSQ33" s="2795"/>
      <c r="WSR33" s="2795"/>
      <c r="WSS33" s="2795"/>
      <c r="WST33" s="2795"/>
      <c r="WSU33" s="2795"/>
      <c r="WSV33" s="2795"/>
      <c r="WSW33" s="2795"/>
      <c r="WSX33" s="2795"/>
      <c r="WSY33" s="2795"/>
      <c r="WSZ33" s="2795"/>
      <c r="WTA33" s="2795"/>
      <c r="WTB33" s="2795"/>
      <c r="WTC33" s="2795"/>
      <c r="WTD33" s="2795"/>
      <c r="WTE33" s="2795"/>
      <c r="WTF33" s="2795"/>
      <c r="WTG33" s="2795"/>
      <c r="WTH33" s="2795"/>
      <c r="WTI33" s="2795"/>
      <c r="WTJ33" s="2795"/>
      <c r="WTK33" s="2795"/>
      <c r="WTL33" s="2795"/>
      <c r="WTM33" s="2795"/>
      <c r="WTN33" s="2795"/>
      <c r="WTO33" s="2795"/>
      <c r="WTP33" s="2795"/>
      <c r="WTQ33" s="2795"/>
      <c r="WTR33" s="2795"/>
      <c r="WTS33" s="2795"/>
      <c r="WTT33" s="2795"/>
      <c r="WTU33" s="2795"/>
      <c r="WTV33" s="2795"/>
      <c r="WTW33" s="2795"/>
      <c r="WTX33" s="2795"/>
      <c r="WTY33" s="2795"/>
      <c r="WTZ33" s="2795"/>
      <c r="WUA33" s="2795"/>
      <c r="WUB33" s="2795"/>
      <c r="WUC33" s="2795"/>
      <c r="WUD33" s="2795"/>
      <c r="WUE33" s="2795"/>
      <c r="WUF33" s="2795"/>
      <c r="WUG33" s="2795"/>
      <c r="WUH33" s="2795"/>
      <c r="WUI33" s="2795"/>
      <c r="WUJ33" s="2795"/>
      <c r="WUK33" s="2795"/>
      <c r="WUL33" s="2795"/>
      <c r="WUM33" s="2795"/>
      <c r="WUN33" s="2795"/>
      <c r="WUO33" s="2795"/>
      <c r="WUP33" s="2795"/>
      <c r="WUQ33" s="2795"/>
      <c r="WUR33" s="2795"/>
      <c r="WUS33" s="2795"/>
      <c r="WUT33" s="2795"/>
      <c r="WUU33" s="2795"/>
      <c r="WUV33" s="2795"/>
      <c r="WUW33" s="2795"/>
      <c r="WUX33" s="2795"/>
      <c r="WUY33" s="2795"/>
      <c r="WUZ33" s="2795"/>
      <c r="WVA33" s="2795"/>
      <c r="WVB33" s="2795"/>
      <c r="WVC33" s="2795"/>
      <c r="WVD33" s="2795"/>
      <c r="WVE33" s="2795"/>
      <c r="WVF33" s="2795"/>
      <c r="WVG33" s="2795"/>
      <c r="WVH33" s="2795"/>
      <c r="WVI33" s="2795"/>
      <c r="WVJ33" s="2795"/>
      <c r="WVK33" s="2795"/>
      <c r="WVL33" s="2795"/>
      <c r="WVM33" s="2795"/>
      <c r="WVN33" s="2795"/>
      <c r="WVO33" s="2795"/>
      <c r="WVP33" s="2795"/>
      <c r="WVQ33" s="2795"/>
      <c r="WVR33" s="2795"/>
      <c r="WVS33" s="2795"/>
      <c r="WVT33" s="2795"/>
      <c r="WVU33" s="2795"/>
      <c r="WVV33" s="2795"/>
      <c r="WVW33" s="2795"/>
      <c r="WVX33" s="2795"/>
      <c r="WVY33" s="2795"/>
      <c r="WVZ33" s="2795"/>
      <c r="WWA33" s="2795"/>
      <c r="WWB33" s="2795"/>
      <c r="WWC33" s="2795"/>
      <c r="WWD33" s="2795"/>
      <c r="WWE33" s="2795"/>
      <c r="WWF33" s="2795"/>
      <c r="WWG33" s="2795"/>
      <c r="WWH33" s="2795"/>
      <c r="WWI33" s="2795"/>
      <c r="WWJ33" s="2795"/>
      <c r="WWK33" s="2795"/>
      <c r="WWL33" s="2795"/>
      <c r="WWM33" s="2795"/>
      <c r="WWN33" s="2795"/>
      <c r="WWO33" s="2795"/>
      <c r="WWP33" s="2795"/>
      <c r="WWQ33" s="2795"/>
      <c r="WWR33" s="2795"/>
      <c r="WWS33" s="2795"/>
      <c r="WWT33" s="2795"/>
      <c r="WWU33" s="2795"/>
      <c r="WWV33" s="2795"/>
      <c r="WWW33" s="2795"/>
      <c r="WWX33" s="2795"/>
      <c r="WWY33" s="2795"/>
      <c r="WWZ33" s="2795"/>
      <c r="WXA33" s="2795"/>
      <c r="WXB33" s="2795"/>
      <c r="WXC33" s="2795"/>
      <c r="WXD33" s="2795"/>
      <c r="WXE33" s="2795"/>
      <c r="WXF33" s="2795"/>
      <c r="WXG33" s="2795"/>
      <c r="WXH33" s="2795"/>
      <c r="WXI33" s="2795"/>
      <c r="WXJ33" s="2795"/>
      <c r="WXK33" s="2795"/>
      <c r="WXL33" s="2795"/>
      <c r="WXM33" s="2795"/>
      <c r="WXN33" s="2795"/>
      <c r="WXO33" s="2795"/>
      <c r="WXP33" s="2795"/>
      <c r="WXQ33" s="2795"/>
      <c r="WXR33" s="2795"/>
      <c r="WXS33" s="2795"/>
      <c r="WXT33" s="2795"/>
      <c r="WXU33" s="2795"/>
      <c r="WXV33" s="2795"/>
      <c r="WXW33" s="2795"/>
      <c r="WXX33" s="2795"/>
      <c r="WXY33" s="2795"/>
      <c r="WXZ33" s="2795"/>
      <c r="WYA33" s="2795"/>
      <c r="WYB33" s="2795"/>
      <c r="WYC33" s="2795"/>
      <c r="WYD33" s="2795"/>
      <c r="WYE33" s="2795"/>
      <c r="WYF33" s="2795"/>
      <c r="WYG33" s="2795"/>
      <c r="WYH33" s="2795"/>
      <c r="WYI33" s="2795"/>
      <c r="WYJ33" s="2795"/>
      <c r="WYK33" s="2795"/>
      <c r="WYL33" s="2795"/>
      <c r="WYM33" s="2795"/>
      <c r="WYN33" s="2795"/>
      <c r="WYO33" s="2795"/>
      <c r="WYP33" s="2795"/>
      <c r="WYQ33" s="2795"/>
      <c r="WYR33" s="2795"/>
      <c r="WYS33" s="2795"/>
      <c r="WYT33" s="2795"/>
      <c r="WYU33" s="2795"/>
      <c r="WYV33" s="2795"/>
      <c r="WYW33" s="2795"/>
      <c r="WYX33" s="2795"/>
      <c r="WYY33" s="2795"/>
      <c r="WYZ33" s="2795"/>
      <c r="WZA33" s="2795"/>
      <c r="WZB33" s="2795"/>
      <c r="WZC33" s="2795"/>
      <c r="WZD33" s="2795"/>
      <c r="WZE33" s="2795"/>
      <c r="WZF33" s="2795"/>
      <c r="WZG33" s="2795"/>
      <c r="WZH33" s="2795"/>
      <c r="WZI33" s="2795"/>
      <c r="WZJ33" s="2795"/>
      <c r="WZK33" s="2795"/>
      <c r="WZL33" s="2795"/>
      <c r="WZM33" s="2795"/>
      <c r="WZN33" s="2795"/>
      <c r="WZO33" s="2795"/>
      <c r="WZP33" s="2795"/>
      <c r="WZQ33" s="2795"/>
      <c r="WZR33" s="2795"/>
      <c r="WZS33" s="2795"/>
      <c r="WZT33" s="2795"/>
      <c r="WZU33" s="2795"/>
      <c r="WZV33" s="2795"/>
      <c r="WZW33" s="2795"/>
      <c r="WZX33" s="2795"/>
      <c r="WZY33" s="2795"/>
      <c r="WZZ33" s="2795"/>
      <c r="XAA33" s="2795"/>
      <c r="XAB33" s="2795"/>
      <c r="XAC33" s="2795"/>
      <c r="XAD33" s="2795"/>
      <c r="XAE33" s="2795"/>
      <c r="XAF33" s="2795"/>
      <c r="XAG33" s="2795"/>
      <c r="XAH33" s="2795"/>
      <c r="XAI33" s="2795"/>
      <c r="XAJ33" s="2795"/>
      <c r="XAK33" s="2795"/>
      <c r="XAL33" s="2795"/>
      <c r="XAM33" s="2795"/>
      <c r="XAN33" s="2795"/>
      <c r="XAO33" s="2795"/>
      <c r="XAP33" s="2795"/>
      <c r="XAQ33" s="2795"/>
      <c r="XAR33" s="2795"/>
      <c r="XAS33" s="2795"/>
      <c r="XAT33" s="2795"/>
      <c r="XAU33" s="2795"/>
      <c r="XAV33" s="2795"/>
      <c r="XAW33" s="2795"/>
      <c r="XAX33" s="2795"/>
      <c r="XAY33" s="2795"/>
      <c r="XAZ33" s="2795"/>
      <c r="XBA33" s="2795"/>
      <c r="XBB33" s="2795"/>
      <c r="XBC33" s="2795"/>
      <c r="XBD33" s="2795"/>
      <c r="XBE33" s="2795"/>
      <c r="XBF33" s="2795"/>
      <c r="XBG33" s="2795"/>
      <c r="XBH33" s="2795"/>
      <c r="XBI33" s="2795"/>
      <c r="XBJ33" s="2795"/>
      <c r="XBK33" s="2795"/>
      <c r="XBL33" s="2795"/>
      <c r="XBM33" s="2795"/>
      <c r="XBN33" s="2795"/>
      <c r="XBO33" s="2795"/>
      <c r="XBP33" s="2795"/>
      <c r="XBQ33" s="2795"/>
      <c r="XBR33" s="2795"/>
      <c r="XBS33" s="2795"/>
      <c r="XBT33" s="2795"/>
      <c r="XBU33" s="2795"/>
      <c r="XBV33" s="2795"/>
      <c r="XBW33" s="2795"/>
      <c r="XBX33" s="2795"/>
      <c r="XBY33" s="2795"/>
      <c r="XBZ33" s="2795"/>
      <c r="XCA33" s="2795"/>
      <c r="XCB33" s="2795"/>
      <c r="XCC33" s="2795"/>
      <c r="XCD33" s="2795"/>
      <c r="XCE33" s="2795"/>
      <c r="XCF33" s="2795"/>
      <c r="XCG33" s="2795"/>
      <c r="XCH33" s="2795"/>
      <c r="XCI33" s="2795"/>
      <c r="XCJ33" s="2795"/>
      <c r="XCK33" s="2795"/>
      <c r="XCL33" s="2795"/>
      <c r="XCM33" s="2795"/>
      <c r="XCN33" s="2795"/>
      <c r="XCO33" s="2795"/>
      <c r="XCP33" s="2795"/>
      <c r="XCQ33" s="2795"/>
      <c r="XCR33" s="2795"/>
      <c r="XCS33" s="2795"/>
      <c r="XCT33" s="2795"/>
      <c r="XCU33" s="2795"/>
      <c r="XCV33" s="2795"/>
      <c r="XCW33" s="2795"/>
      <c r="XCX33" s="2795"/>
      <c r="XCY33" s="2795"/>
      <c r="XCZ33" s="2795"/>
      <c r="XDA33" s="2795"/>
      <c r="XDB33" s="2795"/>
      <c r="XDC33" s="2795"/>
      <c r="XDD33" s="2795"/>
      <c r="XDE33" s="2795"/>
      <c r="XDF33" s="2795"/>
      <c r="XDG33" s="2795"/>
      <c r="XDH33" s="2795"/>
      <c r="XDI33" s="2795"/>
      <c r="XDJ33" s="2795"/>
      <c r="XDK33" s="2795"/>
      <c r="XDL33" s="2795"/>
      <c r="XDM33" s="2795"/>
      <c r="XDN33" s="2795"/>
      <c r="XDO33" s="2795"/>
      <c r="XDP33" s="2795"/>
      <c r="XDQ33" s="2795"/>
      <c r="XDR33" s="2795"/>
      <c r="XDS33" s="2795"/>
      <c r="XDT33" s="2795"/>
      <c r="XDU33" s="2795"/>
      <c r="XDV33" s="2795"/>
      <c r="XDW33" s="2795"/>
      <c r="XDX33" s="2795"/>
      <c r="XDY33" s="2795"/>
      <c r="XDZ33" s="2795"/>
      <c r="XEA33" s="2795"/>
      <c r="XEB33" s="2795"/>
      <c r="XEC33" s="2795"/>
      <c r="XED33" s="2795"/>
      <c r="XEE33" s="2795"/>
      <c r="XEF33" s="2795"/>
      <c r="XEG33" s="2795"/>
      <c r="XEH33" s="2795"/>
      <c r="XEI33" s="2795"/>
      <c r="XEJ33" s="2795"/>
      <c r="XEK33" s="2795"/>
      <c r="XEL33" s="2795"/>
      <c r="XEM33" s="2795"/>
      <c r="XEN33" s="2795"/>
      <c r="XEO33" s="2795"/>
      <c r="XEP33" s="2795"/>
      <c r="XEQ33" s="2795"/>
      <c r="XER33" s="2795"/>
      <c r="XES33" s="2795"/>
      <c r="XET33" s="2795"/>
      <c r="XEU33" s="2795"/>
      <c r="XEV33" s="2795"/>
      <c r="XEW33" s="2795"/>
      <c r="XEX33" s="2795"/>
      <c r="XEY33" s="2795"/>
      <c r="XEZ33" s="2795"/>
      <c r="XFA33" s="2795"/>
      <c r="XFB33" s="2795"/>
      <c r="XFC33" s="2795"/>
      <c r="XFD33" s="2795"/>
    </row>
    <row r="34" spans="1:16384">
      <c r="A34" s="2794" t="s">
        <v>2470</v>
      </c>
      <c r="B34" s="2794"/>
      <c r="C34" s="2794"/>
      <c r="D34" s="2794"/>
      <c r="E34" s="2794"/>
      <c r="F34" s="2794"/>
      <c r="G34" s="2794"/>
      <c r="H34" s="2794"/>
      <c r="I34" s="2794"/>
      <c r="J34" s="2794"/>
      <c r="K34" s="2794"/>
      <c r="L34" s="2794"/>
      <c r="M34" s="2794"/>
      <c r="N34" s="2794"/>
      <c r="O34" s="2794"/>
      <c r="P34" s="2794"/>
      <c r="Q34" s="2794"/>
    </row>
    <row r="35" spans="1:16384" s="1632" customFormat="1" ht="39" customHeight="1">
      <c r="A35" s="2795" t="s">
        <v>2471</v>
      </c>
      <c r="B35" s="2795"/>
      <c r="C35" s="2795"/>
      <c r="D35" s="2795"/>
      <c r="E35" s="2795"/>
      <c r="F35" s="2795"/>
      <c r="G35" s="2795"/>
      <c r="H35" s="2795"/>
      <c r="I35" s="2795"/>
      <c r="J35" s="2795"/>
      <c r="K35" s="2795"/>
      <c r="L35" s="2795"/>
      <c r="M35" s="2795"/>
      <c r="N35" s="2795"/>
      <c r="O35" s="2795"/>
      <c r="P35" s="2795"/>
      <c r="Q35" s="2795"/>
      <c r="R35" s="2795"/>
      <c r="S35" s="2795"/>
      <c r="T35" s="2795"/>
      <c r="U35" s="2795"/>
      <c r="V35" s="2795"/>
      <c r="W35" s="2795"/>
      <c r="X35" s="2795"/>
      <c r="Y35" s="2795"/>
      <c r="Z35" s="2795"/>
      <c r="AA35" s="2795"/>
      <c r="AB35" s="2795"/>
      <c r="AC35" s="2795"/>
      <c r="AD35" s="2795"/>
      <c r="AE35" s="2795"/>
      <c r="AF35" s="2795"/>
      <c r="AG35" s="2795"/>
      <c r="AH35" s="2795"/>
      <c r="AI35" s="2795"/>
      <c r="AJ35" s="2795"/>
      <c r="AK35" s="2795"/>
      <c r="AL35" s="2795"/>
      <c r="AM35" s="2795"/>
      <c r="AN35" s="2795"/>
      <c r="AO35" s="2795"/>
      <c r="AP35" s="2795"/>
      <c r="AQ35" s="2795"/>
      <c r="AR35" s="2795"/>
      <c r="AS35" s="2795"/>
      <c r="AT35" s="2795"/>
      <c r="AU35" s="2795"/>
      <c r="AV35" s="2795"/>
      <c r="AW35" s="2795"/>
      <c r="AX35" s="2795"/>
      <c r="AY35" s="2795"/>
      <c r="AZ35" s="2795"/>
      <c r="BA35" s="2795"/>
      <c r="BB35" s="2795"/>
      <c r="BC35" s="2795"/>
      <c r="BD35" s="2795"/>
      <c r="BE35" s="2795"/>
      <c r="BF35" s="2795"/>
      <c r="BG35" s="2795"/>
      <c r="BH35" s="2795"/>
      <c r="BI35" s="2795"/>
      <c r="BJ35" s="2795"/>
      <c r="BK35" s="2795"/>
      <c r="BL35" s="2795"/>
      <c r="BM35" s="2795"/>
      <c r="BN35" s="2795"/>
      <c r="BO35" s="2795"/>
      <c r="BP35" s="2795"/>
      <c r="BQ35" s="2795"/>
      <c r="BR35" s="2795"/>
      <c r="BS35" s="2795"/>
      <c r="BT35" s="2795"/>
      <c r="BU35" s="2795"/>
      <c r="BV35" s="2795"/>
      <c r="BW35" s="2795"/>
      <c r="BX35" s="2795"/>
      <c r="BY35" s="2795"/>
      <c r="BZ35" s="2795"/>
      <c r="CA35" s="2795"/>
      <c r="CB35" s="2795"/>
      <c r="CC35" s="2795"/>
      <c r="CD35" s="2795"/>
      <c r="CE35" s="2795"/>
      <c r="CF35" s="2795"/>
      <c r="CG35" s="2795"/>
      <c r="CH35" s="2795"/>
      <c r="CI35" s="2795"/>
      <c r="CJ35" s="2795"/>
      <c r="CK35" s="2795"/>
      <c r="CL35" s="2795"/>
      <c r="CM35" s="2795"/>
      <c r="CN35" s="2795"/>
      <c r="CO35" s="2795"/>
      <c r="CP35" s="2795"/>
      <c r="CQ35" s="2795"/>
      <c r="CR35" s="2795"/>
      <c r="CS35" s="2795"/>
      <c r="CT35" s="2795"/>
      <c r="CU35" s="2795"/>
      <c r="CV35" s="2795"/>
      <c r="CW35" s="2795"/>
      <c r="CX35" s="2795"/>
      <c r="CY35" s="2795"/>
      <c r="CZ35" s="2795"/>
      <c r="DA35" s="2795"/>
      <c r="DB35" s="2795"/>
      <c r="DC35" s="2795"/>
      <c r="DD35" s="2795"/>
      <c r="DE35" s="2795"/>
      <c r="DF35" s="2795"/>
      <c r="DG35" s="2795"/>
      <c r="DH35" s="2795"/>
      <c r="DI35" s="2795"/>
      <c r="DJ35" s="2795"/>
      <c r="DK35" s="2795"/>
      <c r="DL35" s="2795"/>
      <c r="DM35" s="2795"/>
      <c r="DN35" s="2795"/>
      <c r="DO35" s="2795"/>
      <c r="DP35" s="2795"/>
      <c r="DQ35" s="2795"/>
      <c r="DR35" s="2795"/>
      <c r="DS35" s="2795"/>
      <c r="DT35" s="2795"/>
      <c r="DU35" s="2795"/>
      <c r="DV35" s="2795"/>
      <c r="DW35" s="2795"/>
      <c r="DX35" s="2795"/>
      <c r="DY35" s="2795"/>
      <c r="DZ35" s="2795"/>
      <c r="EA35" s="2795"/>
      <c r="EB35" s="2795"/>
      <c r="EC35" s="2795"/>
      <c r="ED35" s="2795"/>
      <c r="EE35" s="2795"/>
      <c r="EF35" s="2795"/>
      <c r="EG35" s="2795"/>
      <c r="EH35" s="2795"/>
      <c r="EI35" s="2795"/>
      <c r="EJ35" s="2795"/>
      <c r="EK35" s="2795"/>
      <c r="EL35" s="2795"/>
      <c r="EM35" s="2795"/>
      <c r="EN35" s="2795"/>
      <c r="EO35" s="2795"/>
      <c r="EP35" s="2795"/>
      <c r="EQ35" s="2795"/>
      <c r="ER35" s="2795"/>
      <c r="ES35" s="2795"/>
      <c r="ET35" s="2795"/>
      <c r="EU35" s="2795"/>
      <c r="EV35" s="2795"/>
      <c r="EW35" s="2795"/>
      <c r="EX35" s="2795"/>
      <c r="EY35" s="2795"/>
      <c r="EZ35" s="2795"/>
      <c r="FA35" s="2795"/>
      <c r="FB35" s="2795"/>
      <c r="FC35" s="2795"/>
      <c r="FD35" s="2795"/>
      <c r="FE35" s="2795"/>
      <c r="FF35" s="2795"/>
      <c r="FG35" s="2795"/>
      <c r="FH35" s="2795"/>
      <c r="FI35" s="2795"/>
      <c r="FJ35" s="2795"/>
      <c r="FK35" s="2795"/>
      <c r="FL35" s="2795"/>
      <c r="FM35" s="2795"/>
      <c r="FN35" s="2795"/>
      <c r="FO35" s="2795"/>
      <c r="FP35" s="2795"/>
      <c r="FQ35" s="2795"/>
      <c r="FR35" s="2795"/>
      <c r="FS35" s="2795"/>
      <c r="FT35" s="2795"/>
      <c r="FU35" s="2795"/>
      <c r="FV35" s="2795"/>
      <c r="FW35" s="2795"/>
      <c r="FX35" s="2795"/>
      <c r="FY35" s="2795"/>
      <c r="FZ35" s="2795"/>
      <c r="GA35" s="2795"/>
      <c r="GB35" s="2795"/>
      <c r="GC35" s="2795"/>
      <c r="GD35" s="2795"/>
      <c r="GE35" s="2795"/>
      <c r="GF35" s="2795"/>
      <c r="GG35" s="2795"/>
      <c r="GH35" s="2795"/>
      <c r="GI35" s="2795"/>
      <c r="GJ35" s="2795"/>
      <c r="GK35" s="2795"/>
      <c r="GL35" s="2795"/>
      <c r="GM35" s="2795"/>
      <c r="GN35" s="2795"/>
      <c r="GO35" s="2795"/>
      <c r="GP35" s="2795"/>
      <c r="GQ35" s="2795"/>
      <c r="GR35" s="2795"/>
      <c r="GS35" s="2795"/>
      <c r="GT35" s="2795"/>
      <c r="GU35" s="2795"/>
      <c r="GV35" s="2795"/>
      <c r="GW35" s="2795"/>
      <c r="GX35" s="2795"/>
      <c r="GY35" s="2795"/>
      <c r="GZ35" s="2795"/>
      <c r="HA35" s="2795"/>
      <c r="HB35" s="2795"/>
      <c r="HC35" s="2795"/>
      <c r="HD35" s="2795"/>
      <c r="HE35" s="2795"/>
      <c r="HF35" s="2795"/>
      <c r="HG35" s="2795"/>
      <c r="HH35" s="2795"/>
      <c r="HI35" s="2795"/>
      <c r="HJ35" s="2795"/>
      <c r="HK35" s="2795"/>
      <c r="HL35" s="2795"/>
      <c r="HM35" s="2795"/>
      <c r="HN35" s="2795"/>
      <c r="HO35" s="2795"/>
      <c r="HP35" s="2795"/>
      <c r="HQ35" s="2795"/>
      <c r="HR35" s="2795"/>
      <c r="HS35" s="2795"/>
      <c r="HT35" s="2795"/>
      <c r="HU35" s="2795"/>
      <c r="HV35" s="2795"/>
      <c r="HW35" s="2795"/>
      <c r="HX35" s="2795"/>
      <c r="HY35" s="2795"/>
      <c r="HZ35" s="2795"/>
      <c r="IA35" s="2795"/>
      <c r="IB35" s="2795"/>
      <c r="IC35" s="2795"/>
      <c r="ID35" s="2795"/>
      <c r="IE35" s="2795"/>
      <c r="IF35" s="2795"/>
      <c r="IG35" s="2795"/>
      <c r="IH35" s="2795"/>
      <c r="II35" s="2795"/>
      <c r="IJ35" s="2795"/>
      <c r="IK35" s="2795"/>
      <c r="IL35" s="2795"/>
      <c r="IM35" s="2795"/>
      <c r="IN35" s="2795"/>
      <c r="IO35" s="2795"/>
      <c r="IP35" s="2795"/>
      <c r="IQ35" s="2795"/>
      <c r="IR35" s="2795"/>
      <c r="IS35" s="2795"/>
      <c r="IT35" s="2795"/>
      <c r="IU35" s="2795"/>
      <c r="IV35" s="2795"/>
      <c r="IW35" s="2795"/>
      <c r="IX35" s="2795"/>
      <c r="IY35" s="2795"/>
      <c r="IZ35" s="2795"/>
      <c r="JA35" s="2795"/>
      <c r="JB35" s="2795"/>
      <c r="JC35" s="2795"/>
      <c r="JD35" s="2795"/>
      <c r="JE35" s="2795"/>
      <c r="JF35" s="2795"/>
      <c r="JG35" s="2795"/>
      <c r="JH35" s="2795"/>
      <c r="JI35" s="2795"/>
      <c r="JJ35" s="2795"/>
      <c r="JK35" s="2795"/>
      <c r="JL35" s="2795"/>
      <c r="JM35" s="2795"/>
      <c r="JN35" s="2795"/>
      <c r="JO35" s="2795"/>
      <c r="JP35" s="2795"/>
      <c r="JQ35" s="2795"/>
      <c r="JR35" s="2795"/>
      <c r="JS35" s="2795"/>
      <c r="JT35" s="2795"/>
      <c r="JU35" s="2795"/>
      <c r="JV35" s="2795"/>
      <c r="JW35" s="2795"/>
      <c r="JX35" s="2795"/>
      <c r="JY35" s="2795"/>
      <c r="JZ35" s="2795"/>
      <c r="KA35" s="2795"/>
      <c r="KB35" s="2795"/>
      <c r="KC35" s="2795"/>
      <c r="KD35" s="2795"/>
      <c r="KE35" s="2795"/>
      <c r="KF35" s="2795"/>
      <c r="KG35" s="2795"/>
      <c r="KH35" s="2795"/>
      <c r="KI35" s="2795"/>
      <c r="KJ35" s="2795"/>
      <c r="KK35" s="2795"/>
      <c r="KL35" s="2795"/>
      <c r="KM35" s="2795"/>
      <c r="KN35" s="2795"/>
      <c r="KO35" s="2795"/>
      <c r="KP35" s="2795"/>
      <c r="KQ35" s="2795"/>
      <c r="KR35" s="2795"/>
      <c r="KS35" s="2795"/>
      <c r="KT35" s="2795"/>
      <c r="KU35" s="2795"/>
      <c r="KV35" s="2795"/>
      <c r="KW35" s="2795"/>
      <c r="KX35" s="2795"/>
      <c r="KY35" s="2795"/>
      <c r="KZ35" s="2795"/>
      <c r="LA35" s="2795"/>
      <c r="LB35" s="2795"/>
      <c r="LC35" s="2795"/>
      <c r="LD35" s="2795"/>
      <c r="LE35" s="2795"/>
      <c r="LF35" s="2795"/>
      <c r="LG35" s="2795"/>
      <c r="LH35" s="2795"/>
      <c r="LI35" s="2795"/>
      <c r="LJ35" s="2795"/>
      <c r="LK35" s="2795"/>
      <c r="LL35" s="2795"/>
      <c r="LM35" s="2795"/>
      <c r="LN35" s="2795"/>
      <c r="LO35" s="2795"/>
      <c r="LP35" s="2795"/>
      <c r="LQ35" s="2795"/>
      <c r="LR35" s="2795"/>
      <c r="LS35" s="2795"/>
      <c r="LT35" s="2795"/>
      <c r="LU35" s="2795"/>
      <c r="LV35" s="2795"/>
      <c r="LW35" s="2795"/>
      <c r="LX35" s="2795"/>
      <c r="LY35" s="2795"/>
      <c r="LZ35" s="2795"/>
      <c r="MA35" s="2795"/>
      <c r="MB35" s="2795"/>
      <c r="MC35" s="2795"/>
      <c r="MD35" s="2795"/>
      <c r="ME35" s="2795"/>
      <c r="MF35" s="2795"/>
      <c r="MG35" s="2795"/>
      <c r="MH35" s="2795"/>
      <c r="MI35" s="2795"/>
      <c r="MJ35" s="2795"/>
      <c r="MK35" s="2795"/>
      <c r="ML35" s="2795"/>
      <c r="MM35" s="2795"/>
      <c r="MN35" s="2795"/>
      <c r="MO35" s="2795"/>
      <c r="MP35" s="2795"/>
      <c r="MQ35" s="2795"/>
      <c r="MR35" s="2795"/>
      <c r="MS35" s="2795"/>
      <c r="MT35" s="2795"/>
      <c r="MU35" s="2795"/>
      <c r="MV35" s="2795"/>
      <c r="MW35" s="2795"/>
      <c r="MX35" s="2795"/>
      <c r="MY35" s="2795"/>
      <c r="MZ35" s="2795"/>
      <c r="NA35" s="2795"/>
      <c r="NB35" s="2795"/>
      <c r="NC35" s="2795"/>
      <c r="ND35" s="2795"/>
      <c r="NE35" s="2795"/>
      <c r="NF35" s="2795"/>
      <c r="NG35" s="2795"/>
      <c r="NH35" s="2795"/>
      <c r="NI35" s="2795"/>
      <c r="NJ35" s="2795"/>
      <c r="NK35" s="2795"/>
      <c r="NL35" s="2795"/>
      <c r="NM35" s="2795"/>
      <c r="NN35" s="2795"/>
      <c r="NO35" s="2795"/>
      <c r="NP35" s="2795"/>
      <c r="NQ35" s="2795"/>
      <c r="NR35" s="2795"/>
      <c r="NS35" s="2795"/>
      <c r="NT35" s="2795"/>
      <c r="NU35" s="2795"/>
      <c r="NV35" s="2795"/>
      <c r="NW35" s="2795"/>
      <c r="NX35" s="2795"/>
      <c r="NY35" s="2795"/>
      <c r="NZ35" s="2795"/>
      <c r="OA35" s="2795"/>
      <c r="OB35" s="2795"/>
      <c r="OC35" s="2795"/>
      <c r="OD35" s="2795"/>
      <c r="OE35" s="2795"/>
      <c r="OF35" s="2795"/>
      <c r="OG35" s="2795"/>
      <c r="OH35" s="2795"/>
      <c r="OI35" s="2795"/>
      <c r="OJ35" s="2795"/>
      <c r="OK35" s="2795"/>
      <c r="OL35" s="2795"/>
      <c r="OM35" s="2795"/>
      <c r="ON35" s="2795"/>
      <c r="OO35" s="2795"/>
      <c r="OP35" s="2795"/>
      <c r="OQ35" s="2795"/>
      <c r="OR35" s="2795"/>
      <c r="OS35" s="2795"/>
      <c r="OT35" s="2795"/>
      <c r="OU35" s="2795"/>
      <c r="OV35" s="2795"/>
      <c r="OW35" s="2795"/>
      <c r="OX35" s="2795"/>
      <c r="OY35" s="2795"/>
      <c r="OZ35" s="2795"/>
      <c r="PA35" s="2795"/>
      <c r="PB35" s="2795"/>
      <c r="PC35" s="2795"/>
      <c r="PD35" s="2795"/>
      <c r="PE35" s="2795"/>
      <c r="PF35" s="2795"/>
      <c r="PG35" s="2795"/>
      <c r="PH35" s="2795"/>
      <c r="PI35" s="2795"/>
      <c r="PJ35" s="2795"/>
      <c r="PK35" s="2795"/>
      <c r="PL35" s="2795"/>
      <c r="PM35" s="2795"/>
      <c r="PN35" s="2795"/>
      <c r="PO35" s="2795"/>
      <c r="PP35" s="2795"/>
      <c r="PQ35" s="2795"/>
      <c r="PR35" s="2795"/>
      <c r="PS35" s="2795"/>
      <c r="PT35" s="2795"/>
      <c r="PU35" s="2795"/>
      <c r="PV35" s="2795"/>
      <c r="PW35" s="2795"/>
      <c r="PX35" s="2795"/>
      <c r="PY35" s="2795"/>
      <c r="PZ35" s="2795"/>
      <c r="QA35" s="2795"/>
      <c r="QB35" s="2795"/>
      <c r="QC35" s="2795"/>
      <c r="QD35" s="2795"/>
      <c r="QE35" s="2795"/>
      <c r="QF35" s="2795"/>
      <c r="QG35" s="2795"/>
      <c r="QH35" s="2795"/>
      <c r="QI35" s="2795"/>
      <c r="QJ35" s="2795"/>
      <c r="QK35" s="2795"/>
      <c r="QL35" s="2795"/>
      <c r="QM35" s="2795"/>
      <c r="QN35" s="2795"/>
      <c r="QO35" s="2795"/>
      <c r="QP35" s="2795"/>
      <c r="QQ35" s="2795"/>
      <c r="QR35" s="2795"/>
      <c r="QS35" s="2795"/>
      <c r="QT35" s="2795"/>
      <c r="QU35" s="2795"/>
      <c r="QV35" s="2795"/>
      <c r="QW35" s="2795"/>
      <c r="QX35" s="2795"/>
      <c r="QY35" s="2795"/>
      <c r="QZ35" s="2795"/>
      <c r="RA35" s="2795"/>
      <c r="RB35" s="2795"/>
      <c r="RC35" s="2795"/>
      <c r="RD35" s="2795"/>
      <c r="RE35" s="2795"/>
      <c r="RF35" s="2795"/>
      <c r="RG35" s="2795"/>
      <c r="RH35" s="2795"/>
      <c r="RI35" s="2795"/>
      <c r="RJ35" s="2795"/>
      <c r="RK35" s="2795"/>
      <c r="RL35" s="2795"/>
      <c r="RM35" s="2795"/>
      <c r="RN35" s="2795"/>
      <c r="RO35" s="2795"/>
      <c r="RP35" s="2795"/>
      <c r="RQ35" s="2795"/>
      <c r="RR35" s="2795"/>
      <c r="RS35" s="2795"/>
      <c r="RT35" s="2795"/>
      <c r="RU35" s="2795"/>
      <c r="RV35" s="2795"/>
      <c r="RW35" s="2795"/>
      <c r="RX35" s="2795"/>
      <c r="RY35" s="2795"/>
      <c r="RZ35" s="2795"/>
      <c r="SA35" s="2795"/>
      <c r="SB35" s="2795"/>
      <c r="SC35" s="2795"/>
      <c r="SD35" s="2795"/>
      <c r="SE35" s="2795"/>
      <c r="SF35" s="2795"/>
      <c r="SG35" s="2795"/>
      <c r="SH35" s="2795"/>
      <c r="SI35" s="2795"/>
      <c r="SJ35" s="2795"/>
      <c r="SK35" s="2795"/>
      <c r="SL35" s="2795"/>
      <c r="SM35" s="2795"/>
      <c r="SN35" s="2795"/>
      <c r="SO35" s="2795"/>
      <c r="SP35" s="2795"/>
      <c r="SQ35" s="2795"/>
      <c r="SR35" s="2795"/>
      <c r="SS35" s="2795"/>
      <c r="ST35" s="2795"/>
      <c r="SU35" s="2795"/>
      <c r="SV35" s="2795"/>
      <c r="SW35" s="2795"/>
      <c r="SX35" s="2795"/>
      <c r="SY35" s="2795"/>
      <c r="SZ35" s="2795"/>
      <c r="TA35" s="2795"/>
      <c r="TB35" s="2795"/>
      <c r="TC35" s="2795"/>
      <c r="TD35" s="2795"/>
      <c r="TE35" s="2795"/>
      <c r="TF35" s="2795"/>
      <c r="TG35" s="2795"/>
      <c r="TH35" s="2795"/>
      <c r="TI35" s="2795"/>
      <c r="TJ35" s="2795"/>
      <c r="TK35" s="2795"/>
      <c r="TL35" s="2795"/>
      <c r="TM35" s="2795"/>
      <c r="TN35" s="2795"/>
      <c r="TO35" s="2795"/>
      <c r="TP35" s="2795"/>
      <c r="TQ35" s="2795"/>
      <c r="TR35" s="2795"/>
      <c r="TS35" s="2795"/>
      <c r="TT35" s="2795"/>
      <c r="TU35" s="2795"/>
      <c r="TV35" s="2795"/>
      <c r="TW35" s="2795"/>
      <c r="TX35" s="2795"/>
      <c r="TY35" s="2795"/>
      <c r="TZ35" s="2795"/>
      <c r="UA35" s="2795"/>
      <c r="UB35" s="2795"/>
      <c r="UC35" s="2795"/>
      <c r="UD35" s="2795"/>
      <c r="UE35" s="2795"/>
      <c r="UF35" s="2795"/>
      <c r="UG35" s="2795"/>
      <c r="UH35" s="2795"/>
      <c r="UI35" s="2795"/>
      <c r="UJ35" s="2795"/>
      <c r="UK35" s="2795"/>
      <c r="UL35" s="2795"/>
      <c r="UM35" s="2795"/>
      <c r="UN35" s="2795"/>
      <c r="UO35" s="2795"/>
      <c r="UP35" s="2795"/>
      <c r="UQ35" s="2795"/>
      <c r="UR35" s="2795"/>
      <c r="US35" s="2795"/>
      <c r="UT35" s="2795"/>
      <c r="UU35" s="2795"/>
      <c r="UV35" s="2795"/>
      <c r="UW35" s="2795"/>
      <c r="UX35" s="2795"/>
      <c r="UY35" s="2795"/>
      <c r="UZ35" s="2795"/>
      <c r="VA35" s="2795"/>
      <c r="VB35" s="2795"/>
      <c r="VC35" s="2795"/>
      <c r="VD35" s="2795"/>
      <c r="VE35" s="2795"/>
      <c r="VF35" s="2795"/>
      <c r="VG35" s="2795"/>
      <c r="VH35" s="2795"/>
      <c r="VI35" s="2795"/>
      <c r="VJ35" s="2795"/>
      <c r="VK35" s="2795"/>
      <c r="VL35" s="2795"/>
      <c r="VM35" s="2795"/>
      <c r="VN35" s="2795"/>
      <c r="VO35" s="2795"/>
      <c r="VP35" s="2795"/>
      <c r="VQ35" s="2795"/>
      <c r="VR35" s="2795"/>
      <c r="VS35" s="2795"/>
      <c r="VT35" s="2795"/>
      <c r="VU35" s="2795"/>
      <c r="VV35" s="2795"/>
      <c r="VW35" s="2795"/>
      <c r="VX35" s="2795"/>
      <c r="VY35" s="2795"/>
      <c r="VZ35" s="2795"/>
      <c r="WA35" s="2795"/>
      <c r="WB35" s="2795"/>
      <c r="WC35" s="2795"/>
      <c r="WD35" s="2795"/>
      <c r="WE35" s="2795"/>
      <c r="WF35" s="2795"/>
      <c r="WG35" s="2795"/>
      <c r="WH35" s="2795"/>
      <c r="WI35" s="2795"/>
      <c r="WJ35" s="2795"/>
      <c r="WK35" s="2795"/>
      <c r="WL35" s="2795"/>
      <c r="WM35" s="2795"/>
      <c r="WN35" s="2795"/>
      <c r="WO35" s="2795"/>
      <c r="WP35" s="2795"/>
      <c r="WQ35" s="2795"/>
      <c r="WR35" s="2795"/>
      <c r="WS35" s="2795"/>
      <c r="WT35" s="2795"/>
      <c r="WU35" s="2795"/>
      <c r="WV35" s="2795"/>
      <c r="WW35" s="2795"/>
      <c r="WX35" s="2795"/>
      <c r="WY35" s="2795"/>
      <c r="WZ35" s="2795"/>
      <c r="XA35" s="2795"/>
      <c r="XB35" s="2795"/>
      <c r="XC35" s="2795"/>
      <c r="XD35" s="2795"/>
      <c r="XE35" s="2795"/>
      <c r="XF35" s="2795"/>
      <c r="XG35" s="2795"/>
      <c r="XH35" s="2795"/>
      <c r="XI35" s="2795"/>
      <c r="XJ35" s="2795"/>
      <c r="XK35" s="2795"/>
      <c r="XL35" s="2795"/>
      <c r="XM35" s="2795"/>
      <c r="XN35" s="2795"/>
      <c r="XO35" s="2795"/>
      <c r="XP35" s="2795"/>
      <c r="XQ35" s="2795"/>
      <c r="XR35" s="2795"/>
      <c r="XS35" s="2795"/>
      <c r="XT35" s="2795"/>
      <c r="XU35" s="2795"/>
      <c r="XV35" s="2795"/>
      <c r="XW35" s="2795"/>
      <c r="XX35" s="2795"/>
      <c r="XY35" s="2795"/>
      <c r="XZ35" s="2795"/>
      <c r="YA35" s="2795"/>
      <c r="YB35" s="2795"/>
      <c r="YC35" s="2795"/>
      <c r="YD35" s="2795"/>
      <c r="YE35" s="2795"/>
      <c r="YF35" s="2795"/>
      <c r="YG35" s="2795"/>
      <c r="YH35" s="2795"/>
      <c r="YI35" s="2795"/>
      <c r="YJ35" s="2795"/>
      <c r="YK35" s="2795"/>
      <c r="YL35" s="2795"/>
      <c r="YM35" s="2795"/>
      <c r="YN35" s="2795"/>
      <c r="YO35" s="2795"/>
      <c r="YP35" s="2795"/>
      <c r="YQ35" s="2795"/>
      <c r="YR35" s="2795"/>
      <c r="YS35" s="2795"/>
      <c r="YT35" s="2795"/>
      <c r="YU35" s="2795"/>
      <c r="YV35" s="2795"/>
      <c r="YW35" s="2795"/>
      <c r="YX35" s="2795"/>
      <c r="YY35" s="2795"/>
      <c r="YZ35" s="2795"/>
      <c r="ZA35" s="2795"/>
      <c r="ZB35" s="2795"/>
      <c r="ZC35" s="2795"/>
      <c r="ZD35" s="2795"/>
      <c r="ZE35" s="2795"/>
      <c r="ZF35" s="2795"/>
      <c r="ZG35" s="2795"/>
      <c r="ZH35" s="2795"/>
      <c r="ZI35" s="2795"/>
      <c r="ZJ35" s="2795"/>
      <c r="ZK35" s="2795"/>
      <c r="ZL35" s="2795"/>
      <c r="ZM35" s="2795"/>
      <c r="ZN35" s="2795"/>
      <c r="ZO35" s="2795"/>
      <c r="ZP35" s="2795"/>
      <c r="ZQ35" s="2795"/>
      <c r="ZR35" s="2795"/>
      <c r="ZS35" s="2795"/>
      <c r="ZT35" s="2795"/>
      <c r="ZU35" s="2795"/>
      <c r="ZV35" s="2795"/>
      <c r="ZW35" s="2795"/>
      <c r="ZX35" s="2795"/>
      <c r="ZY35" s="2795"/>
      <c r="ZZ35" s="2795"/>
      <c r="AAA35" s="2795"/>
      <c r="AAB35" s="2795"/>
      <c r="AAC35" s="2795"/>
      <c r="AAD35" s="2795"/>
      <c r="AAE35" s="2795"/>
      <c r="AAF35" s="2795"/>
      <c r="AAG35" s="2795"/>
      <c r="AAH35" s="2795"/>
      <c r="AAI35" s="2795"/>
      <c r="AAJ35" s="2795"/>
      <c r="AAK35" s="2795"/>
      <c r="AAL35" s="2795"/>
      <c r="AAM35" s="2795"/>
      <c r="AAN35" s="2795"/>
      <c r="AAO35" s="2795"/>
      <c r="AAP35" s="2795"/>
      <c r="AAQ35" s="2795"/>
      <c r="AAR35" s="2795"/>
      <c r="AAS35" s="2795"/>
      <c r="AAT35" s="2795"/>
      <c r="AAU35" s="2795"/>
      <c r="AAV35" s="2795"/>
      <c r="AAW35" s="2795"/>
      <c r="AAX35" s="2795"/>
      <c r="AAY35" s="2795"/>
      <c r="AAZ35" s="2795"/>
      <c r="ABA35" s="2795"/>
      <c r="ABB35" s="2795"/>
      <c r="ABC35" s="2795"/>
      <c r="ABD35" s="2795"/>
      <c r="ABE35" s="2795"/>
      <c r="ABF35" s="2795"/>
      <c r="ABG35" s="2795"/>
      <c r="ABH35" s="2795"/>
      <c r="ABI35" s="2795"/>
      <c r="ABJ35" s="2795"/>
      <c r="ABK35" s="2795"/>
      <c r="ABL35" s="2795"/>
      <c r="ABM35" s="2795"/>
      <c r="ABN35" s="2795"/>
      <c r="ABO35" s="2795"/>
      <c r="ABP35" s="2795"/>
      <c r="ABQ35" s="2795"/>
      <c r="ABR35" s="2795"/>
      <c r="ABS35" s="2795"/>
      <c r="ABT35" s="2795"/>
      <c r="ABU35" s="2795"/>
      <c r="ABV35" s="2795"/>
      <c r="ABW35" s="2795"/>
      <c r="ABX35" s="2795"/>
      <c r="ABY35" s="2795"/>
      <c r="ABZ35" s="2795"/>
      <c r="ACA35" s="2795"/>
      <c r="ACB35" s="2795"/>
      <c r="ACC35" s="2795"/>
      <c r="ACD35" s="2795"/>
      <c r="ACE35" s="2795"/>
      <c r="ACF35" s="2795"/>
      <c r="ACG35" s="2795"/>
      <c r="ACH35" s="2795"/>
      <c r="ACI35" s="2795"/>
      <c r="ACJ35" s="2795"/>
      <c r="ACK35" s="2795"/>
      <c r="ACL35" s="2795"/>
      <c r="ACM35" s="2795"/>
      <c r="ACN35" s="2795"/>
      <c r="ACO35" s="2795"/>
      <c r="ACP35" s="2795"/>
      <c r="ACQ35" s="2795"/>
      <c r="ACR35" s="2795"/>
      <c r="ACS35" s="2795"/>
      <c r="ACT35" s="2795"/>
      <c r="ACU35" s="2795"/>
      <c r="ACV35" s="2795"/>
      <c r="ACW35" s="2795"/>
      <c r="ACX35" s="2795"/>
      <c r="ACY35" s="2795"/>
      <c r="ACZ35" s="2795"/>
      <c r="ADA35" s="2795"/>
      <c r="ADB35" s="2795"/>
      <c r="ADC35" s="2795"/>
      <c r="ADD35" s="2795"/>
      <c r="ADE35" s="2795"/>
      <c r="ADF35" s="2795"/>
      <c r="ADG35" s="2795"/>
      <c r="ADH35" s="2795"/>
      <c r="ADI35" s="2795"/>
      <c r="ADJ35" s="2795"/>
      <c r="ADK35" s="2795"/>
      <c r="ADL35" s="2795"/>
      <c r="ADM35" s="2795"/>
      <c r="ADN35" s="2795"/>
      <c r="ADO35" s="2795"/>
      <c r="ADP35" s="2795"/>
      <c r="ADQ35" s="2795"/>
      <c r="ADR35" s="2795"/>
      <c r="ADS35" s="2795"/>
      <c r="ADT35" s="2795"/>
      <c r="ADU35" s="2795"/>
      <c r="ADV35" s="2795"/>
      <c r="ADW35" s="2795"/>
      <c r="ADX35" s="2795"/>
      <c r="ADY35" s="2795"/>
      <c r="ADZ35" s="2795"/>
      <c r="AEA35" s="2795"/>
      <c r="AEB35" s="2795"/>
      <c r="AEC35" s="2795"/>
      <c r="AED35" s="2795"/>
      <c r="AEE35" s="2795"/>
      <c r="AEF35" s="2795"/>
      <c r="AEG35" s="2795"/>
      <c r="AEH35" s="2795"/>
      <c r="AEI35" s="2795"/>
      <c r="AEJ35" s="2795"/>
      <c r="AEK35" s="2795"/>
      <c r="AEL35" s="2795"/>
      <c r="AEM35" s="2795"/>
      <c r="AEN35" s="2795"/>
      <c r="AEO35" s="2795"/>
      <c r="AEP35" s="2795"/>
      <c r="AEQ35" s="2795"/>
      <c r="AER35" s="2795"/>
      <c r="AES35" s="2795"/>
      <c r="AET35" s="2795"/>
      <c r="AEU35" s="2795"/>
      <c r="AEV35" s="2795"/>
      <c r="AEW35" s="2795"/>
      <c r="AEX35" s="2795"/>
      <c r="AEY35" s="2795"/>
      <c r="AEZ35" s="2795"/>
      <c r="AFA35" s="2795"/>
      <c r="AFB35" s="2795"/>
      <c r="AFC35" s="2795"/>
      <c r="AFD35" s="2795"/>
      <c r="AFE35" s="2795"/>
      <c r="AFF35" s="2795"/>
      <c r="AFG35" s="2795"/>
      <c r="AFH35" s="2795"/>
      <c r="AFI35" s="2795"/>
      <c r="AFJ35" s="2795"/>
      <c r="AFK35" s="2795"/>
      <c r="AFL35" s="2795"/>
      <c r="AFM35" s="2795"/>
      <c r="AFN35" s="2795"/>
      <c r="AFO35" s="2795"/>
      <c r="AFP35" s="2795"/>
      <c r="AFQ35" s="2795"/>
      <c r="AFR35" s="2795"/>
      <c r="AFS35" s="2795"/>
      <c r="AFT35" s="2795"/>
      <c r="AFU35" s="2795"/>
      <c r="AFV35" s="2795"/>
      <c r="AFW35" s="2795"/>
      <c r="AFX35" s="2795"/>
      <c r="AFY35" s="2795"/>
      <c r="AFZ35" s="2795"/>
      <c r="AGA35" s="2795"/>
      <c r="AGB35" s="2795"/>
      <c r="AGC35" s="2795"/>
      <c r="AGD35" s="2795"/>
      <c r="AGE35" s="2795"/>
      <c r="AGF35" s="2795"/>
      <c r="AGG35" s="2795"/>
      <c r="AGH35" s="2795"/>
      <c r="AGI35" s="2795"/>
      <c r="AGJ35" s="2795"/>
      <c r="AGK35" s="2795"/>
      <c r="AGL35" s="2795"/>
      <c r="AGM35" s="2795"/>
      <c r="AGN35" s="2795"/>
      <c r="AGO35" s="2795"/>
      <c r="AGP35" s="2795"/>
      <c r="AGQ35" s="2795"/>
      <c r="AGR35" s="2795"/>
      <c r="AGS35" s="2795"/>
      <c r="AGT35" s="2795"/>
      <c r="AGU35" s="2795"/>
      <c r="AGV35" s="2795"/>
      <c r="AGW35" s="2795"/>
      <c r="AGX35" s="2795"/>
      <c r="AGY35" s="2795"/>
      <c r="AGZ35" s="2795"/>
      <c r="AHA35" s="2795"/>
      <c r="AHB35" s="2795"/>
      <c r="AHC35" s="2795"/>
      <c r="AHD35" s="2795"/>
      <c r="AHE35" s="2795"/>
      <c r="AHF35" s="2795"/>
      <c r="AHG35" s="2795"/>
      <c r="AHH35" s="2795"/>
      <c r="AHI35" s="2795"/>
      <c r="AHJ35" s="2795"/>
      <c r="AHK35" s="2795"/>
      <c r="AHL35" s="2795"/>
      <c r="AHM35" s="2795"/>
      <c r="AHN35" s="2795"/>
      <c r="AHO35" s="2795"/>
      <c r="AHP35" s="2795"/>
      <c r="AHQ35" s="2795"/>
      <c r="AHR35" s="2795"/>
      <c r="AHS35" s="2795"/>
      <c r="AHT35" s="2795"/>
      <c r="AHU35" s="2795"/>
      <c r="AHV35" s="2795"/>
      <c r="AHW35" s="2795"/>
      <c r="AHX35" s="2795"/>
      <c r="AHY35" s="2795"/>
      <c r="AHZ35" s="2795"/>
      <c r="AIA35" s="2795"/>
      <c r="AIB35" s="2795"/>
      <c r="AIC35" s="2795"/>
      <c r="AID35" s="2795"/>
      <c r="AIE35" s="2795"/>
      <c r="AIF35" s="2795"/>
      <c r="AIG35" s="2795"/>
      <c r="AIH35" s="2795"/>
      <c r="AII35" s="2795"/>
      <c r="AIJ35" s="2795"/>
      <c r="AIK35" s="2795"/>
      <c r="AIL35" s="2795"/>
      <c r="AIM35" s="2795"/>
      <c r="AIN35" s="2795"/>
      <c r="AIO35" s="2795"/>
      <c r="AIP35" s="2795"/>
      <c r="AIQ35" s="2795"/>
      <c r="AIR35" s="2795"/>
      <c r="AIS35" s="2795"/>
      <c r="AIT35" s="2795"/>
      <c r="AIU35" s="2795"/>
      <c r="AIV35" s="2795"/>
      <c r="AIW35" s="2795"/>
      <c r="AIX35" s="2795"/>
      <c r="AIY35" s="2795"/>
      <c r="AIZ35" s="2795"/>
      <c r="AJA35" s="2795"/>
      <c r="AJB35" s="2795"/>
      <c r="AJC35" s="2795"/>
      <c r="AJD35" s="2795"/>
      <c r="AJE35" s="2795"/>
      <c r="AJF35" s="2795"/>
      <c r="AJG35" s="2795"/>
      <c r="AJH35" s="2795"/>
      <c r="AJI35" s="2795"/>
      <c r="AJJ35" s="2795"/>
      <c r="AJK35" s="2795"/>
      <c r="AJL35" s="2795"/>
      <c r="AJM35" s="2795"/>
      <c r="AJN35" s="2795"/>
      <c r="AJO35" s="2795"/>
      <c r="AJP35" s="2795"/>
      <c r="AJQ35" s="2795"/>
      <c r="AJR35" s="2795"/>
      <c r="AJS35" s="2795"/>
      <c r="AJT35" s="2795"/>
      <c r="AJU35" s="2795"/>
      <c r="AJV35" s="2795"/>
      <c r="AJW35" s="2795"/>
      <c r="AJX35" s="2795"/>
      <c r="AJY35" s="2795"/>
      <c r="AJZ35" s="2795"/>
      <c r="AKA35" s="2795"/>
      <c r="AKB35" s="2795"/>
      <c r="AKC35" s="2795"/>
      <c r="AKD35" s="2795"/>
      <c r="AKE35" s="2795"/>
      <c r="AKF35" s="2795"/>
      <c r="AKG35" s="2795"/>
      <c r="AKH35" s="2795"/>
      <c r="AKI35" s="2795"/>
      <c r="AKJ35" s="2795"/>
      <c r="AKK35" s="2795"/>
      <c r="AKL35" s="2795"/>
      <c r="AKM35" s="2795"/>
      <c r="AKN35" s="2795"/>
      <c r="AKO35" s="2795"/>
      <c r="AKP35" s="2795"/>
      <c r="AKQ35" s="2795"/>
      <c r="AKR35" s="2795"/>
      <c r="AKS35" s="2795"/>
      <c r="AKT35" s="2795"/>
      <c r="AKU35" s="2795"/>
      <c r="AKV35" s="2795"/>
      <c r="AKW35" s="2795"/>
      <c r="AKX35" s="2795"/>
      <c r="AKY35" s="2795"/>
      <c r="AKZ35" s="2795"/>
      <c r="ALA35" s="2795"/>
      <c r="ALB35" s="2795"/>
      <c r="ALC35" s="2795"/>
      <c r="ALD35" s="2795"/>
      <c r="ALE35" s="2795"/>
      <c r="ALF35" s="2795"/>
      <c r="ALG35" s="2795"/>
      <c r="ALH35" s="2795"/>
      <c r="ALI35" s="2795"/>
      <c r="ALJ35" s="2795"/>
      <c r="ALK35" s="2795"/>
      <c r="ALL35" s="2795"/>
      <c r="ALM35" s="2795"/>
      <c r="ALN35" s="2795"/>
      <c r="ALO35" s="2795"/>
      <c r="ALP35" s="2795"/>
      <c r="ALQ35" s="2795"/>
      <c r="ALR35" s="2795"/>
      <c r="ALS35" s="2795"/>
      <c r="ALT35" s="2795"/>
      <c r="ALU35" s="2795"/>
      <c r="ALV35" s="2795"/>
      <c r="ALW35" s="2795"/>
      <c r="ALX35" s="2795"/>
      <c r="ALY35" s="2795"/>
      <c r="ALZ35" s="2795"/>
      <c r="AMA35" s="2795"/>
      <c r="AMB35" s="2795"/>
      <c r="AMC35" s="2795"/>
      <c r="AMD35" s="2795"/>
      <c r="AME35" s="2795"/>
      <c r="AMF35" s="2795"/>
      <c r="AMG35" s="2795"/>
      <c r="AMH35" s="2795"/>
      <c r="AMI35" s="2795"/>
      <c r="AMJ35" s="2795"/>
      <c r="AMK35" s="2795"/>
      <c r="AML35" s="2795"/>
      <c r="AMM35" s="2795"/>
      <c r="AMN35" s="2795"/>
      <c r="AMO35" s="2795"/>
      <c r="AMP35" s="2795"/>
      <c r="AMQ35" s="2795"/>
      <c r="AMR35" s="2795"/>
      <c r="AMS35" s="2795"/>
      <c r="AMT35" s="2795"/>
      <c r="AMU35" s="2795"/>
      <c r="AMV35" s="2795"/>
      <c r="AMW35" s="2795"/>
      <c r="AMX35" s="2795"/>
      <c r="AMY35" s="2795"/>
      <c r="AMZ35" s="2795"/>
      <c r="ANA35" s="2795"/>
      <c r="ANB35" s="2795"/>
      <c r="ANC35" s="2795"/>
      <c r="AND35" s="2795"/>
      <c r="ANE35" s="2795"/>
      <c r="ANF35" s="2795"/>
      <c r="ANG35" s="2795"/>
      <c r="ANH35" s="2795"/>
      <c r="ANI35" s="2795"/>
      <c r="ANJ35" s="2795"/>
      <c r="ANK35" s="2795"/>
      <c r="ANL35" s="2795"/>
      <c r="ANM35" s="2795"/>
      <c r="ANN35" s="2795"/>
      <c r="ANO35" s="2795"/>
      <c r="ANP35" s="2795"/>
      <c r="ANQ35" s="2795"/>
      <c r="ANR35" s="2795"/>
      <c r="ANS35" s="2795"/>
      <c r="ANT35" s="2795"/>
      <c r="ANU35" s="2795"/>
      <c r="ANV35" s="2795"/>
      <c r="ANW35" s="2795"/>
      <c r="ANX35" s="2795"/>
      <c r="ANY35" s="2795"/>
      <c r="ANZ35" s="2795"/>
      <c r="AOA35" s="2795"/>
      <c r="AOB35" s="2795"/>
      <c r="AOC35" s="2795"/>
      <c r="AOD35" s="2795"/>
      <c r="AOE35" s="2795"/>
      <c r="AOF35" s="2795"/>
      <c r="AOG35" s="2795"/>
      <c r="AOH35" s="2795"/>
      <c r="AOI35" s="2795"/>
      <c r="AOJ35" s="2795"/>
      <c r="AOK35" s="2795"/>
      <c r="AOL35" s="2795"/>
      <c r="AOM35" s="2795"/>
      <c r="AON35" s="2795"/>
      <c r="AOO35" s="2795"/>
      <c r="AOP35" s="2795"/>
      <c r="AOQ35" s="2795"/>
      <c r="AOR35" s="2795"/>
      <c r="AOS35" s="2795"/>
      <c r="AOT35" s="2795"/>
      <c r="AOU35" s="2795"/>
      <c r="AOV35" s="2795"/>
      <c r="AOW35" s="2795"/>
      <c r="AOX35" s="2795"/>
      <c r="AOY35" s="2795"/>
      <c r="AOZ35" s="2795"/>
      <c r="APA35" s="2795"/>
      <c r="APB35" s="2795"/>
      <c r="APC35" s="2795"/>
      <c r="APD35" s="2795"/>
      <c r="APE35" s="2795"/>
      <c r="APF35" s="2795"/>
      <c r="APG35" s="2795"/>
      <c r="APH35" s="2795"/>
      <c r="API35" s="2795"/>
      <c r="APJ35" s="2795"/>
      <c r="APK35" s="2795"/>
      <c r="APL35" s="2795"/>
      <c r="APM35" s="2795"/>
      <c r="APN35" s="2795"/>
      <c r="APO35" s="2795"/>
      <c r="APP35" s="2795"/>
      <c r="APQ35" s="2795"/>
      <c r="APR35" s="2795"/>
      <c r="APS35" s="2795"/>
      <c r="APT35" s="2795"/>
      <c r="APU35" s="2795"/>
      <c r="APV35" s="2795"/>
      <c r="APW35" s="2795"/>
      <c r="APX35" s="2795"/>
      <c r="APY35" s="2795"/>
      <c r="APZ35" s="2795"/>
      <c r="AQA35" s="2795"/>
      <c r="AQB35" s="2795"/>
      <c r="AQC35" s="2795"/>
      <c r="AQD35" s="2795"/>
      <c r="AQE35" s="2795"/>
      <c r="AQF35" s="2795"/>
      <c r="AQG35" s="2795"/>
      <c r="AQH35" s="2795"/>
      <c r="AQI35" s="2795"/>
      <c r="AQJ35" s="2795"/>
      <c r="AQK35" s="2795"/>
      <c r="AQL35" s="2795"/>
      <c r="AQM35" s="2795"/>
      <c r="AQN35" s="2795"/>
      <c r="AQO35" s="2795"/>
      <c r="AQP35" s="2795"/>
      <c r="AQQ35" s="2795"/>
      <c r="AQR35" s="2795"/>
      <c r="AQS35" s="2795"/>
      <c r="AQT35" s="2795"/>
      <c r="AQU35" s="2795"/>
      <c r="AQV35" s="2795"/>
      <c r="AQW35" s="2795"/>
      <c r="AQX35" s="2795"/>
      <c r="AQY35" s="2795"/>
      <c r="AQZ35" s="2795"/>
      <c r="ARA35" s="2795"/>
      <c r="ARB35" s="2795"/>
      <c r="ARC35" s="2795"/>
      <c r="ARD35" s="2795"/>
      <c r="ARE35" s="2795"/>
      <c r="ARF35" s="2795"/>
      <c r="ARG35" s="2795"/>
      <c r="ARH35" s="2795"/>
      <c r="ARI35" s="2795"/>
      <c r="ARJ35" s="2795"/>
      <c r="ARK35" s="2795"/>
      <c r="ARL35" s="2795"/>
      <c r="ARM35" s="2795"/>
      <c r="ARN35" s="2795"/>
      <c r="ARO35" s="2795"/>
      <c r="ARP35" s="2795"/>
      <c r="ARQ35" s="2795"/>
      <c r="ARR35" s="2795"/>
      <c r="ARS35" s="2795"/>
      <c r="ART35" s="2795"/>
      <c r="ARU35" s="2795"/>
      <c r="ARV35" s="2795"/>
      <c r="ARW35" s="2795"/>
      <c r="ARX35" s="2795"/>
      <c r="ARY35" s="2795"/>
      <c r="ARZ35" s="2795"/>
      <c r="ASA35" s="2795"/>
      <c r="ASB35" s="2795"/>
      <c r="ASC35" s="2795"/>
      <c r="ASD35" s="2795"/>
      <c r="ASE35" s="2795"/>
      <c r="ASF35" s="2795"/>
      <c r="ASG35" s="2795"/>
      <c r="ASH35" s="2795"/>
      <c r="ASI35" s="2795"/>
      <c r="ASJ35" s="2795"/>
      <c r="ASK35" s="2795"/>
      <c r="ASL35" s="2795"/>
      <c r="ASM35" s="2795"/>
      <c r="ASN35" s="2795"/>
      <c r="ASO35" s="2795"/>
      <c r="ASP35" s="2795"/>
      <c r="ASQ35" s="2795"/>
      <c r="ASR35" s="2795"/>
      <c r="ASS35" s="2795"/>
      <c r="AST35" s="2795"/>
      <c r="ASU35" s="2795"/>
      <c r="ASV35" s="2795"/>
      <c r="ASW35" s="2795"/>
      <c r="ASX35" s="2795"/>
      <c r="ASY35" s="2795"/>
      <c r="ASZ35" s="2795"/>
      <c r="ATA35" s="2795"/>
      <c r="ATB35" s="2795"/>
      <c r="ATC35" s="2795"/>
      <c r="ATD35" s="2795"/>
      <c r="ATE35" s="2795"/>
      <c r="ATF35" s="2795"/>
      <c r="ATG35" s="2795"/>
      <c r="ATH35" s="2795"/>
      <c r="ATI35" s="2795"/>
      <c r="ATJ35" s="2795"/>
      <c r="ATK35" s="2795"/>
      <c r="ATL35" s="2795"/>
      <c r="ATM35" s="2795"/>
      <c r="ATN35" s="2795"/>
      <c r="ATO35" s="2795"/>
      <c r="ATP35" s="2795"/>
      <c r="ATQ35" s="2795"/>
      <c r="ATR35" s="2795"/>
      <c r="ATS35" s="2795"/>
      <c r="ATT35" s="2795"/>
      <c r="ATU35" s="2795"/>
      <c r="ATV35" s="2795"/>
      <c r="ATW35" s="2795"/>
      <c r="ATX35" s="2795"/>
      <c r="ATY35" s="2795"/>
      <c r="ATZ35" s="2795"/>
      <c r="AUA35" s="2795"/>
      <c r="AUB35" s="2795"/>
      <c r="AUC35" s="2795"/>
      <c r="AUD35" s="2795"/>
      <c r="AUE35" s="2795"/>
      <c r="AUF35" s="2795"/>
      <c r="AUG35" s="2795"/>
      <c r="AUH35" s="2795"/>
      <c r="AUI35" s="2795"/>
      <c r="AUJ35" s="2795"/>
      <c r="AUK35" s="2795"/>
      <c r="AUL35" s="2795"/>
      <c r="AUM35" s="2795"/>
      <c r="AUN35" s="2795"/>
      <c r="AUO35" s="2795"/>
      <c r="AUP35" s="2795"/>
      <c r="AUQ35" s="2795"/>
      <c r="AUR35" s="2795"/>
      <c r="AUS35" s="2795"/>
      <c r="AUT35" s="2795"/>
      <c r="AUU35" s="2795"/>
      <c r="AUV35" s="2795"/>
      <c r="AUW35" s="2795"/>
      <c r="AUX35" s="2795"/>
      <c r="AUY35" s="2795"/>
      <c r="AUZ35" s="2795"/>
      <c r="AVA35" s="2795"/>
      <c r="AVB35" s="2795"/>
      <c r="AVC35" s="2795"/>
      <c r="AVD35" s="2795"/>
      <c r="AVE35" s="2795"/>
      <c r="AVF35" s="2795"/>
      <c r="AVG35" s="2795"/>
      <c r="AVH35" s="2795"/>
      <c r="AVI35" s="2795"/>
      <c r="AVJ35" s="2795"/>
      <c r="AVK35" s="2795"/>
      <c r="AVL35" s="2795"/>
      <c r="AVM35" s="2795"/>
      <c r="AVN35" s="2795"/>
      <c r="AVO35" s="2795"/>
      <c r="AVP35" s="2795"/>
      <c r="AVQ35" s="2795"/>
      <c r="AVR35" s="2795"/>
      <c r="AVS35" s="2795"/>
      <c r="AVT35" s="2795"/>
      <c r="AVU35" s="2795"/>
      <c r="AVV35" s="2795"/>
      <c r="AVW35" s="2795"/>
      <c r="AVX35" s="2795"/>
      <c r="AVY35" s="2795"/>
      <c r="AVZ35" s="2795"/>
      <c r="AWA35" s="2795"/>
      <c r="AWB35" s="2795"/>
      <c r="AWC35" s="2795"/>
      <c r="AWD35" s="2795"/>
      <c r="AWE35" s="2795"/>
      <c r="AWF35" s="2795"/>
      <c r="AWG35" s="2795"/>
      <c r="AWH35" s="2795"/>
      <c r="AWI35" s="2795"/>
      <c r="AWJ35" s="2795"/>
      <c r="AWK35" s="2795"/>
      <c r="AWL35" s="2795"/>
      <c r="AWM35" s="2795"/>
      <c r="AWN35" s="2795"/>
      <c r="AWO35" s="2795"/>
      <c r="AWP35" s="2795"/>
      <c r="AWQ35" s="2795"/>
      <c r="AWR35" s="2795"/>
      <c r="AWS35" s="2795"/>
      <c r="AWT35" s="2795"/>
      <c r="AWU35" s="2795"/>
      <c r="AWV35" s="2795"/>
      <c r="AWW35" s="2795"/>
      <c r="AWX35" s="2795"/>
      <c r="AWY35" s="2795"/>
      <c r="AWZ35" s="2795"/>
      <c r="AXA35" s="2795"/>
      <c r="AXB35" s="2795"/>
      <c r="AXC35" s="2795"/>
      <c r="AXD35" s="2795"/>
      <c r="AXE35" s="2795"/>
      <c r="AXF35" s="2795"/>
      <c r="AXG35" s="2795"/>
      <c r="AXH35" s="2795"/>
      <c r="AXI35" s="2795"/>
      <c r="AXJ35" s="2795"/>
      <c r="AXK35" s="2795"/>
      <c r="AXL35" s="2795"/>
      <c r="AXM35" s="2795"/>
      <c r="AXN35" s="2795"/>
      <c r="AXO35" s="2795"/>
      <c r="AXP35" s="2795"/>
      <c r="AXQ35" s="2795"/>
      <c r="AXR35" s="2795"/>
      <c r="AXS35" s="2795"/>
      <c r="AXT35" s="2795"/>
      <c r="AXU35" s="2795"/>
      <c r="AXV35" s="2795"/>
      <c r="AXW35" s="2795"/>
      <c r="AXX35" s="2795"/>
      <c r="AXY35" s="2795"/>
      <c r="AXZ35" s="2795"/>
      <c r="AYA35" s="2795"/>
      <c r="AYB35" s="2795"/>
      <c r="AYC35" s="2795"/>
      <c r="AYD35" s="2795"/>
      <c r="AYE35" s="2795"/>
      <c r="AYF35" s="2795"/>
      <c r="AYG35" s="2795"/>
      <c r="AYH35" s="2795"/>
      <c r="AYI35" s="2795"/>
      <c r="AYJ35" s="2795"/>
      <c r="AYK35" s="2795"/>
      <c r="AYL35" s="2795"/>
      <c r="AYM35" s="2795"/>
      <c r="AYN35" s="2795"/>
      <c r="AYO35" s="2795"/>
      <c r="AYP35" s="2795"/>
      <c r="AYQ35" s="2795"/>
      <c r="AYR35" s="2795"/>
      <c r="AYS35" s="2795"/>
      <c r="AYT35" s="2795"/>
      <c r="AYU35" s="2795"/>
      <c r="AYV35" s="2795"/>
      <c r="AYW35" s="2795"/>
      <c r="AYX35" s="2795"/>
      <c r="AYY35" s="2795"/>
      <c r="AYZ35" s="2795"/>
      <c r="AZA35" s="2795"/>
      <c r="AZB35" s="2795"/>
      <c r="AZC35" s="2795"/>
      <c r="AZD35" s="2795"/>
      <c r="AZE35" s="2795"/>
      <c r="AZF35" s="2795"/>
      <c r="AZG35" s="2795"/>
      <c r="AZH35" s="2795"/>
      <c r="AZI35" s="2795"/>
      <c r="AZJ35" s="2795"/>
      <c r="AZK35" s="2795"/>
      <c r="AZL35" s="2795"/>
      <c r="AZM35" s="2795"/>
      <c r="AZN35" s="2795"/>
      <c r="AZO35" s="2795"/>
      <c r="AZP35" s="2795"/>
      <c r="AZQ35" s="2795"/>
      <c r="AZR35" s="2795"/>
      <c r="AZS35" s="2795"/>
      <c r="AZT35" s="2795"/>
      <c r="AZU35" s="2795"/>
      <c r="AZV35" s="2795"/>
      <c r="AZW35" s="2795"/>
      <c r="AZX35" s="2795"/>
      <c r="AZY35" s="2795"/>
      <c r="AZZ35" s="2795"/>
      <c r="BAA35" s="2795"/>
      <c r="BAB35" s="2795"/>
      <c r="BAC35" s="2795"/>
      <c r="BAD35" s="2795"/>
      <c r="BAE35" s="2795"/>
      <c r="BAF35" s="2795"/>
      <c r="BAG35" s="2795"/>
      <c r="BAH35" s="2795"/>
      <c r="BAI35" s="2795"/>
      <c r="BAJ35" s="2795"/>
      <c r="BAK35" s="2795"/>
      <c r="BAL35" s="2795"/>
      <c r="BAM35" s="2795"/>
      <c r="BAN35" s="2795"/>
      <c r="BAO35" s="2795"/>
      <c r="BAP35" s="2795"/>
      <c r="BAQ35" s="2795"/>
      <c r="BAR35" s="2795"/>
      <c r="BAS35" s="2795"/>
      <c r="BAT35" s="2795"/>
      <c r="BAU35" s="2795"/>
      <c r="BAV35" s="2795"/>
      <c r="BAW35" s="2795"/>
      <c r="BAX35" s="2795"/>
      <c r="BAY35" s="2795"/>
      <c r="BAZ35" s="2795"/>
      <c r="BBA35" s="2795"/>
      <c r="BBB35" s="2795"/>
      <c r="BBC35" s="2795"/>
      <c r="BBD35" s="2795"/>
      <c r="BBE35" s="2795"/>
      <c r="BBF35" s="2795"/>
      <c r="BBG35" s="2795"/>
      <c r="BBH35" s="2795"/>
      <c r="BBI35" s="2795"/>
      <c r="BBJ35" s="2795"/>
      <c r="BBK35" s="2795"/>
      <c r="BBL35" s="2795"/>
      <c r="BBM35" s="2795"/>
      <c r="BBN35" s="2795"/>
      <c r="BBO35" s="2795"/>
      <c r="BBP35" s="2795"/>
      <c r="BBQ35" s="2795"/>
      <c r="BBR35" s="2795"/>
      <c r="BBS35" s="2795"/>
      <c r="BBT35" s="2795"/>
      <c r="BBU35" s="2795"/>
      <c r="BBV35" s="2795"/>
      <c r="BBW35" s="2795"/>
      <c r="BBX35" s="2795"/>
      <c r="BBY35" s="2795"/>
      <c r="BBZ35" s="2795"/>
      <c r="BCA35" s="2795"/>
      <c r="BCB35" s="2795"/>
      <c r="BCC35" s="2795"/>
      <c r="BCD35" s="2795"/>
      <c r="BCE35" s="2795"/>
      <c r="BCF35" s="2795"/>
      <c r="BCG35" s="2795"/>
      <c r="BCH35" s="2795"/>
      <c r="BCI35" s="2795"/>
      <c r="BCJ35" s="2795"/>
      <c r="BCK35" s="2795"/>
      <c r="BCL35" s="2795"/>
      <c r="BCM35" s="2795"/>
      <c r="BCN35" s="2795"/>
      <c r="BCO35" s="2795"/>
      <c r="BCP35" s="2795"/>
      <c r="BCQ35" s="2795"/>
      <c r="BCR35" s="2795"/>
      <c r="BCS35" s="2795"/>
      <c r="BCT35" s="2795"/>
      <c r="BCU35" s="2795"/>
      <c r="BCV35" s="2795"/>
      <c r="BCW35" s="2795"/>
      <c r="BCX35" s="2795"/>
      <c r="BCY35" s="2795"/>
      <c r="BCZ35" s="2795"/>
      <c r="BDA35" s="2795"/>
      <c r="BDB35" s="2795"/>
      <c r="BDC35" s="2795"/>
      <c r="BDD35" s="2795"/>
      <c r="BDE35" s="2795"/>
      <c r="BDF35" s="2795"/>
      <c r="BDG35" s="2795"/>
      <c r="BDH35" s="2795"/>
      <c r="BDI35" s="2795"/>
      <c r="BDJ35" s="2795"/>
      <c r="BDK35" s="2795"/>
      <c r="BDL35" s="2795"/>
      <c r="BDM35" s="2795"/>
      <c r="BDN35" s="2795"/>
      <c r="BDO35" s="2795"/>
      <c r="BDP35" s="2795"/>
      <c r="BDQ35" s="2795"/>
      <c r="BDR35" s="2795"/>
      <c r="BDS35" s="2795"/>
      <c r="BDT35" s="2795"/>
      <c r="BDU35" s="2795"/>
      <c r="BDV35" s="2795"/>
      <c r="BDW35" s="2795"/>
      <c r="BDX35" s="2795"/>
      <c r="BDY35" s="2795"/>
      <c r="BDZ35" s="2795"/>
      <c r="BEA35" s="2795"/>
      <c r="BEB35" s="2795"/>
      <c r="BEC35" s="2795"/>
      <c r="BED35" s="2795"/>
      <c r="BEE35" s="2795"/>
      <c r="BEF35" s="2795"/>
      <c r="BEG35" s="2795"/>
      <c r="BEH35" s="2795"/>
      <c r="BEI35" s="2795"/>
      <c r="BEJ35" s="2795"/>
      <c r="BEK35" s="2795"/>
      <c r="BEL35" s="2795"/>
      <c r="BEM35" s="2795"/>
      <c r="BEN35" s="2795"/>
      <c r="BEO35" s="2795"/>
      <c r="BEP35" s="2795"/>
      <c r="BEQ35" s="2795"/>
      <c r="BER35" s="2795"/>
      <c r="BES35" s="2795"/>
      <c r="BET35" s="2795"/>
      <c r="BEU35" s="2795"/>
      <c r="BEV35" s="2795"/>
      <c r="BEW35" s="2795"/>
      <c r="BEX35" s="2795"/>
      <c r="BEY35" s="2795"/>
      <c r="BEZ35" s="2795"/>
      <c r="BFA35" s="2795"/>
      <c r="BFB35" s="2795"/>
      <c r="BFC35" s="2795"/>
      <c r="BFD35" s="2795"/>
      <c r="BFE35" s="2795"/>
      <c r="BFF35" s="2795"/>
      <c r="BFG35" s="2795"/>
      <c r="BFH35" s="2795"/>
      <c r="BFI35" s="2795"/>
      <c r="BFJ35" s="2795"/>
      <c r="BFK35" s="2795"/>
      <c r="BFL35" s="2795"/>
      <c r="BFM35" s="2795"/>
      <c r="BFN35" s="2795"/>
      <c r="BFO35" s="2795"/>
      <c r="BFP35" s="2795"/>
      <c r="BFQ35" s="2795"/>
      <c r="BFR35" s="2795"/>
      <c r="BFS35" s="2795"/>
      <c r="BFT35" s="2795"/>
      <c r="BFU35" s="2795"/>
      <c r="BFV35" s="2795"/>
      <c r="BFW35" s="2795"/>
      <c r="BFX35" s="2795"/>
      <c r="BFY35" s="2795"/>
      <c r="BFZ35" s="2795"/>
      <c r="BGA35" s="2795"/>
      <c r="BGB35" s="2795"/>
      <c r="BGC35" s="2795"/>
      <c r="BGD35" s="2795"/>
      <c r="BGE35" s="2795"/>
      <c r="BGF35" s="2795"/>
      <c r="BGG35" s="2795"/>
      <c r="BGH35" s="2795"/>
      <c r="BGI35" s="2795"/>
      <c r="BGJ35" s="2795"/>
      <c r="BGK35" s="2795"/>
      <c r="BGL35" s="2795"/>
      <c r="BGM35" s="2795"/>
      <c r="BGN35" s="2795"/>
      <c r="BGO35" s="2795"/>
      <c r="BGP35" s="2795"/>
      <c r="BGQ35" s="2795"/>
      <c r="BGR35" s="2795"/>
      <c r="BGS35" s="2795"/>
      <c r="BGT35" s="2795"/>
      <c r="BGU35" s="2795"/>
      <c r="BGV35" s="2795"/>
      <c r="BGW35" s="2795"/>
      <c r="BGX35" s="2795"/>
      <c r="BGY35" s="2795"/>
      <c r="BGZ35" s="2795"/>
      <c r="BHA35" s="2795"/>
      <c r="BHB35" s="2795"/>
      <c r="BHC35" s="2795"/>
      <c r="BHD35" s="2795"/>
      <c r="BHE35" s="2795"/>
      <c r="BHF35" s="2795"/>
      <c r="BHG35" s="2795"/>
      <c r="BHH35" s="2795"/>
      <c r="BHI35" s="2795"/>
      <c r="BHJ35" s="2795"/>
      <c r="BHK35" s="2795"/>
      <c r="BHL35" s="2795"/>
      <c r="BHM35" s="2795"/>
      <c r="BHN35" s="2795"/>
      <c r="BHO35" s="2795"/>
      <c r="BHP35" s="2795"/>
      <c r="BHQ35" s="2795"/>
      <c r="BHR35" s="2795"/>
      <c r="BHS35" s="2795"/>
      <c r="BHT35" s="2795"/>
      <c r="BHU35" s="2795"/>
      <c r="BHV35" s="2795"/>
      <c r="BHW35" s="2795"/>
      <c r="BHX35" s="2795"/>
      <c r="BHY35" s="2795"/>
      <c r="BHZ35" s="2795"/>
      <c r="BIA35" s="2795"/>
      <c r="BIB35" s="2795"/>
      <c r="BIC35" s="2795"/>
      <c r="BID35" s="2795"/>
      <c r="BIE35" s="2795"/>
      <c r="BIF35" s="2795"/>
      <c r="BIG35" s="2795"/>
      <c r="BIH35" s="2795"/>
      <c r="BII35" s="2795"/>
      <c r="BIJ35" s="2795"/>
      <c r="BIK35" s="2795"/>
      <c r="BIL35" s="2795"/>
      <c r="BIM35" s="2795"/>
      <c r="BIN35" s="2795"/>
      <c r="BIO35" s="2795"/>
      <c r="BIP35" s="2795"/>
      <c r="BIQ35" s="2795"/>
      <c r="BIR35" s="2795"/>
      <c r="BIS35" s="2795"/>
      <c r="BIT35" s="2795"/>
      <c r="BIU35" s="2795"/>
      <c r="BIV35" s="2795"/>
      <c r="BIW35" s="2795"/>
      <c r="BIX35" s="2795"/>
      <c r="BIY35" s="2795"/>
      <c r="BIZ35" s="2795"/>
      <c r="BJA35" s="2795"/>
      <c r="BJB35" s="2795"/>
      <c r="BJC35" s="2795"/>
      <c r="BJD35" s="2795"/>
      <c r="BJE35" s="2795"/>
      <c r="BJF35" s="2795"/>
      <c r="BJG35" s="2795"/>
      <c r="BJH35" s="2795"/>
      <c r="BJI35" s="2795"/>
      <c r="BJJ35" s="2795"/>
      <c r="BJK35" s="2795"/>
      <c r="BJL35" s="2795"/>
      <c r="BJM35" s="2795"/>
      <c r="BJN35" s="2795"/>
      <c r="BJO35" s="2795"/>
      <c r="BJP35" s="2795"/>
      <c r="BJQ35" s="2795"/>
      <c r="BJR35" s="2795"/>
      <c r="BJS35" s="2795"/>
      <c r="BJT35" s="2795"/>
      <c r="BJU35" s="2795"/>
      <c r="BJV35" s="2795"/>
      <c r="BJW35" s="2795"/>
      <c r="BJX35" s="2795"/>
      <c r="BJY35" s="2795"/>
      <c r="BJZ35" s="2795"/>
      <c r="BKA35" s="2795"/>
      <c r="BKB35" s="2795"/>
      <c r="BKC35" s="2795"/>
      <c r="BKD35" s="2795"/>
      <c r="BKE35" s="2795"/>
      <c r="BKF35" s="2795"/>
      <c r="BKG35" s="2795"/>
      <c r="BKH35" s="2795"/>
      <c r="BKI35" s="2795"/>
      <c r="BKJ35" s="2795"/>
      <c r="BKK35" s="2795"/>
      <c r="BKL35" s="2795"/>
      <c r="BKM35" s="2795"/>
      <c r="BKN35" s="2795"/>
      <c r="BKO35" s="2795"/>
      <c r="BKP35" s="2795"/>
      <c r="BKQ35" s="2795"/>
      <c r="BKR35" s="2795"/>
      <c r="BKS35" s="2795"/>
      <c r="BKT35" s="2795"/>
      <c r="BKU35" s="2795"/>
      <c r="BKV35" s="2795"/>
      <c r="BKW35" s="2795"/>
      <c r="BKX35" s="2795"/>
      <c r="BKY35" s="2795"/>
      <c r="BKZ35" s="2795"/>
      <c r="BLA35" s="2795"/>
      <c r="BLB35" s="2795"/>
      <c r="BLC35" s="2795"/>
      <c r="BLD35" s="2795"/>
      <c r="BLE35" s="2795"/>
      <c r="BLF35" s="2795"/>
      <c r="BLG35" s="2795"/>
      <c r="BLH35" s="2795"/>
      <c r="BLI35" s="2795"/>
      <c r="BLJ35" s="2795"/>
      <c r="BLK35" s="2795"/>
      <c r="BLL35" s="2795"/>
      <c r="BLM35" s="2795"/>
      <c r="BLN35" s="2795"/>
      <c r="BLO35" s="2795"/>
      <c r="BLP35" s="2795"/>
      <c r="BLQ35" s="2795"/>
      <c r="BLR35" s="2795"/>
      <c r="BLS35" s="2795"/>
      <c r="BLT35" s="2795"/>
      <c r="BLU35" s="2795"/>
      <c r="BLV35" s="2795"/>
      <c r="BLW35" s="2795"/>
      <c r="BLX35" s="2795"/>
      <c r="BLY35" s="2795"/>
      <c r="BLZ35" s="2795"/>
      <c r="BMA35" s="2795"/>
      <c r="BMB35" s="2795"/>
      <c r="BMC35" s="2795"/>
      <c r="BMD35" s="2795"/>
      <c r="BME35" s="2795"/>
      <c r="BMF35" s="2795"/>
      <c r="BMG35" s="2795"/>
      <c r="BMH35" s="2795"/>
      <c r="BMI35" s="2795"/>
      <c r="BMJ35" s="2795"/>
      <c r="BMK35" s="2795"/>
      <c r="BML35" s="2795"/>
      <c r="BMM35" s="2795"/>
      <c r="BMN35" s="2795"/>
      <c r="BMO35" s="2795"/>
      <c r="BMP35" s="2795"/>
      <c r="BMQ35" s="2795"/>
      <c r="BMR35" s="2795"/>
      <c r="BMS35" s="2795"/>
      <c r="BMT35" s="2795"/>
      <c r="BMU35" s="2795"/>
      <c r="BMV35" s="2795"/>
      <c r="BMW35" s="2795"/>
      <c r="BMX35" s="2795"/>
      <c r="BMY35" s="2795"/>
      <c r="BMZ35" s="2795"/>
      <c r="BNA35" s="2795"/>
      <c r="BNB35" s="2795"/>
      <c r="BNC35" s="2795"/>
      <c r="BND35" s="2795"/>
      <c r="BNE35" s="2795"/>
      <c r="BNF35" s="2795"/>
      <c r="BNG35" s="2795"/>
      <c r="BNH35" s="2795"/>
      <c r="BNI35" s="2795"/>
      <c r="BNJ35" s="2795"/>
      <c r="BNK35" s="2795"/>
      <c r="BNL35" s="2795"/>
      <c r="BNM35" s="2795"/>
      <c r="BNN35" s="2795"/>
      <c r="BNO35" s="2795"/>
      <c r="BNP35" s="2795"/>
      <c r="BNQ35" s="2795"/>
      <c r="BNR35" s="2795"/>
      <c r="BNS35" s="2795"/>
      <c r="BNT35" s="2795"/>
      <c r="BNU35" s="2795"/>
      <c r="BNV35" s="2795"/>
      <c r="BNW35" s="2795"/>
      <c r="BNX35" s="2795"/>
      <c r="BNY35" s="2795"/>
      <c r="BNZ35" s="2795"/>
      <c r="BOA35" s="2795"/>
      <c r="BOB35" s="2795"/>
      <c r="BOC35" s="2795"/>
      <c r="BOD35" s="2795"/>
      <c r="BOE35" s="2795"/>
      <c r="BOF35" s="2795"/>
      <c r="BOG35" s="2795"/>
      <c r="BOH35" s="2795"/>
      <c r="BOI35" s="2795"/>
      <c r="BOJ35" s="2795"/>
      <c r="BOK35" s="2795"/>
      <c r="BOL35" s="2795"/>
      <c r="BOM35" s="2795"/>
      <c r="BON35" s="2795"/>
      <c r="BOO35" s="2795"/>
      <c r="BOP35" s="2795"/>
      <c r="BOQ35" s="2795"/>
      <c r="BOR35" s="2795"/>
      <c r="BOS35" s="2795"/>
      <c r="BOT35" s="2795"/>
      <c r="BOU35" s="2795"/>
      <c r="BOV35" s="2795"/>
      <c r="BOW35" s="2795"/>
      <c r="BOX35" s="2795"/>
      <c r="BOY35" s="2795"/>
      <c r="BOZ35" s="2795"/>
      <c r="BPA35" s="2795"/>
      <c r="BPB35" s="2795"/>
      <c r="BPC35" s="2795"/>
      <c r="BPD35" s="2795"/>
      <c r="BPE35" s="2795"/>
      <c r="BPF35" s="2795"/>
      <c r="BPG35" s="2795"/>
      <c r="BPH35" s="2795"/>
      <c r="BPI35" s="2795"/>
      <c r="BPJ35" s="2795"/>
      <c r="BPK35" s="2795"/>
      <c r="BPL35" s="2795"/>
      <c r="BPM35" s="2795"/>
      <c r="BPN35" s="2795"/>
      <c r="BPO35" s="2795"/>
      <c r="BPP35" s="2795"/>
      <c r="BPQ35" s="2795"/>
      <c r="BPR35" s="2795"/>
      <c r="BPS35" s="2795"/>
      <c r="BPT35" s="2795"/>
      <c r="BPU35" s="2795"/>
      <c r="BPV35" s="2795"/>
      <c r="BPW35" s="2795"/>
      <c r="BPX35" s="2795"/>
      <c r="BPY35" s="2795"/>
      <c r="BPZ35" s="2795"/>
      <c r="BQA35" s="2795"/>
      <c r="BQB35" s="2795"/>
      <c r="BQC35" s="2795"/>
      <c r="BQD35" s="2795"/>
      <c r="BQE35" s="2795"/>
      <c r="BQF35" s="2795"/>
      <c r="BQG35" s="2795"/>
      <c r="BQH35" s="2795"/>
      <c r="BQI35" s="2795"/>
      <c r="BQJ35" s="2795"/>
      <c r="BQK35" s="2795"/>
      <c r="BQL35" s="2795"/>
      <c r="BQM35" s="2795"/>
      <c r="BQN35" s="2795"/>
      <c r="BQO35" s="2795"/>
      <c r="BQP35" s="2795"/>
      <c r="BQQ35" s="2795"/>
      <c r="BQR35" s="2795"/>
      <c r="BQS35" s="2795"/>
      <c r="BQT35" s="2795"/>
      <c r="BQU35" s="2795"/>
      <c r="BQV35" s="2795"/>
      <c r="BQW35" s="2795"/>
      <c r="BQX35" s="2795"/>
      <c r="BQY35" s="2795"/>
      <c r="BQZ35" s="2795"/>
      <c r="BRA35" s="2795"/>
      <c r="BRB35" s="2795"/>
      <c r="BRC35" s="2795"/>
      <c r="BRD35" s="2795"/>
      <c r="BRE35" s="2795"/>
      <c r="BRF35" s="2795"/>
      <c r="BRG35" s="2795"/>
      <c r="BRH35" s="2795"/>
      <c r="BRI35" s="2795"/>
      <c r="BRJ35" s="2795"/>
      <c r="BRK35" s="2795"/>
      <c r="BRL35" s="2795"/>
      <c r="BRM35" s="2795"/>
      <c r="BRN35" s="2795"/>
      <c r="BRO35" s="2795"/>
      <c r="BRP35" s="2795"/>
      <c r="BRQ35" s="2795"/>
      <c r="BRR35" s="2795"/>
      <c r="BRS35" s="2795"/>
      <c r="BRT35" s="2795"/>
      <c r="BRU35" s="2795"/>
      <c r="BRV35" s="2795"/>
      <c r="BRW35" s="2795"/>
      <c r="BRX35" s="2795"/>
      <c r="BRY35" s="2795"/>
      <c r="BRZ35" s="2795"/>
      <c r="BSA35" s="2795"/>
      <c r="BSB35" s="2795"/>
      <c r="BSC35" s="2795"/>
      <c r="BSD35" s="2795"/>
      <c r="BSE35" s="2795"/>
      <c r="BSF35" s="2795"/>
      <c r="BSG35" s="2795"/>
      <c r="BSH35" s="2795"/>
      <c r="BSI35" s="2795"/>
      <c r="BSJ35" s="2795"/>
      <c r="BSK35" s="2795"/>
      <c r="BSL35" s="2795"/>
      <c r="BSM35" s="2795"/>
      <c r="BSN35" s="2795"/>
      <c r="BSO35" s="2795"/>
      <c r="BSP35" s="2795"/>
      <c r="BSQ35" s="2795"/>
      <c r="BSR35" s="2795"/>
      <c r="BSS35" s="2795"/>
      <c r="BST35" s="2795"/>
      <c r="BSU35" s="2795"/>
      <c r="BSV35" s="2795"/>
      <c r="BSW35" s="2795"/>
      <c r="BSX35" s="2795"/>
      <c r="BSY35" s="2795"/>
      <c r="BSZ35" s="2795"/>
      <c r="BTA35" s="2795"/>
      <c r="BTB35" s="2795"/>
      <c r="BTC35" s="2795"/>
      <c r="BTD35" s="2795"/>
      <c r="BTE35" s="2795"/>
      <c r="BTF35" s="2795"/>
      <c r="BTG35" s="2795"/>
      <c r="BTH35" s="2795"/>
      <c r="BTI35" s="2795"/>
      <c r="BTJ35" s="2795"/>
      <c r="BTK35" s="2795"/>
      <c r="BTL35" s="2795"/>
      <c r="BTM35" s="2795"/>
      <c r="BTN35" s="2795"/>
      <c r="BTO35" s="2795"/>
      <c r="BTP35" s="2795"/>
      <c r="BTQ35" s="2795"/>
      <c r="BTR35" s="2795"/>
      <c r="BTS35" s="2795"/>
      <c r="BTT35" s="2795"/>
      <c r="BTU35" s="2795"/>
      <c r="BTV35" s="2795"/>
      <c r="BTW35" s="2795"/>
      <c r="BTX35" s="2795"/>
      <c r="BTY35" s="2795"/>
      <c r="BTZ35" s="2795"/>
      <c r="BUA35" s="2795"/>
      <c r="BUB35" s="2795"/>
      <c r="BUC35" s="2795"/>
      <c r="BUD35" s="2795"/>
      <c r="BUE35" s="2795"/>
      <c r="BUF35" s="2795"/>
      <c r="BUG35" s="2795"/>
      <c r="BUH35" s="2795"/>
      <c r="BUI35" s="2795"/>
      <c r="BUJ35" s="2795"/>
      <c r="BUK35" s="2795"/>
      <c r="BUL35" s="2795"/>
      <c r="BUM35" s="2795"/>
      <c r="BUN35" s="2795"/>
      <c r="BUO35" s="2795"/>
      <c r="BUP35" s="2795"/>
      <c r="BUQ35" s="2795"/>
      <c r="BUR35" s="2795"/>
      <c r="BUS35" s="2795"/>
      <c r="BUT35" s="2795"/>
      <c r="BUU35" s="2795"/>
      <c r="BUV35" s="2795"/>
      <c r="BUW35" s="2795"/>
      <c r="BUX35" s="2795"/>
      <c r="BUY35" s="2795"/>
      <c r="BUZ35" s="2795"/>
      <c r="BVA35" s="2795"/>
      <c r="BVB35" s="2795"/>
      <c r="BVC35" s="2795"/>
      <c r="BVD35" s="2795"/>
      <c r="BVE35" s="2795"/>
      <c r="BVF35" s="2795"/>
      <c r="BVG35" s="2795"/>
      <c r="BVH35" s="2795"/>
      <c r="BVI35" s="2795"/>
      <c r="BVJ35" s="2795"/>
      <c r="BVK35" s="2795"/>
      <c r="BVL35" s="2795"/>
      <c r="BVM35" s="2795"/>
      <c r="BVN35" s="2795"/>
      <c r="BVO35" s="2795"/>
      <c r="BVP35" s="2795"/>
      <c r="BVQ35" s="2795"/>
      <c r="BVR35" s="2795"/>
      <c r="BVS35" s="2795"/>
      <c r="BVT35" s="2795"/>
      <c r="BVU35" s="2795"/>
      <c r="BVV35" s="2795"/>
      <c r="BVW35" s="2795"/>
      <c r="BVX35" s="2795"/>
      <c r="BVY35" s="2795"/>
      <c r="BVZ35" s="2795"/>
      <c r="BWA35" s="2795"/>
      <c r="BWB35" s="2795"/>
      <c r="BWC35" s="2795"/>
      <c r="BWD35" s="2795"/>
      <c r="BWE35" s="2795"/>
      <c r="BWF35" s="2795"/>
      <c r="BWG35" s="2795"/>
      <c r="BWH35" s="2795"/>
      <c r="BWI35" s="2795"/>
      <c r="BWJ35" s="2795"/>
      <c r="BWK35" s="2795"/>
      <c r="BWL35" s="2795"/>
      <c r="BWM35" s="2795"/>
      <c r="BWN35" s="2795"/>
      <c r="BWO35" s="2795"/>
      <c r="BWP35" s="2795"/>
      <c r="BWQ35" s="2795"/>
      <c r="BWR35" s="2795"/>
      <c r="BWS35" s="2795"/>
      <c r="BWT35" s="2795"/>
      <c r="BWU35" s="2795"/>
      <c r="BWV35" s="2795"/>
      <c r="BWW35" s="2795"/>
      <c r="BWX35" s="2795"/>
      <c r="BWY35" s="2795"/>
      <c r="BWZ35" s="2795"/>
      <c r="BXA35" s="2795"/>
      <c r="BXB35" s="2795"/>
      <c r="BXC35" s="2795"/>
      <c r="BXD35" s="2795"/>
      <c r="BXE35" s="2795"/>
      <c r="BXF35" s="2795"/>
      <c r="BXG35" s="2795"/>
      <c r="BXH35" s="2795"/>
      <c r="BXI35" s="2795"/>
      <c r="BXJ35" s="2795"/>
      <c r="BXK35" s="2795"/>
      <c r="BXL35" s="2795"/>
      <c r="BXM35" s="2795"/>
      <c r="BXN35" s="2795"/>
      <c r="BXO35" s="2795"/>
      <c r="BXP35" s="2795"/>
      <c r="BXQ35" s="2795"/>
      <c r="BXR35" s="2795"/>
      <c r="BXS35" s="2795"/>
      <c r="BXT35" s="2795"/>
      <c r="BXU35" s="2795"/>
      <c r="BXV35" s="2795"/>
      <c r="BXW35" s="2795"/>
      <c r="BXX35" s="2795"/>
      <c r="BXY35" s="2795"/>
      <c r="BXZ35" s="2795"/>
      <c r="BYA35" s="2795"/>
      <c r="BYB35" s="2795"/>
      <c r="BYC35" s="2795"/>
      <c r="BYD35" s="2795"/>
      <c r="BYE35" s="2795"/>
      <c r="BYF35" s="2795"/>
      <c r="BYG35" s="2795"/>
      <c r="BYH35" s="2795"/>
      <c r="BYI35" s="2795"/>
      <c r="BYJ35" s="2795"/>
      <c r="BYK35" s="2795"/>
      <c r="BYL35" s="2795"/>
      <c r="BYM35" s="2795"/>
      <c r="BYN35" s="2795"/>
      <c r="BYO35" s="2795"/>
      <c r="BYP35" s="2795"/>
      <c r="BYQ35" s="2795"/>
      <c r="BYR35" s="2795"/>
      <c r="BYS35" s="2795"/>
      <c r="BYT35" s="2795"/>
      <c r="BYU35" s="2795"/>
      <c r="BYV35" s="2795"/>
      <c r="BYW35" s="2795"/>
      <c r="BYX35" s="2795"/>
      <c r="BYY35" s="2795"/>
      <c r="BYZ35" s="2795"/>
      <c r="BZA35" s="2795"/>
      <c r="BZB35" s="2795"/>
      <c r="BZC35" s="2795"/>
      <c r="BZD35" s="2795"/>
      <c r="BZE35" s="2795"/>
      <c r="BZF35" s="2795"/>
      <c r="BZG35" s="2795"/>
      <c r="BZH35" s="2795"/>
      <c r="BZI35" s="2795"/>
      <c r="BZJ35" s="2795"/>
      <c r="BZK35" s="2795"/>
      <c r="BZL35" s="2795"/>
      <c r="BZM35" s="2795"/>
      <c r="BZN35" s="2795"/>
      <c r="BZO35" s="2795"/>
      <c r="BZP35" s="2795"/>
      <c r="BZQ35" s="2795"/>
      <c r="BZR35" s="2795"/>
      <c r="BZS35" s="2795"/>
      <c r="BZT35" s="2795"/>
      <c r="BZU35" s="2795"/>
      <c r="BZV35" s="2795"/>
      <c r="BZW35" s="2795"/>
      <c r="BZX35" s="2795"/>
      <c r="BZY35" s="2795"/>
      <c r="BZZ35" s="2795"/>
      <c r="CAA35" s="2795"/>
      <c r="CAB35" s="2795"/>
      <c r="CAC35" s="2795"/>
      <c r="CAD35" s="2795"/>
      <c r="CAE35" s="2795"/>
      <c r="CAF35" s="2795"/>
      <c r="CAG35" s="2795"/>
      <c r="CAH35" s="2795"/>
      <c r="CAI35" s="2795"/>
      <c r="CAJ35" s="2795"/>
      <c r="CAK35" s="2795"/>
      <c r="CAL35" s="2795"/>
      <c r="CAM35" s="2795"/>
      <c r="CAN35" s="2795"/>
      <c r="CAO35" s="2795"/>
      <c r="CAP35" s="2795"/>
      <c r="CAQ35" s="2795"/>
      <c r="CAR35" s="2795"/>
      <c r="CAS35" s="2795"/>
      <c r="CAT35" s="2795"/>
      <c r="CAU35" s="2795"/>
      <c r="CAV35" s="2795"/>
      <c r="CAW35" s="2795"/>
      <c r="CAX35" s="2795"/>
      <c r="CAY35" s="2795"/>
      <c r="CAZ35" s="2795"/>
      <c r="CBA35" s="2795"/>
      <c r="CBB35" s="2795"/>
      <c r="CBC35" s="2795"/>
      <c r="CBD35" s="2795"/>
      <c r="CBE35" s="2795"/>
      <c r="CBF35" s="2795"/>
      <c r="CBG35" s="2795"/>
      <c r="CBH35" s="2795"/>
      <c r="CBI35" s="2795"/>
      <c r="CBJ35" s="2795"/>
      <c r="CBK35" s="2795"/>
      <c r="CBL35" s="2795"/>
      <c r="CBM35" s="2795"/>
      <c r="CBN35" s="2795"/>
      <c r="CBO35" s="2795"/>
      <c r="CBP35" s="2795"/>
      <c r="CBQ35" s="2795"/>
      <c r="CBR35" s="2795"/>
      <c r="CBS35" s="2795"/>
      <c r="CBT35" s="2795"/>
      <c r="CBU35" s="2795"/>
      <c r="CBV35" s="2795"/>
      <c r="CBW35" s="2795"/>
      <c r="CBX35" s="2795"/>
      <c r="CBY35" s="2795"/>
      <c r="CBZ35" s="2795"/>
      <c r="CCA35" s="2795"/>
      <c r="CCB35" s="2795"/>
      <c r="CCC35" s="2795"/>
      <c r="CCD35" s="2795"/>
      <c r="CCE35" s="2795"/>
      <c r="CCF35" s="2795"/>
      <c r="CCG35" s="2795"/>
      <c r="CCH35" s="2795"/>
      <c r="CCI35" s="2795"/>
      <c r="CCJ35" s="2795"/>
      <c r="CCK35" s="2795"/>
      <c r="CCL35" s="2795"/>
      <c r="CCM35" s="2795"/>
      <c r="CCN35" s="2795"/>
      <c r="CCO35" s="2795"/>
      <c r="CCP35" s="2795"/>
      <c r="CCQ35" s="2795"/>
      <c r="CCR35" s="2795"/>
      <c r="CCS35" s="2795"/>
      <c r="CCT35" s="2795"/>
      <c r="CCU35" s="2795"/>
      <c r="CCV35" s="2795"/>
      <c r="CCW35" s="2795"/>
      <c r="CCX35" s="2795"/>
      <c r="CCY35" s="2795"/>
      <c r="CCZ35" s="2795"/>
      <c r="CDA35" s="2795"/>
      <c r="CDB35" s="2795"/>
      <c r="CDC35" s="2795"/>
      <c r="CDD35" s="2795"/>
      <c r="CDE35" s="2795"/>
      <c r="CDF35" s="2795"/>
      <c r="CDG35" s="2795"/>
      <c r="CDH35" s="2795"/>
      <c r="CDI35" s="2795"/>
      <c r="CDJ35" s="2795"/>
      <c r="CDK35" s="2795"/>
      <c r="CDL35" s="2795"/>
      <c r="CDM35" s="2795"/>
      <c r="CDN35" s="2795"/>
      <c r="CDO35" s="2795"/>
      <c r="CDP35" s="2795"/>
      <c r="CDQ35" s="2795"/>
      <c r="CDR35" s="2795"/>
      <c r="CDS35" s="2795"/>
      <c r="CDT35" s="2795"/>
      <c r="CDU35" s="2795"/>
      <c r="CDV35" s="2795"/>
      <c r="CDW35" s="2795"/>
      <c r="CDX35" s="2795"/>
      <c r="CDY35" s="2795"/>
      <c r="CDZ35" s="2795"/>
      <c r="CEA35" s="2795"/>
      <c r="CEB35" s="2795"/>
      <c r="CEC35" s="2795"/>
      <c r="CED35" s="2795"/>
      <c r="CEE35" s="2795"/>
      <c r="CEF35" s="2795"/>
      <c r="CEG35" s="2795"/>
      <c r="CEH35" s="2795"/>
      <c r="CEI35" s="2795"/>
      <c r="CEJ35" s="2795"/>
      <c r="CEK35" s="2795"/>
      <c r="CEL35" s="2795"/>
      <c r="CEM35" s="2795"/>
      <c r="CEN35" s="2795"/>
      <c r="CEO35" s="2795"/>
      <c r="CEP35" s="2795"/>
      <c r="CEQ35" s="2795"/>
      <c r="CER35" s="2795"/>
      <c r="CES35" s="2795"/>
      <c r="CET35" s="2795"/>
      <c r="CEU35" s="2795"/>
      <c r="CEV35" s="2795"/>
      <c r="CEW35" s="2795"/>
      <c r="CEX35" s="2795"/>
      <c r="CEY35" s="2795"/>
      <c r="CEZ35" s="2795"/>
      <c r="CFA35" s="2795"/>
      <c r="CFB35" s="2795"/>
      <c r="CFC35" s="2795"/>
      <c r="CFD35" s="2795"/>
      <c r="CFE35" s="2795"/>
      <c r="CFF35" s="2795"/>
      <c r="CFG35" s="2795"/>
      <c r="CFH35" s="2795"/>
      <c r="CFI35" s="2795"/>
      <c r="CFJ35" s="2795"/>
      <c r="CFK35" s="2795"/>
      <c r="CFL35" s="2795"/>
      <c r="CFM35" s="2795"/>
      <c r="CFN35" s="2795"/>
      <c r="CFO35" s="2795"/>
      <c r="CFP35" s="2795"/>
      <c r="CFQ35" s="2795"/>
      <c r="CFR35" s="2795"/>
      <c r="CFS35" s="2795"/>
      <c r="CFT35" s="2795"/>
      <c r="CFU35" s="2795"/>
      <c r="CFV35" s="2795"/>
      <c r="CFW35" s="2795"/>
      <c r="CFX35" s="2795"/>
      <c r="CFY35" s="2795"/>
      <c r="CFZ35" s="2795"/>
      <c r="CGA35" s="2795"/>
      <c r="CGB35" s="2795"/>
      <c r="CGC35" s="2795"/>
      <c r="CGD35" s="2795"/>
      <c r="CGE35" s="2795"/>
      <c r="CGF35" s="2795"/>
      <c r="CGG35" s="2795"/>
      <c r="CGH35" s="2795"/>
      <c r="CGI35" s="2795"/>
      <c r="CGJ35" s="2795"/>
      <c r="CGK35" s="2795"/>
      <c r="CGL35" s="2795"/>
      <c r="CGM35" s="2795"/>
      <c r="CGN35" s="2795"/>
      <c r="CGO35" s="2795"/>
      <c r="CGP35" s="2795"/>
      <c r="CGQ35" s="2795"/>
      <c r="CGR35" s="2795"/>
      <c r="CGS35" s="2795"/>
      <c r="CGT35" s="2795"/>
      <c r="CGU35" s="2795"/>
      <c r="CGV35" s="2795"/>
      <c r="CGW35" s="2795"/>
      <c r="CGX35" s="2795"/>
      <c r="CGY35" s="2795"/>
      <c r="CGZ35" s="2795"/>
      <c r="CHA35" s="2795"/>
      <c r="CHB35" s="2795"/>
      <c r="CHC35" s="2795"/>
      <c r="CHD35" s="2795"/>
      <c r="CHE35" s="2795"/>
      <c r="CHF35" s="2795"/>
      <c r="CHG35" s="2795"/>
      <c r="CHH35" s="2795"/>
      <c r="CHI35" s="2795"/>
      <c r="CHJ35" s="2795"/>
      <c r="CHK35" s="2795"/>
      <c r="CHL35" s="2795"/>
      <c r="CHM35" s="2795"/>
      <c r="CHN35" s="2795"/>
      <c r="CHO35" s="2795"/>
      <c r="CHP35" s="2795"/>
      <c r="CHQ35" s="2795"/>
      <c r="CHR35" s="2795"/>
      <c r="CHS35" s="2795"/>
      <c r="CHT35" s="2795"/>
      <c r="CHU35" s="2795"/>
      <c r="CHV35" s="2795"/>
      <c r="CHW35" s="2795"/>
      <c r="CHX35" s="2795"/>
      <c r="CHY35" s="2795"/>
      <c r="CHZ35" s="2795"/>
      <c r="CIA35" s="2795"/>
      <c r="CIB35" s="2795"/>
      <c r="CIC35" s="2795"/>
      <c r="CID35" s="2795"/>
      <c r="CIE35" s="2795"/>
      <c r="CIF35" s="2795"/>
      <c r="CIG35" s="2795"/>
      <c r="CIH35" s="2795"/>
      <c r="CII35" s="2795"/>
      <c r="CIJ35" s="2795"/>
      <c r="CIK35" s="2795"/>
      <c r="CIL35" s="2795"/>
      <c r="CIM35" s="2795"/>
      <c r="CIN35" s="2795"/>
      <c r="CIO35" s="2795"/>
      <c r="CIP35" s="2795"/>
      <c r="CIQ35" s="2795"/>
      <c r="CIR35" s="2795"/>
      <c r="CIS35" s="2795"/>
      <c r="CIT35" s="2795"/>
      <c r="CIU35" s="2795"/>
      <c r="CIV35" s="2795"/>
      <c r="CIW35" s="2795"/>
      <c r="CIX35" s="2795"/>
      <c r="CIY35" s="2795"/>
      <c r="CIZ35" s="2795"/>
      <c r="CJA35" s="2795"/>
      <c r="CJB35" s="2795"/>
      <c r="CJC35" s="2795"/>
      <c r="CJD35" s="2795"/>
      <c r="CJE35" s="2795"/>
      <c r="CJF35" s="2795"/>
      <c r="CJG35" s="2795"/>
      <c r="CJH35" s="2795"/>
      <c r="CJI35" s="2795"/>
      <c r="CJJ35" s="2795"/>
      <c r="CJK35" s="2795"/>
      <c r="CJL35" s="2795"/>
      <c r="CJM35" s="2795"/>
      <c r="CJN35" s="2795"/>
      <c r="CJO35" s="2795"/>
      <c r="CJP35" s="2795"/>
      <c r="CJQ35" s="2795"/>
      <c r="CJR35" s="2795"/>
      <c r="CJS35" s="2795"/>
      <c r="CJT35" s="2795"/>
      <c r="CJU35" s="2795"/>
      <c r="CJV35" s="2795"/>
      <c r="CJW35" s="2795"/>
      <c r="CJX35" s="2795"/>
      <c r="CJY35" s="2795"/>
      <c r="CJZ35" s="2795"/>
      <c r="CKA35" s="2795"/>
      <c r="CKB35" s="2795"/>
      <c r="CKC35" s="2795"/>
      <c r="CKD35" s="2795"/>
      <c r="CKE35" s="2795"/>
      <c r="CKF35" s="2795"/>
      <c r="CKG35" s="2795"/>
      <c r="CKH35" s="2795"/>
      <c r="CKI35" s="2795"/>
      <c r="CKJ35" s="2795"/>
      <c r="CKK35" s="2795"/>
      <c r="CKL35" s="2795"/>
      <c r="CKM35" s="2795"/>
      <c r="CKN35" s="2795"/>
      <c r="CKO35" s="2795"/>
      <c r="CKP35" s="2795"/>
      <c r="CKQ35" s="2795"/>
      <c r="CKR35" s="2795"/>
      <c r="CKS35" s="2795"/>
      <c r="CKT35" s="2795"/>
      <c r="CKU35" s="2795"/>
      <c r="CKV35" s="2795"/>
      <c r="CKW35" s="2795"/>
      <c r="CKX35" s="2795"/>
      <c r="CKY35" s="2795"/>
      <c r="CKZ35" s="2795"/>
      <c r="CLA35" s="2795"/>
      <c r="CLB35" s="2795"/>
      <c r="CLC35" s="2795"/>
      <c r="CLD35" s="2795"/>
      <c r="CLE35" s="2795"/>
      <c r="CLF35" s="2795"/>
      <c r="CLG35" s="2795"/>
      <c r="CLH35" s="2795"/>
      <c r="CLI35" s="2795"/>
      <c r="CLJ35" s="2795"/>
      <c r="CLK35" s="2795"/>
      <c r="CLL35" s="2795"/>
      <c r="CLM35" s="2795"/>
      <c r="CLN35" s="2795"/>
      <c r="CLO35" s="2795"/>
      <c r="CLP35" s="2795"/>
      <c r="CLQ35" s="2795"/>
      <c r="CLR35" s="2795"/>
      <c r="CLS35" s="2795"/>
      <c r="CLT35" s="2795"/>
      <c r="CLU35" s="2795"/>
      <c r="CLV35" s="2795"/>
      <c r="CLW35" s="2795"/>
      <c r="CLX35" s="2795"/>
      <c r="CLY35" s="2795"/>
      <c r="CLZ35" s="2795"/>
      <c r="CMA35" s="2795"/>
      <c r="CMB35" s="2795"/>
      <c r="CMC35" s="2795"/>
      <c r="CMD35" s="2795"/>
      <c r="CME35" s="2795"/>
      <c r="CMF35" s="2795"/>
      <c r="CMG35" s="2795"/>
      <c r="CMH35" s="2795"/>
      <c r="CMI35" s="2795"/>
      <c r="CMJ35" s="2795"/>
      <c r="CMK35" s="2795"/>
      <c r="CML35" s="2795"/>
      <c r="CMM35" s="2795"/>
      <c r="CMN35" s="2795"/>
      <c r="CMO35" s="2795"/>
      <c r="CMP35" s="2795"/>
      <c r="CMQ35" s="2795"/>
      <c r="CMR35" s="2795"/>
      <c r="CMS35" s="2795"/>
      <c r="CMT35" s="2795"/>
      <c r="CMU35" s="2795"/>
      <c r="CMV35" s="2795"/>
      <c r="CMW35" s="2795"/>
      <c r="CMX35" s="2795"/>
      <c r="CMY35" s="2795"/>
      <c r="CMZ35" s="2795"/>
      <c r="CNA35" s="2795"/>
      <c r="CNB35" s="2795"/>
      <c r="CNC35" s="2795"/>
      <c r="CND35" s="2795"/>
      <c r="CNE35" s="2795"/>
      <c r="CNF35" s="2795"/>
      <c r="CNG35" s="2795"/>
      <c r="CNH35" s="2795"/>
      <c r="CNI35" s="2795"/>
      <c r="CNJ35" s="2795"/>
      <c r="CNK35" s="2795"/>
      <c r="CNL35" s="2795"/>
      <c r="CNM35" s="2795"/>
      <c r="CNN35" s="2795"/>
      <c r="CNO35" s="2795"/>
      <c r="CNP35" s="2795"/>
      <c r="CNQ35" s="2795"/>
      <c r="CNR35" s="2795"/>
      <c r="CNS35" s="2795"/>
      <c r="CNT35" s="2795"/>
      <c r="CNU35" s="2795"/>
      <c r="CNV35" s="2795"/>
      <c r="CNW35" s="2795"/>
      <c r="CNX35" s="2795"/>
      <c r="CNY35" s="2795"/>
      <c r="CNZ35" s="2795"/>
      <c r="COA35" s="2795"/>
      <c r="COB35" s="2795"/>
      <c r="COC35" s="2795"/>
      <c r="COD35" s="2795"/>
      <c r="COE35" s="2795"/>
      <c r="COF35" s="2795"/>
      <c r="COG35" s="2795"/>
      <c r="COH35" s="2795"/>
      <c r="COI35" s="2795"/>
      <c r="COJ35" s="2795"/>
      <c r="COK35" s="2795"/>
      <c r="COL35" s="2795"/>
      <c r="COM35" s="2795"/>
      <c r="CON35" s="2795"/>
      <c r="COO35" s="2795"/>
      <c r="COP35" s="2795"/>
      <c r="COQ35" s="2795"/>
      <c r="COR35" s="2795"/>
      <c r="COS35" s="2795"/>
      <c r="COT35" s="2795"/>
      <c r="COU35" s="2795"/>
      <c r="COV35" s="2795"/>
      <c r="COW35" s="2795"/>
      <c r="COX35" s="2795"/>
      <c r="COY35" s="2795"/>
      <c r="COZ35" s="2795"/>
      <c r="CPA35" s="2795"/>
      <c r="CPB35" s="2795"/>
      <c r="CPC35" s="2795"/>
      <c r="CPD35" s="2795"/>
      <c r="CPE35" s="2795"/>
      <c r="CPF35" s="2795"/>
      <c r="CPG35" s="2795"/>
      <c r="CPH35" s="2795"/>
      <c r="CPI35" s="2795"/>
      <c r="CPJ35" s="2795"/>
      <c r="CPK35" s="2795"/>
      <c r="CPL35" s="2795"/>
      <c r="CPM35" s="2795"/>
      <c r="CPN35" s="2795"/>
      <c r="CPO35" s="2795"/>
      <c r="CPP35" s="2795"/>
      <c r="CPQ35" s="2795"/>
      <c r="CPR35" s="2795"/>
      <c r="CPS35" s="2795"/>
      <c r="CPT35" s="2795"/>
      <c r="CPU35" s="2795"/>
      <c r="CPV35" s="2795"/>
      <c r="CPW35" s="2795"/>
      <c r="CPX35" s="2795"/>
      <c r="CPY35" s="2795"/>
      <c r="CPZ35" s="2795"/>
      <c r="CQA35" s="2795"/>
      <c r="CQB35" s="2795"/>
      <c r="CQC35" s="2795"/>
      <c r="CQD35" s="2795"/>
      <c r="CQE35" s="2795"/>
      <c r="CQF35" s="2795"/>
      <c r="CQG35" s="2795"/>
      <c r="CQH35" s="2795"/>
      <c r="CQI35" s="2795"/>
      <c r="CQJ35" s="2795"/>
      <c r="CQK35" s="2795"/>
      <c r="CQL35" s="2795"/>
      <c r="CQM35" s="2795"/>
      <c r="CQN35" s="2795"/>
      <c r="CQO35" s="2795"/>
      <c r="CQP35" s="2795"/>
      <c r="CQQ35" s="2795"/>
      <c r="CQR35" s="2795"/>
      <c r="CQS35" s="2795"/>
      <c r="CQT35" s="2795"/>
      <c r="CQU35" s="2795"/>
      <c r="CQV35" s="2795"/>
      <c r="CQW35" s="2795"/>
      <c r="CQX35" s="2795"/>
      <c r="CQY35" s="2795"/>
      <c r="CQZ35" s="2795"/>
      <c r="CRA35" s="2795"/>
      <c r="CRB35" s="2795"/>
      <c r="CRC35" s="2795"/>
      <c r="CRD35" s="2795"/>
      <c r="CRE35" s="2795"/>
      <c r="CRF35" s="2795"/>
      <c r="CRG35" s="2795"/>
      <c r="CRH35" s="2795"/>
      <c r="CRI35" s="2795"/>
      <c r="CRJ35" s="2795"/>
      <c r="CRK35" s="2795"/>
      <c r="CRL35" s="2795"/>
      <c r="CRM35" s="2795"/>
      <c r="CRN35" s="2795"/>
      <c r="CRO35" s="2795"/>
      <c r="CRP35" s="2795"/>
      <c r="CRQ35" s="2795"/>
      <c r="CRR35" s="2795"/>
      <c r="CRS35" s="2795"/>
      <c r="CRT35" s="2795"/>
      <c r="CRU35" s="2795"/>
      <c r="CRV35" s="2795"/>
      <c r="CRW35" s="2795"/>
      <c r="CRX35" s="2795"/>
      <c r="CRY35" s="2795"/>
      <c r="CRZ35" s="2795"/>
      <c r="CSA35" s="2795"/>
      <c r="CSB35" s="2795"/>
      <c r="CSC35" s="2795"/>
      <c r="CSD35" s="2795"/>
      <c r="CSE35" s="2795"/>
      <c r="CSF35" s="2795"/>
      <c r="CSG35" s="2795"/>
      <c r="CSH35" s="2795"/>
      <c r="CSI35" s="2795"/>
      <c r="CSJ35" s="2795"/>
      <c r="CSK35" s="2795"/>
      <c r="CSL35" s="2795"/>
      <c r="CSM35" s="2795"/>
      <c r="CSN35" s="2795"/>
      <c r="CSO35" s="2795"/>
      <c r="CSP35" s="2795"/>
      <c r="CSQ35" s="2795"/>
      <c r="CSR35" s="2795"/>
      <c r="CSS35" s="2795"/>
      <c r="CST35" s="2795"/>
      <c r="CSU35" s="2795"/>
      <c r="CSV35" s="2795"/>
      <c r="CSW35" s="2795"/>
      <c r="CSX35" s="2795"/>
      <c r="CSY35" s="2795"/>
      <c r="CSZ35" s="2795"/>
      <c r="CTA35" s="2795"/>
      <c r="CTB35" s="2795"/>
      <c r="CTC35" s="2795"/>
      <c r="CTD35" s="2795"/>
      <c r="CTE35" s="2795"/>
      <c r="CTF35" s="2795"/>
      <c r="CTG35" s="2795"/>
      <c r="CTH35" s="2795"/>
      <c r="CTI35" s="2795"/>
      <c r="CTJ35" s="2795"/>
      <c r="CTK35" s="2795"/>
      <c r="CTL35" s="2795"/>
      <c r="CTM35" s="2795"/>
      <c r="CTN35" s="2795"/>
      <c r="CTO35" s="2795"/>
      <c r="CTP35" s="2795"/>
      <c r="CTQ35" s="2795"/>
      <c r="CTR35" s="2795"/>
      <c r="CTS35" s="2795"/>
      <c r="CTT35" s="2795"/>
      <c r="CTU35" s="2795"/>
      <c r="CTV35" s="2795"/>
      <c r="CTW35" s="2795"/>
      <c r="CTX35" s="2795"/>
      <c r="CTY35" s="2795"/>
      <c r="CTZ35" s="2795"/>
      <c r="CUA35" s="2795"/>
      <c r="CUB35" s="2795"/>
      <c r="CUC35" s="2795"/>
      <c r="CUD35" s="2795"/>
      <c r="CUE35" s="2795"/>
      <c r="CUF35" s="2795"/>
      <c r="CUG35" s="2795"/>
      <c r="CUH35" s="2795"/>
      <c r="CUI35" s="2795"/>
      <c r="CUJ35" s="2795"/>
      <c r="CUK35" s="2795"/>
      <c r="CUL35" s="2795"/>
      <c r="CUM35" s="2795"/>
      <c r="CUN35" s="2795"/>
      <c r="CUO35" s="2795"/>
      <c r="CUP35" s="2795"/>
      <c r="CUQ35" s="2795"/>
      <c r="CUR35" s="2795"/>
      <c r="CUS35" s="2795"/>
      <c r="CUT35" s="2795"/>
      <c r="CUU35" s="2795"/>
      <c r="CUV35" s="2795"/>
      <c r="CUW35" s="2795"/>
      <c r="CUX35" s="2795"/>
      <c r="CUY35" s="2795"/>
      <c r="CUZ35" s="2795"/>
      <c r="CVA35" s="2795"/>
      <c r="CVB35" s="2795"/>
      <c r="CVC35" s="2795"/>
      <c r="CVD35" s="2795"/>
      <c r="CVE35" s="2795"/>
      <c r="CVF35" s="2795"/>
      <c r="CVG35" s="2795"/>
      <c r="CVH35" s="2795"/>
      <c r="CVI35" s="2795"/>
      <c r="CVJ35" s="2795"/>
      <c r="CVK35" s="2795"/>
      <c r="CVL35" s="2795"/>
      <c r="CVM35" s="2795"/>
      <c r="CVN35" s="2795"/>
      <c r="CVO35" s="2795"/>
      <c r="CVP35" s="2795"/>
      <c r="CVQ35" s="2795"/>
      <c r="CVR35" s="2795"/>
      <c r="CVS35" s="2795"/>
      <c r="CVT35" s="2795"/>
      <c r="CVU35" s="2795"/>
      <c r="CVV35" s="2795"/>
      <c r="CVW35" s="2795"/>
      <c r="CVX35" s="2795"/>
      <c r="CVY35" s="2795"/>
      <c r="CVZ35" s="2795"/>
      <c r="CWA35" s="2795"/>
      <c r="CWB35" s="2795"/>
      <c r="CWC35" s="2795"/>
      <c r="CWD35" s="2795"/>
      <c r="CWE35" s="2795"/>
      <c r="CWF35" s="2795"/>
      <c r="CWG35" s="2795"/>
      <c r="CWH35" s="2795"/>
      <c r="CWI35" s="2795"/>
      <c r="CWJ35" s="2795"/>
      <c r="CWK35" s="2795"/>
      <c r="CWL35" s="2795"/>
      <c r="CWM35" s="2795"/>
      <c r="CWN35" s="2795"/>
      <c r="CWO35" s="2795"/>
      <c r="CWP35" s="2795"/>
      <c r="CWQ35" s="2795"/>
      <c r="CWR35" s="2795"/>
      <c r="CWS35" s="2795"/>
      <c r="CWT35" s="2795"/>
      <c r="CWU35" s="2795"/>
      <c r="CWV35" s="2795"/>
      <c r="CWW35" s="2795"/>
      <c r="CWX35" s="2795"/>
      <c r="CWY35" s="2795"/>
      <c r="CWZ35" s="2795"/>
      <c r="CXA35" s="2795"/>
      <c r="CXB35" s="2795"/>
      <c r="CXC35" s="2795"/>
      <c r="CXD35" s="2795"/>
      <c r="CXE35" s="2795"/>
      <c r="CXF35" s="2795"/>
      <c r="CXG35" s="2795"/>
      <c r="CXH35" s="2795"/>
      <c r="CXI35" s="2795"/>
      <c r="CXJ35" s="2795"/>
      <c r="CXK35" s="2795"/>
      <c r="CXL35" s="2795"/>
      <c r="CXM35" s="2795"/>
      <c r="CXN35" s="2795"/>
      <c r="CXO35" s="2795"/>
      <c r="CXP35" s="2795"/>
      <c r="CXQ35" s="2795"/>
      <c r="CXR35" s="2795"/>
      <c r="CXS35" s="2795"/>
      <c r="CXT35" s="2795"/>
      <c r="CXU35" s="2795"/>
      <c r="CXV35" s="2795"/>
      <c r="CXW35" s="2795"/>
      <c r="CXX35" s="2795"/>
      <c r="CXY35" s="2795"/>
      <c r="CXZ35" s="2795"/>
      <c r="CYA35" s="2795"/>
      <c r="CYB35" s="2795"/>
      <c r="CYC35" s="2795"/>
      <c r="CYD35" s="2795"/>
      <c r="CYE35" s="2795"/>
      <c r="CYF35" s="2795"/>
      <c r="CYG35" s="2795"/>
      <c r="CYH35" s="2795"/>
      <c r="CYI35" s="2795"/>
      <c r="CYJ35" s="2795"/>
      <c r="CYK35" s="2795"/>
      <c r="CYL35" s="2795"/>
      <c r="CYM35" s="2795"/>
      <c r="CYN35" s="2795"/>
      <c r="CYO35" s="2795"/>
      <c r="CYP35" s="2795"/>
      <c r="CYQ35" s="2795"/>
      <c r="CYR35" s="2795"/>
      <c r="CYS35" s="2795"/>
      <c r="CYT35" s="2795"/>
      <c r="CYU35" s="2795"/>
      <c r="CYV35" s="2795"/>
      <c r="CYW35" s="2795"/>
      <c r="CYX35" s="2795"/>
      <c r="CYY35" s="2795"/>
      <c r="CYZ35" s="2795"/>
      <c r="CZA35" s="2795"/>
      <c r="CZB35" s="2795"/>
      <c r="CZC35" s="2795"/>
      <c r="CZD35" s="2795"/>
      <c r="CZE35" s="2795"/>
      <c r="CZF35" s="2795"/>
      <c r="CZG35" s="2795"/>
      <c r="CZH35" s="2795"/>
      <c r="CZI35" s="2795"/>
      <c r="CZJ35" s="2795"/>
      <c r="CZK35" s="2795"/>
      <c r="CZL35" s="2795"/>
      <c r="CZM35" s="2795"/>
      <c r="CZN35" s="2795"/>
      <c r="CZO35" s="2795"/>
      <c r="CZP35" s="2795"/>
      <c r="CZQ35" s="2795"/>
      <c r="CZR35" s="2795"/>
      <c r="CZS35" s="2795"/>
      <c r="CZT35" s="2795"/>
      <c r="CZU35" s="2795"/>
      <c r="CZV35" s="2795"/>
      <c r="CZW35" s="2795"/>
      <c r="CZX35" s="2795"/>
      <c r="CZY35" s="2795"/>
      <c r="CZZ35" s="2795"/>
      <c r="DAA35" s="2795"/>
      <c r="DAB35" s="2795"/>
      <c r="DAC35" s="2795"/>
      <c r="DAD35" s="2795"/>
      <c r="DAE35" s="2795"/>
      <c r="DAF35" s="2795"/>
      <c r="DAG35" s="2795"/>
      <c r="DAH35" s="2795"/>
      <c r="DAI35" s="2795"/>
      <c r="DAJ35" s="2795"/>
      <c r="DAK35" s="2795"/>
      <c r="DAL35" s="2795"/>
      <c r="DAM35" s="2795"/>
      <c r="DAN35" s="2795"/>
      <c r="DAO35" s="2795"/>
      <c r="DAP35" s="2795"/>
      <c r="DAQ35" s="2795"/>
      <c r="DAR35" s="2795"/>
      <c r="DAS35" s="2795"/>
      <c r="DAT35" s="2795"/>
      <c r="DAU35" s="2795"/>
      <c r="DAV35" s="2795"/>
      <c r="DAW35" s="2795"/>
      <c r="DAX35" s="2795"/>
      <c r="DAY35" s="2795"/>
      <c r="DAZ35" s="2795"/>
      <c r="DBA35" s="2795"/>
      <c r="DBB35" s="2795"/>
      <c r="DBC35" s="2795"/>
      <c r="DBD35" s="2795"/>
      <c r="DBE35" s="2795"/>
      <c r="DBF35" s="2795"/>
      <c r="DBG35" s="2795"/>
      <c r="DBH35" s="2795"/>
      <c r="DBI35" s="2795"/>
      <c r="DBJ35" s="2795"/>
      <c r="DBK35" s="2795"/>
      <c r="DBL35" s="2795"/>
      <c r="DBM35" s="2795"/>
      <c r="DBN35" s="2795"/>
      <c r="DBO35" s="2795"/>
      <c r="DBP35" s="2795"/>
      <c r="DBQ35" s="2795"/>
      <c r="DBR35" s="2795"/>
      <c r="DBS35" s="2795"/>
      <c r="DBT35" s="2795"/>
      <c r="DBU35" s="2795"/>
      <c r="DBV35" s="2795"/>
      <c r="DBW35" s="2795"/>
      <c r="DBX35" s="2795"/>
      <c r="DBY35" s="2795"/>
      <c r="DBZ35" s="2795"/>
      <c r="DCA35" s="2795"/>
      <c r="DCB35" s="2795"/>
      <c r="DCC35" s="2795"/>
      <c r="DCD35" s="2795"/>
      <c r="DCE35" s="2795"/>
      <c r="DCF35" s="2795"/>
      <c r="DCG35" s="2795"/>
      <c r="DCH35" s="2795"/>
      <c r="DCI35" s="2795"/>
      <c r="DCJ35" s="2795"/>
      <c r="DCK35" s="2795"/>
      <c r="DCL35" s="2795"/>
      <c r="DCM35" s="2795"/>
      <c r="DCN35" s="2795"/>
      <c r="DCO35" s="2795"/>
      <c r="DCP35" s="2795"/>
      <c r="DCQ35" s="2795"/>
      <c r="DCR35" s="2795"/>
      <c r="DCS35" s="2795"/>
      <c r="DCT35" s="2795"/>
      <c r="DCU35" s="2795"/>
      <c r="DCV35" s="2795"/>
      <c r="DCW35" s="2795"/>
      <c r="DCX35" s="2795"/>
      <c r="DCY35" s="2795"/>
      <c r="DCZ35" s="2795"/>
      <c r="DDA35" s="2795"/>
      <c r="DDB35" s="2795"/>
      <c r="DDC35" s="2795"/>
      <c r="DDD35" s="2795"/>
      <c r="DDE35" s="2795"/>
      <c r="DDF35" s="2795"/>
      <c r="DDG35" s="2795"/>
      <c r="DDH35" s="2795"/>
      <c r="DDI35" s="2795"/>
      <c r="DDJ35" s="2795"/>
      <c r="DDK35" s="2795"/>
      <c r="DDL35" s="2795"/>
      <c r="DDM35" s="2795"/>
      <c r="DDN35" s="2795"/>
      <c r="DDO35" s="2795"/>
      <c r="DDP35" s="2795"/>
      <c r="DDQ35" s="2795"/>
      <c r="DDR35" s="2795"/>
      <c r="DDS35" s="2795"/>
      <c r="DDT35" s="2795"/>
      <c r="DDU35" s="2795"/>
      <c r="DDV35" s="2795"/>
      <c r="DDW35" s="2795"/>
      <c r="DDX35" s="2795"/>
      <c r="DDY35" s="2795"/>
      <c r="DDZ35" s="2795"/>
      <c r="DEA35" s="2795"/>
      <c r="DEB35" s="2795"/>
      <c r="DEC35" s="2795"/>
      <c r="DED35" s="2795"/>
      <c r="DEE35" s="2795"/>
      <c r="DEF35" s="2795"/>
      <c r="DEG35" s="2795"/>
      <c r="DEH35" s="2795"/>
      <c r="DEI35" s="2795"/>
      <c r="DEJ35" s="2795"/>
      <c r="DEK35" s="2795"/>
      <c r="DEL35" s="2795"/>
      <c r="DEM35" s="2795"/>
      <c r="DEN35" s="2795"/>
      <c r="DEO35" s="2795"/>
      <c r="DEP35" s="2795"/>
      <c r="DEQ35" s="2795"/>
      <c r="DER35" s="2795"/>
      <c r="DES35" s="2795"/>
      <c r="DET35" s="2795"/>
      <c r="DEU35" s="2795"/>
      <c r="DEV35" s="2795"/>
      <c r="DEW35" s="2795"/>
      <c r="DEX35" s="2795"/>
      <c r="DEY35" s="2795"/>
      <c r="DEZ35" s="2795"/>
      <c r="DFA35" s="2795"/>
      <c r="DFB35" s="2795"/>
      <c r="DFC35" s="2795"/>
      <c r="DFD35" s="2795"/>
      <c r="DFE35" s="2795"/>
      <c r="DFF35" s="2795"/>
      <c r="DFG35" s="2795"/>
      <c r="DFH35" s="2795"/>
      <c r="DFI35" s="2795"/>
      <c r="DFJ35" s="2795"/>
      <c r="DFK35" s="2795"/>
      <c r="DFL35" s="2795"/>
      <c r="DFM35" s="2795"/>
      <c r="DFN35" s="2795"/>
      <c r="DFO35" s="2795"/>
      <c r="DFP35" s="2795"/>
      <c r="DFQ35" s="2795"/>
      <c r="DFR35" s="2795"/>
      <c r="DFS35" s="2795"/>
      <c r="DFT35" s="2795"/>
      <c r="DFU35" s="2795"/>
      <c r="DFV35" s="2795"/>
      <c r="DFW35" s="2795"/>
      <c r="DFX35" s="2795"/>
      <c r="DFY35" s="2795"/>
      <c r="DFZ35" s="2795"/>
      <c r="DGA35" s="2795"/>
      <c r="DGB35" s="2795"/>
      <c r="DGC35" s="2795"/>
      <c r="DGD35" s="2795"/>
      <c r="DGE35" s="2795"/>
      <c r="DGF35" s="2795"/>
      <c r="DGG35" s="2795"/>
      <c r="DGH35" s="2795"/>
      <c r="DGI35" s="2795"/>
      <c r="DGJ35" s="2795"/>
      <c r="DGK35" s="2795"/>
      <c r="DGL35" s="2795"/>
      <c r="DGM35" s="2795"/>
      <c r="DGN35" s="2795"/>
      <c r="DGO35" s="2795"/>
      <c r="DGP35" s="2795"/>
      <c r="DGQ35" s="2795"/>
      <c r="DGR35" s="2795"/>
      <c r="DGS35" s="2795"/>
      <c r="DGT35" s="2795"/>
      <c r="DGU35" s="2795"/>
      <c r="DGV35" s="2795"/>
      <c r="DGW35" s="2795"/>
      <c r="DGX35" s="2795"/>
      <c r="DGY35" s="2795"/>
      <c r="DGZ35" s="2795"/>
      <c r="DHA35" s="2795"/>
      <c r="DHB35" s="2795"/>
      <c r="DHC35" s="2795"/>
      <c r="DHD35" s="2795"/>
      <c r="DHE35" s="2795"/>
      <c r="DHF35" s="2795"/>
      <c r="DHG35" s="2795"/>
      <c r="DHH35" s="2795"/>
      <c r="DHI35" s="2795"/>
      <c r="DHJ35" s="2795"/>
      <c r="DHK35" s="2795"/>
      <c r="DHL35" s="2795"/>
      <c r="DHM35" s="2795"/>
      <c r="DHN35" s="2795"/>
      <c r="DHO35" s="2795"/>
      <c r="DHP35" s="2795"/>
      <c r="DHQ35" s="2795"/>
      <c r="DHR35" s="2795"/>
      <c r="DHS35" s="2795"/>
      <c r="DHT35" s="2795"/>
      <c r="DHU35" s="2795"/>
      <c r="DHV35" s="2795"/>
      <c r="DHW35" s="2795"/>
      <c r="DHX35" s="2795"/>
      <c r="DHY35" s="2795"/>
      <c r="DHZ35" s="2795"/>
      <c r="DIA35" s="2795"/>
      <c r="DIB35" s="2795"/>
      <c r="DIC35" s="2795"/>
      <c r="DID35" s="2795"/>
      <c r="DIE35" s="2795"/>
      <c r="DIF35" s="2795"/>
      <c r="DIG35" s="2795"/>
      <c r="DIH35" s="2795"/>
      <c r="DII35" s="2795"/>
      <c r="DIJ35" s="2795"/>
      <c r="DIK35" s="2795"/>
      <c r="DIL35" s="2795"/>
      <c r="DIM35" s="2795"/>
      <c r="DIN35" s="2795"/>
      <c r="DIO35" s="2795"/>
      <c r="DIP35" s="2795"/>
      <c r="DIQ35" s="2795"/>
      <c r="DIR35" s="2795"/>
      <c r="DIS35" s="2795"/>
      <c r="DIT35" s="2795"/>
      <c r="DIU35" s="2795"/>
      <c r="DIV35" s="2795"/>
      <c r="DIW35" s="2795"/>
      <c r="DIX35" s="2795"/>
      <c r="DIY35" s="2795"/>
      <c r="DIZ35" s="2795"/>
      <c r="DJA35" s="2795"/>
      <c r="DJB35" s="2795"/>
      <c r="DJC35" s="2795"/>
      <c r="DJD35" s="2795"/>
      <c r="DJE35" s="2795"/>
      <c r="DJF35" s="2795"/>
      <c r="DJG35" s="2795"/>
      <c r="DJH35" s="2795"/>
      <c r="DJI35" s="2795"/>
      <c r="DJJ35" s="2795"/>
      <c r="DJK35" s="2795"/>
      <c r="DJL35" s="2795"/>
      <c r="DJM35" s="2795"/>
      <c r="DJN35" s="2795"/>
      <c r="DJO35" s="2795"/>
      <c r="DJP35" s="2795"/>
      <c r="DJQ35" s="2795"/>
      <c r="DJR35" s="2795"/>
      <c r="DJS35" s="2795"/>
      <c r="DJT35" s="2795"/>
      <c r="DJU35" s="2795"/>
      <c r="DJV35" s="2795"/>
      <c r="DJW35" s="2795"/>
      <c r="DJX35" s="2795"/>
      <c r="DJY35" s="2795"/>
      <c r="DJZ35" s="2795"/>
      <c r="DKA35" s="2795"/>
      <c r="DKB35" s="2795"/>
      <c r="DKC35" s="2795"/>
      <c r="DKD35" s="2795"/>
      <c r="DKE35" s="2795"/>
      <c r="DKF35" s="2795"/>
      <c r="DKG35" s="2795"/>
      <c r="DKH35" s="2795"/>
      <c r="DKI35" s="2795"/>
      <c r="DKJ35" s="2795"/>
      <c r="DKK35" s="2795"/>
      <c r="DKL35" s="2795"/>
      <c r="DKM35" s="2795"/>
      <c r="DKN35" s="2795"/>
      <c r="DKO35" s="2795"/>
      <c r="DKP35" s="2795"/>
      <c r="DKQ35" s="2795"/>
      <c r="DKR35" s="2795"/>
      <c r="DKS35" s="2795"/>
      <c r="DKT35" s="2795"/>
      <c r="DKU35" s="2795"/>
      <c r="DKV35" s="2795"/>
      <c r="DKW35" s="2795"/>
      <c r="DKX35" s="2795"/>
      <c r="DKY35" s="2795"/>
      <c r="DKZ35" s="2795"/>
      <c r="DLA35" s="2795"/>
      <c r="DLB35" s="2795"/>
      <c r="DLC35" s="2795"/>
      <c r="DLD35" s="2795"/>
      <c r="DLE35" s="2795"/>
      <c r="DLF35" s="2795"/>
      <c r="DLG35" s="2795"/>
      <c r="DLH35" s="2795"/>
      <c r="DLI35" s="2795"/>
      <c r="DLJ35" s="2795"/>
      <c r="DLK35" s="2795"/>
      <c r="DLL35" s="2795"/>
      <c r="DLM35" s="2795"/>
      <c r="DLN35" s="2795"/>
      <c r="DLO35" s="2795"/>
      <c r="DLP35" s="2795"/>
      <c r="DLQ35" s="2795"/>
      <c r="DLR35" s="2795"/>
      <c r="DLS35" s="2795"/>
      <c r="DLT35" s="2795"/>
      <c r="DLU35" s="2795"/>
      <c r="DLV35" s="2795"/>
      <c r="DLW35" s="2795"/>
      <c r="DLX35" s="2795"/>
      <c r="DLY35" s="2795"/>
      <c r="DLZ35" s="2795"/>
      <c r="DMA35" s="2795"/>
      <c r="DMB35" s="2795"/>
      <c r="DMC35" s="2795"/>
      <c r="DMD35" s="2795"/>
      <c r="DME35" s="2795"/>
      <c r="DMF35" s="2795"/>
      <c r="DMG35" s="2795"/>
      <c r="DMH35" s="2795"/>
      <c r="DMI35" s="2795"/>
      <c r="DMJ35" s="2795"/>
      <c r="DMK35" s="2795"/>
      <c r="DML35" s="2795"/>
      <c r="DMM35" s="2795"/>
      <c r="DMN35" s="2795"/>
      <c r="DMO35" s="2795"/>
      <c r="DMP35" s="2795"/>
      <c r="DMQ35" s="2795"/>
      <c r="DMR35" s="2795"/>
      <c r="DMS35" s="2795"/>
      <c r="DMT35" s="2795"/>
      <c r="DMU35" s="2795"/>
      <c r="DMV35" s="2795"/>
      <c r="DMW35" s="2795"/>
      <c r="DMX35" s="2795"/>
      <c r="DMY35" s="2795"/>
      <c r="DMZ35" s="2795"/>
      <c r="DNA35" s="2795"/>
      <c r="DNB35" s="2795"/>
      <c r="DNC35" s="2795"/>
      <c r="DND35" s="2795"/>
      <c r="DNE35" s="2795"/>
      <c r="DNF35" s="2795"/>
      <c r="DNG35" s="2795"/>
      <c r="DNH35" s="2795"/>
      <c r="DNI35" s="2795"/>
      <c r="DNJ35" s="2795"/>
      <c r="DNK35" s="2795"/>
      <c r="DNL35" s="2795"/>
      <c r="DNM35" s="2795"/>
      <c r="DNN35" s="2795"/>
      <c r="DNO35" s="2795"/>
      <c r="DNP35" s="2795"/>
      <c r="DNQ35" s="2795"/>
      <c r="DNR35" s="2795"/>
      <c r="DNS35" s="2795"/>
      <c r="DNT35" s="2795"/>
      <c r="DNU35" s="2795"/>
      <c r="DNV35" s="2795"/>
      <c r="DNW35" s="2795"/>
      <c r="DNX35" s="2795"/>
      <c r="DNY35" s="2795"/>
      <c r="DNZ35" s="2795"/>
      <c r="DOA35" s="2795"/>
      <c r="DOB35" s="2795"/>
      <c r="DOC35" s="2795"/>
      <c r="DOD35" s="2795"/>
      <c r="DOE35" s="2795"/>
      <c r="DOF35" s="2795"/>
      <c r="DOG35" s="2795"/>
      <c r="DOH35" s="2795"/>
      <c r="DOI35" s="2795"/>
      <c r="DOJ35" s="2795"/>
      <c r="DOK35" s="2795"/>
      <c r="DOL35" s="2795"/>
      <c r="DOM35" s="2795"/>
      <c r="DON35" s="2795"/>
      <c r="DOO35" s="2795"/>
      <c r="DOP35" s="2795"/>
      <c r="DOQ35" s="2795"/>
      <c r="DOR35" s="2795"/>
      <c r="DOS35" s="2795"/>
      <c r="DOT35" s="2795"/>
      <c r="DOU35" s="2795"/>
      <c r="DOV35" s="2795"/>
      <c r="DOW35" s="2795"/>
      <c r="DOX35" s="2795"/>
      <c r="DOY35" s="2795"/>
      <c r="DOZ35" s="2795"/>
      <c r="DPA35" s="2795"/>
      <c r="DPB35" s="2795"/>
      <c r="DPC35" s="2795"/>
      <c r="DPD35" s="2795"/>
      <c r="DPE35" s="2795"/>
      <c r="DPF35" s="2795"/>
      <c r="DPG35" s="2795"/>
      <c r="DPH35" s="2795"/>
      <c r="DPI35" s="2795"/>
      <c r="DPJ35" s="2795"/>
      <c r="DPK35" s="2795"/>
      <c r="DPL35" s="2795"/>
      <c r="DPM35" s="2795"/>
      <c r="DPN35" s="2795"/>
      <c r="DPO35" s="2795"/>
      <c r="DPP35" s="2795"/>
      <c r="DPQ35" s="2795"/>
      <c r="DPR35" s="2795"/>
      <c r="DPS35" s="2795"/>
      <c r="DPT35" s="2795"/>
      <c r="DPU35" s="2795"/>
      <c r="DPV35" s="2795"/>
      <c r="DPW35" s="2795"/>
      <c r="DPX35" s="2795"/>
      <c r="DPY35" s="2795"/>
      <c r="DPZ35" s="2795"/>
      <c r="DQA35" s="2795"/>
      <c r="DQB35" s="2795"/>
      <c r="DQC35" s="2795"/>
      <c r="DQD35" s="2795"/>
      <c r="DQE35" s="2795"/>
      <c r="DQF35" s="2795"/>
      <c r="DQG35" s="2795"/>
      <c r="DQH35" s="2795"/>
      <c r="DQI35" s="2795"/>
      <c r="DQJ35" s="2795"/>
      <c r="DQK35" s="2795"/>
      <c r="DQL35" s="2795"/>
      <c r="DQM35" s="2795"/>
      <c r="DQN35" s="2795"/>
      <c r="DQO35" s="2795"/>
      <c r="DQP35" s="2795"/>
      <c r="DQQ35" s="2795"/>
      <c r="DQR35" s="2795"/>
      <c r="DQS35" s="2795"/>
      <c r="DQT35" s="2795"/>
      <c r="DQU35" s="2795"/>
      <c r="DQV35" s="2795"/>
      <c r="DQW35" s="2795"/>
      <c r="DQX35" s="2795"/>
      <c r="DQY35" s="2795"/>
      <c r="DQZ35" s="2795"/>
      <c r="DRA35" s="2795"/>
      <c r="DRB35" s="2795"/>
      <c r="DRC35" s="2795"/>
      <c r="DRD35" s="2795"/>
      <c r="DRE35" s="2795"/>
      <c r="DRF35" s="2795"/>
      <c r="DRG35" s="2795"/>
      <c r="DRH35" s="2795"/>
      <c r="DRI35" s="2795"/>
      <c r="DRJ35" s="2795"/>
      <c r="DRK35" s="2795"/>
      <c r="DRL35" s="2795"/>
      <c r="DRM35" s="2795"/>
      <c r="DRN35" s="2795"/>
      <c r="DRO35" s="2795"/>
      <c r="DRP35" s="2795"/>
      <c r="DRQ35" s="2795"/>
      <c r="DRR35" s="2795"/>
      <c r="DRS35" s="2795"/>
      <c r="DRT35" s="2795"/>
      <c r="DRU35" s="2795"/>
      <c r="DRV35" s="2795"/>
      <c r="DRW35" s="2795"/>
      <c r="DRX35" s="2795"/>
      <c r="DRY35" s="2795"/>
      <c r="DRZ35" s="2795"/>
      <c r="DSA35" s="2795"/>
      <c r="DSB35" s="2795"/>
      <c r="DSC35" s="2795"/>
      <c r="DSD35" s="2795"/>
      <c r="DSE35" s="2795"/>
      <c r="DSF35" s="2795"/>
      <c r="DSG35" s="2795"/>
      <c r="DSH35" s="2795"/>
      <c r="DSI35" s="2795"/>
      <c r="DSJ35" s="2795"/>
      <c r="DSK35" s="2795"/>
      <c r="DSL35" s="2795"/>
      <c r="DSM35" s="2795"/>
      <c r="DSN35" s="2795"/>
      <c r="DSO35" s="2795"/>
      <c r="DSP35" s="2795"/>
      <c r="DSQ35" s="2795"/>
      <c r="DSR35" s="2795"/>
      <c r="DSS35" s="2795"/>
      <c r="DST35" s="2795"/>
      <c r="DSU35" s="2795"/>
      <c r="DSV35" s="2795"/>
      <c r="DSW35" s="2795"/>
      <c r="DSX35" s="2795"/>
      <c r="DSY35" s="2795"/>
      <c r="DSZ35" s="2795"/>
      <c r="DTA35" s="2795"/>
      <c r="DTB35" s="2795"/>
      <c r="DTC35" s="2795"/>
      <c r="DTD35" s="2795"/>
      <c r="DTE35" s="2795"/>
      <c r="DTF35" s="2795"/>
      <c r="DTG35" s="2795"/>
      <c r="DTH35" s="2795"/>
      <c r="DTI35" s="2795"/>
      <c r="DTJ35" s="2795"/>
      <c r="DTK35" s="2795"/>
      <c r="DTL35" s="2795"/>
      <c r="DTM35" s="2795"/>
      <c r="DTN35" s="2795"/>
      <c r="DTO35" s="2795"/>
      <c r="DTP35" s="2795"/>
      <c r="DTQ35" s="2795"/>
      <c r="DTR35" s="2795"/>
      <c r="DTS35" s="2795"/>
      <c r="DTT35" s="2795"/>
      <c r="DTU35" s="2795"/>
      <c r="DTV35" s="2795"/>
      <c r="DTW35" s="2795"/>
      <c r="DTX35" s="2795"/>
      <c r="DTY35" s="2795"/>
      <c r="DTZ35" s="2795"/>
      <c r="DUA35" s="2795"/>
      <c r="DUB35" s="2795"/>
      <c r="DUC35" s="2795"/>
      <c r="DUD35" s="2795"/>
      <c r="DUE35" s="2795"/>
      <c r="DUF35" s="2795"/>
      <c r="DUG35" s="2795"/>
      <c r="DUH35" s="2795"/>
      <c r="DUI35" s="2795"/>
      <c r="DUJ35" s="2795"/>
      <c r="DUK35" s="2795"/>
      <c r="DUL35" s="2795"/>
      <c r="DUM35" s="2795"/>
      <c r="DUN35" s="2795"/>
      <c r="DUO35" s="2795"/>
      <c r="DUP35" s="2795"/>
      <c r="DUQ35" s="2795"/>
      <c r="DUR35" s="2795"/>
      <c r="DUS35" s="2795"/>
      <c r="DUT35" s="2795"/>
      <c r="DUU35" s="2795"/>
      <c r="DUV35" s="2795"/>
      <c r="DUW35" s="2795"/>
      <c r="DUX35" s="2795"/>
      <c r="DUY35" s="2795"/>
      <c r="DUZ35" s="2795"/>
      <c r="DVA35" s="2795"/>
      <c r="DVB35" s="2795"/>
      <c r="DVC35" s="2795"/>
      <c r="DVD35" s="2795"/>
      <c r="DVE35" s="2795"/>
      <c r="DVF35" s="2795"/>
      <c r="DVG35" s="2795"/>
      <c r="DVH35" s="2795"/>
      <c r="DVI35" s="2795"/>
      <c r="DVJ35" s="2795"/>
      <c r="DVK35" s="2795"/>
      <c r="DVL35" s="2795"/>
      <c r="DVM35" s="2795"/>
      <c r="DVN35" s="2795"/>
      <c r="DVO35" s="2795"/>
      <c r="DVP35" s="2795"/>
      <c r="DVQ35" s="2795"/>
      <c r="DVR35" s="2795"/>
      <c r="DVS35" s="2795"/>
      <c r="DVT35" s="2795"/>
      <c r="DVU35" s="2795"/>
      <c r="DVV35" s="2795"/>
      <c r="DVW35" s="2795"/>
      <c r="DVX35" s="2795"/>
      <c r="DVY35" s="2795"/>
      <c r="DVZ35" s="2795"/>
      <c r="DWA35" s="2795"/>
      <c r="DWB35" s="2795"/>
      <c r="DWC35" s="2795"/>
      <c r="DWD35" s="2795"/>
      <c r="DWE35" s="2795"/>
      <c r="DWF35" s="2795"/>
      <c r="DWG35" s="2795"/>
      <c r="DWH35" s="2795"/>
      <c r="DWI35" s="2795"/>
      <c r="DWJ35" s="2795"/>
      <c r="DWK35" s="2795"/>
      <c r="DWL35" s="2795"/>
      <c r="DWM35" s="2795"/>
      <c r="DWN35" s="2795"/>
      <c r="DWO35" s="2795"/>
      <c r="DWP35" s="2795"/>
      <c r="DWQ35" s="2795"/>
      <c r="DWR35" s="2795"/>
      <c r="DWS35" s="2795"/>
      <c r="DWT35" s="2795"/>
      <c r="DWU35" s="2795"/>
      <c r="DWV35" s="2795"/>
      <c r="DWW35" s="2795"/>
      <c r="DWX35" s="2795"/>
      <c r="DWY35" s="2795"/>
      <c r="DWZ35" s="2795"/>
      <c r="DXA35" s="2795"/>
      <c r="DXB35" s="2795"/>
      <c r="DXC35" s="2795"/>
      <c r="DXD35" s="2795"/>
      <c r="DXE35" s="2795"/>
      <c r="DXF35" s="2795"/>
      <c r="DXG35" s="2795"/>
      <c r="DXH35" s="2795"/>
      <c r="DXI35" s="2795"/>
      <c r="DXJ35" s="2795"/>
      <c r="DXK35" s="2795"/>
      <c r="DXL35" s="2795"/>
      <c r="DXM35" s="2795"/>
      <c r="DXN35" s="2795"/>
      <c r="DXO35" s="2795"/>
      <c r="DXP35" s="2795"/>
      <c r="DXQ35" s="2795"/>
      <c r="DXR35" s="2795"/>
      <c r="DXS35" s="2795"/>
      <c r="DXT35" s="2795"/>
      <c r="DXU35" s="2795"/>
      <c r="DXV35" s="2795"/>
      <c r="DXW35" s="2795"/>
      <c r="DXX35" s="2795"/>
      <c r="DXY35" s="2795"/>
      <c r="DXZ35" s="2795"/>
      <c r="DYA35" s="2795"/>
      <c r="DYB35" s="2795"/>
      <c r="DYC35" s="2795"/>
      <c r="DYD35" s="2795"/>
      <c r="DYE35" s="2795"/>
      <c r="DYF35" s="2795"/>
      <c r="DYG35" s="2795"/>
      <c r="DYH35" s="2795"/>
      <c r="DYI35" s="2795"/>
      <c r="DYJ35" s="2795"/>
      <c r="DYK35" s="2795"/>
      <c r="DYL35" s="2795"/>
      <c r="DYM35" s="2795"/>
      <c r="DYN35" s="2795"/>
      <c r="DYO35" s="2795"/>
      <c r="DYP35" s="2795"/>
      <c r="DYQ35" s="2795"/>
      <c r="DYR35" s="2795"/>
      <c r="DYS35" s="2795"/>
      <c r="DYT35" s="2795"/>
      <c r="DYU35" s="2795"/>
      <c r="DYV35" s="2795"/>
      <c r="DYW35" s="2795"/>
      <c r="DYX35" s="2795"/>
      <c r="DYY35" s="2795"/>
      <c r="DYZ35" s="2795"/>
      <c r="DZA35" s="2795"/>
      <c r="DZB35" s="2795"/>
      <c r="DZC35" s="2795"/>
      <c r="DZD35" s="2795"/>
      <c r="DZE35" s="2795"/>
      <c r="DZF35" s="2795"/>
      <c r="DZG35" s="2795"/>
      <c r="DZH35" s="2795"/>
      <c r="DZI35" s="2795"/>
      <c r="DZJ35" s="2795"/>
      <c r="DZK35" s="2795"/>
      <c r="DZL35" s="2795"/>
      <c r="DZM35" s="2795"/>
      <c r="DZN35" s="2795"/>
      <c r="DZO35" s="2795"/>
      <c r="DZP35" s="2795"/>
      <c r="DZQ35" s="2795"/>
      <c r="DZR35" s="2795"/>
      <c r="DZS35" s="2795"/>
      <c r="DZT35" s="2795"/>
      <c r="DZU35" s="2795"/>
      <c r="DZV35" s="2795"/>
      <c r="DZW35" s="2795"/>
      <c r="DZX35" s="2795"/>
      <c r="DZY35" s="2795"/>
      <c r="DZZ35" s="2795"/>
      <c r="EAA35" s="2795"/>
      <c r="EAB35" s="2795"/>
      <c r="EAC35" s="2795"/>
      <c r="EAD35" s="2795"/>
      <c r="EAE35" s="2795"/>
      <c r="EAF35" s="2795"/>
      <c r="EAG35" s="2795"/>
      <c r="EAH35" s="2795"/>
      <c r="EAI35" s="2795"/>
      <c r="EAJ35" s="2795"/>
      <c r="EAK35" s="2795"/>
      <c r="EAL35" s="2795"/>
      <c r="EAM35" s="2795"/>
      <c r="EAN35" s="2795"/>
      <c r="EAO35" s="2795"/>
      <c r="EAP35" s="2795"/>
      <c r="EAQ35" s="2795"/>
      <c r="EAR35" s="2795"/>
      <c r="EAS35" s="2795"/>
      <c r="EAT35" s="2795"/>
      <c r="EAU35" s="2795"/>
      <c r="EAV35" s="2795"/>
      <c r="EAW35" s="2795"/>
      <c r="EAX35" s="2795"/>
      <c r="EAY35" s="2795"/>
      <c r="EAZ35" s="2795"/>
      <c r="EBA35" s="2795"/>
      <c r="EBB35" s="2795"/>
      <c r="EBC35" s="2795"/>
      <c r="EBD35" s="2795"/>
      <c r="EBE35" s="2795"/>
      <c r="EBF35" s="2795"/>
      <c r="EBG35" s="2795"/>
      <c r="EBH35" s="2795"/>
      <c r="EBI35" s="2795"/>
      <c r="EBJ35" s="2795"/>
      <c r="EBK35" s="2795"/>
      <c r="EBL35" s="2795"/>
      <c r="EBM35" s="2795"/>
      <c r="EBN35" s="2795"/>
      <c r="EBO35" s="2795"/>
      <c r="EBP35" s="2795"/>
      <c r="EBQ35" s="2795"/>
      <c r="EBR35" s="2795"/>
      <c r="EBS35" s="2795"/>
      <c r="EBT35" s="2795"/>
      <c r="EBU35" s="2795"/>
      <c r="EBV35" s="2795"/>
      <c r="EBW35" s="2795"/>
      <c r="EBX35" s="2795"/>
      <c r="EBY35" s="2795"/>
      <c r="EBZ35" s="2795"/>
      <c r="ECA35" s="2795"/>
      <c r="ECB35" s="2795"/>
      <c r="ECC35" s="2795"/>
      <c r="ECD35" s="2795"/>
      <c r="ECE35" s="2795"/>
      <c r="ECF35" s="2795"/>
      <c r="ECG35" s="2795"/>
      <c r="ECH35" s="2795"/>
      <c r="ECI35" s="2795"/>
      <c r="ECJ35" s="2795"/>
      <c r="ECK35" s="2795"/>
      <c r="ECL35" s="2795"/>
      <c r="ECM35" s="2795"/>
      <c r="ECN35" s="2795"/>
      <c r="ECO35" s="2795"/>
      <c r="ECP35" s="2795"/>
      <c r="ECQ35" s="2795"/>
      <c r="ECR35" s="2795"/>
      <c r="ECS35" s="2795"/>
      <c r="ECT35" s="2795"/>
      <c r="ECU35" s="2795"/>
      <c r="ECV35" s="2795"/>
      <c r="ECW35" s="2795"/>
      <c r="ECX35" s="2795"/>
      <c r="ECY35" s="2795"/>
      <c r="ECZ35" s="2795"/>
      <c r="EDA35" s="2795"/>
      <c r="EDB35" s="2795"/>
      <c r="EDC35" s="2795"/>
      <c r="EDD35" s="2795"/>
      <c r="EDE35" s="2795"/>
      <c r="EDF35" s="2795"/>
      <c r="EDG35" s="2795"/>
      <c r="EDH35" s="2795"/>
      <c r="EDI35" s="2795"/>
      <c r="EDJ35" s="2795"/>
      <c r="EDK35" s="2795"/>
      <c r="EDL35" s="2795"/>
      <c r="EDM35" s="2795"/>
      <c r="EDN35" s="2795"/>
      <c r="EDO35" s="2795"/>
      <c r="EDP35" s="2795"/>
      <c r="EDQ35" s="2795"/>
      <c r="EDR35" s="2795"/>
      <c r="EDS35" s="2795"/>
      <c r="EDT35" s="2795"/>
      <c r="EDU35" s="2795"/>
      <c r="EDV35" s="2795"/>
      <c r="EDW35" s="2795"/>
      <c r="EDX35" s="2795"/>
      <c r="EDY35" s="2795"/>
      <c r="EDZ35" s="2795"/>
      <c r="EEA35" s="2795"/>
      <c r="EEB35" s="2795"/>
      <c r="EEC35" s="2795"/>
      <c r="EED35" s="2795"/>
      <c r="EEE35" s="2795"/>
      <c r="EEF35" s="2795"/>
      <c r="EEG35" s="2795"/>
      <c r="EEH35" s="2795"/>
      <c r="EEI35" s="2795"/>
      <c r="EEJ35" s="2795"/>
      <c r="EEK35" s="2795"/>
      <c r="EEL35" s="2795"/>
      <c r="EEM35" s="2795"/>
      <c r="EEN35" s="2795"/>
      <c r="EEO35" s="2795"/>
      <c r="EEP35" s="2795"/>
      <c r="EEQ35" s="2795"/>
      <c r="EER35" s="2795"/>
      <c r="EES35" s="2795"/>
      <c r="EET35" s="2795"/>
      <c r="EEU35" s="2795"/>
      <c r="EEV35" s="2795"/>
      <c r="EEW35" s="2795"/>
      <c r="EEX35" s="2795"/>
      <c r="EEY35" s="2795"/>
      <c r="EEZ35" s="2795"/>
      <c r="EFA35" s="2795"/>
      <c r="EFB35" s="2795"/>
      <c r="EFC35" s="2795"/>
      <c r="EFD35" s="2795"/>
      <c r="EFE35" s="2795"/>
      <c r="EFF35" s="2795"/>
      <c r="EFG35" s="2795"/>
      <c r="EFH35" s="2795"/>
      <c r="EFI35" s="2795"/>
      <c r="EFJ35" s="2795"/>
      <c r="EFK35" s="2795"/>
      <c r="EFL35" s="2795"/>
      <c r="EFM35" s="2795"/>
      <c r="EFN35" s="2795"/>
      <c r="EFO35" s="2795"/>
      <c r="EFP35" s="2795"/>
      <c r="EFQ35" s="2795"/>
      <c r="EFR35" s="2795"/>
      <c r="EFS35" s="2795"/>
      <c r="EFT35" s="2795"/>
      <c r="EFU35" s="2795"/>
      <c r="EFV35" s="2795"/>
      <c r="EFW35" s="2795"/>
      <c r="EFX35" s="2795"/>
      <c r="EFY35" s="2795"/>
      <c r="EFZ35" s="2795"/>
      <c r="EGA35" s="2795"/>
      <c r="EGB35" s="2795"/>
      <c r="EGC35" s="2795"/>
      <c r="EGD35" s="2795"/>
      <c r="EGE35" s="2795"/>
      <c r="EGF35" s="2795"/>
      <c r="EGG35" s="2795"/>
      <c r="EGH35" s="2795"/>
      <c r="EGI35" s="2795"/>
      <c r="EGJ35" s="2795"/>
      <c r="EGK35" s="2795"/>
      <c r="EGL35" s="2795"/>
      <c r="EGM35" s="2795"/>
      <c r="EGN35" s="2795"/>
      <c r="EGO35" s="2795"/>
      <c r="EGP35" s="2795"/>
      <c r="EGQ35" s="2795"/>
      <c r="EGR35" s="2795"/>
      <c r="EGS35" s="2795"/>
      <c r="EGT35" s="2795"/>
      <c r="EGU35" s="2795"/>
      <c r="EGV35" s="2795"/>
      <c r="EGW35" s="2795"/>
      <c r="EGX35" s="2795"/>
      <c r="EGY35" s="2795"/>
      <c r="EGZ35" s="2795"/>
      <c r="EHA35" s="2795"/>
      <c r="EHB35" s="2795"/>
      <c r="EHC35" s="2795"/>
      <c r="EHD35" s="2795"/>
      <c r="EHE35" s="2795"/>
      <c r="EHF35" s="2795"/>
      <c r="EHG35" s="2795"/>
      <c r="EHH35" s="2795"/>
      <c r="EHI35" s="2795"/>
      <c r="EHJ35" s="2795"/>
      <c r="EHK35" s="2795"/>
      <c r="EHL35" s="2795"/>
      <c r="EHM35" s="2795"/>
      <c r="EHN35" s="2795"/>
      <c r="EHO35" s="2795"/>
      <c r="EHP35" s="2795"/>
      <c r="EHQ35" s="2795"/>
      <c r="EHR35" s="2795"/>
      <c r="EHS35" s="2795"/>
      <c r="EHT35" s="2795"/>
      <c r="EHU35" s="2795"/>
      <c r="EHV35" s="2795"/>
      <c r="EHW35" s="2795"/>
      <c r="EHX35" s="2795"/>
      <c r="EHY35" s="2795"/>
      <c r="EHZ35" s="2795"/>
      <c r="EIA35" s="2795"/>
      <c r="EIB35" s="2795"/>
      <c r="EIC35" s="2795"/>
      <c r="EID35" s="2795"/>
      <c r="EIE35" s="2795"/>
      <c r="EIF35" s="2795"/>
      <c r="EIG35" s="2795"/>
      <c r="EIH35" s="2795"/>
      <c r="EII35" s="2795"/>
      <c r="EIJ35" s="2795"/>
      <c r="EIK35" s="2795"/>
      <c r="EIL35" s="2795"/>
      <c r="EIM35" s="2795"/>
      <c r="EIN35" s="2795"/>
      <c r="EIO35" s="2795"/>
      <c r="EIP35" s="2795"/>
      <c r="EIQ35" s="2795"/>
      <c r="EIR35" s="2795"/>
      <c r="EIS35" s="2795"/>
      <c r="EIT35" s="2795"/>
      <c r="EIU35" s="2795"/>
      <c r="EIV35" s="2795"/>
      <c r="EIW35" s="2795"/>
      <c r="EIX35" s="2795"/>
      <c r="EIY35" s="2795"/>
      <c r="EIZ35" s="2795"/>
      <c r="EJA35" s="2795"/>
      <c r="EJB35" s="2795"/>
      <c r="EJC35" s="2795"/>
      <c r="EJD35" s="2795"/>
      <c r="EJE35" s="2795"/>
      <c r="EJF35" s="2795"/>
      <c r="EJG35" s="2795"/>
      <c r="EJH35" s="2795"/>
      <c r="EJI35" s="2795"/>
      <c r="EJJ35" s="2795"/>
      <c r="EJK35" s="2795"/>
      <c r="EJL35" s="2795"/>
      <c r="EJM35" s="2795"/>
      <c r="EJN35" s="2795"/>
      <c r="EJO35" s="2795"/>
      <c r="EJP35" s="2795"/>
      <c r="EJQ35" s="2795"/>
      <c r="EJR35" s="2795"/>
      <c r="EJS35" s="2795"/>
      <c r="EJT35" s="2795"/>
      <c r="EJU35" s="2795"/>
      <c r="EJV35" s="2795"/>
      <c r="EJW35" s="2795"/>
      <c r="EJX35" s="2795"/>
      <c r="EJY35" s="2795"/>
      <c r="EJZ35" s="2795"/>
      <c r="EKA35" s="2795"/>
      <c r="EKB35" s="2795"/>
      <c r="EKC35" s="2795"/>
      <c r="EKD35" s="2795"/>
      <c r="EKE35" s="2795"/>
      <c r="EKF35" s="2795"/>
      <c r="EKG35" s="2795"/>
      <c r="EKH35" s="2795"/>
      <c r="EKI35" s="2795"/>
      <c r="EKJ35" s="2795"/>
      <c r="EKK35" s="2795"/>
      <c r="EKL35" s="2795"/>
      <c r="EKM35" s="2795"/>
      <c r="EKN35" s="2795"/>
      <c r="EKO35" s="2795"/>
      <c r="EKP35" s="2795"/>
      <c r="EKQ35" s="2795"/>
      <c r="EKR35" s="2795"/>
      <c r="EKS35" s="2795"/>
      <c r="EKT35" s="2795"/>
      <c r="EKU35" s="2795"/>
      <c r="EKV35" s="2795"/>
      <c r="EKW35" s="2795"/>
      <c r="EKX35" s="2795"/>
      <c r="EKY35" s="2795"/>
      <c r="EKZ35" s="2795"/>
      <c r="ELA35" s="2795"/>
      <c r="ELB35" s="2795"/>
      <c r="ELC35" s="2795"/>
      <c r="ELD35" s="2795"/>
      <c r="ELE35" s="2795"/>
      <c r="ELF35" s="2795"/>
      <c r="ELG35" s="2795"/>
      <c r="ELH35" s="2795"/>
      <c r="ELI35" s="2795"/>
      <c r="ELJ35" s="2795"/>
      <c r="ELK35" s="2795"/>
      <c r="ELL35" s="2795"/>
      <c r="ELM35" s="2795"/>
      <c r="ELN35" s="2795"/>
      <c r="ELO35" s="2795"/>
      <c r="ELP35" s="2795"/>
      <c r="ELQ35" s="2795"/>
      <c r="ELR35" s="2795"/>
      <c r="ELS35" s="2795"/>
      <c r="ELT35" s="2795"/>
      <c r="ELU35" s="2795"/>
      <c r="ELV35" s="2795"/>
      <c r="ELW35" s="2795"/>
      <c r="ELX35" s="2795"/>
      <c r="ELY35" s="2795"/>
      <c r="ELZ35" s="2795"/>
      <c r="EMA35" s="2795"/>
      <c r="EMB35" s="2795"/>
      <c r="EMC35" s="2795"/>
      <c r="EMD35" s="2795"/>
      <c r="EME35" s="2795"/>
      <c r="EMF35" s="2795"/>
      <c r="EMG35" s="2795"/>
      <c r="EMH35" s="2795"/>
      <c r="EMI35" s="2795"/>
      <c r="EMJ35" s="2795"/>
      <c r="EMK35" s="2795"/>
      <c r="EML35" s="2795"/>
      <c r="EMM35" s="2795"/>
      <c r="EMN35" s="2795"/>
      <c r="EMO35" s="2795"/>
      <c r="EMP35" s="2795"/>
      <c r="EMQ35" s="2795"/>
      <c r="EMR35" s="2795"/>
      <c r="EMS35" s="2795"/>
      <c r="EMT35" s="2795"/>
      <c r="EMU35" s="2795"/>
      <c r="EMV35" s="2795"/>
      <c r="EMW35" s="2795"/>
      <c r="EMX35" s="2795"/>
      <c r="EMY35" s="2795"/>
      <c r="EMZ35" s="2795"/>
      <c r="ENA35" s="2795"/>
      <c r="ENB35" s="2795"/>
      <c r="ENC35" s="2795"/>
      <c r="END35" s="2795"/>
      <c r="ENE35" s="2795"/>
      <c r="ENF35" s="2795"/>
      <c r="ENG35" s="2795"/>
      <c r="ENH35" s="2795"/>
      <c r="ENI35" s="2795"/>
      <c r="ENJ35" s="2795"/>
      <c r="ENK35" s="2795"/>
      <c r="ENL35" s="2795"/>
      <c r="ENM35" s="2795"/>
      <c r="ENN35" s="2795"/>
      <c r="ENO35" s="2795"/>
      <c r="ENP35" s="2795"/>
      <c r="ENQ35" s="2795"/>
      <c r="ENR35" s="2795"/>
      <c r="ENS35" s="2795"/>
      <c r="ENT35" s="2795"/>
      <c r="ENU35" s="2795"/>
      <c r="ENV35" s="2795"/>
      <c r="ENW35" s="2795"/>
      <c r="ENX35" s="2795"/>
      <c r="ENY35" s="2795"/>
      <c r="ENZ35" s="2795"/>
      <c r="EOA35" s="2795"/>
      <c r="EOB35" s="2795"/>
      <c r="EOC35" s="2795"/>
      <c r="EOD35" s="2795"/>
      <c r="EOE35" s="2795"/>
      <c r="EOF35" s="2795"/>
      <c r="EOG35" s="2795"/>
      <c r="EOH35" s="2795"/>
      <c r="EOI35" s="2795"/>
      <c r="EOJ35" s="2795"/>
      <c r="EOK35" s="2795"/>
      <c r="EOL35" s="2795"/>
      <c r="EOM35" s="2795"/>
      <c r="EON35" s="2795"/>
      <c r="EOO35" s="2795"/>
      <c r="EOP35" s="2795"/>
      <c r="EOQ35" s="2795"/>
      <c r="EOR35" s="2795"/>
      <c r="EOS35" s="2795"/>
      <c r="EOT35" s="2795"/>
      <c r="EOU35" s="2795"/>
      <c r="EOV35" s="2795"/>
      <c r="EOW35" s="2795"/>
      <c r="EOX35" s="2795"/>
      <c r="EOY35" s="2795"/>
      <c r="EOZ35" s="2795"/>
      <c r="EPA35" s="2795"/>
      <c r="EPB35" s="2795"/>
      <c r="EPC35" s="2795"/>
      <c r="EPD35" s="2795"/>
      <c r="EPE35" s="2795"/>
      <c r="EPF35" s="2795"/>
      <c r="EPG35" s="2795"/>
      <c r="EPH35" s="2795"/>
      <c r="EPI35" s="2795"/>
      <c r="EPJ35" s="2795"/>
      <c r="EPK35" s="2795"/>
      <c r="EPL35" s="2795"/>
      <c r="EPM35" s="2795"/>
      <c r="EPN35" s="2795"/>
      <c r="EPO35" s="2795"/>
      <c r="EPP35" s="2795"/>
      <c r="EPQ35" s="2795"/>
      <c r="EPR35" s="2795"/>
      <c r="EPS35" s="2795"/>
      <c r="EPT35" s="2795"/>
      <c r="EPU35" s="2795"/>
      <c r="EPV35" s="2795"/>
      <c r="EPW35" s="2795"/>
      <c r="EPX35" s="2795"/>
      <c r="EPY35" s="2795"/>
      <c r="EPZ35" s="2795"/>
      <c r="EQA35" s="2795"/>
      <c r="EQB35" s="2795"/>
      <c r="EQC35" s="2795"/>
      <c r="EQD35" s="2795"/>
      <c r="EQE35" s="2795"/>
      <c r="EQF35" s="2795"/>
      <c r="EQG35" s="2795"/>
      <c r="EQH35" s="2795"/>
      <c r="EQI35" s="2795"/>
      <c r="EQJ35" s="2795"/>
      <c r="EQK35" s="2795"/>
      <c r="EQL35" s="2795"/>
      <c r="EQM35" s="2795"/>
      <c r="EQN35" s="2795"/>
      <c r="EQO35" s="2795"/>
      <c r="EQP35" s="2795"/>
      <c r="EQQ35" s="2795"/>
      <c r="EQR35" s="2795"/>
      <c r="EQS35" s="2795"/>
      <c r="EQT35" s="2795"/>
      <c r="EQU35" s="2795"/>
      <c r="EQV35" s="2795"/>
      <c r="EQW35" s="2795"/>
      <c r="EQX35" s="2795"/>
      <c r="EQY35" s="2795"/>
      <c r="EQZ35" s="2795"/>
      <c r="ERA35" s="2795"/>
      <c r="ERB35" s="2795"/>
      <c r="ERC35" s="2795"/>
      <c r="ERD35" s="2795"/>
      <c r="ERE35" s="2795"/>
      <c r="ERF35" s="2795"/>
      <c r="ERG35" s="2795"/>
      <c r="ERH35" s="2795"/>
      <c r="ERI35" s="2795"/>
      <c r="ERJ35" s="2795"/>
      <c r="ERK35" s="2795"/>
      <c r="ERL35" s="2795"/>
      <c r="ERM35" s="2795"/>
      <c r="ERN35" s="2795"/>
      <c r="ERO35" s="2795"/>
      <c r="ERP35" s="2795"/>
      <c r="ERQ35" s="2795"/>
      <c r="ERR35" s="2795"/>
      <c r="ERS35" s="2795"/>
      <c r="ERT35" s="2795"/>
      <c r="ERU35" s="2795"/>
      <c r="ERV35" s="2795"/>
      <c r="ERW35" s="2795"/>
      <c r="ERX35" s="2795"/>
      <c r="ERY35" s="2795"/>
      <c r="ERZ35" s="2795"/>
      <c r="ESA35" s="2795"/>
      <c r="ESB35" s="2795"/>
      <c r="ESC35" s="2795"/>
      <c r="ESD35" s="2795"/>
      <c r="ESE35" s="2795"/>
      <c r="ESF35" s="2795"/>
      <c r="ESG35" s="2795"/>
      <c r="ESH35" s="2795"/>
      <c r="ESI35" s="2795"/>
      <c r="ESJ35" s="2795"/>
      <c r="ESK35" s="2795"/>
      <c r="ESL35" s="2795"/>
      <c r="ESM35" s="2795"/>
      <c r="ESN35" s="2795"/>
      <c r="ESO35" s="2795"/>
      <c r="ESP35" s="2795"/>
      <c r="ESQ35" s="2795"/>
      <c r="ESR35" s="2795"/>
      <c r="ESS35" s="2795"/>
      <c r="EST35" s="2795"/>
      <c r="ESU35" s="2795"/>
      <c r="ESV35" s="2795"/>
      <c r="ESW35" s="2795"/>
      <c r="ESX35" s="2795"/>
      <c r="ESY35" s="2795"/>
      <c r="ESZ35" s="2795"/>
      <c r="ETA35" s="2795"/>
      <c r="ETB35" s="2795"/>
      <c r="ETC35" s="2795"/>
      <c r="ETD35" s="2795"/>
      <c r="ETE35" s="2795"/>
      <c r="ETF35" s="2795"/>
      <c r="ETG35" s="2795"/>
      <c r="ETH35" s="2795"/>
      <c r="ETI35" s="2795"/>
      <c r="ETJ35" s="2795"/>
      <c r="ETK35" s="2795"/>
      <c r="ETL35" s="2795"/>
      <c r="ETM35" s="2795"/>
      <c r="ETN35" s="2795"/>
      <c r="ETO35" s="2795"/>
      <c r="ETP35" s="2795"/>
      <c r="ETQ35" s="2795"/>
      <c r="ETR35" s="2795"/>
      <c r="ETS35" s="2795"/>
      <c r="ETT35" s="2795"/>
      <c r="ETU35" s="2795"/>
      <c r="ETV35" s="2795"/>
      <c r="ETW35" s="2795"/>
      <c r="ETX35" s="2795"/>
      <c r="ETY35" s="2795"/>
      <c r="ETZ35" s="2795"/>
      <c r="EUA35" s="2795"/>
      <c r="EUB35" s="2795"/>
      <c r="EUC35" s="2795"/>
      <c r="EUD35" s="2795"/>
      <c r="EUE35" s="2795"/>
      <c r="EUF35" s="2795"/>
      <c r="EUG35" s="2795"/>
      <c r="EUH35" s="2795"/>
      <c r="EUI35" s="2795"/>
      <c r="EUJ35" s="2795"/>
      <c r="EUK35" s="2795"/>
      <c r="EUL35" s="2795"/>
      <c r="EUM35" s="2795"/>
      <c r="EUN35" s="2795"/>
      <c r="EUO35" s="2795"/>
      <c r="EUP35" s="2795"/>
      <c r="EUQ35" s="2795"/>
      <c r="EUR35" s="2795"/>
      <c r="EUS35" s="2795"/>
      <c r="EUT35" s="2795"/>
      <c r="EUU35" s="2795"/>
      <c r="EUV35" s="2795"/>
      <c r="EUW35" s="2795"/>
      <c r="EUX35" s="2795"/>
      <c r="EUY35" s="2795"/>
      <c r="EUZ35" s="2795"/>
      <c r="EVA35" s="2795"/>
      <c r="EVB35" s="2795"/>
      <c r="EVC35" s="2795"/>
      <c r="EVD35" s="2795"/>
      <c r="EVE35" s="2795"/>
      <c r="EVF35" s="2795"/>
      <c r="EVG35" s="2795"/>
      <c r="EVH35" s="2795"/>
      <c r="EVI35" s="2795"/>
      <c r="EVJ35" s="2795"/>
      <c r="EVK35" s="2795"/>
      <c r="EVL35" s="2795"/>
      <c r="EVM35" s="2795"/>
      <c r="EVN35" s="2795"/>
      <c r="EVO35" s="2795"/>
      <c r="EVP35" s="2795"/>
      <c r="EVQ35" s="2795"/>
      <c r="EVR35" s="2795"/>
      <c r="EVS35" s="2795"/>
      <c r="EVT35" s="2795"/>
      <c r="EVU35" s="2795"/>
      <c r="EVV35" s="2795"/>
      <c r="EVW35" s="2795"/>
      <c r="EVX35" s="2795"/>
      <c r="EVY35" s="2795"/>
      <c r="EVZ35" s="2795"/>
      <c r="EWA35" s="2795"/>
      <c r="EWB35" s="2795"/>
      <c r="EWC35" s="2795"/>
      <c r="EWD35" s="2795"/>
      <c r="EWE35" s="2795"/>
      <c r="EWF35" s="2795"/>
      <c r="EWG35" s="2795"/>
      <c r="EWH35" s="2795"/>
      <c r="EWI35" s="2795"/>
      <c r="EWJ35" s="2795"/>
      <c r="EWK35" s="2795"/>
      <c r="EWL35" s="2795"/>
      <c r="EWM35" s="2795"/>
      <c r="EWN35" s="2795"/>
      <c r="EWO35" s="2795"/>
      <c r="EWP35" s="2795"/>
      <c r="EWQ35" s="2795"/>
      <c r="EWR35" s="2795"/>
      <c r="EWS35" s="2795"/>
      <c r="EWT35" s="2795"/>
      <c r="EWU35" s="2795"/>
      <c r="EWV35" s="2795"/>
      <c r="EWW35" s="2795"/>
      <c r="EWX35" s="2795"/>
      <c r="EWY35" s="2795"/>
      <c r="EWZ35" s="2795"/>
      <c r="EXA35" s="2795"/>
      <c r="EXB35" s="2795"/>
      <c r="EXC35" s="2795"/>
      <c r="EXD35" s="2795"/>
      <c r="EXE35" s="2795"/>
      <c r="EXF35" s="2795"/>
      <c r="EXG35" s="2795"/>
      <c r="EXH35" s="2795"/>
      <c r="EXI35" s="2795"/>
      <c r="EXJ35" s="2795"/>
      <c r="EXK35" s="2795"/>
      <c r="EXL35" s="2795"/>
      <c r="EXM35" s="2795"/>
      <c r="EXN35" s="2795"/>
      <c r="EXO35" s="2795"/>
      <c r="EXP35" s="2795"/>
      <c r="EXQ35" s="2795"/>
      <c r="EXR35" s="2795"/>
      <c r="EXS35" s="2795"/>
      <c r="EXT35" s="2795"/>
      <c r="EXU35" s="2795"/>
      <c r="EXV35" s="2795"/>
      <c r="EXW35" s="2795"/>
      <c r="EXX35" s="2795"/>
      <c r="EXY35" s="2795"/>
      <c r="EXZ35" s="2795"/>
      <c r="EYA35" s="2795"/>
      <c r="EYB35" s="2795"/>
      <c r="EYC35" s="2795"/>
      <c r="EYD35" s="2795"/>
      <c r="EYE35" s="2795"/>
      <c r="EYF35" s="2795"/>
      <c r="EYG35" s="2795"/>
      <c r="EYH35" s="2795"/>
      <c r="EYI35" s="2795"/>
      <c r="EYJ35" s="2795"/>
      <c r="EYK35" s="2795"/>
      <c r="EYL35" s="2795"/>
      <c r="EYM35" s="2795"/>
      <c r="EYN35" s="2795"/>
      <c r="EYO35" s="2795"/>
      <c r="EYP35" s="2795"/>
      <c r="EYQ35" s="2795"/>
      <c r="EYR35" s="2795"/>
      <c r="EYS35" s="2795"/>
      <c r="EYT35" s="2795"/>
      <c r="EYU35" s="2795"/>
      <c r="EYV35" s="2795"/>
      <c r="EYW35" s="2795"/>
      <c r="EYX35" s="2795"/>
      <c r="EYY35" s="2795"/>
      <c r="EYZ35" s="2795"/>
      <c r="EZA35" s="2795"/>
      <c r="EZB35" s="2795"/>
      <c r="EZC35" s="2795"/>
      <c r="EZD35" s="2795"/>
      <c r="EZE35" s="2795"/>
      <c r="EZF35" s="2795"/>
      <c r="EZG35" s="2795"/>
      <c r="EZH35" s="2795"/>
      <c r="EZI35" s="2795"/>
      <c r="EZJ35" s="2795"/>
      <c r="EZK35" s="2795"/>
      <c r="EZL35" s="2795"/>
      <c r="EZM35" s="2795"/>
      <c r="EZN35" s="2795"/>
      <c r="EZO35" s="2795"/>
      <c r="EZP35" s="2795"/>
      <c r="EZQ35" s="2795"/>
      <c r="EZR35" s="2795"/>
      <c r="EZS35" s="2795"/>
      <c r="EZT35" s="2795"/>
      <c r="EZU35" s="2795"/>
      <c r="EZV35" s="2795"/>
      <c r="EZW35" s="2795"/>
      <c r="EZX35" s="2795"/>
      <c r="EZY35" s="2795"/>
      <c r="EZZ35" s="2795"/>
      <c r="FAA35" s="2795"/>
      <c r="FAB35" s="2795"/>
      <c r="FAC35" s="2795"/>
      <c r="FAD35" s="2795"/>
      <c r="FAE35" s="2795"/>
      <c r="FAF35" s="2795"/>
      <c r="FAG35" s="2795"/>
      <c r="FAH35" s="2795"/>
      <c r="FAI35" s="2795"/>
      <c r="FAJ35" s="2795"/>
      <c r="FAK35" s="2795"/>
      <c r="FAL35" s="2795"/>
      <c r="FAM35" s="2795"/>
      <c r="FAN35" s="2795"/>
      <c r="FAO35" s="2795"/>
      <c r="FAP35" s="2795"/>
      <c r="FAQ35" s="2795"/>
      <c r="FAR35" s="2795"/>
      <c r="FAS35" s="2795"/>
      <c r="FAT35" s="2795"/>
      <c r="FAU35" s="2795"/>
      <c r="FAV35" s="2795"/>
      <c r="FAW35" s="2795"/>
      <c r="FAX35" s="2795"/>
      <c r="FAY35" s="2795"/>
      <c r="FAZ35" s="2795"/>
      <c r="FBA35" s="2795"/>
      <c r="FBB35" s="2795"/>
      <c r="FBC35" s="2795"/>
      <c r="FBD35" s="2795"/>
      <c r="FBE35" s="2795"/>
      <c r="FBF35" s="2795"/>
      <c r="FBG35" s="2795"/>
      <c r="FBH35" s="2795"/>
      <c r="FBI35" s="2795"/>
      <c r="FBJ35" s="2795"/>
      <c r="FBK35" s="2795"/>
      <c r="FBL35" s="2795"/>
      <c r="FBM35" s="2795"/>
      <c r="FBN35" s="2795"/>
      <c r="FBO35" s="2795"/>
      <c r="FBP35" s="2795"/>
      <c r="FBQ35" s="2795"/>
      <c r="FBR35" s="2795"/>
      <c r="FBS35" s="2795"/>
      <c r="FBT35" s="2795"/>
      <c r="FBU35" s="2795"/>
      <c r="FBV35" s="2795"/>
      <c r="FBW35" s="2795"/>
      <c r="FBX35" s="2795"/>
      <c r="FBY35" s="2795"/>
      <c r="FBZ35" s="2795"/>
      <c r="FCA35" s="2795"/>
      <c r="FCB35" s="2795"/>
      <c r="FCC35" s="2795"/>
      <c r="FCD35" s="2795"/>
      <c r="FCE35" s="2795"/>
      <c r="FCF35" s="2795"/>
      <c r="FCG35" s="2795"/>
      <c r="FCH35" s="2795"/>
      <c r="FCI35" s="2795"/>
      <c r="FCJ35" s="2795"/>
      <c r="FCK35" s="2795"/>
      <c r="FCL35" s="2795"/>
      <c r="FCM35" s="2795"/>
      <c r="FCN35" s="2795"/>
      <c r="FCO35" s="2795"/>
      <c r="FCP35" s="2795"/>
      <c r="FCQ35" s="2795"/>
      <c r="FCR35" s="2795"/>
      <c r="FCS35" s="2795"/>
      <c r="FCT35" s="2795"/>
      <c r="FCU35" s="2795"/>
      <c r="FCV35" s="2795"/>
      <c r="FCW35" s="2795"/>
      <c r="FCX35" s="2795"/>
      <c r="FCY35" s="2795"/>
      <c r="FCZ35" s="2795"/>
      <c r="FDA35" s="2795"/>
      <c r="FDB35" s="2795"/>
      <c r="FDC35" s="2795"/>
      <c r="FDD35" s="2795"/>
      <c r="FDE35" s="2795"/>
      <c r="FDF35" s="2795"/>
      <c r="FDG35" s="2795"/>
      <c r="FDH35" s="2795"/>
      <c r="FDI35" s="2795"/>
      <c r="FDJ35" s="2795"/>
      <c r="FDK35" s="2795"/>
      <c r="FDL35" s="2795"/>
      <c r="FDM35" s="2795"/>
      <c r="FDN35" s="2795"/>
      <c r="FDO35" s="2795"/>
      <c r="FDP35" s="2795"/>
      <c r="FDQ35" s="2795"/>
      <c r="FDR35" s="2795"/>
      <c r="FDS35" s="2795"/>
      <c r="FDT35" s="2795"/>
      <c r="FDU35" s="2795"/>
      <c r="FDV35" s="2795"/>
      <c r="FDW35" s="2795"/>
      <c r="FDX35" s="2795"/>
      <c r="FDY35" s="2795"/>
      <c r="FDZ35" s="2795"/>
      <c r="FEA35" s="2795"/>
      <c r="FEB35" s="2795"/>
      <c r="FEC35" s="2795"/>
      <c r="FED35" s="2795"/>
      <c r="FEE35" s="2795"/>
      <c r="FEF35" s="2795"/>
      <c r="FEG35" s="2795"/>
      <c r="FEH35" s="2795"/>
      <c r="FEI35" s="2795"/>
      <c r="FEJ35" s="2795"/>
      <c r="FEK35" s="2795"/>
      <c r="FEL35" s="2795"/>
      <c r="FEM35" s="2795"/>
      <c r="FEN35" s="2795"/>
      <c r="FEO35" s="2795"/>
      <c r="FEP35" s="2795"/>
      <c r="FEQ35" s="2795"/>
      <c r="FER35" s="2795"/>
      <c r="FES35" s="2795"/>
      <c r="FET35" s="2795"/>
      <c r="FEU35" s="2795"/>
      <c r="FEV35" s="2795"/>
      <c r="FEW35" s="2795"/>
      <c r="FEX35" s="2795"/>
      <c r="FEY35" s="2795"/>
      <c r="FEZ35" s="2795"/>
      <c r="FFA35" s="2795"/>
      <c r="FFB35" s="2795"/>
      <c r="FFC35" s="2795"/>
      <c r="FFD35" s="2795"/>
      <c r="FFE35" s="2795"/>
      <c r="FFF35" s="2795"/>
      <c r="FFG35" s="2795"/>
      <c r="FFH35" s="2795"/>
      <c r="FFI35" s="2795"/>
      <c r="FFJ35" s="2795"/>
      <c r="FFK35" s="2795"/>
      <c r="FFL35" s="2795"/>
      <c r="FFM35" s="2795"/>
      <c r="FFN35" s="2795"/>
      <c r="FFO35" s="2795"/>
      <c r="FFP35" s="2795"/>
      <c r="FFQ35" s="2795"/>
      <c r="FFR35" s="2795"/>
      <c r="FFS35" s="2795"/>
      <c r="FFT35" s="2795"/>
      <c r="FFU35" s="2795"/>
      <c r="FFV35" s="2795"/>
      <c r="FFW35" s="2795"/>
      <c r="FFX35" s="2795"/>
      <c r="FFY35" s="2795"/>
      <c r="FFZ35" s="2795"/>
      <c r="FGA35" s="2795"/>
      <c r="FGB35" s="2795"/>
      <c r="FGC35" s="2795"/>
      <c r="FGD35" s="2795"/>
      <c r="FGE35" s="2795"/>
      <c r="FGF35" s="2795"/>
      <c r="FGG35" s="2795"/>
      <c r="FGH35" s="2795"/>
      <c r="FGI35" s="2795"/>
      <c r="FGJ35" s="2795"/>
      <c r="FGK35" s="2795"/>
      <c r="FGL35" s="2795"/>
      <c r="FGM35" s="2795"/>
      <c r="FGN35" s="2795"/>
      <c r="FGO35" s="2795"/>
      <c r="FGP35" s="2795"/>
      <c r="FGQ35" s="2795"/>
      <c r="FGR35" s="2795"/>
      <c r="FGS35" s="2795"/>
      <c r="FGT35" s="2795"/>
      <c r="FGU35" s="2795"/>
      <c r="FGV35" s="2795"/>
      <c r="FGW35" s="2795"/>
      <c r="FGX35" s="2795"/>
      <c r="FGY35" s="2795"/>
      <c r="FGZ35" s="2795"/>
      <c r="FHA35" s="2795"/>
      <c r="FHB35" s="2795"/>
      <c r="FHC35" s="2795"/>
      <c r="FHD35" s="2795"/>
      <c r="FHE35" s="2795"/>
      <c r="FHF35" s="2795"/>
      <c r="FHG35" s="2795"/>
      <c r="FHH35" s="2795"/>
      <c r="FHI35" s="2795"/>
      <c r="FHJ35" s="2795"/>
      <c r="FHK35" s="2795"/>
      <c r="FHL35" s="2795"/>
      <c r="FHM35" s="2795"/>
      <c r="FHN35" s="2795"/>
      <c r="FHO35" s="2795"/>
      <c r="FHP35" s="2795"/>
      <c r="FHQ35" s="2795"/>
      <c r="FHR35" s="2795"/>
      <c r="FHS35" s="2795"/>
      <c r="FHT35" s="2795"/>
      <c r="FHU35" s="2795"/>
      <c r="FHV35" s="2795"/>
      <c r="FHW35" s="2795"/>
      <c r="FHX35" s="2795"/>
      <c r="FHY35" s="2795"/>
      <c r="FHZ35" s="2795"/>
      <c r="FIA35" s="2795"/>
      <c r="FIB35" s="2795"/>
      <c r="FIC35" s="2795"/>
      <c r="FID35" s="2795"/>
      <c r="FIE35" s="2795"/>
      <c r="FIF35" s="2795"/>
      <c r="FIG35" s="2795"/>
      <c r="FIH35" s="2795"/>
      <c r="FII35" s="2795"/>
      <c r="FIJ35" s="2795"/>
      <c r="FIK35" s="2795"/>
      <c r="FIL35" s="2795"/>
      <c r="FIM35" s="2795"/>
      <c r="FIN35" s="2795"/>
      <c r="FIO35" s="2795"/>
      <c r="FIP35" s="2795"/>
      <c r="FIQ35" s="2795"/>
      <c r="FIR35" s="2795"/>
      <c r="FIS35" s="2795"/>
      <c r="FIT35" s="2795"/>
      <c r="FIU35" s="2795"/>
      <c r="FIV35" s="2795"/>
      <c r="FIW35" s="2795"/>
      <c r="FIX35" s="2795"/>
      <c r="FIY35" s="2795"/>
      <c r="FIZ35" s="2795"/>
      <c r="FJA35" s="2795"/>
      <c r="FJB35" s="2795"/>
      <c r="FJC35" s="2795"/>
      <c r="FJD35" s="2795"/>
      <c r="FJE35" s="2795"/>
      <c r="FJF35" s="2795"/>
      <c r="FJG35" s="2795"/>
      <c r="FJH35" s="2795"/>
      <c r="FJI35" s="2795"/>
      <c r="FJJ35" s="2795"/>
      <c r="FJK35" s="2795"/>
      <c r="FJL35" s="2795"/>
      <c r="FJM35" s="2795"/>
      <c r="FJN35" s="2795"/>
      <c r="FJO35" s="2795"/>
      <c r="FJP35" s="2795"/>
      <c r="FJQ35" s="2795"/>
      <c r="FJR35" s="2795"/>
      <c r="FJS35" s="2795"/>
      <c r="FJT35" s="2795"/>
      <c r="FJU35" s="2795"/>
      <c r="FJV35" s="2795"/>
      <c r="FJW35" s="2795"/>
      <c r="FJX35" s="2795"/>
      <c r="FJY35" s="2795"/>
      <c r="FJZ35" s="2795"/>
      <c r="FKA35" s="2795"/>
      <c r="FKB35" s="2795"/>
      <c r="FKC35" s="2795"/>
      <c r="FKD35" s="2795"/>
      <c r="FKE35" s="2795"/>
      <c r="FKF35" s="2795"/>
      <c r="FKG35" s="2795"/>
      <c r="FKH35" s="2795"/>
      <c r="FKI35" s="2795"/>
      <c r="FKJ35" s="2795"/>
      <c r="FKK35" s="2795"/>
      <c r="FKL35" s="2795"/>
      <c r="FKM35" s="2795"/>
      <c r="FKN35" s="2795"/>
      <c r="FKO35" s="2795"/>
      <c r="FKP35" s="2795"/>
      <c r="FKQ35" s="2795"/>
      <c r="FKR35" s="2795"/>
      <c r="FKS35" s="2795"/>
      <c r="FKT35" s="2795"/>
      <c r="FKU35" s="2795"/>
      <c r="FKV35" s="2795"/>
      <c r="FKW35" s="2795"/>
      <c r="FKX35" s="2795"/>
      <c r="FKY35" s="2795"/>
      <c r="FKZ35" s="2795"/>
      <c r="FLA35" s="2795"/>
      <c r="FLB35" s="2795"/>
      <c r="FLC35" s="2795"/>
      <c r="FLD35" s="2795"/>
      <c r="FLE35" s="2795"/>
      <c r="FLF35" s="2795"/>
      <c r="FLG35" s="2795"/>
      <c r="FLH35" s="2795"/>
      <c r="FLI35" s="2795"/>
      <c r="FLJ35" s="2795"/>
      <c r="FLK35" s="2795"/>
      <c r="FLL35" s="2795"/>
      <c r="FLM35" s="2795"/>
      <c r="FLN35" s="2795"/>
      <c r="FLO35" s="2795"/>
      <c r="FLP35" s="2795"/>
      <c r="FLQ35" s="2795"/>
      <c r="FLR35" s="2795"/>
      <c r="FLS35" s="2795"/>
      <c r="FLT35" s="2795"/>
      <c r="FLU35" s="2795"/>
      <c r="FLV35" s="2795"/>
      <c r="FLW35" s="2795"/>
      <c r="FLX35" s="2795"/>
      <c r="FLY35" s="2795"/>
      <c r="FLZ35" s="2795"/>
      <c r="FMA35" s="2795"/>
      <c r="FMB35" s="2795"/>
      <c r="FMC35" s="2795"/>
      <c r="FMD35" s="2795"/>
      <c r="FME35" s="2795"/>
      <c r="FMF35" s="2795"/>
      <c r="FMG35" s="2795"/>
      <c r="FMH35" s="2795"/>
      <c r="FMI35" s="2795"/>
      <c r="FMJ35" s="2795"/>
      <c r="FMK35" s="2795"/>
      <c r="FML35" s="2795"/>
      <c r="FMM35" s="2795"/>
      <c r="FMN35" s="2795"/>
      <c r="FMO35" s="2795"/>
      <c r="FMP35" s="2795"/>
      <c r="FMQ35" s="2795"/>
      <c r="FMR35" s="2795"/>
      <c r="FMS35" s="2795"/>
      <c r="FMT35" s="2795"/>
      <c r="FMU35" s="2795"/>
      <c r="FMV35" s="2795"/>
      <c r="FMW35" s="2795"/>
      <c r="FMX35" s="2795"/>
      <c r="FMY35" s="2795"/>
      <c r="FMZ35" s="2795"/>
      <c r="FNA35" s="2795"/>
      <c r="FNB35" s="2795"/>
      <c r="FNC35" s="2795"/>
      <c r="FND35" s="2795"/>
      <c r="FNE35" s="2795"/>
      <c r="FNF35" s="2795"/>
      <c r="FNG35" s="2795"/>
      <c r="FNH35" s="2795"/>
      <c r="FNI35" s="2795"/>
      <c r="FNJ35" s="2795"/>
      <c r="FNK35" s="2795"/>
      <c r="FNL35" s="2795"/>
      <c r="FNM35" s="2795"/>
      <c r="FNN35" s="2795"/>
      <c r="FNO35" s="2795"/>
      <c r="FNP35" s="2795"/>
      <c r="FNQ35" s="2795"/>
      <c r="FNR35" s="2795"/>
      <c r="FNS35" s="2795"/>
      <c r="FNT35" s="2795"/>
      <c r="FNU35" s="2795"/>
      <c r="FNV35" s="2795"/>
      <c r="FNW35" s="2795"/>
      <c r="FNX35" s="2795"/>
      <c r="FNY35" s="2795"/>
      <c r="FNZ35" s="2795"/>
      <c r="FOA35" s="2795"/>
      <c r="FOB35" s="2795"/>
      <c r="FOC35" s="2795"/>
      <c r="FOD35" s="2795"/>
      <c r="FOE35" s="2795"/>
      <c r="FOF35" s="2795"/>
      <c r="FOG35" s="2795"/>
      <c r="FOH35" s="2795"/>
      <c r="FOI35" s="2795"/>
      <c r="FOJ35" s="2795"/>
      <c r="FOK35" s="2795"/>
      <c r="FOL35" s="2795"/>
      <c r="FOM35" s="2795"/>
      <c r="FON35" s="2795"/>
      <c r="FOO35" s="2795"/>
      <c r="FOP35" s="2795"/>
      <c r="FOQ35" s="2795"/>
      <c r="FOR35" s="2795"/>
      <c r="FOS35" s="2795"/>
      <c r="FOT35" s="2795"/>
      <c r="FOU35" s="2795"/>
      <c r="FOV35" s="2795"/>
      <c r="FOW35" s="2795"/>
      <c r="FOX35" s="2795"/>
      <c r="FOY35" s="2795"/>
      <c r="FOZ35" s="2795"/>
      <c r="FPA35" s="2795"/>
      <c r="FPB35" s="2795"/>
      <c r="FPC35" s="2795"/>
      <c r="FPD35" s="2795"/>
      <c r="FPE35" s="2795"/>
      <c r="FPF35" s="2795"/>
      <c r="FPG35" s="2795"/>
      <c r="FPH35" s="2795"/>
      <c r="FPI35" s="2795"/>
      <c r="FPJ35" s="2795"/>
      <c r="FPK35" s="2795"/>
      <c r="FPL35" s="2795"/>
      <c r="FPM35" s="2795"/>
      <c r="FPN35" s="2795"/>
      <c r="FPO35" s="2795"/>
      <c r="FPP35" s="2795"/>
      <c r="FPQ35" s="2795"/>
      <c r="FPR35" s="2795"/>
      <c r="FPS35" s="2795"/>
      <c r="FPT35" s="2795"/>
      <c r="FPU35" s="2795"/>
      <c r="FPV35" s="2795"/>
      <c r="FPW35" s="2795"/>
      <c r="FPX35" s="2795"/>
      <c r="FPY35" s="2795"/>
      <c r="FPZ35" s="2795"/>
      <c r="FQA35" s="2795"/>
      <c r="FQB35" s="2795"/>
      <c r="FQC35" s="2795"/>
      <c r="FQD35" s="2795"/>
      <c r="FQE35" s="2795"/>
      <c r="FQF35" s="2795"/>
      <c r="FQG35" s="2795"/>
      <c r="FQH35" s="2795"/>
      <c r="FQI35" s="2795"/>
      <c r="FQJ35" s="2795"/>
      <c r="FQK35" s="2795"/>
      <c r="FQL35" s="2795"/>
      <c r="FQM35" s="2795"/>
      <c r="FQN35" s="2795"/>
      <c r="FQO35" s="2795"/>
      <c r="FQP35" s="2795"/>
      <c r="FQQ35" s="2795"/>
      <c r="FQR35" s="2795"/>
      <c r="FQS35" s="2795"/>
      <c r="FQT35" s="2795"/>
      <c r="FQU35" s="2795"/>
      <c r="FQV35" s="2795"/>
      <c r="FQW35" s="2795"/>
      <c r="FQX35" s="2795"/>
      <c r="FQY35" s="2795"/>
      <c r="FQZ35" s="2795"/>
      <c r="FRA35" s="2795"/>
      <c r="FRB35" s="2795"/>
      <c r="FRC35" s="2795"/>
      <c r="FRD35" s="2795"/>
      <c r="FRE35" s="2795"/>
      <c r="FRF35" s="2795"/>
      <c r="FRG35" s="2795"/>
      <c r="FRH35" s="2795"/>
      <c r="FRI35" s="2795"/>
      <c r="FRJ35" s="2795"/>
      <c r="FRK35" s="2795"/>
      <c r="FRL35" s="2795"/>
      <c r="FRM35" s="2795"/>
      <c r="FRN35" s="2795"/>
      <c r="FRO35" s="2795"/>
      <c r="FRP35" s="2795"/>
      <c r="FRQ35" s="2795"/>
      <c r="FRR35" s="2795"/>
      <c r="FRS35" s="2795"/>
      <c r="FRT35" s="2795"/>
      <c r="FRU35" s="2795"/>
      <c r="FRV35" s="2795"/>
      <c r="FRW35" s="2795"/>
      <c r="FRX35" s="2795"/>
      <c r="FRY35" s="2795"/>
      <c r="FRZ35" s="2795"/>
      <c r="FSA35" s="2795"/>
      <c r="FSB35" s="2795"/>
      <c r="FSC35" s="2795"/>
      <c r="FSD35" s="2795"/>
      <c r="FSE35" s="2795"/>
      <c r="FSF35" s="2795"/>
      <c r="FSG35" s="2795"/>
      <c r="FSH35" s="2795"/>
      <c r="FSI35" s="2795"/>
      <c r="FSJ35" s="2795"/>
      <c r="FSK35" s="2795"/>
      <c r="FSL35" s="2795"/>
      <c r="FSM35" s="2795"/>
      <c r="FSN35" s="2795"/>
      <c r="FSO35" s="2795"/>
      <c r="FSP35" s="2795"/>
      <c r="FSQ35" s="2795"/>
      <c r="FSR35" s="2795"/>
      <c r="FSS35" s="2795"/>
      <c r="FST35" s="2795"/>
      <c r="FSU35" s="2795"/>
      <c r="FSV35" s="2795"/>
      <c r="FSW35" s="2795"/>
      <c r="FSX35" s="2795"/>
      <c r="FSY35" s="2795"/>
      <c r="FSZ35" s="2795"/>
      <c r="FTA35" s="2795"/>
      <c r="FTB35" s="2795"/>
      <c r="FTC35" s="2795"/>
      <c r="FTD35" s="2795"/>
      <c r="FTE35" s="2795"/>
      <c r="FTF35" s="2795"/>
      <c r="FTG35" s="2795"/>
      <c r="FTH35" s="2795"/>
      <c r="FTI35" s="2795"/>
      <c r="FTJ35" s="2795"/>
      <c r="FTK35" s="2795"/>
      <c r="FTL35" s="2795"/>
      <c r="FTM35" s="2795"/>
      <c r="FTN35" s="2795"/>
      <c r="FTO35" s="2795"/>
      <c r="FTP35" s="2795"/>
      <c r="FTQ35" s="2795"/>
      <c r="FTR35" s="2795"/>
      <c r="FTS35" s="2795"/>
      <c r="FTT35" s="2795"/>
      <c r="FTU35" s="2795"/>
      <c r="FTV35" s="2795"/>
      <c r="FTW35" s="2795"/>
      <c r="FTX35" s="2795"/>
      <c r="FTY35" s="2795"/>
      <c r="FTZ35" s="2795"/>
      <c r="FUA35" s="2795"/>
      <c r="FUB35" s="2795"/>
      <c r="FUC35" s="2795"/>
      <c r="FUD35" s="2795"/>
      <c r="FUE35" s="2795"/>
      <c r="FUF35" s="2795"/>
      <c r="FUG35" s="2795"/>
      <c r="FUH35" s="2795"/>
      <c r="FUI35" s="2795"/>
      <c r="FUJ35" s="2795"/>
      <c r="FUK35" s="2795"/>
      <c r="FUL35" s="2795"/>
      <c r="FUM35" s="2795"/>
      <c r="FUN35" s="2795"/>
      <c r="FUO35" s="2795"/>
      <c r="FUP35" s="2795"/>
      <c r="FUQ35" s="2795"/>
      <c r="FUR35" s="2795"/>
      <c r="FUS35" s="2795"/>
      <c r="FUT35" s="2795"/>
      <c r="FUU35" s="2795"/>
      <c r="FUV35" s="2795"/>
      <c r="FUW35" s="2795"/>
      <c r="FUX35" s="2795"/>
      <c r="FUY35" s="2795"/>
      <c r="FUZ35" s="2795"/>
      <c r="FVA35" s="2795"/>
      <c r="FVB35" s="2795"/>
      <c r="FVC35" s="2795"/>
      <c r="FVD35" s="2795"/>
      <c r="FVE35" s="2795"/>
      <c r="FVF35" s="2795"/>
      <c r="FVG35" s="2795"/>
      <c r="FVH35" s="2795"/>
      <c r="FVI35" s="2795"/>
      <c r="FVJ35" s="2795"/>
      <c r="FVK35" s="2795"/>
      <c r="FVL35" s="2795"/>
      <c r="FVM35" s="2795"/>
      <c r="FVN35" s="2795"/>
      <c r="FVO35" s="2795"/>
      <c r="FVP35" s="2795"/>
      <c r="FVQ35" s="2795"/>
      <c r="FVR35" s="2795"/>
      <c r="FVS35" s="2795"/>
      <c r="FVT35" s="2795"/>
      <c r="FVU35" s="2795"/>
      <c r="FVV35" s="2795"/>
      <c r="FVW35" s="2795"/>
      <c r="FVX35" s="2795"/>
      <c r="FVY35" s="2795"/>
      <c r="FVZ35" s="2795"/>
      <c r="FWA35" s="2795"/>
      <c r="FWB35" s="2795"/>
      <c r="FWC35" s="2795"/>
      <c r="FWD35" s="2795"/>
      <c r="FWE35" s="2795"/>
      <c r="FWF35" s="2795"/>
      <c r="FWG35" s="2795"/>
      <c r="FWH35" s="2795"/>
      <c r="FWI35" s="2795"/>
      <c r="FWJ35" s="2795"/>
      <c r="FWK35" s="2795"/>
      <c r="FWL35" s="2795"/>
      <c r="FWM35" s="2795"/>
      <c r="FWN35" s="2795"/>
      <c r="FWO35" s="2795"/>
      <c r="FWP35" s="2795"/>
      <c r="FWQ35" s="2795"/>
      <c r="FWR35" s="2795"/>
      <c r="FWS35" s="2795"/>
      <c r="FWT35" s="2795"/>
      <c r="FWU35" s="2795"/>
      <c r="FWV35" s="2795"/>
      <c r="FWW35" s="2795"/>
      <c r="FWX35" s="2795"/>
      <c r="FWY35" s="2795"/>
      <c r="FWZ35" s="2795"/>
      <c r="FXA35" s="2795"/>
      <c r="FXB35" s="2795"/>
      <c r="FXC35" s="2795"/>
      <c r="FXD35" s="2795"/>
      <c r="FXE35" s="2795"/>
      <c r="FXF35" s="2795"/>
      <c r="FXG35" s="2795"/>
      <c r="FXH35" s="2795"/>
      <c r="FXI35" s="2795"/>
      <c r="FXJ35" s="2795"/>
      <c r="FXK35" s="2795"/>
      <c r="FXL35" s="2795"/>
      <c r="FXM35" s="2795"/>
      <c r="FXN35" s="2795"/>
      <c r="FXO35" s="2795"/>
      <c r="FXP35" s="2795"/>
      <c r="FXQ35" s="2795"/>
      <c r="FXR35" s="2795"/>
      <c r="FXS35" s="2795"/>
      <c r="FXT35" s="2795"/>
      <c r="FXU35" s="2795"/>
      <c r="FXV35" s="2795"/>
      <c r="FXW35" s="2795"/>
      <c r="FXX35" s="2795"/>
      <c r="FXY35" s="2795"/>
      <c r="FXZ35" s="2795"/>
      <c r="FYA35" s="2795"/>
      <c r="FYB35" s="2795"/>
      <c r="FYC35" s="2795"/>
      <c r="FYD35" s="2795"/>
      <c r="FYE35" s="2795"/>
      <c r="FYF35" s="2795"/>
      <c r="FYG35" s="2795"/>
      <c r="FYH35" s="2795"/>
      <c r="FYI35" s="2795"/>
      <c r="FYJ35" s="2795"/>
      <c r="FYK35" s="2795"/>
      <c r="FYL35" s="2795"/>
      <c r="FYM35" s="2795"/>
      <c r="FYN35" s="2795"/>
      <c r="FYO35" s="2795"/>
      <c r="FYP35" s="2795"/>
      <c r="FYQ35" s="2795"/>
      <c r="FYR35" s="2795"/>
      <c r="FYS35" s="2795"/>
      <c r="FYT35" s="2795"/>
      <c r="FYU35" s="2795"/>
      <c r="FYV35" s="2795"/>
      <c r="FYW35" s="2795"/>
      <c r="FYX35" s="2795"/>
      <c r="FYY35" s="2795"/>
      <c r="FYZ35" s="2795"/>
      <c r="FZA35" s="2795"/>
      <c r="FZB35" s="2795"/>
      <c r="FZC35" s="2795"/>
      <c r="FZD35" s="2795"/>
      <c r="FZE35" s="2795"/>
      <c r="FZF35" s="2795"/>
      <c r="FZG35" s="2795"/>
      <c r="FZH35" s="2795"/>
      <c r="FZI35" s="2795"/>
      <c r="FZJ35" s="2795"/>
      <c r="FZK35" s="2795"/>
      <c r="FZL35" s="2795"/>
      <c r="FZM35" s="2795"/>
      <c r="FZN35" s="2795"/>
      <c r="FZO35" s="2795"/>
      <c r="FZP35" s="2795"/>
      <c r="FZQ35" s="2795"/>
      <c r="FZR35" s="2795"/>
      <c r="FZS35" s="2795"/>
      <c r="FZT35" s="2795"/>
      <c r="FZU35" s="2795"/>
      <c r="FZV35" s="2795"/>
      <c r="FZW35" s="2795"/>
      <c r="FZX35" s="2795"/>
      <c r="FZY35" s="2795"/>
      <c r="FZZ35" s="2795"/>
      <c r="GAA35" s="2795"/>
      <c r="GAB35" s="2795"/>
      <c r="GAC35" s="2795"/>
      <c r="GAD35" s="2795"/>
      <c r="GAE35" s="2795"/>
      <c r="GAF35" s="2795"/>
      <c r="GAG35" s="2795"/>
      <c r="GAH35" s="2795"/>
      <c r="GAI35" s="2795"/>
      <c r="GAJ35" s="2795"/>
      <c r="GAK35" s="2795"/>
      <c r="GAL35" s="2795"/>
      <c r="GAM35" s="2795"/>
      <c r="GAN35" s="2795"/>
      <c r="GAO35" s="2795"/>
      <c r="GAP35" s="2795"/>
      <c r="GAQ35" s="2795"/>
      <c r="GAR35" s="2795"/>
      <c r="GAS35" s="2795"/>
      <c r="GAT35" s="2795"/>
      <c r="GAU35" s="2795"/>
      <c r="GAV35" s="2795"/>
      <c r="GAW35" s="2795"/>
      <c r="GAX35" s="2795"/>
      <c r="GAY35" s="2795"/>
      <c r="GAZ35" s="2795"/>
      <c r="GBA35" s="2795"/>
      <c r="GBB35" s="2795"/>
      <c r="GBC35" s="2795"/>
      <c r="GBD35" s="2795"/>
      <c r="GBE35" s="2795"/>
      <c r="GBF35" s="2795"/>
      <c r="GBG35" s="2795"/>
      <c r="GBH35" s="2795"/>
      <c r="GBI35" s="2795"/>
      <c r="GBJ35" s="2795"/>
      <c r="GBK35" s="2795"/>
      <c r="GBL35" s="2795"/>
      <c r="GBM35" s="2795"/>
      <c r="GBN35" s="2795"/>
      <c r="GBO35" s="2795"/>
      <c r="GBP35" s="2795"/>
      <c r="GBQ35" s="2795"/>
      <c r="GBR35" s="2795"/>
      <c r="GBS35" s="2795"/>
      <c r="GBT35" s="2795"/>
      <c r="GBU35" s="2795"/>
      <c r="GBV35" s="2795"/>
      <c r="GBW35" s="2795"/>
      <c r="GBX35" s="2795"/>
      <c r="GBY35" s="2795"/>
      <c r="GBZ35" s="2795"/>
      <c r="GCA35" s="2795"/>
      <c r="GCB35" s="2795"/>
      <c r="GCC35" s="2795"/>
      <c r="GCD35" s="2795"/>
      <c r="GCE35" s="2795"/>
      <c r="GCF35" s="2795"/>
      <c r="GCG35" s="2795"/>
      <c r="GCH35" s="2795"/>
      <c r="GCI35" s="2795"/>
      <c r="GCJ35" s="2795"/>
      <c r="GCK35" s="2795"/>
      <c r="GCL35" s="2795"/>
      <c r="GCM35" s="2795"/>
      <c r="GCN35" s="2795"/>
      <c r="GCO35" s="2795"/>
      <c r="GCP35" s="2795"/>
      <c r="GCQ35" s="2795"/>
      <c r="GCR35" s="2795"/>
      <c r="GCS35" s="2795"/>
      <c r="GCT35" s="2795"/>
      <c r="GCU35" s="2795"/>
      <c r="GCV35" s="2795"/>
      <c r="GCW35" s="2795"/>
      <c r="GCX35" s="2795"/>
      <c r="GCY35" s="2795"/>
      <c r="GCZ35" s="2795"/>
      <c r="GDA35" s="2795"/>
      <c r="GDB35" s="2795"/>
      <c r="GDC35" s="2795"/>
      <c r="GDD35" s="2795"/>
      <c r="GDE35" s="2795"/>
      <c r="GDF35" s="2795"/>
      <c r="GDG35" s="2795"/>
      <c r="GDH35" s="2795"/>
      <c r="GDI35" s="2795"/>
      <c r="GDJ35" s="2795"/>
      <c r="GDK35" s="2795"/>
      <c r="GDL35" s="2795"/>
      <c r="GDM35" s="2795"/>
      <c r="GDN35" s="2795"/>
      <c r="GDO35" s="2795"/>
      <c r="GDP35" s="2795"/>
      <c r="GDQ35" s="2795"/>
      <c r="GDR35" s="2795"/>
      <c r="GDS35" s="2795"/>
      <c r="GDT35" s="2795"/>
      <c r="GDU35" s="2795"/>
      <c r="GDV35" s="2795"/>
      <c r="GDW35" s="2795"/>
      <c r="GDX35" s="2795"/>
      <c r="GDY35" s="2795"/>
      <c r="GDZ35" s="2795"/>
      <c r="GEA35" s="2795"/>
      <c r="GEB35" s="2795"/>
      <c r="GEC35" s="2795"/>
      <c r="GED35" s="2795"/>
      <c r="GEE35" s="2795"/>
      <c r="GEF35" s="2795"/>
      <c r="GEG35" s="2795"/>
      <c r="GEH35" s="2795"/>
      <c r="GEI35" s="2795"/>
      <c r="GEJ35" s="2795"/>
      <c r="GEK35" s="2795"/>
      <c r="GEL35" s="2795"/>
      <c r="GEM35" s="2795"/>
      <c r="GEN35" s="2795"/>
      <c r="GEO35" s="2795"/>
      <c r="GEP35" s="2795"/>
      <c r="GEQ35" s="2795"/>
      <c r="GER35" s="2795"/>
      <c r="GES35" s="2795"/>
      <c r="GET35" s="2795"/>
      <c r="GEU35" s="2795"/>
      <c r="GEV35" s="2795"/>
      <c r="GEW35" s="2795"/>
      <c r="GEX35" s="2795"/>
      <c r="GEY35" s="2795"/>
      <c r="GEZ35" s="2795"/>
      <c r="GFA35" s="2795"/>
      <c r="GFB35" s="2795"/>
      <c r="GFC35" s="2795"/>
      <c r="GFD35" s="2795"/>
      <c r="GFE35" s="2795"/>
      <c r="GFF35" s="2795"/>
      <c r="GFG35" s="2795"/>
      <c r="GFH35" s="2795"/>
      <c r="GFI35" s="2795"/>
      <c r="GFJ35" s="2795"/>
      <c r="GFK35" s="2795"/>
      <c r="GFL35" s="2795"/>
      <c r="GFM35" s="2795"/>
      <c r="GFN35" s="2795"/>
      <c r="GFO35" s="2795"/>
      <c r="GFP35" s="2795"/>
      <c r="GFQ35" s="2795"/>
      <c r="GFR35" s="2795"/>
      <c r="GFS35" s="2795"/>
      <c r="GFT35" s="2795"/>
      <c r="GFU35" s="2795"/>
      <c r="GFV35" s="2795"/>
      <c r="GFW35" s="2795"/>
      <c r="GFX35" s="2795"/>
      <c r="GFY35" s="2795"/>
      <c r="GFZ35" s="2795"/>
      <c r="GGA35" s="2795"/>
      <c r="GGB35" s="2795"/>
      <c r="GGC35" s="2795"/>
      <c r="GGD35" s="2795"/>
      <c r="GGE35" s="2795"/>
      <c r="GGF35" s="2795"/>
      <c r="GGG35" s="2795"/>
      <c r="GGH35" s="2795"/>
      <c r="GGI35" s="2795"/>
      <c r="GGJ35" s="2795"/>
      <c r="GGK35" s="2795"/>
      <c r="GGL35" s="2795"/>
      <c r="GGM35" s="2795"/>
      <c r="GGN35" s="2795"/>
      <c r="GGO35" s="2795"/>
      <c r="GGP35" s="2795"/>
      <c r="GGQ35" s="2795"/>
      <c r="GGR35" s="2795"/>
      <c r="GGS35" s="2795"/>
      <c r="GGT35" s="2795"/>
      <c r="GGU35" s="2795"/>
      <c r="GGV35" s="2795"/>
      <c r="GGW35" s="2795"/>
      <c r="GGX35" s="2795"/>
      <c r="GGY35" s="2795"/>
      <c r="GGZ35" s="2795"/>
      <c r="GHA35" s="2795"/>
      <c r="GHB35" s="2795"/>
      <c r="GHC35" s="2795"/>
      <c r="GHD35" s="2795"/>
      <c r="GHE35" s="2795"/>
      <c r="GHF35" s="2795"/>
      <c r="GHG35" s="2795"/>
      <c r="GHH35" s="2795"/>
      <c r="GHI35" s="2795"/>
      <c r="GHJ35" s="2795"/>
      <c r="GHK35" s="2795"/>
      <c r="GHL35" s="2795"/>
      <c r="GHM35" s="2795"/>
      <c r="GHN35" s="2795"/>
      <c r="GHO35" s="2795"/>
      <c r="GHP35" s="2795"/>
      <c r="GHQ35" s="2795"/>
      <c r="GHR35" s="2795"/>
      <c r="GHS35" s="2795"/>
      <c r="GHT35" s="2795"/>
      <c r="GHU35" s="2795"/>
      <c r="GHV35" s="2795"/>
      <c r="GHW35" s="2795"/>
      <c r="GHX35" s="2795"/>
      <c r="GHY35" s="2795"/>
      <c r="GHZ35" s="2795"/>
      <c r="GIA35" s="2795"/>
      <c r="GIB35" s="2795"/>
      <c r="GIC35" s="2795"/>
      <c r="GID35" s="2795"/>
      <c r="GIE35" s="2795"/>
      <c r="GIF35" s="2795"/>
      <c r="GIG35" s="2795"/>
      <c r="GIH35" s="2795"/>
      <c r="GII35" s="2795"/>
      <c r="GIJ35" s="2795"/>
      <c r="GIK35" s="2795"/>
      <c r="GIL35" s="2795"/>
      <c r="GIM35" s="2795"/>
      <c r="GIN35" s="2795"/>
      <c r="GIO35" s="2795"/>
      <c r="GIP35" s="2795"/>
      <c r="GIQ35" s="2795"/>
      <c r="GIR35" s="2795"/>
      <c r="GIS35" s="2795"/>
      <c r="GIT35" s="2795"/>
      <c r="GIU35" s="2795"/>
      <c r="GIV35" s="2795"/>
      <c r="GIW35" s="2795"/>
      <c r="GIX35" s="2795"/>
      <c r="GIY35" s="2795"/>
      <c r="GIZ35" s="2795"/>
      <c r="GJA35" s="2795"/>
      <c r="GJB35" s="2795"/>
      <c r="GJC35" s="2795"/>
      <c r="GJD35" s="2795"/>
      <c r="GJE35" s="2795"/>
      <c r="GJF35" s="2795"/>
      <c r="GJG35" s="2795"/>
      <c r="GJH35" s="2795"/>
      <c r="GJI35" s="2795"/>
      <c r="GJJ35" s="2795"/>
      <c r="GJK35" s="2795"/>
      <c r="GJL35" s="2795"/>
      <c r="GJM35" s="2795"/>
      <c r="GJN35" s="2795"/>
      <c r="GJO35" s="2795"/>
      <c r="GJP35" s="2795"/>
      <c r="GJQ35" s="2795"/>
      <c r="GJR35" s="2795"/>
      <c r="GJS35" s="2795"/>
      <c r="GJT35" s="2795"/>
      <c r="GJU35" s="2795"/>
      <c r="GJV35" s="2795"/>
      <c r="GJW35" s="2795"/>
      <c r="GJX35" s="2795"/>
      <c r="GJY35" s="2795"/>
      <c r="GJZ35" s="2795"/>
      <c r="GKA35" s="2795"/>
      <c r="GKB35" s="2795"/>
      <c r="GKC35" s="2795"/>
      <c r="GKD35" s="2795"/>
      <c r="GKE35" s="2795"/>
      <c r="GKF35" s="2795"/>
      <c r="GKG35" s="2795"/>
      <c r="GKH35" s="2795"/>
      <c r="GKI35" s="2795"/>
      <c r="GKJ35" s="2795"/>
      <c r="GKK35" s="2795"/>
      <c r="GKL35" s="2795"/>
      <c r="GKM35" s="2795"/>
      <c r="GKN35" s="2795"/>
      <c r="GKO35" s="2795"/>
      <c r="GKP35" s="2795"/>
      <c r="GKQ35" s="2795"/>
      <c r="GKR35" s="2795"/>
      <c r="GKS35" s="2795"/>
      <c r="GKT35" s="2795"/>
      <c r="GKU35" s="2795"/>
      <c r="GKV35" s="2795"/>
      <c r="GKW35" s="2795"/>
      <c r="GKX35" s="2795"/>
      <c r="GKY35" s="2795"/>
      <c r="GKZ35" s="2795"/>
      <c r="GLA35" s="2795"/>
      <c r="GLB35" s="2795"/>
      <c r="GLC35" s="2795"/>
      <c r="GLD35" s="2795"/>
      <c r="GLE35" s="2795"/>
      <c r="GLF35" s="2795"/>
      <c r="GLG35" s="2795"/>
      <c r="GLH35" s="2795"/>
      <c r="GLI35" s="2795"/>
      <c r="GLJ35" s="2795"/>
      <c r="GLK35" s="2795"/>
      <c r="GLL35" s="2795"/>
      <c r="GLM35" s="2795"/>
      <c r="GLN35" s="2795"/>
      <c r="GLO35" s="2795"/>
      <c r="GLP35" s="2795"/>
      <c r="GLQ35" s="2795"/>
      <c r="GLR35" s="2795"/>
      <c r="GLS35" s="2795"/>
      <c r="GLT35" s="2795"/>
      <c r="GLU35" s="2795"/>
      <c r="GLV35" s="2795"/>
      <c r="GLW35" s="2795"/>
      <c r="GLX35" s="2795"/>
      <c r="GLY35" s="2795"/>
      <c r="GLZ35" s="2795"/>
      <c r="GMA35" s="2795"/>
      <c r="GMB35" s="2795"/>
      <c r="GMC35" s="2795"/>
      <c r="GMD35" s="2795"/>
      <c r="GME35" s="2795"/>
      <c r="GMF35" s="2795"/>
      <c r="GMG35" s="2795"/>
      <c r="GMH35" s="2795"/>
      <c r="GMI35" s="2795"/>
      <c r="GMJ35" s="2795"/>
      <c r="GMK35" s="2795"/>
      <c r="GML35" s="2795"/>
      <c r="GMM35" s="2795"/>
      <c r="GMN35" s="2795"/>
      <c r="GMO35" s="2795"/>
      <c r="GMP35" s="2795"/>
      <c r="GMQ35" s="2795"/>
      <c r="GMR35" s="2795"/>
      <c r="GMS35" s="2795"/>
      <c r="GMT35" s="2795"/>
      <c r="GMU35" s="2795"/>
      <c r="GMV35" s="2795"/>
      <c r="GMW35" s="2795"/>
      <c r="GMX35" s="2795"/>
      <c r="GMY35" s="2795"/>
      <c r="GMZ35" s="2795"/>
      <c r="GNA35" s="2795"/>
      <c r="GNB35" s="2795"/>
      <c r="GNC35" s="2795"/>
      <c r="GND35" s="2795"/>
      <c r="GNE35" s="2795"/>
      <c r="GNF35" s="2795"/>
      <c r="GNG35" s="2795"/>
      <c r="GNH35" s="2795"/>
      <c r="GNI35" s="2795"/>
      <c r="GNJ35" s="2795"/>
      <c r="GNK35" s="2795"/>
      <c r="GNL35" s="2795"/>
      <c r="GNM35" s="2795"/>
      <c r="GNN35" s="2795"/>
      <c r="GNO35" s="2795"/>
      <c r="GNP35" s="2795"/>
      <c r="GNQ35" s="2795"/>
      <c r="GNR35" s="2795"/>
      <c r="GNS35" s="2795"/>
      <c r="GNT35" s="2795"/>
      <c r="GNU35" s="2795"/>
      <c r="GNV35" s="2795"/>
      <c r="GNW35" s="2795"/>
      <c r="GNX35" s="2795"/>
      <c r="GNY35" s="2795"/>
      <c r="GNZ35" s="2795"/>
      <c r="GOA35" s="2795"/>
      <c r="GOB35" s="2795"/>
      <c r="GOC35" s="2795"/>
      <c r="GOD35" s="2795"/>
      <c r="GOE35" s="2795"/>
      <c r="GOF35" s="2795"/>
      <c r="GOG35" s="2795"/>
      <c r="GOH35" s="2795"/>
      <c r="GOI35" s="2795"/>
      <c r="GOJ35" s="2795"/>
      <c r="GOK35" s="2795"/>
      <c r="GOL35" s="2795"/>
      <c r="GOM35" s="2795"/>
      <c r="GON35" s="2795"/>
      <c r="GOO35" s="2795"/>
      <c r="GOP35" s="2795"/>
      <c r="GOQ35" s="2795"/>
      <c r="GOR35" s="2795"/>
      <c r="GOS35" s="2795"/>
      <c r="GOT35" s="2795"/>
      <c r="GOU35" s="2795"/>
      <c r="GOV35" s="2795"/>
      <c r="GOW35" s="2795"/>
      <c r="GOX35" s="2795"/>
      <c r="GOY35" s="2795"/>
      <c r="GOZ35" s="2795"/>
      <c r="GPA35" s="2795"/>
      <c r="GPB35" s="2795"/>
      <c r="GPC35" s="2795"/>
      <c r="GPD35" s="2795"/>
      <c r="GPE35" s="2795"/>
      <c r="GPF35" s="2795"/>
      <c r="GPG35" s="2795"/>
      <c r="GPH35" s="2795"/>
      <c r="GPI35" s="2795"/>
      <c r="GPJ35" s="2795"/>
      <c r="GPK35" s="2795"/>
      <c r="GPL35" s="2795"/>
      <c r="GPM35" s="2795"/>
      <c r="GPN35" s="2795"/>
      <c r="GPO35" s="2795"/>
      <c r="GPP35" s="2795"/>
      <c r="GPQ35" s="2795"/>
      <c r="GPR35" s="2795"/>
      <c r="GPS35" s="2795"/>
      <c r="GPT35" s="2795"/>
      <c r="GPU35" s="2795"/>
      <c r="GPV35" s="2795"/>
      <c r="GPW35" s="2795"/>
      <c r="GPX35" s="2795"/>
      <c r="GPY35" s="2795"/>
      <c r="GPZ35" s="2795"/>
      <c r="GQA35" s="2795"/>
      <c r="GQB35" s="2795"/>
      <c r="GQC35" s="2795"/>
      <c r="GQD35" s="2795"/>
      <c r="GQE35" s="2795"/>
      <c r="GQF35" s="2795"/>
      <c r="GQG35" s="2795"/>
      <c r="GQH35" s="2795"/>
      <c r="GQI35" s="2795"/>
      <c r="GQJ35" s="2795"/>
      <c r="GQK35" s="2795"/>
      <c r="GQL35" s="2795"/>
      <c r="GQM35" s="2795"/>
      <c r="GQN35" s="2795"/>
      <c r="GQO35" s="2795"/>
      <c r="GQP35" s="2795"/>
      <c r="GQQ35" s="2795"/>
      <c r="GQR35" s="2795"/>
      <c r="GQS35" s="2795"/>
      <c r="GQT35" s="2795"/>
      <c r="GQU35" s="2795"/>
      <c r="GQV35" s="2795"/>
      <c r="GQW35" s="2795"/>
      <c r="GQX35" s="2795"/>
      <c r="GQY35" s="2795"/>
      <c r="GQZ35" s="2795"/>
      <c r="GRA35" s="2795"/>
      <c r="GRB35" s="2795"/>
      <c r="GRC35" s="2795"/>
      <c r="GRD35" s="2795"/>
      <c r="GRE35" s="2795"/>
      <c r="GRF35" s="2795"/>
      <c r="GRG35" s="2795"/>
      <c r="GRH35" s="2795"/>
      <c r="GRI35" s="2795"/>
      <c r="GRJ35" s="2795"/>
      <c r="GRK35" s="2795"/>
      <c r="GRL35" s="2795"/>
      <c r="GRM35" s="2795"/>
      <c r="GRN35" s="2795"/>
      <c r="GRO35" s="2795"/>
      <c r="GRP35" s="2795"/>
      <c r="GRQ35" s="2795"/>
      <c r="GRR35" s="2795"/>
      <c r="GRS35" s="2795"/>
      <c r="GRT35" s="2795"/>
      <c r="GRU35" s="2795"/>
      <c r="GRV35" s="2795"/>
      <c r="GRW35" s="2795"/>
      <c r="GRX35" s="2795"/>
      <c r="GRY35" s="2795"/>
      <c r="GRZ35" s="2795"/>
      <c r="GSA35" s="2795"/>
      <c r="GSB35" s="2795"/>
      <c r="GSC35" s="2795"/>
      <c r="GSD35" s="2795"/>
      <c r="GSE35" s="2795"/>
      <c r="GSF35" s="2795"/>
      <c r="GSG35" s="2795"/>
      <c r="GSH35" s="2795"/>
      <c r="GSI35" s="2795"/>
      <c r="GSJ35" s="2795"/>
      <c r="GSK35" s="2795"/>
      <c r="GSL35" s="2795"/>
      <c r="GSM35" s="2795"/>
      <c r="GSN35" s="2795"/>
      <c r="GSO35" s="2795"/>
      <c r="GSP35" s="2795"/>
      <c r="GSQ35" s="2795"/>
      <c r="GSR35" s="2795"/>
      <c r="GSS35" s="2795"/>
      <c r="GST35" s="2795"/>
      <c r="GSU35" s="2795"/>
      <c r="GSV35" s="2795"/>
      <c r="GSW35" s="2795"/>
      <c r="GSX35" s="2795"/>
      <c r="GSY35" s="2795"/>
      <c r="GSZ35" s="2795"/>
      <c r="GTA35" s="2795"/>
      <c r="GTB35" s="2795"/>
      <c r="GTC35" s="2795"/>
      <c r="GTD35" s="2795"/>
      <c r="GTE35" s="2795"/>
      <c r="GTF35" s="2795"/>
      <c r="GTG35" s="2795"/>
      <c r="GTH35" s="2795"/>
      <c r="GTI35" s="2795"/>
      <c r="GTJ35" s="2795"/>
      <c r="GTK35" s="2795"/>
      <c r="GTL35" s="2795"/>
      <c r="GTM35" s="2795"/>
      <c r="GTN35" s="2795"/>
      <c r="GTO35" s="2795"/>
      <c r="GTP35" s="2795"/>
      <c r="GTQ35" s="2795"/>
      <c r="GTR35" s="2795"/>
      <c r="GTS35" s="2795"/>
      <c r="GTT35" s="2795"/>
      <c r="GTU35" s="2795"/>
      <c r="GTV35" s="2795"/>
      <c r="GTW35" s="2795"/>
      <c r="GTX35" s="2795"/>
      <c r="GTY35" s="2795"/>
      <c r="GTZ35" s="2795"/>
      <c r="GUA35" s="2795"/>
      <c r="GUB35" s="2795"/>
      <c r="GUC35" s="2795"/>
      <c r="GUD35" s="2795"/>
      <c r="GUE35" s="2795"/>
      <c r="GUF35" s="2795"/>
      <c r="GUG35" s="2795"/>
      <c r="GUH35" s="2795"/>
      <c r="GUI35" s="2795"/>
      <c r="GUJ35" s="2795"/>
      <c r="GUK35" s="2795"/>
      <c r="GUL35" s="2795"/>
      <c r="GUM35" s="2795"/>
      <c r="GUN35" s="2795"/>
      <c r="GUO35" s="2795"/>
      <c r="GUP35" s="2795"/>
      <c r="GUQ35" s="2795"/>
      <c r="GUR35" s="2795"/>
      <c r="GUS35" s="2795"/>
      <c r="GUT35" s="2795"/>
      <c r="GUU35" s="2795"/>
      <c r="GUV35" s="2795"/>
      <c r="GUW35" s="2795"/>
      <c r="GUX35" s="2795"/>
      <c r="GUY35" s="2795"/>
      <c r="GUZ35" s="2795"/>
      <c r="GVA35" s="2795"/>
      <c r="GVB35" s="2795"/>
      <c r="GVC35" s="2795"/>
      <c r="GVD35" s="2795"/>
      <c r="GVE35" s="2795"/>
      <c r="GVF35" s="2795"/>
      <c r="GVG35" s="2795"/>
      <c r="GVH35" s="2795"/>
      <c r="GVI35" s="2795"/>
      <c r="GVJ35" s="2795"/>
      <c r="GVK35" s="2795"/>
      <c r="GVL35" s="2795"/>
      <c r="GVM35" s="2795"/>
      <c r="GVN35" s="2795"/>
      <c r="GVO35" s="2795"/>
      <c r="GVP35" s="2795"/>
      <c r="GVQ35" s="2795"/>
      <c r="GVR35" s="2795"/>
      <c r="GVS35" s="2795"/>
      <c r="GVT35" s="2795"/>
      <c r="GVU35" s="2795"/>
      <c r="GVV35" s="2795"/>
      <c r="GVW35" s="2795"/>
      <c r="GVX35" s="2795"/>
      <c r="GVY35" s="2795"/>
      <c r="GVZ35" s="2795"/>
      <c r="GWA35" s="2795"/>
      <c r="GWB35" s="2795"/>
      <c r="GWC35" s="2795"/>
      <c r="GWD35" s="2795"/>
      <c r="GWE35" s="2795"/>
      <c r="GWF35" s="2795"/>
      <c r="GWG35" s="2795"/>
      <c r="GWH35" s="2795"/>
      <c r="GWI35" s="2795"/>
      <c r="GWJ35" s="2795"/>
      <c r="GWK35" s="2795"/>
      <c r="GWL35" s="2795"/>
      <c r="GWM35" s="2795"/>
      <c r="GWN35" s="2795"/>
      <c r="GWO35" s="2795"/>
      <c r="GWP35" s="2795"/>
      <c r="GWQ35" s="2795"/>
      <c r="GWR35" s="2795"/>
      <c r="GWS35" s="2795"/>
      <c r="GWT35" s="2795"/>
      <c r="GWU35" s="2795"/>
      <c r="GWV35" s="2795"/>
      <c r="GWW35" s="2795"/>
      <c r="GWX35" s="2795"/>
      <c r="GWY35" s="2795"/>
      <c r="GWZ35" s="2795"/>
      <c r="GXA35" s="2795"/>
      <c r="GXB35" s="2795"/>
      <c r="GXC35" s="2795"/>
      <c r="GXD35" s="2795"/>
      <c r="GXE35" s="2795"/>
      <c r="GXF35" s="2795"/>
      <c r="GXG35" s="2795"/>
      <c r="GXH35" s="2795"/>
      <c r="GXI35" s="2795"/>
      <c r="GXJ35" s="2795"/>
      <c r="GXK35" s="2795"/>
      <c r="GXL35" s="2795"/>
      <c r="GXM35" s="2795"/>
      <c r="GXN35" s="2795"/>
      <c r="GXO35" s="2795"/>
      <c r="GXP35" s="2795"/>
      <c r="GXQ35" s="2795"/>
      <c r="GXR35" s="2795"/>
      <c r="GXS35" s="2795"/>
      <c r="GXT35" s="2795"/>
      <c r="GXU35" s="2795"/>
      <c r="GXV35" s="2795"/>
      <c r="GXW35" s="2795"/>
      <c r="GXX35" s="2795"/>
      <c r="GXY35" s="2795"/>
      <c r="GXZ35" s="2795"/>
      <c r="GYA35" s="2795"/>
      <c r="GYB35" s="2795"/>
      <c r="GYC35" s="2795"/>
      <c r="GYD35" s="2795"/>
      <c r="GYE35" s="2795"/>
      <c r="GYF35" s="2795"/>
      <c r="GYG35" s="2795"/>
      <c r="GYH35" s="2795"/>
      <c r="GYI35" s="2795"/>
      <c r="GYJ35" s="2795"/>
      <c r="GYK35" s="2795"/>
      <c r="GYL35" s="2795"/>
      <c r="GYM35" s="2795"/>
      <c r="GYN35" s="2795"/>
      <c r="GYO35" s="2795"/>
      <c r="GYP35" s="2795"/>
      <c r="GYQ35" s="2795"/>
      <c r="GYR35" s="2795"/>
      <c r="GYS35" s="2795"/>
      <c r="GYT35" s="2795"/>
      <c r="GYU35" s="2795"/>
      <c r="GYV35" s="2795"/>
      <c r="GYW35" s="2795"/>
      <c r="GYX35" s="2795"/>
      <c r="GYY35" s="2795"/>
      <c r="GYZ35" s="2795"/>
      <c r="GZA35" s="2795"/>
      <c r="GZB35" s="2795"/>
      <c r="GZC35" s="2795"/>
      <c r="GZD35" s="2795"/>
      <c r="GZE35" s="2795"/>
      <c r="GZF35" s="2795"/>
      <c r="GZG35" s="2795"/>
      <c r="GZH35" s="2795"/>
      <c r="GZI35" s="2795"/>
      <c r="GZJ35" s="2795"/>
      <c r="GZK35" s="2795"/>
      <c r="GZL35" s="2795"/>
      <c r="GZM35" s="2795"/>
      <c r="GZN35" s="2795"/>
      <c r="GZO35" s="2795"/>
      <c r="GZP35" s="2795"/>
      <c r="GZQ35" s="2795"/>
      <c r="GZR35" s="2795"/>
      <c r="GZS35" s="2795"/>
      <c r="GZT35" s="2795"/>
      <c r="GZU35" s="2795"/>
      <c r="GZV35" s="2795"/>
      <c r="GZW35" s="2795"/>
      <c r="GZX35" s="2795"/>
      <c r="GZY35" s="2795"/>
      <c r="GZZ35" s="2795"/>
      <c r="HAA35" s="2795"/>
      <c r="HAB35" s="2795"/>
      <c r="HAC35" s="2795"/>
      <c r="HAD35" s="2795"/>
      <c r="HAE35" s="2795"/>
      <c r="HAF35" s="2795"/>
      <c r="HAG35" s="2795"/>
      <c r="HAH35" s="2795"/>
      <c r="HAI35" s="2795"/>
      <c r="HAJ35" s="2795"/>
      <c r="HAK35" s="2795"/>
      <c r="HAL35" s="2795"/>
      <c r="HAM35" s="2795"/>
      <c r="HAN35" s="2795"/>
      <c r="HAO35" s="2795"/>
      <c r="HAP35" s="2795"/>
      <c r="HAQ35" s="2795"/>
      <c r="HAR35" s="2795"/>
      <c r="HAS35" s="2795"/>
      <c r="HAT35" s="2795"/>
      <c r="HAU35" s="2795"/>
      <c r="HAV35" s="2795"/>
      <c r="HAW35" s="2795"/>
      <c r="HAX35" s="2795"/>
      <c r="HAY35" s="2795"/>
      <c r="HAZ35" s="2795"/>
      <c r="HBA35" s="2795"/>
      <c r="HBB35" s="2795"/>
      <c r="HBC35" s="2795"/>
      <c r="HBD35" s="2795"/>
      <c r="HBE35" s="2795"/>
      <c r="HBF35" s="2795"/>
      <c r="HBG35" s="2795"/>
      <c r="HBH35" s="2795"/>
      <c r="HBI35" s="2795"/>
      <c r="HBJ35" s="2795"/>
      <c r="HBK35" s="2795"/>
      <c r="HBL35" s="2795"/>
      <c r="HBM35" s="2795"/>
      <c r="HBN35" s="2795"/>
      <c r="HBO35" s="2795"/>
      <c r="HBP35" s="2795"/>
      <c r="HBQ35" s="2795"/>
      <c r="HBR35" s="2795"/>
      <c r="HBS35" s="2795"/>
      <c r="HBT35" s="2795"/>
      <c r="HBU35" s="2795"/>
      <c r="HBV35" s="2795"/>
      <c r="HBW35" s="2795"/>
      <c r="HBX35" s="2795"/>
      <c r="HBY35" s="2795"/>
      <c r="HBZ35" s="2795"/>
      <c r="HCA35" s="2795"/>
      <c r="HCB35" s="2795"/>
      <c r="HCC35" s="2795"/>
      <c r="HCD35" s="2795"/>
      <c r="HCE35" s="2795"/>
      <c r="HCF35" s="2795"/>
      <c r="HCG35" s="2795"/>
      <c r="HCH35" s="2795"/>
      <c r="HCI35" s="2795"/>
      <c r="HCJ35" s="2795"/>
      <c r="HCK35" s="2795"/>
      <c r="HCL35" s="2795"/>
      <c r="HCM35" s="2795"/>
      <c r="HCN35" s="2795"/>
      <c r="HCO35" s="2795"/>
      <c r="HCP35" s="2795"/>
      <c r="HCQ35" s="2795"/>
      <c r="HCR35" s="2795"/>
      <c r="HCS35" s="2795"/>
      <c r="HCT35" s="2795"/>
      <c r="HCU35" s="2795"/>
      <c r="HCV35" s="2795"/>
      <c r="HCW35" s="2795"/>
      <c r="HCX35" s="2795"/>
      <c r="HCY35" s="2795"/>
      <c r="HCZ35" s="2795"/>
      <c r="HDA35" s="2795"/>
      <c r="HDB35" s="2795"/>
      <c r="HDC35" s="2795"/>
      <c r="HDD35" s="2795"/>
      <c r="HDE35" s="2795"/>
      <c r="HDF35" s="2795"/>
      <c r="HDG35" s="2795"/>
      <c r="HDH35" s="2795"/>
      <c r="HDI35" s="2795"/>
      <c r="HDJ35" s="2795"/>
      <c r="HDK35" s="2795"/>
      <c r="HDL35" s="2795"/>
      <c r="HDM35" s="2795"/>
      <c r="HDN35" s="2795"/>
      <c r="HDO35" s="2795"/>
      <c r="HDP35" s="2795"/>
      <c r="HDQ35" s="2795"/>
      <c r="HDR35" s="2795"/>
      <c r="HDS35" s="2795"/>
      <c r="HDT35" s="2795"/>
      <c r="HDU35" s="2795"/>
      <c r="HDV35" s="2795"/>
      <c r="HDW35" s="2795"/>
      <c r="HDX35" s="2795"/>
      <c r="HDY35" s="2795"/>
      <c r="HDZ35" s="2795"/>
      <c r="HEA35" s="2795"/>
      <c r="HEB35" s="2795"/>
      <c r="HEC35" s="2795"/>
      <c r="HED35" s="2795"/>
      <c r="HEE35" s="2795"/>
      <c r="HEF35" s="2795"/>
      <c r="HEG35" s="2795"/>
      <c r="HEH35" s="2795"/>
      <c r="HEI35" s="2795"/>
      <c r="HEJ35" s="2795"/>
      <c r="HEK35" s="2795"/>
      <c r="HEL35" s="2795"/>
      <c r="HEM35" s="2795"/>
      <c r="HEN35" s="2795"/>
      <c r="HEO35" s="2795"/>
      <c r="HEP35" s="2795"/>
      <c r="HEQ35" s="2795"/>
      <c r="HER35" s="2795"/>
      <c r="HES35" s="2795"/>
      <c r="HET35" s="2795"/>
      <c r="HEU35" s="2795"/>
      <c r="HEV35" s="2795"/>
      <c r="HEW35" s="2795"/>
      <c r="HEX35" s="2795"/>
      <c r="HEY35" s="2795"/>
      <c r="HEZ35" s="2795"/>
      <c r="HFA35" s="2795"/>
      <c r="HFB35" s="2795"/>
      <c r="HFC35" s="2795"/>
      <c r="HFD35" s="2795"/>
      <c r="HFE35" s="2795"/>
      <c r="HFF35" s="2795"/>
      <c r="HFG35" s="2795"/>
      <c r="HFH35" s="2795"/>
      <c r="HFI35" s="2795"/>
      <c r="HFJ35" s="2795"/>
      <c r="HFK35" s="2795"/>
      <c r="HFL35" s="2795"/>
      <c r="HFM35" s="2795"/>
      <c r="HFN35" s="2795"/>
      <c r="HFO35" s="2795"/>
      <c r="HFP35" s="2795"/>
      <c r="HFQ35" s="2795"/>
      <c r="HFR35" s="2795"/>
      <c r="HFS35" s="2795"/>
      <c r="HFT35" s="2795"/>
      <c r="HFU35" s="2795"/>
      <c r="HFV35" s="2795"/>
      <c r="HFW35" s="2795"/>
      <c r="HFX35" s="2795"/>
      <c r="HFY35" s="2795"/>
      <c r="HFZ35" s="2795"/>
      <c r="HGA35" s="2795"/>
      <c r="HGB35" s="2795"/>
      <c r="HGC35" s="2795"/>
      <c r="HGD35" s="2795"/>
      <c r="HGE35" s="2795"/>
      <c r="HGF35" s="2795"/>
      <c r="HGG35" s="2795"/>
      <c r="HGH35" s="2795"/>
      <c r="HGI35" s="2795"/>
      <c r="HGJ35" s="2795"/>
      <c r="HGK35" s="2795"/>
      <c r="HGL35" s="2795"/>
      <c r="HGM35" s="2795"/>
      <c r="HGN35" s="2795"/>
      <c r="HGO35" s="2795"/>
      <c r="HGP35" s="2795"/>
      <c r="HGQ35" s="2795"/>
      <c r="HGR35" s="2795"/>
      <c r="HGS35" s="2795"/>
      <c r="HGT35" s="2795"/>
      <c r="HGU35" s="2795"/>
      <c r="HGV35" s="2795"/>
      <c r="HGW35" s="2795"/>
      <c r="HGX35" s="2795"/>
      <c r="HGY35" s="2795"/>
      <c r="HGZ35" s="2795"/>
      <c r="HHA35" s="2795"/>
      <c r="HHB35" s="2795"/>
      <c r="HHC35" s="2795"/>
      <c r="HHD35" s="2795"/>
      <c r="HHE35" s="2795"/>
      <c r="HHF35" s="2795"/>
      <c r="HHG35" s="2795"/>
      <c r="HHH35" s="2795"/>
      <c r="HHI35" s="2795"/>
      <c r="HHJ35" s="2795"/>
      <c r="HHK35" s="2795"/>
      <c r="HHL35" s="2795"/>
      <c r="HHM35" s="2795"/>
      <c r="HHN35" s="2795"/>
      <c r="HHO35" s="2795"/>
      <c r="HHP35" s="2795"/>
      <c r="HHQ35" s="2795"/>
      <c r="HHR35" s="2795"/>
      <c r="HHS35" s="2795"/>
      <c r="HHT35" s="2795"/>
      <c r="HHU35" s="2795"/>
      <c r="HHV35" s="2795"/>
      <c r="HHW35" s="2795"/>
      <c r="HHX35" s="2795"/>
      <c r="HHY35" s="2795"/>
      <c r="HHZ35" s="2795"/>
      <c r="HIA35" s="2795"/>
      <c r="HIB35" s="2795"/>
      <c r="HIC35" s="2795"/>
      <c r="HID35" s="2795"/>
      <c r="HIE35" s="2795"/>
      <c r="HIF35" s="2795"/>
      <c r="HIG35" s="2795"/>
      <c r="HIH35" s="2795"/>
      <c r="HII35" s="2795"/>
      <c r="HIJ35" s="2795"/>
      <c r="HIK35" s="2795"/>
      <c r="HIL35" s="2795"/>
      <c r="HIM35" s="2795"/>
      <c r="HIN35" s="2795"/>
      <c r="HIO35" s="2795"/>
      <c r="HIP35" s="2795"/>
      <c r="HIQ35" s="2795"/>
      <c r="HIR35" s="2795"/>
      <c r="HIS35" s="2795"/>
      <c r="HIT35" s="2795"/>
      <c r="HIU35" s="2795"/>
      <c r="HIV35" s="2795"/>
      <c r="HIW35" s="2795"/>
      <c r="HIX35" s="2795"/>
      <c r="HIY35" s="2795"/>
      <c r="HIZ35" s="2795"/>
      <c r="HJA35" s="2795"/>
      <c r="HJB35" s="2795"/>
      <c r="HJC35" s="2795"/>
      <c r="HJD35" s="2795"/>
      <c r="HJE35" s="2795"/>
      <c r="HJF35" s="2795"/>
      <c r="HJG35" s="2795"/>
      <c r="HJH35" s="2795"/>
      <c r="HJI35" s="2795"/>
      <c r="HJJ35" s="2795"/>
      <c r="HJK35" s="2795"/>
      <c r="HJL35" s="2795"/>
      <c r="HJM35" s="2795"/>
      <c r="HJN35" s="2795"/>
      <c r="HJO35" s="2795"/>
      <c r="HJP35" s="2795"/>
      <c r="HJQ35" s="2795"/>
      <c r="HJR35" s="2795"/>
      <c r="HJS35" s="2795"/>
      <c r="HJT35" s="2795"/>
      <c r="HJU35" s="2795"/>
      <c r="HJV35" s="2795"/>
      <c r="HJW35" s="2795"/>
      <c r="HJX35" s="2795"/>
      <c r="HJY35" s="2795"/>
      <c r="HJZ35" s="2795"/>
      <c r="HKA35" s="2795"/>
      <c r="HKB35" s="2795"/>
      <c r="HKC35" s="2795"/>
      <c r="HKD35" s="2795"/>
      <c r="HKE35" s="2795"/>
      <c r="HKF35" s="2795"/>
      <c r="HKG35" s="2795"/>
      <c r="HKH35" s="2795"/>
      <c r="HKI35" s="2795"/>
      <c r="HKJ35" s="2795"/>
      <c r="HKK35" s="2795"/>
      <c r="HKL35" s="2795"/>
      <c r="HKM35" s="2795"/>
      <c r="HKN35" s="2795"/>
      <c r="HKO35" s="2795"/>
      <c r="HKP35" s="2795"/>
      <c r="HKQ35" s="2795"/>
      <c r="HKR35" s="2795"/>
      <c r="HKS35" s="2795"/>
      <c r="HKT35" s="2795"/>
      <c r="HKU35" s="2795"/>
      <c r="HKV35" s="2795"/>
      <c r="HKW35" s="2795"/>
      <c r="HKX35" s="2795"/>
      <c r="HKY35" s="2795"/>
      <c r="HKZ35" s="2795"/>
      <c r="HLA35" s="2795"/>
      <c r="HLB35" s="2795"/>
      <c r="HLC35" s="2795"/>
      <c r="HLD35" s="2795"/>
      <c r="HLE35" s="2795"/>
      <c r="HLF35" s="2795"/>
      <c r="HLG35" s="2795"/>
      <c r="HLH35" s="2795"/>
      <c r="HLI35" s="2795"/>
      <c r="HLJ35" s="2795"/>
      <c r="HLK35" s="2795"/>
      <c r="HLL35" s="2795"/>
      <c r="HLM35" s="2795"/>
      <c r="HLN35" s="2795"/>
      <c r="HLO35" s="2795"/>
      <c r="HLP35" s="2795"/>
      <c r="HLQ35" s="2795"/>
      <c r="HLR35" s="2795"/>
      <c r="HLS35" s="2795"/>
      <c r="HLT35" s="2795"/>
      <c r="HLU35" s="2795"/>
      <c r="HLV35" s="2795"/>
      <c r="HLW35" s="2795"/>
      <c r="HLX35" s="2795"/>
      <c r="HLY35" s="2795"/>
      <c r="HLZ35" s="2795"/>
      <c r="HMA35" s="2795"/>
      <c r="HMB35" s="2795"/>
      <c r="HMC35" s="2795"/>
      <c r="HMD35" s="2795"/>
      <c r="HME35" s="2795"/>
      <c r="HMF35" s="2795"/>
      <c r="HMG35" s="2795"/>
      <c r="HMH35" s="2795"/>
      <c r="HMI35" s="2795"/>
      <c r="HMJ35" s="2795"/>
      <c r="HMK35" s="2795"/>
      <c r="HML35" s="2795"/>
      <c r="HMM35" s="2795"/>
      <c r="HMN35" s="2795"/>
      <c r="HMO35" s="2795"/>
      <c r="HMP35" s="2795"/>
      <c r="HMQ35" s="2795"/>
      <c r="HMR35" s="2795"/>
      <c r="HMS35" s="2795"/>
      <c r="HMT35" s="2795"/>
      <c r="HMU35" s="2795"/>
      <c r="HMV35" s="2795"/>
      <c r="HMW35" s="2795"/>
      <c r="HMX35" s="2795"/>
      <c r="HMY35" s="2795"/>
      <c r="HMZ35" s="2795"/>
      <c r="HNA35" s="2795"/>
      <c r="HNB35" s="2795"/>
      <c r="HNC35" s="2795"/>
      <c r="HND35" s="2795"/>
      <c r="HNE35" s="2795"/>
      <c r="HNF35" s="2795"/>
      <c r="HNG35" s="2795"/>
      <c r="HNH35" s="2795"/>
      <c r="HNI35" s="2795"/>
      <c r="HNJ35" s="2795"/>
      <c r="HNK35" s="2795"/>
      <c r="HNL35" s="2795"/>
      <c r="HNM35" s="2795"/>
      <c r="HNN35" s="2795"/>
      <c r="HNO35" s="2795"/>
      <c r="HNP35" s="2795"/>
      <c r="HNQ35" s="2795"/>
      <c r="HNR35" s="2795"/>
      <c r="HNS35" s="2795"/>
      <c r="HNT35" s="2795"/>
      <c r="HNU35" s="2795"/>
      <c r="HNV35" s="2795"/>
      <c r="HNW35" s="2795"/>
      <c r="HNX35" s="2795"/>
      <c r="HNY35" s="2795"/>
      <c r="HNZ35" s="2795"/>
      <c r="HOA35" s="2795"/>
      <c r="HOB35" s="2795"/>
      <c r="HOC35" s="2795"/>
      <c r="HOD35" s="2795"/>
      <c r="HOE35" s="2795"/>
      <c r="HOF35" s="2795"/>
      <c r="HOG35" s="2795"/>
      <c r="HOH35" s="2795"/>
      <c r="HOI35" s="2795"/>
      <c r="HOJ35" s="2795"/>
      <c r="HOK35" s="2795"/>
      <c r="HOL35" s="2795"/>
      <c r="HOM35" s="2795"/>
      <c r="HON35" s="2795"/>
      <c r="HOO35" s="2795"/>
      <c r="HOP35" s="2795"/>
      <c r="HOQ35" s="2795"/>
      <c r="HOR35" s="2795"/>
      <c r="HOS35" s="2795"/>
      <c r="HOT35" s="2795"/>
      <c r="HOU35" s="2795"/>
      <c r="HOV35" s="2795"/>
      <c r="HOW35" s="2795"/>
      <c r="HOX35" s="2795"/>
      <c r="HOY35" s="2795"/>
      <c r="HOZ35" s="2795"/>
      <c r="HPA35" s="2795"/>
      <c r="HPB35" s="2795"/>
      <c r="HPC35" s="2795"/>
      <c r="HPD35" s="2795"/>
      <c r="HPE35" s="2795"/>
      <c r="HPF35" s="2795"/>
      <c r="HPG35" s="2795"/>
      <c r="HPH35" s="2795"/>
      <c r="HPI35" s="2795"/>
      <c r="HPJ35" s="2795"/>
      <c r="HPK35" s="2795"/>
      <c r="HPL35" s="2795"/>
      <c r="HPM35" s="2795"/>
      <c r="HPN35" s="2795"/>
      <c r="HPO35" s="2795"/>
      <c r="HPP35" s="2795"/>
      <c r="HPQ35" s="2795"/>
      <c r="HPR35" s="2795"/>
      <c r="HPS35" s="2795"/>
      <c r="HPT35" s="2795"/>
      <c r="HPU35" s="2795"/>
      <c r="HPV35" s="2795"/>
      <c r="HPW35" s="2795"/>
      <c r="HPX35" s="2795"/>
      <c r="HPY35" s="2795"/>
      <c r="HPZ35" s="2795"/>
      <c r="HQA35" s="2795"/>
      <c r="HQB35" s="2795"/>
      <c r="HQC35" s="2795"/>
      <c r="HQD35" s="2795"/>
      <c r="HQE35" s="2795"/>
      <c r="HQF35" s="2795"/>
      <c r="HQG35" s="2795"/>
      <c r="HQH35" s="2795"/>
      <c r="HQI35" s="2795"/>
      <c r="HQJ35" s="2795"/>
      <c r="HQK35" s="2795"/>
      <c r="HQL35" s="2795"/>
      <c r="HQM35" s="2795"/>
      <c r="HQN35" s="2795"/>
      <c r="HQO35" s="2795"/>
      <c r="HQP35" s="2795"/>
      <c r="HQQ35" s="2795"/>
      <c r="HQR35" s="2795"/>
      <c r="HQS35" s="2795"/>
      <c r="HQT35" s="2795"/>
      <c r="HQU35" s="2795"/>
      <c r="HQV35" s="2795"/>
      <c r="HQW35" s="2795"/>
      <c r="HQX35" s="2795"/>
      <c r="HQY35" s="2795"/>
      <c r="HQZ35" s="2795"/>
      <c r="HRA35" s="2795"/>
      <c r="HRB35" s="2795"/>
      <c r="HRC35" s="2795"/>
      <c r="HRD35" s="2795"/>
      <c r="HRE35" s="2795"/>
      <c r="HRF35" s="2795"/>
      <c r="HRG35" s="2795"/>
      <c r="HRH35" s="2795"/>
      <c r="HRI35" s="2795"/>
      <c r="HRJ35" s="2795"/>
      <c r="HRK35" s="2795"/>
      <c r="HRL35" s="2795"/>
      <c r="HRM35" s="2795"/>
      <c r="HRN35" s="2795"/>
      <c r="HRO35" s="2795"/>
      <c r="HRP35" s="2795"/>
      <c r="HRQ35" s="2795"/>
      <c r="HRR35" s="2795"/>
      <c r="HRS35" s="2795"/>
      <c r="HRT35" s="2795"/>
      <c r="HRU35" s="2795"/>
      <c r="HRV35" s="2795"/>
      <c r="HRW35" s="2795"/>
      <c r="HRX35" s="2795"/>
      <c r="HRY35" s="2795"/>
      <c r="HRZ35" s="2795"/>
      <c r="HSA35" s="2795"/>
      <c r="HSB35" s="2795"/>
      <c r="HSC35" s="2795"/>
      <c r="HSD35" s="2795"/>
      <c r="HSE35" s="2795"/>
      <c r="HSF35" s="2795"/>
      <c r="HSG35" s="2795"/>
      <c r="HSH35" s="2795"/>
      <c r="HSI35" s="2795"/>
      <c r="HSJ35" s="2795"/>
      <c r="HSK35" s="2795"/>
      <c r="HSL35" s="2795"/>
      <c r="HSM35" s="2795"/>
      <c r="HSN35" s="2795"/>
      <c r="HSO35" s="2795"/>
      <c r="HSP35" s="2795"/>
      <c r="HSQ35" s="2795"/>
      <c r="HSR35" s="2795"/>
      <c r="HSS35" s="2795"/>
      <c r="HST35" s="2795"/>
      <c r="HSU35" s="2795"/>
      <c r="HSV35" s="2795"/>
      <c r="HSW35" s="2795"/>
      <c r="HSX35" s="2795"/>
      <c r="HSY35" s="2795"/>
      <c r="HSZ35" s="2795"/>
      <c r="HTA35" s="2795"/>
      <c r="HTB35" s="2795"/>
      <c r="HTC35" s="2795"/>
      <c r="HTD35" s="2795"/>
      <c r="HTE35" s="2795"/>
      <c r="HTF35" s="2795"/>
      <c r="HTG35" s="2795"/>
      <c r="HTH35" s="2795"/>
      <c r="HTI35" s="2795"/>
      <c r="HTJ35" s="2795"/>
      <c r="HTK35" s="2795"/>
      <c r="HTL35" s="2795"/>
      <c r="HTM35" s="2795"/>
      <c r="HTN35" s="2795"/>
      <c r="HTO35" s="2795"/>
      <c r="HTP35" s="2795"/>
      <c r="HTQ35" s="2795"/>
      <c r="HTR35" s="2795"/>
      <c r="HTS35" s="2795"/>
      <c r="HTT35" s="2795"/>
      <c r="HTU35" s="2795"/>
      <c r="HTV35" s="2795"/>
      <c r="HTW35" s="2795"/>
      <c r="HTX35" s="2795"/>
      <c r="HTY35" s="2795"/>
      <c r="HTZ35" s="2795"/>
      <c r="HUA35" s="2795"/>
      <c r="HUB35" s="2795"/>
      <c r="HUC35" s="2795"/>
      <c r="HUD35" s="2795"/>
      <c r="HUE35" s="2795"/>
      <c r="HUF35" s="2795"/>
      <c r="HUG35" s="2795"/>
      <c r="HUH35" s="2795"/>
      <c r="HUI35" s="2795"/>
      <c r="HUJ35" s="2795"/>
      <c r="HUK35" s="2795"/>
      <c r="HUL35" s="2795"/>
      <c r="HUM35" s="2795"/>
      <c r="HUN35" s="2795"/>
      <c r="HUO35" s="2795"/>
      <c r="HUP35" s="2795"/>
      <c r="HUQ35" s="2795"/>
      <c r="HUR35" s="2795"/>
      <c r="HUS35" s="2795"/>
      <c r="HUT35" s="2795"/>
      <c r="HUU35" s="2795"/>
      <c r="HUV35" s="2795"/>
      <c r="HUW35" s="2795"/>
      <c r="HUX35" s="2795"/>
      <c r="HUY35" s="2795"/>
      <c r="HUZ35" s="2795"/>
      <c r="HVA35" s="2795"/>
      <c r="HVB35" s="2795"/>
      <c r="HVC35" s="2795"/>
      <c r="HVD35" s="2795"/>
      <c r="HVE35" s="2795"/>
      <c r="HVF35" s="2795"/>
      <c r="HVG35" s="2795"/>
      <c r="HVH35" s="2795"/>
      <c r="HVI35" s="2795"/>
      <c r="HVJ35" s="2795"/>
      <c r="HVK35" s="2795"/>
      <c r="HVL35" s="2795"/>
      <c r="HVM35" s="2795"/>
      <c r="HVN35" s="2795"/>
      <c r="HVO35" s="2795"/>
      <c r="HVP35" s="2795"/>
      <c r="HVQ35" s="2795"/>
      <c r="HVR35" s="2795"/>
      <c r="HVS35" s="2795"/>
      <c r="HVT35" s="2795"/>
      <c r="HVU35" s="2795"/>
      <c r="HVV35" s="2795"/>
      <c r="HVW35" s="2795"/>
      <c r="HVX35" s="2795"/>
      <c r="HVY35" s="2795"/>
      <c r="HVZ35" s="2795"/>
      <c r="HWA35" s="2795"/>
      <c r="HWB35" s="2795"/>
      <c r="HWC35" s="2795"/>
      <c r="HWD35" s="2795"/>
      <c r="HWE35" s="2795"/>
      <c r="HWF35" s="2795"/>
      <c r="HWG35" s="2795"/>
      <c r="HWH35" s="2795"/>
      <c r="HWI35" s="2795"/>
      <c r="HWJ35" s="2795"/>
      <c r="HWK35" s="2795"/>
      <c r="HWL35" s="2795"/>
      <c r="HWM35" s="2795"/>
      <c r="HWN35" s="2795"/>
      <c r="HWO35" s="2795"/>
      <c r="HWP35" s="2795"/>
      <c r="HWQ35" s="2795"/>
      <c r="HWR35" s="2795"/>
      <c r="HWS35" s="2795"/>
      <c r="HWT35" s="2795"/>
      <c r="HWU35" s="2795"/>
      <c r="HWV35" s="2795"/>
      <c r="HWW35" s="2795"/>
      <c r="HWX35" s="2795"/>
      <c r="HWY35" s="2795"/>
      <c r="HWZ35" s="2795"/>
      <c r="HXA35" s="2795"/>
      <c r="HXB35" s="2795"/>
      <c r="HXC35" s="2795"/>
      <c r="HXD35" s="2795"/>
      <c r="HXE35" s="2795"/>
      <c r="HXF35" s="2795"/>
      <c r="HXG35" s="2795"/>
      <c r="HXH35" s="2795"/>
      <c r="HXI35" s="2795"/>
      <c r="HXJ35" s="2795"/>
      <c r="HXK35" s="2795"/>
      <c r="HXL35" s="2795"/>
      <c r="HXM35" s="2795"/>
      <c r="HXN35" s="2795"/>
      <c r="HXO35" s="2795"/>
      <c r="HXP35" s="2795"/>
      <c r="HXQ35" s="2795"/>
      <c r="HXR35" s="2795"/>
      <c r="HXS35" s="2795"/>
      <c r="HXT35" s="2795"/>
      <c r="HXU35" s="2795"/>
      <c r="HXV35" s="2795"/>
      <c r="HXW35" s="2795"/>
      <c r="HXX35" s="2795"/>
      <c r="HXY35" s="2795"/>
      <c r="HXZ35" s="2795"/>
      <c r="HYA35" s="2795"/>
      <c r="HYB35" s="2795"/>
      <c r="HYC35" s="2795"/>
      <c r="HYD35" s="2795"/>
      <c r="HYE35" s="2795"/>
      <c r="HYF35" s="2795"/>
      <c r="HYG35" s="2795"/>
      <c r="HYH35" s="2795"/>
      <c r="HYI35" s="2795"/>
      <c r="HYJ35" s="2795"/>
      <c r="HYK35" s="2795"/>
      <c r="HYL35" s="2795"/>
      <c r="HYM35" s="2795"/>
      <c r="HYN35" s="2795"/>
      <c r="HYO35" s="2795"/>
      <c r="HYP35" s="2795"/>
      <c r="HYQ35" s="2795"/>
      <c r="HYR35" s="2795"/>
      <c r="HYS35" s="2795"/>
      <c r="HYT35" s="2795"/>
      <c r="HYU35" s="2795"/>
      <c r="HYV35" s="2795"/>
      <c r="HYW35" s="2795"/>
      <c r="HYX35" s="2795"/>
      <c r="HYY35" s="2795"/>
      <c r="HYZ35" s="2795"/>
      <c r="HZA35" s="2795"/>
      <c r="HZB35" s="2795"/>
      <c r="HZC35" s="2795"/>
      <c r="HZD35" s="2795"/>
      <c r="HZE35" s="2795"/>
      <c r="HZF35" s="2795"/>
      <c r="HZG35" s="2795"/>
      <c r="HZH35" s="2795"/>
      <c r="HZI35" s="2795"/>
      <c r="HZJ35" s="2795"/>
      <c r="HZK35" s="2795"/>
      <c r="HZL35" s="2795"/>
      <c r="HZM35" s="2795"/>
      <c r="HZN35" s="2795"/>
      <c r="HZO35" s="2795"/>
      <c r="HZP35" s="2795"/>
      <c r="HZQ35" s="2795"/>
      <c r="HZR35" s="2795"/>
      <c r="HZS35" s="2795"/>
      <c r="HZT35" s="2795"/>
      <c r="HZU35" s="2795"/>
      <c r="HZV35" s="2795"/>
      <c r="HZW35" s="2795"/>
      <c r="HZX35" s="2795"/>
      <c r="HZY35" s="2795"/>
      <c r="HZZ35" s="2795"/>
      <c r="IAA35" s="2795"/>
      <c r="IAB35" s="2795"/>
      <c r="IAC35" s="2795"/>
      <c r="IAD35" s="2795"/>
      <c r="IAE35" s="2795"/>
      <c r="IAF35" s="2795"/>
      <c r="IAG35" s="2795"/>
      <c r="IAH35" s="2795"/>
      <c r="IAI35" s="2795"/>
      <c r="IAJ35" s="2795"/>
      <c r="IAK35" s="2795"/>
      <c r="IAL35" s="2795"/>
      <c r="IAM35" s="2795"/>
      <c r="IAN35" s="2795"/>
      <c r="IAO35" s="2795"/>
      <c r="IAP35" s="2795"/>
      <c r="IAQ35" s="2795"/>
      <c r="IAR35" s="2795"/>
      <c r="IAS35" s="2795"/>
      <c r="IAT35" s="2795"/>
      <c r="IAU35" s="2795"/>
      <c r="IAV35" s="2795"/>
      <c r="IAW35" s="2795"/>
      <c r="IAX35" s="2795"/>
      <c r="IAY35" s="2795"/>
      <c r="IAZ35" s="2795"/>
      <c r="IBA35" s="2795"/>
      <c r="IBB35" s="2795"/>
      <c r="IBC35" s="2795"/>
      <c r="IBD35" s="2795"/>
      <c r="IBE35" s="2795"/>
      <c r="IBF35" s="2795"/>
      <c r="IBG35" s="2795"/>
      <c r="IBH35" s="2795"/>
      <c r="IBI35" s="2795"/>
      <c r="IBJ35" s="2795"/>
      <c r="IBK35" s="2795"/>
      <c r="IBL35" s="2795"/>
      <c r="IBM35" s="2795"/>
      <c r="IBN35" s="2795"/>
      <c r="IBO35" s="2795"/>
      <c r="IBP35" s="2795"/>
      <c r="IBQ35" s="2795"/>
      <c r="IBR35" s="2795"/>
      <c r="IBS35" s="2795"/>
      <c r="IBT35" s="2795"/>
      <c r="IBU35" s="2795"/>
      <c r="IBV35" s="2795"/>
      <c r="IBW35" s="2795"/>
      <c r="IBX35" s="2795"/>
      <c r="IBY35" s="2795"/>
      <c r="IBZ35" s="2795"/>
      <c r="ICA35" s="2795"/>
      <c r="ICB35" s="2795"/>
      <c r="ICC35" s="2795"/>
      <c r="ICD35" s="2795"/>
      <c r="ICE35" s="2795"/>
      <c r="ICF35" s="2795"/>
      <c r="ICG35" s="2795"/>
      <c r="ICH35" s="2795"/>
      <c r="ICI35" s="2795"/>
      <c r="ICJ35" s="2795"/>
      <c r="ICK35" s="2795"/>
      <c r="ICL35" s="2795"/>
      <c r="ICM35" s="2795"/>
      <c r="ICN35" s="2795"/>
      <c r="ICO35" s="2795"/>
      <c r="ICP35" s="2795"/>
      <c r="ICQ35" s="2795"/>
      <c r="ICR35" s="2795"/>
      <c r="ICS35" s="2795"/>
      <c r="ICT35" s="2795"/>
      <c r="ICU35" s="2795"/>
      <c r="ICV35" s="2795"/>
      <c r="ICW35" s="2795"/>
      <c r="ICX35" s="2795"/>
      <c r="ICY35" s="2795"/>
      <c r="ICZ35" s="2795"/>
      <c r="IDA35" s="2795"/>
      <c r="IDB35" s="2795"/>
      <c r="IDC35" s="2795"/>
      <c r="IDD35" s="2795"/>
      <c r="IDE35" s="2795"/>
      <c r="IDF35" s="2795"/>
      <c r="IDG35" s="2795"/>
      <c r="IDH35" s="2795"/>
      <c r="IDI35" s="2795"/>
      <c r="IDJ35" s="2795"/>
      <c r="IDK35" s="2795"/>
      <c r="IDL35" s="2795"/>
      <c r="IDM35" s="2795"/>
      <c r="IDN35" s="2795"/>
      <c r="IDO35" s="2795"/>
      <c r="IDP35" s="2795"/>
      <c r="IDQ35" s="2795"/>
      <c r="IDR35" s="2795"/>
      <c r="IDS35" s="2795"/>
      <c r="IDT35" s="2795"/>
      <c r="IDU35" s="2795"/>
      <c r="IDV35" s="2795"/>
      <c r="IDW35" s="2795"/>
      <c r="IDX35" s="2795"/>
      <c r="IDY35" s="2795"/>
      <c r="IDZ35" s="2795"/>
      <c r="IEA35" s="2795"/>
      <c r="IEB35" s="2795"/>
      <c r="IEC35" s="2795"/>
      <c r="IED35" s="2795"/>
      <c r="IEE35" s="2795"/>
      <c r="IEF35" s="2795"/>
      <c r="IEG35" s="2795"/>
      <c r="IEH35" s="2795"/>
      <c r="IEI35" s="2795"/>
      <c r="IEJ35" s="2795"/>
      <c r="IEK35" s="2795"/>
      <c r="IEL35" s="2795"/>
      <c r="IEM35" s="2795"/>
      <c r="IEN35" s="2795"/>
      <c r="IEO35" s="2795"/>
      <c r="IEP35" s="2795"/>
      <c r="IEQ35" s="2795"/>
      <c r="IER35" s="2795"/>
      <c r="IES35" s="2795"/>
      <c r="IET35" s="2795"/>
      <c r="IEU35" s="2795"/>
      <c r="IEV35" s="2795"/>
      <c r="IEW35" s="2795"/>
      <c r="IEX35" s="2795"/>
      <c r="IEY35" s="2795"/>
      <c r="IEZ35" s="2795"/>
      <c r="IFA35" s="2795"/>
      <c r="IFB35" s="2795"/>
      <c r="IFC35" s="2795"/>
      <c r="IFD35" s="2795"/>
      <c r="IFE35" s="2795"/>
      <c r="IFF35" s="2795"/>
      <c r="IFG35" s="2795"/>
      <c r="IFH35" s="2795"/>
      <c r="IFI35" s="2795"/>
      <c r="IFJ35" s="2795"/>
      <c r="IFK35" s="2795"/>
      <c r="IFL35" s="2795"/>
      <c r="IFM35" s="2795"/>
      <c r="IFN35" s="2795"/>
      <c r="IFO35" s="2795"/>
      <c r="IFP35" s="2795"/>
      <c r="IFQ35" s="2795"/>
      <c r="IFR35" s="2795"/>
      <c r="IFS35" s="2795"/>
      <c r="IFT35" s="2795"/>
      <c r="IFU35" s="2795"/>
      <c r="IFV35" s="2795"/>
      <c r="IFW35" s="2795"/>
      <c r="IFX35" s="2795"/>
      <c r="IFY35" s="2795"/>
      <c r="IFZ35" s="2795"/>
      <c r="IGA35" s="2795"/>
      <c r="IGB35" s="2795"/>
      <c r="IGC35" s="2795"/>
      <c r="IGD35" s="2795"/>
      <c r="IGE35" s="2795"/>
      <c r="IGF35" s="2795"/>
      <c r="IGG35" s="2795"/>
      <c r="IGH35" s="2795"/>
      <c r="IGI35" s="2795"/>
      <c r="IGJ35" s="2795"/>
      <c r="IGK35" s="2795"/>
      <c r="IGL35" s="2795"/>
      <c r="IGM35" s="2795"/>
      <c r="IGN35" s="2795"/>
      <c r="IGO35" s="2795"/>
      <c r="IGP35" s="2795"/>
      <c r="IGQ35" s="2795"/>
      <c r="IGR35" s="2795"/>
      <c r="IGS35" s="2795"/>
      <c r="IGT35" s="2795"/>
      <c r="IGU35" s="2795"/>
      <c r="IGV35" s="2795"/>
      <c r="IGW35" s="2795"/>
      <c r="IGX35" s="2795"/>
      <c r="IGY35" s="2795"/>
      <c r="IGZ35" s="2795"/>
      <c r="IHA35" s="2795"/>
      <c r="IHB35" s="2795"/>
      <c r="IHC35" s="2795"/>
      <c r="IHD35" s="2795"/>
      <c r="IHE35" s="2795"/>
      <c r="IHF35" s="2795"/>
      <c r="IHG35" s="2795"/>
      <c r="IHH35" s="2795"/>
      <c r="IHI35" s="2795"/>
      <c r="IHJ35" s="2795"/>
      <c r="IHK35" s="2795"/>
      <c r="IHL35" s="2795"/>
      <c r="IHM35" s="2795"/>
      <c r="IHN35" s="2795"/>
      <c r="IHO35" s="2795"/>
      <c r="IHP35" s="2795"/>
      <c r="IHQ35" s="2795"/>
      <c r="IHR35" s="2795"/>
      <c r="IHS35" s="2795"/>
      <c r="IHT35" s="2795"/>
      <c r="IHU35" s="2795"/>
      <c r="IHV35" s="2795"/>
      <c r="IHW35" s="2795"/>
      <c r="IHX35" s="2795"/>
      <c r="IHY35" s="2795"/>
      <c r="IHZ35" s="2795"/>
      <c r="IIA35" s="2795"/>
      <c r="IIB35" s="2795"/>
      <c r="IIC35" s="2795"/>
      <c r="IID35" s="2795"/>
      <c r="IIE35" s="2795"/>
      <c r="IIF35" s="2795"/>
      <c r="IIG35" s="2795"/>
      <c r="IIH35" s="2795"/>
      <c r="III35" s="2795"/>
      <c r="IIJ35" s="2795"/>
      <c r="IIK35" s="2795"/>
      <c r="IIL35" s="2795"/>
      <c r="IIM35" s="2795"/>
      <c r="IIN35" s="2795"/>
      <c r="IIO35" s="2795"/>
      <c r="IIP35" s="2795"/>
      <c r="IIQ35" s="2795"/>
      <c r="IIR35" s="2795"/>
      <c r="IIS35" s="2795"/>
      <c r="IIT35" s="2795"/>
      <c r="IIU35" s="2795"/>
      <c r="IIV35" s="2795"/>
      <c r="IIW35" s="2795"/>
      <c r="IIX35" s="2795"/>
      <c r="IIY35" s="2795"/>
      <c r="IIZ35" s="2795"/>
      <c r="IJA35" s="2795"/>
      <c r="IJB35" s="2795"/>
      <c r="IJC35" s="2795"/>
      <c r="IJD35" s="2795"/>
      <c r="IJE35" s="2795"/>
      <c r="IJF35" s="2795"/>
      <c r="IJG35" s="2795"/>
      <c r="IJH35" s="2795"/>
      <c r="IJI35" s="2795"/>
      <c r="IJJ35" s="2795"/>
      <c r="IJK35" s="2795"/>
      <c r="IJL35" s="2795"/>
      <c r="IJM35" s="2795"/>
      <c r="IJN35" s="2795"/>
      <c r="IJO35" s="2795"/>
      <c r="IJP35" s="2795"/>
      <c r="IJQ35" s="2795"/>
      <c r="IJR35" s="2795"/>
      <c r="IJS35" s="2795"/>
      <c r="IJT35" s="2795"/>
      <c r="IJU35" s="2795"/>
      <c r="IJV35" s="2795"/>
      <c r="IJW35" s="2795"/>
      <c r="IJX35" s="2795"/>
      <c r="IJY35" s="2795"/>
      <c r="IJZ35" s="2795"/>
      <c r="IKA35" s="2795"/>
      <c r="IKB35" s="2795"/>
      <c r="IKC35" s="2795"/>
      <c r="IKD35" s="2795"/>
      <c r="IKE35" s="2795"/>
      <c r="IKF35" s="2795"/>
      <c r="IKG35" s="2795"/>
      <c r="IKH35" s="2795"/>
      <c r="IKI35" s="2795"/>
      <c r="IKJ35" s="2795"/>
      <c r="IKK35" s="2795"/>
      <c r="IKL35" s="2795"/>
      <c r="IKM35" s="2795"/>
      <c r="IKN35" s="2795"/>
      <c r="IKO35" s="2795"/>
      <c r="IKP35" s="2795"/>
      <c r="IKQ35" s="2795"/>
      <c r="IKR35" s="2795"/>
      <c r="IKS35" s="2795"/>
      <c r="IKT35" s="2795"/>
      <c r="IKU35" s="2795"/>
      <c r="IKV35" s="2795"/>
      <c r="IKW35" s="2795"/>
      <c r="IKX35" s="2795"/>
      <c r="IKY35" s="2795"/>
      <c r="IKZ35" s="2795"/>
      <c r="ILA35" s="2795"/>
      <c r="ILB35" s="2795"/>
      <c r="ILC35" s="2795"/>
      <c r="ILD35" s="2795"/>
      <c r="ILE35" s="2795"/>
      <c r="ILF35" s="2795"/>
      <c r="ILG35" s="2795"/>
      <c r="ILH35" s="2795"/>
      <c r="ILI35" s="2795"/>
      <c r="ILJ35" s="2795"/>
      <c r="ILK35" s="2795"/>
      <c r="ILL35" s="2795"/>
      <c r="ILM35" s="2795"/>
      <c r="ILN35" s="2795"/>
      <c r="ILO35" s="2795"/>
      <c r="ILP35" s="2795"/>
      <c r="ILQ35" s="2795"/>
      <c r="ILR35" s="2795"/>
      <c r="ILS35" s="2795"/>
      <c r="ILT35" s="2795"/>
      <c r="ILU35" s="2795"/>
      <c r="ILV35" s="2795"/>
      <c r="ILW35" s="2795"/>
      <c r="ILX35" s="2795"/>
      <c r="ILY35" s="2795"/>
      <c r="ILZ35" s="2795"/>
      <c r="IMA35" s="2795"/>
      <c r="IMB35" s="2795"/>
      <c r="IMC35" s="2795"/>
      <c r="IMD35" s="2795"/>
      <c r="IME35" s="2795"/>
      <c r="IMF35" s="2795"/>
      <c r="IMG35" s="2795"/>
      <c r="IMH35" s="2795"/>
      <c r="IMI35" s="2795"/>
      <c r="IMJ35" s="2795"/>
      <c r="IMK35" s="2795"/>
      <c r="IML35" s="2795"/>
      <c r="IMM35" s="2795"/>
      <c r="IMN35" s="2795"/>
      <c r="IMO35" s="2795"/>
      <c r="IMP35" s="2795"/>
      <c r="IMQ35" s="2795"/>
      <c r="IMR35" s="2795"/>
      <c r="IMS35" s="2795"/>
      <c r="IMT35" s="2795"/>
      <c r="IMU35" s="2795"/>
      <c r="IMV35" s="2795"/>
      <c r="IMW35" s="2795"/>
      <c r="IMX35" s="2795"/>
      <c r="IMY35" s="2795"/>
      <c r="IMZ35" s="2795"/>
      <c r="INA35" s="2795"/>
      <c r="INB35" s="2795"/>
      <c r="INC35" s="2795"/>
      <c r="IND35" s="2795"/>
      <c r="INE35" s="2795"/>
      <c r="INF35" s="2795"/>
      <c r="ING35" s="2795"/>
      <c r="INH35" s="2795"/>
      <c r="INI35" s="2795"/>
      <c r="INJ35" s="2795"/>
      <c r="INK35" s="2795"/>
      <c r="INL35" s="2795"/>
      <c r="INM35" s="2795"/>
      <c r="INN35" s="2795"/>
      <c r="INO35" s="2795"/>
      <c r="INP35" s="2795"/>
      <c r="INQ35" s="2795"/>
      <c r="INR35" s="2795"/>
      <c r="INS35" s="2795"/>
      <c r="INT35" s="2795"/>
      <c r="INU35" s="2795"/>
      <c r="INV35" s="2795"/>
      <c r="INW35" s="2795"/>
      <c r="INX35" s="2795"/>
      <c r="INY35" s="2795"/>
      <c r="INZ35" s="2795"/>
      <c r="IOA35" s="2795"/>
      <c r="IOB35" s="2795"/>
      <c r="IOC35" s="2795"/>
      <c r="IOD35" s="2795"/>
      <c r="IOE35" s="2795"/>
      <c r="IOF35" s="2795"/>
      <c r="IOG35" s="2795"/>
      <c r="IOH35" s="2795"/>
      <c r="IOI35" s="2795"/>
      <c r="IOJ35" s="2795"/>
      <c r="IOK35" s="2795"/>
      <c r="IOL35" s="2795"/>
      <c r="IOM35" s="2795"/>
      <c r="ION35" s="2795"/>
      <c r="IOO35" s="2795"/>
      <c r="IOP35" s="2795"/>
      <c r="IOQ35" s="2795"/>
      <c r="IOR35" s="2795"/>
      <c r="IOS35" s="2795"/>
      <c r="IOT35" s="2795"/>
      <c r="IOU35" s="2795"/>
      <c r="IOV35" s="2795"/>
      <c r="IOW35" s="2795"/>
      <c r="IOX35" s="2795"/>
      <c r="IOY35" s="2795"/>
      <c r="IOZ35" s="2795"/>
      <c r="IPA35" s="2795"/>
      <c r="IPB35" s="2795"/>
      <c r="IPC35" s="2795"/>
      <c r="IPD35" s="2795"/>
      <c r="IPE35" s="2795"/>
      <c r="IPF35" s="2795"/>
      <c r="IPG35" s="2795"/>
      <c r="IPH35" s="2795"/>
      <c r="IPI35" s="2795"/>
      <c r="IPJ35" s="2795"/>
      <c r="IPK35" s="2795"/>
      <c r="IPL35" s="2795"/>
      <c r="IPM35" s="2795"/>
      <c r="IPN35" s="2795"/>
      <c r="IPO35" s="2795"/>
      <c r="IPP35" s="2795"/>
      <c r="IPQ35" s="2795"/>
      <c r="IPR35" s="2795"/>
      <c r="IPS35" s="2795"/>
      <c r="IPT35" s="2795"/>
      <c r="IPU35" s="2795"/>
      <c r="IPV35" s="2795"/>
      <c r="IPW35" s="2795"/>
      <c r="IPX35" s="2795"/>
      <c r="IPY35" s="2795"/>
      <c r="IPZ35" s="2795"/>
      <c r="IQA35" s="2795"/>
      <c r="IQB35" s="2795"/>
      <c r="IQC35" s="2795"/>
      <c r="IQD35" s="2795"/>
      <c r="IQE35" s="2795"/>
      <c r="IQF35" s="2795"/>
      <c r="IQG35" s="2795"/>
      <c r="IQH35" s="2795"/>
      <c r="IQI35" s="2795"/>
      <c r="IQJ35" s="2795"/>
      <c r="IQK35" s="2795"/>
      <c r="IQL35" s="2795"/>
      <c r="IQM35" s="2795"/>
      <c r="IQN35" s="2795"/>
      <c r="IQO35" s="2795"/>
      <c r="IQP35" s="2795"/>
      <c r="IQQ35" s="2795"/>
      <c r="IQR35" s="2795"/>
      <c r="IQS35" s="2795"/>
      <c r="IQT35" s="2795"/>
      <c r="IQU35" s="2795"/>
      <c r="IQV35" s="2795"/>
      <c r="IQW35" s="2795"/>
      <c r="IQX35" s="2795"/>
      <c r="IQY35" s="2795"/>
      <c r="IQZ35" s="2795"/>
      <c r="IRA35" s="2795"/>
      <c r="IRB35" s="2795"/>
      <c r="IRC35" s="2795"/>
      <c r="IRD35" s="2795"/>
      <c r="IRE35" s="2795"/>
      <c r="IRF35" s="2795"/>
      <c r="IRG35" s="2795"/>
      <c r="IRH35" s="2795"/>
      <c r="IRI35" s="2795"/>
      <c r="IRJ35" s="2795"/>
      <c r="IRK35" s="2795"/>
      <c r="IRL35" s="2795"/>
      <c r="IRM35" s="2795"/>
      <c r="IRN35" s="2795"/>
      <c r="IRO35" s="2795"/>
      <c r="IRP35" s="2795"/>
      <c r="IRQ35" s="2795"/>
      <c r="IRR35" s="2795"/>
      <c r="IRS35" s="2795"/>
      <c r="IRT35" s="2795"/>
      <c r="IRU35" s="2795"/>
      <c r="IRV35" s="2795"/>
      <c r="IRW35" s="2795"/>
      <c r="IRX35" s="2795"/>
      <c r="IRY35" s="2795"/>
      <c r="IRZ35" s="2795"/>
      <c r="ISA35" s="2795"/>
      <c r="ISB35" s="2795"/>
      <c r="ISC35" s="2795"/>
      <c r="ISD35" s="2795"/>
      <c r="ISE35" s="2795"/>
      <c r="ISF35" s="2795"/>
      <c r="ISG35" s="2795"/>
      <c r="ISH35" s="2795"/>
      <c r="ISI35" s="2795"/>
      <c r="ISJ35" s="2795"/>
      <c r="ISK35" s="2795"/>
      <c r="ISL35" s="2795"/>
      <c r="ISM35" s="2795"/>
      <c r="ISN35" s="2795"/>
      <c r="ISO35" s="2795"/>
      <c r="ISP35" s="2795"/>
      <c r="ISQ35" s="2795"/>
      <c r="ISR35" s="2795"/>
      <c r="ISS35" s="2795"/>
      <c r="IST35" s="2795"/>
      <c r="ISU35" s="2795"/>
      <c r="ISV35" s="2795"/>
      <c r="ISW35" s="2795"/>
      <c r="ISX35" s="2795"/>
      <c r="ISY35" s="2795"/>
      <c r="ISZ35" s="2795"/>
      <c r="ITA35" s="2795"/>
      <c r="ITB35" s="2795"/>
      <c r="ITC35" s="2795"/>
      <c r="ITD35" s="2795"/>
      <c r="ITE35" s="2795"/>
      <c r="ITF35" s="2795"/>
      <c r="ITG35" s="2795"/>
      <c r="ITH35" s="2795"/>
      <c r="ITI35" s="2795"/>
      <c r="ITJ35" s="2795"/>
      <c r="ITK35" s="2795"/>
      <c r="ITL35" s="2795"/>
      <c r="ITM35" s="2795"/>
      <c r="ITN35" s="2795"/>
      <c r="ITO35" s="2795"/>
      <c r="ITP35" s="2795"/>
      <c r="ITQ35" s="2795"/>
      <c r="ITR35" s="2795"/>
      <c r="ITS35" s="2795"/>
      <c r="ITT35" s="2795"/>
      <c r="ITU35" s="2795"/>
      <c r="ITV35" s="2795"/>
      <c r="ITW35" s="2795"/>
      <c r="ITX35" s="2795"/>
      <c r="ITY35" s="2795"/>
      <c r="ITZ35" s="2795"/>
      <c r="IUA35" s="2795"/>
      <c r="IUB35" s="2795"/>
      <c r="IUC35" s="2795"/>
      <c r="IUD35" s="2795"/>
      <c r="IUE35" s="2795"/>
      <c r="IUF35" s="2795"/>
      <c r="IUG35" s="2795"/>
      <c r="IUH35" s="2795"/>
      <c r="IUI35" s="2795"/>
      <c r="IUJ35" s="2795"/>
      <c r="IUK35" s="2795"/>
      <c r="IUL35" s="2795"/>
      <c r="IUM35" s="2795"/>
      <c r="IUN35" s="2795"/>
      <c r="IUO35" s="2795"/>
      <c r="IUP35" s="2795"/>
      <c r="IUQ35" s="2795"/>
      <c r="IUR35" s="2795"/>
      <c r="IUS35" s="2795"/>
      <c r="IUT35" s="2795"/>
      <c r="IUU35" s="2795"/>
      <c r="IUV35" s="2795"/>
      <c r="IUW35" s="2795"/>
      <c r="IUX35" s="2795"/>
      <c r="IUY35" s="2795"/>
      <c r="IUZ35" s="2795"/>
      <c r="IVA35" s="2795"/>
      <c r="IVB35" s="2795"/>
      <c r="IVC35" s="2795"/>
      <c r="IVD35" s="2795"/>
      <c r="IVE35" s="2795"/>
      <c r="IVF35" s="2795"/>
      <c r="IVG35" s="2795"/>
      <c r="IVH35" s="2795"/>
      <c r="IVI35" s="2795"/>
      <c r="IVJ35" s="2795"/>
      <c r="IVK35" s="2795"/>
      <c r="IVL35" s="2795"/>
      <c r="IVM35" s="2795"/>
      <c r="IVN35" s="2795"/>
      <c r="IVO35" s="2795"/>
      <c r="IVP35" s="2795"/>
      <c r="IVQ35" s="2795"/>
      <c r="IVR35" s="2795"/>
      <c r="IVS35" s="2795"/>
      <c r="IVT35" s="2795"/>
      <c r="IVU35" s="2795"/>
      <c r="IVV35" s="2795"/>
      <c r="IVW35" s="2795"/>
      <c r="IVX35" s="2795"/>
      <c r="IVY35" s="2795"/>
      <c r="IVZ35" s="2795"/>
      <c r="IWA35" s="2795"/>
      <c r="IWB35" s="2795"/>
      <c r="IWC35" s="2795"/>
      <c r="IWD35" s="2795"/>
      <c r="IWE35" s="2795"/>
      <c r="IWF35" s="2795"/>
      <c r="IWG35" s="2795"/>
      <c r="IWH35" s="2795"/>
      <c r="IWI35" s="2795"/>
      <c r="IWJ35" s="2795"/>
      <c r="IWK35" s="2795"/>
      <c r="IWL35" s="2795"/>
      <c r="IWM35" s="2795"/>
      <c r="IWN35" s="2795"/>
      <c r="IWO35" s="2795"/>
      <c r="IWP35" s="2795"/>
      <c r="IWQ35" s="2795"/>
      <c r="IWR35" s="2795"/>
      <c r="IWS35" s="2795"/>
      <c r="IWT35" s="2795"/>
      <c r="IWU35" s="2795"/>
      <c r="IWV35" s="2795"/>
      <c r="IWW35" s="2795"/>
      <c r="IWX35" s="2795"/>
      <c r="IWY35" s="2795"/>
      <c r="IWZ35" s="2795"/>
      <c r="IXA35" s="2795"/>
      <c r="IXB35" s="2795"/>
      <c r="IXC35" s="2795"/>
      <c r="IXD35" s="2795"/>
      <c r="IXE35" s="2795"/>
      <c r="IXF35" s="2795"/>
      <c r="IXG35" s="2795"/>
      <c r="IXH35" s="2795"/>
      <c r="IXI35" s="2795"/>
      <c r="IXJ35" s="2795"/>
      <c r="IXK35" s="2795"/>
      <c r="IXL35" s="2795"/>
      <c r="IXM35" s="2795"/>
      <c r="IXN35" s="2795"/>
      <c r="IXO35" s="2795"/>
      <c r="IXP35" s="2795"/>
      <c r="IXQ35" s="2795"/>
      <c r="IXR35" s="2795"/>
      <c r="IXS35" s="2795"/>
      <c r="IXT35" s="2795"/>
      <c r="IXU35" s="2795"/>
      <c r="IXV35" s="2795"/>
      <c r="IXW35" s="2795"/>
      <c r="IXX35" s="2795"/>
      <c r="IXY35" s="2795"/>
      <c r="IXZ35" s="2795"/>
      <c r="IYA35" s="2795"/>
      <c r="IYB35" s="2795"/>
      <c r="IYC35" s="2795"/>
      <c r="IYD35" s="2795"/>
      <c r="IYE35" s="2795"/>
      <c r="IYF35" s="2795"/>
      <c r="IYG35" s="2795"/>
      <c r="IYH35" s="2795"/>
      <c r="IYI35" s="2795"/>
      <c r="IYJ35" s="2795"/>
      <c r="IYK35" s="2795"/>
      <c r="IYL35" s="2795"/>
      <c r="IYM35" s="2795"/>
      <c r="IYN35" s="2795"/>
      <c r="IYO35" s="2795"/>
      <c r="IYP35" s="2795"/>
      <c r="IYQ35" s="2795"/>
      <c r="IYR35" s="2795"/>
      <c r="IYS35" s="2795"/>
      <c r="IYT35" s="2795"/>
      <c r="IYU35" s="2795"/>
      <c r="IYV35" s="2795"/>
      <c r="IYW35" s="2795"/>
      <c r="IYX35" s="2795"/>
      <c r="IYY35" s="2795"/>
      <c r="IYZ35" s="2795"/>
      <c r="IZA35" s="2795"/>
      <c r="IZB35" s="2795"/>
      <c r="IZC35" s="2795"/>
      <c r="IZD35" s="2795"/>
      <c r="IZE35" s="2795"/>
      <c r="IZF35" s="2795"/>
      <c r="IZG35" s="2795"/>
      <c r="IZH35" s="2795"/>
      <c r="IZI35" s="2795"/>
      <c r="IZJ35" s="2795"/>
      <c r="IZK35" s="2795"/>
      <c r="IZL35" s="2795"/>
      <c r="IZM35" s="2795"/>
      <c r="IZN35" s="2795"/>
      <c r="IZO35" s="2795"/>
      <c r="IZP35" s="2795"/>
      <c r="IZQ35" s="2795"/>
      <c r="IZR35" s="2795"/>
      <c r="IZS35" s="2795"/>
      <c r="IZT35" s="2795"/>
      <c r="IZU35" s="2795"/>
      <c r="IZV35" s="2795"/>
      <c r="IZW35" s="2795"/>
      <c r="IZX35" s="2795"/>
      <c r="IZY35" s="2795"/>
      <c r="IZZ35" s="2795"/>
      <c r="JAA35" s="2795"/>
      <c r="JAB35" s="2795"/>
      <c r="JAC35" s="2795"/>
      <c r="JAD35" s="2795"/>
      <c r="JAE35" s="2795"/>
      <c r="JAF35" s="2795"/>
      <c r="JAG35" s="2795"/>
      <c r="JAH35" s="2795"/>
      <c r="JAI35" s="2795"/>
      <c r="JAJ35" s="2795"/>
      <c r="JAK35" s="2795"/>
      <c r="JAL35" s="2795"/>
      <c r="JAM35" s="2795"/>
      <c r="JAN35" s="2795"/>
      <c r="JAO35" s="2795"/>
      <c r="JAP35" s="2795"/>
      <c r="JAQ35" s="2795"/>
      <c r="JAR35" s="2795"/>
      <c r="JAS35" s="2795"/>
      <c r="JAT35" s="2795"/>
      <c r="JAU35" s="2795"/>
      <c r="JAV35" s="2795"/>
      <c r="JAW35" s="2795"/>
      <c r="JAX35" s="2795"/>
      <c r="JAY35" s="2795"/>
      <c r="JAZ35" s="2795"/>
      <c r="JBA35" s="2795"/>
      <c r="JBB35" s="2795"/>
      <c r="JBC35" s="2795"/>
      <c r="JBD35" s="2795"/>
      <c r="JBE35" s="2795"/>
      <c r="JBF35" s="2795"/>
      <c r="JBG35" s="2795"/>
      <c r="JBH35" s="2795"/>
      <c r="JBI35" s="2795"/>
      <c r="JBJ35" s="2795"/>
      <c r="JBK35" s="2795"/>
      <c r="JBL35" s="2795"/>
      <c r="JBM35" s="2795"/>
      <c r="JBN35" s="2795"/>
      <c r="JBO35" s="2795"/>
      <c r="JBP35" s="2795"/>
      <c r="JBQ35" s="2795"/>
      <c r="JBR35" s="2795"/>
      <c r="JBS35" s="2795"/>
      <c r="JBT35" s="2795"/>
      <c r="JBU35" s="2795"/>
      <c r="JBV35" s="2795"/>
      <c r="JBW35" s="2795"/>
      <c r="JBX35" s="2795"/>
      <c r="JBY35" s="2795"/>
      <c r="JBZ35" s="2795"/>
      <c r="JCA35" s="2795"/>
      <c r="JCB35" s="2795"/>
      <c r="JCC35" s="2795"/>
      <c r="JCD35" s="2795"/>
      <c r="JCE35" s="2795"/>
      <c r="JCF35" s="2795"/>
      <c r="JCG35" s="2795"/>
      <c r="JCH35" s="2795"/>
      <c r="JCI35" s="2795"/>
      <c r="JCJ35" s="2795"/>
      <c r="JCK35" s="2795"/>
      <c r="JCL35" s="2795"/>
      <c r="JCM35" s="2795"/>
      <c r="JCN35" s="2795"/>
      <c r="JCO35" s="2795"/>
      <c r="JCP35" s="2795"/>
      <c r="JCQ35" s="2795"/>
      <c r="JCR35" s="2795"/>
      <c r="JCS35" s="2795"/>
      <c r="JCT35" s="2795"/>
      <c r="JCU35" s="2795"/>
      <c r="JCV35" s="2795"/>
      <c r="JCW35" s="2795"/>
      <c r="JCX35" s="2795"/>
      <c r="JCY35" s="2795"/>
      <c r="JCZ35" s="2795"/>
      <c r="JDA35" s="2795"/>
      <c r="JDB35" s="2795"/>
      <c r="JDC35" s="2795"/>
      <c r="JDD35" s="2795"/>
      <c r="JDE35" s="2795"/>
      <c r="JDF35" s="2795"/>
      <c r="JDG35" s="2795"/>
      <c r="JDH35" s="2795"/>
      <c r="JDI35" s="2795"/>
      <c r="JDJ35" s="2795"/>
      <c r="JDK35" s="2795"/>
      <c r="JDL35" s="2795"/>
      <c r="JDM35" s="2795"/>
      <c r="JDN35" s="2795"/>
      <c r="JDO35" s="2795"/>
      <c r="JDP35" s="2795"/>
      <c r="JDQ35" s="2795"/>
      <c r="JDR35" s="2795"/>
      <c r="JDS35" s="2795"/>
      <c r="JDT35" s="2795"/>
      <c r="JDU35" s="2795"/>
      <c r="JDV35" s="2795"/>
      <c r="JDW35" s="2795"/>
      <c r="JDX35" s="2795"/>
      <c r="JDY35" s="2795"/>
      <c r="JDZ35" s="2795"/>
      <c r="JEA35" s="2795"/>
      <c r="JEB35" s="2795"/>
      <c r="JEC35" s="2795"/>
      <c r="JED35" s="2795"/>
      <c r="JEE35" s="2795"/>
      <c r="JEF35" s="2795"/>
      <c r="JEG35" s="2795"/>
      <c r="JEH35" s="2795"/>
      <c r="JEI35" s="2795"/>
      <c r="JEJ35" s="2795"/>
      <c r="JEK35" s="2795"/>
      <c r="JEL35" s="2795"/>
      <c r="JEM35" s="2795"/>
      <c r="JEN35" s="2795"/>
      <c r="JEO35" s="2795"/>
      <c r="JEP35" s="2795"/>
      <c r="JEQ35" s="2795"/>
      <c r="JER35" s="2795"/>
      <c r="JES35" s="2795"/>
      <c r="JET35" s="2795"/>
      <c r="JEU35" s="2795"/>
      <c r="JEV35" s="2795"/>
      <c r="JEW35" s="2795"/>
      <c r="JEX35" s="2795"/>
      <c r="JEY35" s="2795"/>
      <c r="JEZ35" s="2795"/>
      <c r="JFA35" s="2795"/>
      <c r="JFB35" s="2795"/>
      <c r="JFC35" s="2795"/>
      <c r="JFD35" s="2795"/>
      <c r="JFE35" s="2795"/>
      <c r="JFF35" s="2795"/>
      <c r="JFG35" s="2795"/>
      <c r="JFH35" s="2795"/>
      <c r="JFI35" s="2795"/>
      <c r="JFJ35" s="2795"/>
      <c r="JFK35" s="2795"/>
      <c r="JFL35" s="2795"/>
      <c r="JFM35" s="2795"/>
      <c r="JFN35" s="2795"/>
      <c r="JFO35" s="2795"/>
      <c r="JFP35" s="2795"/>
      <c r="JFQ35" s="2795"/>
      <c r="JFR35" s="2795"/>
      <c r="JFS35" s="2795"/>
      <c r="JFT35" s="2795"/>
      <c r="JFU35" s="2795"/>
      <c r="JFV35" s="2795"/>
      <c r="JFW35" s="2795"/>
      <c r="JFX35" s="2795"/>
      <c r="JFY35" s="2795"/>
      <c r="JFZ35" s="2795"/>
      <c r="JGA35" s="2795"/>
      <c r="JGB35" s="2795"/>
      <c r="JGC35" s="2795"/>
      <c r="JGD35" s="2795"/>
      <c r="JGE35" s="2795"/>
      <c r="JGF35" s="2795"/>
      <c r="JGG35" s="2795"/>
      <c r="JGH35" s="2795"/>
      <c r="JGI35" s="2795"/>
      <c r="JGJ35" s="2795"/>
      <c r="JGK35" s="2795"/>
      <c r="JGL35" s="2795"/>
      <c r="JGM35" s="2795"/>
      <c r="JGN35" s="2795"/>
      <c r="JGO35" s="2795"/>
      <c r="JGP35" s="2795"/>
      <c r="JGQ35" s="2795"/>
      <c r="JGR35" s="2795"/>
      <c r="JGS35" s="2795"/>
      <c r="JGT35" s="2795"/>
      <c r="JGU35" s="2795"/>
      <c r="JGV35" s="2795"/>
      <c r="JGW35" s="2795"/>
      <c r="JGX35" s="2795"/>
      <c r="JGY35" s="2795"/>
      <c r="JGZ35" s="2795"/>
      <c r="JHA35" s="2795"/>
      <c r="JHB35" s="2795"/>
      <c r="JHC35" s="2795"/>
      <c r="JHD35" s="2795"/>
      <c r="JHE35" s="2795"/>
      <c r="JHF35" s="2795"/>
      <c r="JHG35" s="2795"/>
      <c r="JHH35" s="2795"/>
      <c r="JHI35" s="2795"/>
      <c r="JHJ35" s="2795"/>
      <c r="JHK35" s="2795"/>
      <c r="JHL35" s="2795"/>
      <c r="JHM35" s="2795"/>
      <c r="JHN35" s="2795"/>
      <c r="JHO35" s="2795"/>
      <c r="JHP35" s="2795"/>
      <c r="JHQ35" s="2795"/>
      <c r="JHR35" s="2795"/>
      <c r="JHS35" s="2795"/>
      <c r="JHT35" s="2795"/>
      <c r="JHU35" s="2795"/>
      <c r="JHV35" s="2795"/>
      <c r="JHW35" s="2795"/>
      <c r="JHX35" s="2795"/>
      <c r="JHY35" s="2795"/>
      <c r="JHZ35" s="2795"/>
      <c r="JIA35" s="2795"/>
      <c r="JIB35" s="2795"/>
      <c r="JIC35" s="2795"/>
      <c r="JID35" s="2795"/>
      <c r="JIE35" s="2795"/>
      <c r="JIF35" s="2795"/>
      <c r="JIG35" s="2795"/>
      <c r="JIH35" s="2795"/>
      <c r="JII35" s="2795"/>
      <c r="JIJ35" s="2795"/>
      <c r="JIK35" s="2795"/>
      <c r="JIL35" s="2795"/>
      <c r="JIM35" s="2795"/>
      <c r="JIN35" s="2795"/>
      <c r="JIO35" s="2795"/>
      <c r="JIP35" s="2795"/>
      <c r="JIQ35" s="2795"/>
      <c r="JIR35" s="2795"/>
      <c r="JIS35" s="2795"/>
      <c r="JIT35" s="2795"/>
      <c r="JIU35" s="2795"/>
      <c r="JIV35" s="2795"/>
      <c r="JIW35" s="2795"/>
      <c r="JIX35" s="2795"/>
      <c r="JIY35" s="2795"/>
      <c r="JIZ35" s="2795"/>
      <c r="JJA35" s="2795"/>
      <c r="JJB35" s="2795"/>
      <c r="JJC35" s="2795"/>
      <c r="JJD35" s="2795"/>
      <c r="JJE35" s="2795"/>
      <c r="JJF35" s="2795"/>
      <c r="JJG35" s="2795"/>
      <c r="JJH35" s="2795"/>
      <c r="JJI35" s="2795"/>
      <c r="JJJ35" s="2795"/>
      <c r="JJK35" s="2795"/>
      <c r="JJL35" s="2795"/>
      <c r="JJM35" s="2795"/>
      <c r="JJN35" s="2795"/>
      <c r="JJO35" s="2795"/>
      <c r="JJP35" s="2795"/>
      <c r="JJQ35" s="2795"/>
      <c r="JJR35" s="2795"/>
      <c r="JJS35" s="2795"/>
      <c r="JJT35" s="2795"/>
      <c r="JJU35" s="2795"/>
      <c r="JJV35" s="2795"/>
      <c r="JJW35" s="2795"/>
      <c r="JJX35" s="2795"/>
      <c r="JJY35" s="2795"/>
      <c r="JJZ35" s="2795"/>
      <c r="JKA35" s="2795"/>
      <c r="JKB35" s="2795"/>
      <c r="JKC35" s="2795"/>
      <c r="JKD35" s="2795"/>
      <c r="JKE35" s="2795"/>
      <c r="JKF35" s="2795"/>
      <c r="JKG35" s="2795"/>
      <c r="JKH35" s="2795"/>
      <c r="JKI35" s="2795"/>
      <c r="JKJ35" s="2795"/>
      <c r="JKK35" s="2795"/>
      <c r="JKL35" s="2795"/>
      <c r="JKM35" s="2795"/>
      <c r="JKN35" s="2795"/>
      <c r="JKO35" s="2795"/>
      <c r="JKP35" s="2795"/>
      <c r="JKQ35" s="2795"/>
      <c r="JKR35" s="2795"/>
      <c r="JKS35" s="2795"/>
      <c r="JKT35" s="2795"/>
      <c r="JKU35" s="2795"/>
      <c r="JKV35" s="2795"/>
      <c r="JKW35" s="2795"/>
      <c r="JKX35" s="2795"/>
      <c r="JKY35" s="2795"/>
      <c r="JKZ35" s="2795"/>
      <c r="JLA35" s="2795"/>
      <c r="JLB35" s="2795"/>
      <c r="JLC35" s="2795"/>
      <c r="JLD35" s="2795"/>
      <c r="JLE35" s="2795"/>
      <c r="JLF35" s="2795"/>
      <c r="JLG35" s="2795"/>
      <c r="JLH35" s="2795"/>
      <c r="JLI35" s="2795"/>
      <c r="JLJ35" s="2795"/>
      <c r="JLK35" s="2795"/>
      <c r="JLL35" s="2795"/>
      <c r="JLM35" s="2795"/>
      <c r="JLN35" s="2795"/>
      <c r="JLO35" s="2795"/>
      <c r="JLP35" s="2795"/>
      <c r="JLQ35" s="2795"/>
      <c r="JLR35" s="2795"/>
      <c r="JLS35" s="2795"/>
      <c r="JLT35" s="2795"/>
      <c r="JLU35" s="2795"/>
      <c r="JLV35" s="2795"/>
      <c r="JLW35" s="2795"/>
      <c r="JLX35" s="2795"/>
      <c r="JLY35" s="2795"/>
      <c r="JLZ35" s="2795"/>
      <c r="JMA35" s="2795"/>
      <c r="JMB35" s="2795"/>
      <c r="JMC35" s="2795"/>
      <c r="JMD35" s="2795"/>
      <c r="JME35" s="2795"/>
      <c r="JMF35" s="2795"/>
      <c r="JMG35" s="2795"/>
      <c r="JMH35" s="2795"/>
      <c r="JMI35" s="2795"/>
      <c r="JMJ35" s="2795"/>
      <c r="JMK35" s="2795"/>
      <c r="JML35" s="2795"/>
      <c r="JMM35" s="2795"/>
      <c r="JMN35" s="2795"/>
      <c r="JMO35" s="2795"/>
      <c r="JMP35" s="2795"/>
      <c r="JMQ35" s="2795"/>
      <c r="JMR35" s="2795"/>
      <c r="JMS35" s="2795"/>
      <c r="JMT35" s="2795"/>
      <c r="JMU35" s="2795"/>
      <c r="JMV35" s="2795"/>
      <c r="JMW35" s="2795"/>
      <c r="JMX35" s="2795"/>
      <c r="JMY35" s="2795"/>
      <c r="JMZ35" s="2795"/>
      <c r="JNA35" s="2795"/>
      <c r="JNB35" s="2795"/>
      <c r="JNC35" s="2795"/>
      <c r="JND35" s="2795"/>
      <c r="JNE35" s="2795"/>
      <c r="JNF35" s="2795"/>
      <c r="JNG35" s="2795"/>
      <c r="JNH35" s="2795"/>
      <c r="JNI35" s="2795"/>
      <c r="JNJ35" s="2795"/>
      <c r="JNK35" s="2795"/>
      <c r="JNL35" s="2795"/>
      <c r="JNM35" s="2795"/>
      <c r="JNN35" s="2795"/>
      <c r="JNO35" s="2795"/>
      <c r="JNP35" s="2795"/>
      <c r="JNQ35" s="2795"/>
      <c r="JNR35" s="2795"/>
      <c r="JNS35" s="2795"/>
      <c r="JNT35" s="2795"/>
      <c r="JNU35" s="2795"/>
      <c r="JNV35" s="2795"/>
      <c r="JNW35" s="2795"/>
      <c r="JNX35" s="2795"/>
      <c r="JNY35" s="2795"/>
      <c r="JNZ35" s="2795"/>
      <c r="JOA35" s="2795"/>
      <c r="JOB35" s="2795"/>
      <c r="JOC35" s="2795"/>
      <c r="JOD35" s="2795"/>
      <c r="JOE35" s="2795"/>
      <c r="JOF35" s="2795"/>
      <c r="JOG35" s="2795"/>
      <c r="JOH35" s="2795"/>
      <c r="JOI35" s="2795"/>
      <c r="JOJ35" s="2795"/>
      <c r="JOK35" s="2795"/>
      <c r="JOL35" s="2795"/>
      <c r="JOM35" s="2795"/>
      <c r="JON35" s="2795"/>
      <c r="JOO35" s="2795"/>
      <c r="JOP35" s="2795"/>
      <c r="JOQ35" s="2795"/>
      <c r="JOR35" s="2795"/>
      <c r="JOS35" s="2795"/>
      <c r="JOT35" s="2795"/>
      <c r="JOU35" s="2795"/>
      <c r="JOV35" s="2795"/>
      <c r="JOW35" s="2795"/>
      <c r="JOX35" s="2795"/>
      <c r="JOY35" s="2795"/>
      <c r="JOZ35" s="2795"/>
      <c r="JPA35" s="2795"/>
      <c r="JPB35" s="2795"/>
      <c r="JPC35" s="2795"/>
      <c r="JPD35" s="2795"/>
      <c r="JPE35" s="2795"/>
      <c r="JPF35" s="2795"/>
      <c r="JPG35" s="2795"/>
      <c r="JPH35" s="2795"/>
      <c r="JPI35" s="2795"/>
      <c r="JPJ35" s="2795"/>
      <c r="JPK35" s="2795"/>
      <c r="JPL35" s="2795"/>
      <c r="JPM35" s="2795"/>
      <c r="JPN35" s="2795"/>
      <c r="JPO35" s="2795"/>
      <c r="JPP35" s="2795"/>
      <c r="JPQ35" s="2795"/>
      <c r="JPR35" s="2795"/>
      <c r="JPS35" s="2795"/>
      <c r="JPT35" s="2795"/>
      <c r="JPU35" s="2795"/>
      <c r="JPV35" s="2795"/>
      <c r="JPW35" s="2795"/>
      <c r="JPX35" s="2795"/>
      <c r="JPY35" s="2795"/>
      <c r="JPZ35" s="2795"/>
      <c r="JQA35" s="2795"/>
      <c r="JQB35" s="2795"/>
      <c r="JQC35" s="2795"/>
      <c r="JQD35" s="2795"/>
      <c r="JQE35" s="2795"/>
      <c r="JQF35" s="2795"/>
      <c r="JQG35" s="2795"/>
      <c r="JQH35" s="2795"/>
      <c r="JQI35" s="2795"/>
      <c r="JQJ35" s="2795"/>
      <c r="JQK35" s="2795"/>
      <c r="JQL35" s="2795"/>
      <c r="JQM35" s="2795"/>
      <c r="JQN35" s="2795"/>
      <c r="JQO35" s="2795"/>
      <c r="JQP35" s="2795"/>
      <c r="JQQ35" s="2795"/>
      <c r="JQR35" s="2795"/>
      <c r="JQS35" s="2795"/>
      <c r="JQT35" s="2795"/>
      <c r="JQU35" s="2795"/>
      <c r="JQV35" s="2795"/>
      <c r="JQW35" s="2795"/>
      <c r="JQX35" s="2795"/>
      <c r="JQY35" s="2795"/>
      <c r="JQZ35" s="2795"/>
      <c r="JRA35" s="2795"/>
      <c r="JRB35" s="2795"/>
      <c r="JRC35" s="2795"/>
      <c r="JRD35" s="2795"/>
      <c r="JRE35" s="2795"/>
      <c r="JRF35" s="2795"/>
      <c r="JRG35" s="2795"/>
      <c r="JRH35" s="2795"/>
      <c r="JRI35" s="2795"/>
      <c r="JRJ35" s="2795"/>
      <c r="JRK35" s="2795"/>
      <c r="JRL35" s="2795"/>
      <c r="JRM35" s="2795"/>
      <c r="JRN35" s="2795"/>
      <c r="JRO35" s="2795"/>
      <c r="JRP35" s="2795"/>
      <c r="JRQ35" s="2795"/>
      <c r="JRR35" s="2795"/>
      <c r="JRS35" s="2795"/>
      <c r="JRT35" s="2795"/>
      <c r="JRU35" s="2795"/>
      <c r="JRV35" s="2795"/>
      <c r="JRW35" s="2795"/>
      <c r="JRX35" s="2795"/>
      <c r="JRY35" s="2795"/>
      <c r="JRZ35" s="2795"/>
      <c r="JSA35" s="2795"/>
      <c r="JSB35" s="2795"/>
      <c r="JSC35" s="2795"/>
      <c r="JSD35" s="2795"/>
      <c r="JSE35" s="2795"/>
      <c r="JSF35" s="2795"/>
      <c r="JSG35" s="2795"/>
      <c r="JSH35" s="2795"/>
      <c r="JSI35" s="2795"/>
      <c r="JSJ35" s="2795"/>
      <c r="JSK35" s="2795"/>
      <c r="JSL35" s="2795"/>
      <c r="JSM35" s="2795"/>
      <c r="JSN35" s="2795"/>
      <c r="JSO35" s="2795"/>
      <c r="JSP35" s="2795"/>
      <c r="JSQ35" s="2795"/>
      <c r="JSR35" s="2795"/>
      <c r="JSS35" s="2795"/>
      <c r="JST35" s="2795"/>
      <c r="JSU35" s="2795"/>
      <c r="JSV35" s="2795"/>
      <c r="JSW35" s="2795"/>
      <c r="JSX35" s="2795"/>
      <c r="JSY35" s="2795"/>
      <c r="JSZ35" s="2795"/>
      <c r="JTA35" s="2795"/>
      <c r="JTB35" s="2795"/>
      <c r="JTC35" s="2795"/>
      <c r="JTD35" s="2795"/>
      <c r="JTE35" s="2795"/>
      <c r="JTF35" s="2795"/>
      <c r="JTG35" s="2795"/>
      <c r="JTH35" s="2795"/>
      <c r="JTI35" s="2795"/>
      <c r="JTJ35" s="2795"/>
      <c r="JTK35" s="2795"/>
      <c r="JTL35" s="2795"/>
      <c r="JTM35" s="2795"/>
      <c r="JTN35" s="2795"/>
      <c r="JTO35" s="2795"/>
      <c r="JTP35" s="2795"/>
      <c r="JTQ35" s="2795"/>
      <c r="JTR35" s="2795"/>
      <c r="JTS35" s="2795"/>
      <c r="JTT35" s="2795"/>
      <c r="JTU35" s="2795"/>
      <c r="JTV35" s="2795"/>
      <c r="JTW35" s="2795"/>
      <c r="JTX35" s="2795"/>
      <c r="JTY35" s="2795"/>
      <c r="JTZ35" s="2795"/>
      <c r="JUA35" s="2795"/>
      <c r="JUB35" s="2795"/>
      <c r="JUC35" s="2795"/>
      <c r="JUD35" s="2795"/>
      <c r="JUE35" s="2795"/>
      <c r="JUF35" s="2795"/>
      <c r="JUG35" s="2795"/>
      <c r="JUH35" s="2795"/>
      <c r="JUI35" s="2795"/>
      <c r="JUJ35" s="2795"/>
      <c r="JUK35" s="2795"/>
      <c r="JUL35" s="2795"/>
      <c r="JUM35" s="2795"/>
      <c r="JUN35" s="2795"/>
      <c r="JUO35" s="2795"/>
      <c r="JUP35" s="2795"/>
      <c r="JUQ35" s="2795"/>
      <c r="JUR35" s="2795"/>
      <c r="JUS35" s="2795"/>
      <c r="JUT35" s="2795"/>
      <c r="JUU35" s="2795"/>
      <c r="JUV35" s="2795"/>
      <c r="JUW35" s="2795"/>
      <c r="JUX35" s="2795"/>
      <c r="JUY35" s="2795"/>
      <c r="JUZ35" s="2795"/>
      <c r="JVA35" s="2795"/>
      <c r="JVB35" s="2795"/>
      <c r="JVC35" s="2795"/>
      <c r="JVD35" s="2795"/>
      <c r="JVE35" s="2795"/>
      <c r="JVF35" s="2795"/>
      <c r="JVG35" s="2795"/>
      <c r="JVH35" s="2795"/>
      <c r="JVI35" s="2795"/>
      <c r="JVJ35" s="2795"/>
      <c r="JVK35" s="2795"/>
      <c r="JVL35" s="2795"/>
      <c r="JVM35" s="2795"/>
      <c r="JVN35" s="2795"/>
      <c r="JVO35" s="2795"/>
      <c r="JVP35" s="2795"/>
      <c r="JVQ35" s="2795"/>
      <c r="JVR35" s="2795"/>
      <c r="JVS35" s="2795"/>
      <c r="JVT35" s="2795"/>
      <c r="JVU35" s="2795"/>
      <c r="JVV35" s="2795"/>
      <c r="JVW35" s="2795"/>
      <c r="JVX35" s="2795"/>
      <c r="JVY35" s="2795"/>
      <c r="JVZ35" s="2795"/>
      <c r="JWA35" s="2795"/>
      <c r="JWB35" s="2795"/>
      <c r="JWC35" s="2795"/>
      <c r="JWD35" s="2795"/>
      <c r="JWE35" s="2795"/>
      <c r="JWF35" s="2795"/>
      <c r="JWG35" s="2795"/>
      <c r="JWH35" s="2795"/>
      <c r="JWI35" s="2795"/>
      <c r="JWJ35" s="2795"/>
      <c r="JWK35" s="2795"/>
      <c r="JWL35" s="2795"/>
      <c r="JWM35" s="2795"/>
      <c r="JWN35" s="2795"/>
      <c r="JWO35" s="2795"/>
      <c r="JWP35" s="2795"/>
      <c r="JWQ35" s="2795"/>
      <c r="JWR35" s="2795"/>
      <c r="JWS35" s="2795"/>
      <c r="JWT35" s="2795"/>
      <c r="JWU35" s="2795"/>
      <c r="JWV35" s="2795"/>
      <c r="JWW35" s="2795"/>
      <c r="JWX35" s="2795"/>
      <c r="JWY35" s="2795"/>
      <c r="JWZ35" s="2795"/>
      <c r="JXA35" s="2795"/>
      <c r="JXB35" s="2795"/>
      <c r="JXC35" s="2795"/>
      <c r="JXD35" s="2795"/>
      <c r="JXE35" s="2795"/>
      <c r="JXF35" s="2795"/>
      <c r="JXG35" s="2795"/>
      <c r="JXH35" s="2795"/>
      <c r="JXI35" s="2795"/>
      <c r="JXJ35" s="2795"/>
      <c r="JXK35" s="2795"/>
      <c r="JXL35" s="2795"/>
      <c r="JXM35" s="2795"/>
      <c r="JXN35" s="2795"/>
      <c r="JXO35" s="2795"/>
      <c r="JXP35" s="2795"/>
      <c r="JXQ35" s="2795"/>
      <c r="JXR35" s="2795"/>
      <c r="JXS35" s="2795"/>
      <c r="JXT35" s="2795"/>
      <c r="JXU35" s="2795"/>
      <c r="JXV35" s="2795"/>
      <c r="JXW35" s="2795"/>
      <c r="JXX35" s="2795"/>
      <c r="JXY35" s="2795"/>
      <c r="JXZ35" s="2795"/>
      <c r="JYA35" s="2795"/>
      <c r="JYB35" s="2795"/>
      <c r="JYC35" s="2795"/>
      <c r="JYD35" s="2795"/>
      <c r="JYE35" s="2795"/>
      <c r="JYF35" s="2795"/>
      <c r="JYG35" s="2795"/>
      <c r="JYH35" s="2795"/>
      <c r="JYI35" s="2795"/>
      <c r="JYJ35" s="2795"/>
      <c r="JYK35" s="2795"/>
      <c r="JYL35" s="2795"/>
      <c r="JYM35" s="2795"/>
      <c r="JYN35" s="2795"/>
      <c r="JYO35" s="2795"/>
      <c r="JYP35" s="2795"/>
      <c r="JYQ35" s="2795"/>
      <c r="JYR35" s="2795"/>
      <c r="JYS35" s="2795"/>
      <c r="JYT35" s="2795"/>
      <c r="JYU35" s="2795"/>
      <c r="JYV35" s="2795"/>
      <c r="JYW35" s="2795"/>
      <c r="JYX35" s="2795"/>
      <c r="JYY35" s="2795"/>
      <c r="JYZ35" s="2795"/>
      <c r="JZA35" s="2795"/>
      <c r="JZB35" s="2795"/>
      <c r="JZC35" s="2795"/>
      <c r="JZD35" s="2795"/>
      <c r="JZE35" s="2795"/>
      <c r="JZF35" s="2795"/>
      <c r="JZG35" s="2795"/>
      <c r="JZH35" s="2795"/>
      <c r="JZI35" s="2795"/>
      <c r="JZJ35" s="2795"/>
      <c r="JZK35" s="2795"/>
      <c r="JZL35" s="2795"/>
      <c r="JZM35" s="2795"/>
      <c r="JZN35" s="2795"/>
      <c r="JZO35" s="2795"/>
      <c r="JZP35" s="2795"/>
      <c r="JZQ35" s="2795"/>
      <c r="JZR35" s="2795"/>
      <c r="JZS35" s="2795"/>
      <c r="JZT35" s="2795"/>
      <c r="JZU35" s="2795"/>
      <c r="JZV35" s="2795"/>
      <c r="JZW35" s="2795"/>
      <c r="JZX35" s="2795"/>
      <c r="JZY35" s="2795"/>
      <c r="JZZ35" s="2795"/>
      <c r="KAA35" s="2795"/>
      <c r="KAB35" s="2795"/>
      <c r="KAC35" s="2795"/>
      <c r="KAD35" s="2795"/>
      <c r="KAE35" s="2795"/>
      <c r="KAF35" s="2795"/>
      <c r="KAG35" s="2795"/>
      <c r="KAH35" s="2795"/>
      <c r="KAI35" s="2795"/>
      <c r="KAJ35" s="2795"/>
      <c r="KAK35" s="2795"/>
      <c r="KAL35" s="2795"/>
      <c r="KAM35" s="2795"/>
      <c r="KAN35" s="2795"/>
      <c r="KAO35" s="2795"/>
      <c r="KAP35" s="2795"/>
      <c r="KAQ35" s="2795"/>
      <c r="KAR35" s="2795"/>
      <c r="KAS35" s="2795"/>
      <c r="KAT35" s="2795"/>
      <c r="KAU35" s="2795"/>
      <c r="KAV35" s="2795"/>
      <c r="KAW35" s="2795"/>
      <c r="KAX35" s="2795"/>
      <c r="KAY35" s="2795"/>
      <c r="KAZ35" s="2795"/>
      <c r="KBA35" s="2795"/>
      <c r="KBB35" s="2795"/>
      <c r="KBC35" s="2795"/>
      <c r="KBD35" s="2795"/>
      <c r="KBE35" s="2795"/>
      <c r="KBF35" s="2795"/>
      <c r="KBG35" s="2795"/>
      <c r="KBH35" s="2795"/>
      <c r="KBI35" s="2795"/>
      <c r="KBJ35" s="2795"/>
      <c r="KBK35" s="2795"/>
      <c r="KBL35" s="2795"/>
      <c r="KBM35" s="2795"/>
      <c r="KBN35" s="2795"/>
      <c r="KBO35" s="2795"/>
      <c r="KBP35" s="2795"/>
      <c r="KBQ35" s="2795"/>
      <c r="KBR35" s="2795"/>
      <c r="KBS35" s="2795"/>
      <c r="KBT35" s="2795"/>
      <c r="KBU35" s="2795"/>
      <c r="KBV35" s="2795"/>
      <c r="KBW35" s="2795"/>
      <c r="KBX35" s="2795"/>
      <c r="KBY35" s="2795"/>
      <c r="KBZ35" s="2795"/>
      <c r="KCA35" s="2795"/>
      <c r="KCB35" s="2795"/>
      <c r="KCC35" s="2795"/>
      <c r="KCD35" s="2795"/>
      <c r="KCE35" s="2795"/>
      <c r="KCF35" s="2795"/>
      <c r="KCG35" s="2795"/>
      <c r="KCH35" s="2795"/>
      <c r="KCI35" s="2795"/>
      <c r="KCJ35" s="2795"/>
      <c r="KCK35" s="2795"/>
      <c r="KCL35" s="2795"/>
      <c r="KCM35" s="2795"/>
      <c r="KCN35" s="2795"/>
      <c r="KCO35" s="2795"/>
      <c r="KCP35" s="2795"/>
      <c r="KCQ35" s="2795"/>
      <c r="KCR35" s="2795"/>
      <c r="KCS35" s="2795"/>
      <c r="KCT35" s="2795"/>
      <c r="KCU35" s="2795"/>
      <c r="KCV35" s="2795"/>
      <c r="KCW35" s="2795"/>
      <c r="KCX35" s="2795"/>
      <c r="KCY35" s="2795"/>
      <c r="KCZ35" s="2795"/>
      <c r="KDA35" s="2795"/>
      <c r="KDB35" s="2795"/>
      <c r="KDC35" s="2795"/>
      <c r="KDD35" s="2795"/>
      <c r="KDE35" s="2795"/>
      <c r="KDF35" s="2795"/>
      <c r="KDG35" s="2795"/>
      <c r="KDH35" s="2795"/>
      <c r="KDI35" s="2795"/>
      <c r="KDJ35" s="2795"/>
      <c r="KDK35" s="2795"/>
      <c r="KDL35" s="2795"/>
      <c r="KDM35" s="2795"/>
      <c r="KDN35" s="2795"/>
      <c r="KDO35" s="2795"/>
      <c r="KDP35" s="2795"/>
      <c r="KDQ35" s="2795"/>
      <c r="KDR35" s="2795"/>
      <c r="KDS35" s="2795"/>
      <c r="KDT35" s="2795"/>
      <c r="KDU35" s="2795"/>
      <c r="KDV35" s="2795"/>
      <c r="KDW35" s="2795"/>
      <c r="KDX35" s="2795"/>
      <c r="KDY35" s="2795"/>
      <c r="KDZ35" s="2795"/>
      <c r="KEA35" s="2795"/>
      <c r="KEB35" s="2795"/>
      <c r="KEC35" s="2795"/>
      <c r="KED35" s="2795"/>
      <c r="KEE35" s="2795"/>
      <c r="KEF35" s="2795"/>
      <c r="KEG35" s="2795"/>
      <c r="KEH35" s="2795"/>
      <c r="KEI35" s="2795"/>
      <c r="KEJ35" s="2795"/>
      <c r="KEK35" s="2795"/>
      <c r="KEL35" s="2795"/>
      <c r="KEM35" s="2795"/>
      <c r="KEN35" s="2795"/>
      <c r="KEO35" s="2795"/>
      <c r="KEP35" s="2795"/>
      <c r="KEQ35" s="2795"/>
      <c r="KER35" s="2795"/>
      <c r="KES35" s="2795"/>
      <c r="KET35" s="2795"/>
      <c r="KEU35" s="2795"/>
      <c r="KEV35" s="2795"/>
      <c r="KEW35" s="2795"/>
      <c r="KEX35" s="2795"/>
      <c r="KEY35" s="2795"/>
      <c r="KEZ35" s="2795"/>
      <c r="KFA35" s="2795"/>
      <c r="KFB35" s="2795"/>
      <c r="KFC35" s="2795"/>
      <c r="KFD35" s="2795"/>
      <c r="KFE35" s="2795"/>
      <c r="KFF35" s="2795"/>
      <c r="KFG35" s="2795"/>
      <c r="KFH35" s="2795"/>
      <c r="KFI35" s="2795"/>
      <c r="KFJ35" s="2795"/>
      <c r="KFK35" s="2795"/>
      <c r="KFL35" s="2795"/>
      <c r="KFM35" s="2795"/>
      <c r="KFN35" s="2795"/>
      <c r="KFO35" s="2795"/>
      <c r="KFP35" s="2795"/>
      <c r="KFQ35" s="2795"/>
      <c r="KFR35" s="2795"/>
      <c r="KFS35" s="2795"/>
      <c r="KFT35" s="2795"/>
      <c r="KFU35" s="2795"/>
      <c r="KFV35" s="2795"/>
      <c r="KFW35" s="2795"/>
      <c r="KFX35" s="2795"/>
      <c r="KFY35" s="2795"/>
      <c r="KFZ35" s="2795"/>
      <c r="KGA35" s="2795"/>
      <c r="KGB35" s="2795"/>
      <c r="KGC35" s="2795"/>
      <c r="KGD35" s="2795"/>
      <c r="KGE35" s="2795"/>
      <c r="KGF35" s="2795"/>
      <c r="KGG35" s="2795"/>
      <c r="KGH35" s="2795"/>
      <c r="KGI35" s="2795"/>
      <c r="KGJ35" s="2795"/>
      <c r="KGK35" s="2795"/>
      <c r="KGL35" s="2795"/>
      <c r="KGM35" s="2795"/>
      <c r="KGN35" s="2795"/>
      <c r="KGO35" s="2795"/>
      <c r="KGP35" s="2795"/>
      <c r="KGQ35" s="2795"/>
      <c r="KGR35" s="2795"/>
      <c r="KGS35" s="2795"/>
      <c r="KGT35" s="2795"/>
      <c r="KGU35" s="2795"/>
      <c r="KGV35" s="2795"/>
      <c r="KGW35" s="2795"/>
      <c r="KGX35" s="2795"/>
      <c r="KGY35" s="2795"/>
      <c r="KGZ35" s="2795"/>
      <c r="KHA35" s="2795"/>
      <c r="KHB35" s="2795"/>
      <c r="KHC35" s="2795"/>
      <c r="KHD35" s="2795"/>
      <c r="KHE35" s="2795"/>
      <c r="KHF35" s="2795"/>
      <c r="KHG35" s="2795"/>
      <c r="KHH35" s="2795"/>
      <c r="KHI35" s="2795"/>
      <c r="KHJ35" s="2795"/>
      <c r="KHK35" s="2795"/>
      <c r="KHL35" s="2795"/>
      <c r="KHM35" s="2795"/>
      <c r="KHN35" s="2795"/>
      <c r="KHO35" s="2795"/>
      <c r="KHP35" s="2795"/>
      <c r="KHQ35" s="2795"/>
      <c r="KHR35" s="2795"/>
      <c r="KHS35" s="2795"/>
      <c r="KHT35" s="2795"/>
      <c r="KHU35" s="2795"/>
      <c r="KHV35" s="2795"/>
      <c r="KHW35" s="2795"/>
      <c r="KHX35" s="2795"/>
      <c r="KHY35" s="2795"/>
      <c r="KHZ35" s="2795"/>
      <c r="KIA35" s="2795"/>
      <c r="KIB35" s="2795"/>
      <c r="KIC35" s="2795"/>
      <c r="KID35" s="2795"/>
      <c r="KIE35" s="2795"/>
      <c r="KIF35" s="2795"/>
      <c r="KIG35" s="2795"/>
      <c r="KIH35" s="2795"/>
      <c r="KII35" s="2795"/>
      <c r="KIJ35" s="2795"/>
      <c r="KIK35" s="2795"/>
      <c r="KIL35" s="2795"/>
      <c r="KIM35" s="2795"/>
      <c r="KIN35" s="2795"/>
      <c r="KIO35" s="2795"/>
      <c r="KIP35" s="2795"/>
      <c r="KIQ35" s="2795"/>
      <c r="KIR35" s="2795"/>
      <c r="KIS35" s="2795"/>
      <c r="KIT35" s="2795"/>
      <c r="KIU35" s="2795"/>
      <c r="KIV35" s="2795"/>
      <c r="KIW35" s="2795"/>
      <c r="KIX35" s="2795"/>
      <c r="KIY35" s="2795"/>
      <c r="KIZ35" s="2795"/>
      <c r="KJA35" s="2795"/>
      <c r="KJB35" s="2795"/>
      <c r="KJC35" s="2795"/>
      <c r="KJD35" s="2795"/>
      <c r="KJE35" s="2795"/>
      <c r="KJF35" s="2795"/>
      <c r="KJG35" s="2795"/>
      <c r="KJH35" s="2795"/>
      <c r="KJI35" s="2795"/>
      <c r="KJJ35" s="2795"/>
      <c r="KJK35" s="2795"/>
      <c r="KJL35" s="2795"/>
      <c r="KJM35" s="2795"/>
      <c r="KJN35" s="2795"/>
      <c r="KJO35" s="2795"/>
      <c r="KJP35" s="2795"/>
      <c r="KJQ35" s="2795"/>
      <c r="KJR35" s="2795"/>
      <c r="KJS35" s="2795"/>
      <c r="KJT35" s="2795"/>
      <c r="KJU35" s="2795"/>
      <c r="KJV35" s="2795"/>
      <c r="KJW35" s="2795"/>
      <c r="KJX35" s="2795"/>
      <c r="KJY35" s="2795"/>
      <c r="KJZ35" s="2795"/>
      <c r="KKA35" s="2795"/>
      <c r="KKB35" s="2795"/>
      <c r="KKC35" s="2795"/>
      <c r="KKD35" s="2795"/>
      <c r="KKE35" s="2795"/>
      <c r="KKF35" s="2795"/>
      <c r="KKG35" s="2795"/>
      <c r="KKH35" s="2795"/>
      <c r="KKI35" s="2795"/>
      <c r="KKJ35" s="2795"/>
      <c r="KKK35" s="2795"/>
      <c r="KKL35" s="2795"/>
      <c r="KKM35" s="2795"/>
      <c r="KKN35" s="2795"/>
      <c r="KKO35" s="2795"/>
      <c r="KKP35" s="2795"/>
      <c r="KKQ35" s="2795"/>
      <c r="KKR35" s="2795"/>
      <c r="KKS35" s="2795"/>
      <c r="KKT35" s="2795"/>
      <c r="KKU35" s="2795"/>
      <c r="KKV35" s="2795"/>
      <c r="KKW35" s="2795"/>
      <c r="KKX35" s="2795"/>
      <c r="KKY35" s="2795"/>
      <c r="KKZ35" s="2795"/>
      <c r="KLA35" s="2795"/>
      <c r="KLB35" s="2795"/>
      <c r="KLC35" s="2795"/>
      <c r="KLD35" s="2795"/>
      <c r="KLE35" s="2795"/>
      <c r="KLF35" s="2795"/>
      <c r="KLG35" s="2795"/>
      <c r="KLH35" s="2795"/>
      <c r="KLI35" s="2795"/>
      <c r="KLJ35" s="2795"/>
      <c r="KLK35" s="2795"/>
      <c r="KLL35" s="2795"/>
      <c r="KLM35" s="2795"/>
      <c r="KLN35" s="2795"/>
      <c r="KLO35" s="2795"/>
      <c r="KLP35" s="2795"/>
      <c r="KLQ35" s="2795"/>
      <c r="KLR35" s="2795"/>
      <c r="KLS35" s="2795"/>
      <c r="KLT35" s="2795"/>
      <c r="KLU35" s="2795"/>
      <c r="KLV35" s="2795"/>
      <c r="KLW35" s="2795"/>
      <c r="KLX35" s="2795"/>
      <c r="KLY35" s="2795"/>
      <c r="KLZ35" s="2795"/>
      <c r="KMA35" s="2795"/>
      <c r="KMB35" s="2795"/>
      <c r="KMC35" s="2795"/>
      <c r="KMD35" s="2795"/>
      <c r="KME35" s="2795"/>
      <c r="KMF35" s="2795"/>
      <c r="KMG35" s="2795"/>
      <c r="KMH35" s="2795"/>
      <c r="KMI35" s="2795"/>
      <c r="KMJ35" s="2795"/>
      <c r="KMK35" s="2795"/>
      <c r="KML35" s="2795"/>
      <c r="KMM35" s="2795"/>
      <c r="KMN35" s="2795"/>
      <c r="KMO35" s="2795"/>
      <c r="KMP35" s="2795"/>
      <c r="KMQ35" s="2795"/>
      <c r="KMR35" s="2795"/>
      <c r="KMS35" s="2795"/>
      <c r="KMT35" s="2795"/>
      <c r="KMU35" s="2795"/>
      <c r="KMV35" s="2795"/>
      <c r="KMW35" s="2795"/>
      <c r="KMX35" s="2795"/>
      <c r="KMY35" s="2795"/>
      <c r="KMZ35" s="2795"/>
      <c r="KNA35" s="2795"/>
      <c r="KNB35" s="2795"/>
      <c r="KNC35" s="2795"/>
      <c r="KND35" s="2795"/>
      <c r="KNE35" s="2795"/>
      <c r="KNF35" s="2795"/>
      <c r="KNG35" s="2795"/>
      <c r="KNH35" s="2795"/>
      <c r="KNI35" s="2795"/>
      <c r="KNJ35" s="2795"/>
      <c r="KNK35" s="2795"/>
      <c r="KNL35" s="2795"/>
      <c r="KNM35" s="2795"/>
      <c r="KNN35" s="2795"/>
      <c r="KNO35" s="2795"/>
      <c r="KNP35" s="2795"/>
      <c r="KNQ35" s="2795"/>
      <c r="KNR35" s="2795"/>
      <c r="KNS35" s="2795"/>
      <c r="KNT35" s="2795"/>
      <c r="KNU35" s="2795"/>
      <c r="KNV35" s="2795"/>
      <c r="KNW35" s="2795"/>
      <c r="KNX35" s="2795"/>
      <c r="KNY35" s="2795"/>
      <c r="KNZ35" s="2795"/>
      <c r="KOA35" s="2795"/>
      <c r="KOB35" s="2795"/>
      <c r="KOC35" s="2795"/>
      <c r="KOD35" s="2795"/>
      <c r="KOE35" s="2795"/>
      <c r="KOF35" s="2795"/>
      <c r="KOG35" s="2795"/>
      <c r="KOH35" s="2795"/>
      <c r="KOI35" s="2795"/>
      <c r="KOJ35" s="2795"/>
      <c r="KOK35" s="2795"/>
      <c r="KOL35" s="2795"/>
      <c r="KOM35" s="2795"/>
      <c r="KON35" s="2795"/>
      <c r="KOO35" s="2795"/>
      <c r="KOP35" s="2795"/>
      <c r="KOQ35" s="2795"/>
      <c r="KOR35" s="2795"/>
      <c r="KOS35" s="2795"/>
      <c r="KOT35" s="2795"/>
      <c r="KOU35" s="2795"/>
      <c r="KOV35" s="2795"/>
      <c r="KOW35" s="2795"/>
      <c r="KOX35" s="2795"/>
      <c r="KOY35" s="2795"/>
      <c r="KOZ35" s="2795"/>
      <c r="KPA35" s="2795"/>
      <c r="KPB35" s="2795"/>
      <c r="KPC35" s="2795"/>
      <c r="KPD35" s="2795"/>
      <c r="KPE35" s="2795"/>
      <c r="KPF35" s="2795"/>
      <c r="KPG35" s="2795"/>
      <c r="KPH35" s="2795"/>
      <c r="KPI35" s="2795"/>
      <c r="KPJ35" s="2795"/>
      <c r="KPK35" s="2795"/>
      <c r="KPL35" s="2795"/>
      <c r="KPM35" s="2795"/>
      <c r="KPN35" s="2795"/>
      <c r="KPO35" s="2795"/>
      <c r="KPP35" s="2795"/>
      <c r="KPQ35" s="2795"/>
      <c r="KPR35" s="2795"/>
      <c r="KPS35" s="2795"/>
      <c r="KPT35" s="2795"/>
      <c r="KPU35" s="2795"/>
      <c r="KPV35" s="2795"/>
      <c r="KPW35" s="2795"/>
      <c r="KPX35" s="2795"/>
      <c r="KPY35" s="2795"/>
      <c r="KPZ35" s="2795"/>
      <c r="KQA35" s="2795"/>
      <c r="KQB35" s="2795"/>
      <c r="KQC35" s="2795"/>
      <c r="KQD35" s="2795"/>
      <c r="KQE35" s="2795"/>
      <c r="KQF35" s="2795"/>
      <c r="KQG35" s="2795"/>
      <c r="KQH35" s="2795"/>
      <c r="KQI35" s="2795"/>
      <c r="KQJ35" s="2795"/>
      <c r="KQK35" s="2795"/>
      <c r="KQL35" s="2795"/>
      <c r="KQM35" s="2795"/>
      <c r="KQN35" s="2795"/>
      <c r="KQO35" s="2795"/>
      <c r="KQP35" s="2795"/>
      <c r="KQQ35" s="2795"/>
      <c r="KQR35" s="2795"/>
      <c r="KQS35" s="2795"/>
      <c r="KQT35" s="2795"/>
      <c r="KQU35" s="2795"/>
      <c r="KQV35" s="2795"/>
      <c r="KQW35" s="2795"/>
      <c r="KQX35" s="2795"/>
      <c r="KQY35" s="2795"/>
      <c r="KQZ35" s="2795"/>
      <c r="KRA35" s="2795"/>
      <c r="KRB35" s="2795"/>
      <c r="KRC35" s="2795"/>
      <c r="KRD35" s="2795"/>
      <c r="KRE35" s="2795"/>
      <c r="KRF35" s="2795"/>
      <c r="KRG35" s="2795"/>
      <c r="KRH35" s="2795"/>
      <c r="KRI35" s="2795"/>
      <c r="KRJ35" s="2795"/>
      <c r="KRK35" s="2795"/>
      <c r="KRL35" s="2795"/>
      <c r="KRM35" s="2795"/>
      <c r="KRN35" s="2795"/>
      <c r="KRO35" s="2795"/>
      <c r="KRP35" s="2795"/>
      <c r="KRQ35" s="2795"/>
      <c r="KRR35" s="2795"/>
      <c r="KRS35" s="2795"/>
      <c r="KRT35" s="2795"/>
      <c r="KRU35" s="2795"/>
      <c r="KRV35" s="2795"/>
      <c r="KRW35" s="2795"/>
      <c r="KRX35" s="2795"/>
      <c r="KRY35" s="2795"/>
      <c r="KRZ35" s="2795"/>
      <c r="KSA35" s="2795"/>
      <c r="KSB35" s="2795"/>
      <c r="KSC35" s="2795"/>
      <c r="KSD35" s="2795"/>
      <c r="KSE35" s="2795"/>
      <c r="KSF35" s="2795"/>
      <c r="KSG35" s="2795"/>
      <c r="KSH35" s="2795"/>
      <c r="KSI35" s="2795"/>
      <c r="KSJ35" s="2795"/>
      <c r="KSK35" s="2795"/>
      <c r="KSL35" s="2795"/>
      <c r="KSM35" s="2795"/>
      <c r="KSN35" s="2795"/>
      <c r="KSO35" s="2795"/>
      <c r="KSP35" s="2795"/>
      <c r="KSQ35" s="2795"/>
      <c r="KSR35" s="2795"/>
      <c r="KSS35" s="2795"/>
      <c r="KST35" s="2795"/>
      <c r="KSU35" s="2795"/>
      <c r="KSV35" s="2795"/>
      <c r="KSW35" s="2795"/>
      <c r="KSX35" s="2795"/>
      <c r="KSY35" s="2795"/>
      <c r="KSZ35" s="2795"/>
      <c r="KTA35" s="2795"/>
      <c r="KTB35" s="2795"/>
      <c r="KTC35" s="2795"/>
      <c r="KTD35" s="2795"/>
      <c r="KTE35" s="2795"/>
      <c r="KTF35" s="2795"/>
      <c r="KTG35" s="2795"/>
      <c r="KTH35" s="2795"/>
      <c r="KTI35" s="2795"/>
      <c r="KTJ35" s="2795"/>
      <c r="KTK35" s="2795"/>
      <c r="KTL35" s="2795"/>
      <c r="KTM35" s="2795"/>
      <c r="KTN35" s="2795"/>
      <c r="KTO35" s="2795"/>
      <c r="KTP35" s="2795"/>
      <c r="KTQ35" s="2795"/>
      <c r="KTR35" s="2795"/>
      <c r="KTS35" s="2795"/>
      <c r="KTT35" s="2795"/>
      <c r="KTU35" s="2795"/>
      <c r="KTV35" s="2795"/>
      <c r="KTW35" s="2795"/>
      <c r="KTX35" s="2795"/>
      <c r="KTY35" s="2795"/>
      <c r="KTZ35" s="2795"/>
      <c r="KUA35" s="2795"/>
      <c r="KUB35" s="2795"/>
      <c r="KUC35" s="2795"/>
      <c r="KUD35" s="2795"/>
      <c r="KUE35" s="2795"/>
      <c r="KUF35" s="2795"/>
      <c r="KUG35" s="2795"/>
      <c r="KUH35" s="2795"/>
      <c r="KUI35" s="2795"/>
      <c r="KUJ35" s="2795"/>
      <c r="KUK35" s="2795"/>
      <c r="KUL35" s="2795"/>
      <c r="KUM35" s="2795"/>
      <c r="KUN35" s="2795"/>
      <c r="KUO35" s="2795"/>
      <c r="KUP35" s="2795"/>
      <c r="KUQ35" s="2795"/>
      <c r="KUR35" s="2795"/>
      <c r="KUS35" s="2795"/>
      <c r="KUT35" s="2795"/>
      <c r="KUU35" s="2795"/>
      <c r="KUV35" s="2795"/>
      <c r="KUW35" s="2795"/>
      <c r="KUX35" s="2795"/>
      <c r="KUY35" s="2795"/>
      <c r="KUZ35" s="2795"/>
      <c r="KVA35" s="2795"/>
      <c r="KVB35" s="2795"/>
      <c r="KVC35" s="2795"/>
      <c r="KVD35" s="2795"/>
      <c r="KVE35" s="2795"/>
      <c r="KVF35" s="2795"/>
      <c r="KVG35" s="2795"/>
      <c r="KVH35" s="2795"/>
      <c r="KVI35" s="2795"/>
      <c r="KVJ35" s="2795"/>
      <c r="KVK35" s="2795"/>
      <c r="KVL35" s="2795"/>
      <c r="KVM35" s="2795"/>
      <c r="KVN35" s="2795"/>
      <c r="KVO35" s="2795"/>
      <c r="KVP35" s="2795"/>
      <c r="KVQ35" s="2795"/>
      <c r="KVR35" s="2795"/>
      <c r="KVS35" s="2795"/>
      <c r="KVT35" s="2795"/>
      <c r="KVU35" s="2795"/>
      <c r="KVV35" s="2795"/>
      <c r="KVW35" s="2795"/>
      <c r="KVX35" s="2795"/>
      <c r="KVY35" s="2795"/>
      <c r="KVZ35" s="2795"/>
      <c r="KWA35" s="2795"/>
      <c r="KWB35" s="2795"/>
      <c r="KWC35" s="2795"/>
      <c r="KWD35" s="2795"/>
      <c r="KWE35" s="2795"/>
      <c r="KWF35" s="2795"/>
      <c r="KWG35" s="2795"/>
      <c r="KWH35" s="2795"/>
      <c r="KWI35" s="2795"/>
      <c r="KWJ35" s="2795"/>
      <c r="KWK35" s="2795"/>
      <c r="KWL35" s="2795"/>
      <c r="KWM35" s="2795"/>
      <c r="KWN35" s="2795"/>
      <c r="KWO35" s="2795"/>
      <c r="KWP35" s="2795"/>
      <c r="KWQ35" s="2795"/>
      <c r="KWR35" s="2795"/>
      <c r="KWS35" s="2795"/>
      <c r="KWT35" s="2795"/>
      <c r="KWU35" s="2795"/>
      <c r="KWV35" s="2795"/>
      <c r="KWW35" s="2795"/>
      <c r="KWX35" s="2795"/>
      <c r="KWY35" s="2795"/>
      <c r="KWZ35" s="2795"/>
      <c r="KXA35" s="2795"/>
      <c r="KXB35" s="2795"/>
      <c r="KXC35" s="2795"/>
      <c r="KXD35" s="2795"/>
      <c r="KXE35" s="2795"/>
      <c r="KXF35" s="2795"/>
      <c r="KXG35" s="2795"/>
      <c r="KXH35" s="2795"/>
      <c r="KXI35" s="2795"/>
      <c r="KXJ35" s="2795"/>
      <c r="KXK35" s="2795"/>
      <c r="KXL35" s="2795"/>
      <c r="KXM35" s="2795"/>
      <c r="KXN35" s="2795"/>
      <c r="KXO35" s="2795"/>
      <c r="KXP35" s="2795"/>
      <c r="KXQ35" s="2795"/>
      <c r="KXR35" s="2795"/>
      <c r="KXS35" s="2795"/>
      <c r="KXT35" s="2795"/>
      <c r="KXU35" s="2795"/>
      <c r="KXV35" s="2795"/>
      <c r="KXW35" s="2795"/>
      <c r="KXX35" s="2795"/>
      <c r="KXY35" s="2795"/>
      <c r="KXZ35" s="2795"/>
      <c r="KYA35" s="2795"/>
      <c r="KYB35" s="2795"/>
      <c r="KYC35" s="2795"/>
      <c r="KYD35" s="2795"/>
      <c r="KYE35" s="2795"/>
      <c r="KYF35" s="2795"/>
      <c r="KYG35" s="2795"/>
      <c r="KYH35" s="2795"/>
      <c r="KYI35" s="2795"/>
      <c r="KYJ35" s="2795"/>
      <c r="KYK35" s="2795"/>
      <c r="KYL35" s="2795"/>
      <c r="KYM35" s="2795"/>
      <c r="KYN35" s="2795"/>
      <c r="KYO35" s="2795"/>
      <c r="KYP35" s="2795"/>
      <c r="KYQ35" s="2795"/>
      <c r="KYR35" s="2795"/>
      <c r="KYS35" s="2795"/>
      <c r="KYT35" s="2795"/>
      <c r="KYU35" s="2795"/>
      <c r="KYV35" s="2795"/>
      <c r="KYW35" s="2795"/>
      <c r="KYX35" s="2795"/>
      <c r="KYY35" s="2795"/>
      <c r="KYZ35" s="2795"/>
      <c r="KZA35" s="2795"/>
      <c r="KZB35" s="2795"/>
      <c r="KZC35" s="2795"/>
      <c r="KZD35" s="2795"/>
      <c r="KZE35" s="2795"/>
      <c r="KZF35" s="2795"/>
      <c r="KZG35" s="2795"/>
      <c r="KZH35" s="2795"/>
      <c r="KZI35" s="2795"/>
      <c r="KZJ35" s="2795"/>
      <c r="KZK35" s="2795"/>
      <c r="KZL35" s="2795"/>
      <c r="KZM35" s="2795"/>
      <c r="KZN35" s="2795"/>
      <c r="KZO35" s="2795"/>
      <c r="KZP35" s="2795"/>
      <c r="KZQ35" s="2795"/>
      <c r="KZR35" s="2795"/>
      <c r="KZS35" s="2795"/>
      <c r="KZT35" s="2795"/>
      <c r="KZU35" s="2795"/>
      <c r="KZV35" s="2795"/>
      <c r="KZW35" s="2795"/>
      <c r="KZX35" s="2795"/>
      <c r="KZY35" s="2795"/>
      <c r="KZZ35" s="2795"/>
      <c r="LAA35" s="2795"/>
      <c r="LAB35" s="2795"/>
      <c r="LAC35" s="2795"/>
      <c r="LAD35" s="2795"/>
      <c r="LAE35" s="2795"/>
      <c r="LAF35" s="2795"/>
      <c r="LAG35" s="2795"/>
      <c r="LAH35" s="2795"/>
      <c r="LAI35" s="2795"/>
      <c r="LAJ35" s="2795"/>
      <c r="LAK35" s="2795"/>
      <c r="LAL35" s="2795"/>
      <c r="LAM35" s="2795"/>
      <c r="LAN35" s="2795"/>
      <c r="LAO35" s="2795"/>
      <c r="LAP35" s="2795"/>
      <c r="LAQ35" s="2795"/>
      <c r="LAR35" s="2795"/>
      <c r="LAS35" s="2795"/>
      <c r="LAT35" s="2795"/>
      <c r="LAU35" s="2795"/>
      <c r="LAV35" s="2795"/>
      <c r="LAW35" s="2795"/>
      <c r="LAX35" s="2795"/>
      <c r="LAY35" s="2795"/>
      <c r="LAZ35" s="2795"/>
      <c r="LBA35" s="2795"/>
      <c r="LBB35" s="2795"/>
      <c r="LBC35" s="2795"/>
      <c r="LBD35" s="2795"/>
      <c r="LBE35" s="2795"/>
      <c r="LBF35" s="2795"/>
      <c r="LBG35" s="2795"/>
      <c r="LBH35" s="2795"/>
      <c r="LBI35" s="2795"/>
      <c r="LBJ35" s="2795"/>
      <c r="LBK35" s="2795"/>
      <c r="LBL35" s="2795"/>
      <c r="LBM35" s="2795"/>
      <c r="LBN35" s="2795"/>
      <c r="LBO35" s="2795"/>
      <c r="LBP35" s="2795"/>
      <c r="LBQ35" s="2795"/>
      <c r="LBR35" s="2795"/>
      <c r="LBS35" s="2795"/>
      <c r="LBT35" s="2795"/>
      <c r="LBU35" s="2795"/>
      <c r="LBV35" s="2795"/>
      <c r="LBW35" s="2795"/>
      <c r="LBX35" s="2795"/>
      <c r="LBY35" s="2795"/>
      <c r="LBZ35" s="2795"/>
      <c r="LCA35" s="2795"/>
      <c r="LCB35" s="2795"/>
      <c r="LCC35" s="2795"/>
      <c r="LCD35" s="2795"/>
      <c r="LCE35" s="2795"/>
      <c r="LCF35" s="2795"/>
      <c r="LCG35" s="2795"/>
      <c r="LCH35" s="2795"/>
      <c r="LCI35" s="2795"/>
      <c r="LCJ35" s="2795"/>
      <c r="LCK35" s="2795"/>
      <c r="LCL35" s="2795"/>
      <c r="LCM35" s="2795"/>
      <c r="LCN35" s="2795"/>
      <c r="LCO35" s="2795"/>
      <c r="LCP35" s="2795"/>
      <c r="LCQ35" s="2795"/>
      <c r="LCR35" s="2795"/>
      <c r="LCS35" s="2795"/>
      <c r="LCT35" s="2795"/>
      <c r="LCU35" s="2795"/>
      <c r="LCV35" s="2795"/>
      <c r="LCW35" s="2795"/>
      <c r="LCX35" s="2795"/>
      <c r="LCY35" s="2795"/>
      <c r="LCZ35" s="2795"/>
      <c r="LDA35" s="2795"/>
      <c r="LDB35" s="2795"/>
      <c r="LDC35" s="2795"/>
      <c r="LDD35" s="2795"/>
      <c r="LDE35" s="2795"/>
      <c r="LDF35" s="2795"/>
      <c r="LDG35" s="2795"/>
      <c r="LDH35" s="2795"/>
      <c r="LDI35" s="2795"/>
      <c r="LDJ35" s="2795"/>
      <c r="LDK35" s="2795"/>
      <c r="LDL35" s="2795"/>
      <c r="LDM35" s="2795"/>
      <c r="LDN35" s="2795"/>
      <c r="LDO35" s="2795"/>
      <c r="LDP35" s="2795"/>
      <c r="LDQ35" s="2795"/>
      <c r="LDR35" s="2795"/>
      <c r="LDS35" s="2795"/>
      <c r="LDT35" s="2795"/>
      <c r="LDU35" s="2795"/>
      <c r="LDV35" s="2795"/>
      <c r="LDW35" s="2795"/>
      <c r="LDX35" s="2795"/>
      <c r="LDY35" s="2795"/>
      <c r="LDZ35" s="2795"/>
      <c r="LEA35" s="2795"/>
      <c r="LEB35" s="2795"/>
      <c r="LEC35" s="2795"/>
      <c r="LED35" s="2795"/>
      <c r="LEE35" s="2795"/>
      <c r="LEF35" s="2795"/>
      <c r="LEG35" s="2795"/>
      <c r="LEH35" s="2795"/>
      <c r="LEI35" s="2795"/>
      <c r="LEJ35" s="2795"/>
      <c r="LEK35" s="2795"/>
      <c r="LEL35" s="2795"/>
      <c r="LEM35" s="2795"/>
      <c r="LEN35" s="2795"/>
      <c r="LEO35" s="2795"/>
      <c r="LEP35" s="2795"/>
      <c r="LEQ35" s="2795"/>
      <c r="LER35" s="2795"/>
      <c r="LES35" s="2795"/>
      <c r="LET35" s="2795"/>
      <c r="LEU35" s="2795"/>
      <c r="LEV35" s="2795"/>
      <c r="LEW35" s="2795"/>
      <c r="LEX35" s="2795"/>
      <c r="LEY35" s="2795"/>
      <c r="LEZ35" s="2795"/>
      <c r="LFA35" s="2795"/>
      <c r="LFB35" s="2795"/>
      <c r="LFC35" s="2795"/>
      <c r="LFD35" s="2795"/>
      <c r="LFE35" s="2795"/>
      <c r="LFF35" s="2795"/>
      <c r="LFG35" s="2795"/>
      <c r="LFH35" s="2795"/>
      <c r="LFI35" s="2795"/>
      <c r="LFJ35" s="2795"/>
      <c r="LFK35" s="2795"/>
      <c r="LFL35" s="2795"/>
      <c r="LFM35" s="2795"/>
      <c r="LFN35" s="2795"/>
      <c r="LFO35" s="2795"/>
      <c r="LFP35" s="2795"/>
      <c r="LFQ35" s="2795"/>
      <c r="LFR35" s="2795"/>
      <c r="LFS35" s="2795"/>
      <c r="LFT35" s="2795"/>
      <c r="LFU35" s="2795"/>
      <c r="LFV35" s="2795"/>
      <c r="LFW35" s="2795"/>
      <c r="LFX35" s="2795"/>
      <c r="LFY35" s="2795"/>
      <c r="LFZ35" s="2795"/>
      <c r="LGA35" s="2795"/>
      <c r="LGB35" s="2795"/>
      <c r="LGC35" s="2795"/>
      <c r="LGD35" s="2795"/>
      <c r="LGE35" s="2795"/>
      <c r="LGF35" s="2795"/>
      <c r="LGG35" s="2795"/>
      <c r="LGH35" s="2795"/>
      <c r="LGI35" s="2795"/>
      <c r="LGJ35" s="2795"/>
      <c r="LGK35" s="2795"/>
      <c r="LGL35" s="2795"/>
      <c r="LGM35" s="2795"/>
      <c r="LGN35" s="2795"/>
      <c r="LGO35" s="2795"/>
      <c r="LGP35" s="2795"/>
      <c r="LGQ35" s="2795"/>
      <c r="LGR35" s="2795"/>
      <c r="LGS35" s="2795"/>
      <c r="LGT35" s="2795"/>
      <c r="LGU35" s="2795"/>
      <c r="LGV35" s="2795"/>
      <c r="LGW35" s="2795"/>
      <c r="LGX35" s="2795"/>
      <c r="LGY35" s="2795"/>
      <c r="LGZ35" s="2795"/>
      <c r="LHA35" s="2795"/>
      <c r="LHB35" s="2795"/>
      <c r="LHC35" s="2795"/>
      <c r="LHD35" s="2795"/>
      <c r="LHE35" s="2795"/>
      <c r="LHF35" s="2795"/>
      <c r="LHG35" s="2795"/>
      <c r="LHH35" s="2795"/>
      <c r="LHI35" s="2795"/>
      <c r="LHJ35" s="2795"/>
      <c r="LHK35" s="2795"/>
      <c r="LHL35" s="2795"/>
      <c r="LHM35" s="2795"/>
      <c r="LHN35" s="2795"/>
      <c r="LHO35" s="2795"/>
      <c r="LHP35" s="2795"/>
      <c r="LHQ35" s="2795"/>
      <c r="LHR35" s="2795"/>
      <c r="LHS35" s="2795"/>
      <c r="LHT35" s="2795"/>
      <c r="LHU35" s="2795"/>
      <c r="LHV35" s="2795"/>
      <c r="LHW35" s="2795"/>
      <c r="LHX35" s="2795"/>
      <c r="LHY35" s="2795"/>
      <c r="LHZ35" s="2795"/>
      <c r="LIA35" s="2795"/>
      <c r="LIB35" s="2795"/>
      <c r="LIC35" s="2795"/>
      <c r="LID35" s="2795"/>
      <c r="LIE35" s="2795"/>
      <c r="LIF35" s="2795"/>
      <c r="LIG35" s="2795"/>
      <c r="LIH35" s="2795"/>
      <c r="LII35" s="2795"/>
      <c r="LIJ35" s="2795"/>
      <c r="LIK35" s="2795"/>
      <c r="LIL35" s="2795"/>
      <c r="LIM35" s="2795"/>
      <c r="LIN35" s="2795"/>
      <c r="LIO35" s="2795"/>
      <c r="LIP35" s="2795"/>
      <c r="LIQ35" s="2795"/>
      <c r="LIR35" s="2795"/>
      <c r="LIS35" s="2795"/>
      <c r="LIT35" s="2795"/>
      <c r="LIU35" s="2795"/>
      <c r="LIV35" s="2795"/>
      <c r="LIW35" s="2795"/>
      <c r="LIX35" s="2795"/>
      <c r="LIY35" s="2795"/>
      <c r="LIZ35" s="2795"/>
      <c r="LJA35" s="2795"/>
      <c r="LJB35" s="2795"/>
      <c r="LJC35" s="2795"/>
      <c r="LJD35" s="2795"/>
      <c r="LJE35" s="2795"/>
      <c r="LJF35" s="2795"/>
      <c r="LJG35" s="2795"/>
      <c r="LJH35" s="2795"/>
      <c r="LJI35" s="2795"/>
      <c r="LJJ35" s="2795"/>
      <c r="LJK35" s="2795"/>
      <c r="LJL35" s="2795"/>
      <c r="LJM35" s="2795"/>
      <c r="LJN35" s="2795"/>
      <c r="LJO35" s="2795"/>
      <c r="LJP35" s="2795"/>
      <c r="LJQ35" s="2795"/>
      <c r="LJR35" s="2795"/>
      <c r="LJS35" s="2795"/>
      <c r="LJT35" s="2795"/>
      <c r="LJU35" s="2795"/>
      <c r="LJV35" s="2795"/>
      <c r="LJW35" s="2795"/>
      <c r="LJX35" s="2795"/>
      <c r="LJY35" s="2795"/>
      <c r="LJZ35" s="2795"/>
      <c r="LKA35" s="2795"/>
      <c r="LKB35" s="2795"/>
      <c r="LKC35" s="2795"/>
      <c r="LKD35" s="2795"/>
      <c r="LKE35" s="2795"/>
      <c r="LKF35" s="2795"/>
      <c r="LKG35" s="2795"/>
      <c r="LKH35" s="2795"/>
      <c r="LKI35" s="2795"/>
      <c r="LKJ35" s="2795"/>
      <c r="LKK35" s="2795"/>
      <c r="LKL35" s="2795"/>
      <c r="LKM35" s="2795"/>
      <c r="LKN35" s="2795"/>
      <c r="LKO35" s="2795"/>
      <c r="LKP35" s="2795"/>
      <c r="LKQ35" s="2795"/>
      <c r="LKR35" s="2795"/>
      <c r="LKS35" s="2795"/>
      <c r="LKT35" s="2795"/>
      <c r="LKU35" s="2795"/>
      <c r="LKV35" s="2795"/>
      <c r="LKW35" s="2795"/>
      <c r="LKX35" s="2795"/>
      <c r="LKY35" s="2795"/>
      <c r="LKZ35" s="2795"/>
      <c r="LLA35" s="2795"/>
      <c r="LLB35" s="2795"/>
      <c r="LLC35" s="2795"/>
      <c r="LLD35" s="2795"/>
      <c r="LLE35" s="2795"/>
      <c r="LLF35" s="2795"/>
      <c r="LLG35" s="2795"/>
      <c r="LLH35" s="2795"/>
      <c r="LLI35" s="2795"/>
      <c r="LLJ35" s="2795"/>
      <c r="LLK35" s="2795"/>
      <c r="LLL35" s="2795"/>
      <c r="LLM35" s="2795"/>
      <c r="LLN35" s="2795"/>
      <c r="LLO35" s="2795"/>
      <c r="LLP35" s="2795"/>
      <c r="LLQ35" s="2795"/>
      <c r="LLR35" s="2795"/>
      <c r="LLS35" s="2795"/>
      <c r="LLT35" s="2795"/>
      <c r="LLU35" s="2795"/>
      <c r="LLV35" s="2795"/>
      <c r="LLW35" s="2795"/>
      <c r="LLX35" s="2795"/>
      <c r="LLY35" s="2795"/>
      <c r="LLZ35" s="2795"/>
      <c r="LMA35" s="2795"/>
      <c r="LMB35" s="2795"/>
      <c r="LMC35" s="2795"/>
      <c r="LMD35" s="2795"/>
      <c r="LME35" s="2795"/>
      <c r="LMF35" s="2795"/>
      <c r="LMG35" s="2795"/>
      <c r="LMH35" s="2795"/>
      <c r="LMI35" s="2795"/>
      <c r="LMJ35" s="2795"/>
      <c r="LMK35" s="2795"/>
      <c r="LML35" s="2795"/>
      <c r="LMM35" s="2795"/>
      <c r="LMN35" s="2795"/>
      <c r="LMO35" s="2795"/>
      <c r="LMP35" s="2795"/>
      <c r="LMQ35" s="2795"/>
      <c r="LMR35" s="2795"/>
      <c r="LMS35" s="2795"/>
      <c r="LMT35" s="2795"/>
      <c r="LMU35" s="2795"/>
      <c r="LMV35" s="2795"/>
      <c r="LMW35" s="2795"/>
      <c r="LMX35" s="2795"/>
      <c r="LMY35" s="2795"/>
      <c r="LMZ35" s="2795"/>
      <c r="LNA35" s="2795"/>
      <c r="LNB35" s="2795"/>
      <c r="LNC35" s="2795"/>
      <c r="LND35" s="2795"/>
      <c r="LNE35" s="2795"/>
      <c r="LNF35" s="2795"/>
      <c r="LNG35" s="2795"/>
      <c r="LNH35" s="2795"/>
      <c r="LNI35" s="2795"/>
      <c r="LNJ35" s="2795"/>
      <c r="LNK35" s="2795"/>
      <c r="LNL35" s="2795"/>
      <c r="LNM35" s="2795"/>
      <c r="LNN35" s="2795"/>
      <c r="LNO35" s="2795"/>
      <c r="LNP35" s="2795"/>
      <c r="LNQ35" s="2795"/>
      <c r="LNR35" s="2795"/>
      <c r="LNS35" s="2795"/>
      <c r="LNT35" s="2795"/>
      <c r="LNU35" s="2795"/>
      <c r="LNV35" s="2795"/>
      <c r="LNW35" s="2795"/>
      <c r="LNX35" s="2795"/>
      <c r="LNY35" s="2795"/>
      <c r="LNZ35" s="2795"/>
      <c r="LOA35" s="2795"/>
      <c r="LOB35" s="2795"/>
      <c r="LOC35" s="2795"/>
      <c r="LOD35" s="2795"/>
      <c r="LOE35" s="2795"/>
      <c r="LOF35" s="2795"/>
      <c r="LOG35" s="2795"/>
      <c r="LOH35" s="2795"/>
      <c r="LOI35" s="2795"/>
      <c r="LOJ35" s="2795"/>
      <c r="LOK35" s="2795"/>
      <c r="LOL35" s="2795"/>
      <c r="LOM35" s="2795"/>
      <c r="LON35" s="2795"/>
      <c r="LOO35" s="2795"/>
      <c r="LOP35" s="2795"/>
      <c r="LOQ35" s="2795"/>
      <c r="LOR35" s="2795"/>
      <c r="LOS35" s="2795"/>
      <c r="LOT35" s="2795"/>
      <c r="LOU35" s="2795"/>
      <c r="LOV35" s="2795"/>
      <c r="LOW35" s="2795"/>
      <c r="LOX35" s="2795"/>
      <c r="LOY35" s="2795"/>
      <c r="LOZ35" s="2795"/>
      <c r="LPA35" s="2795"/>
      <c r="LPB35" s="2795"/>
      <c r="LPC35" s="2795"/>
      <c r="LPD35" s="2795"/>
      <c r="LPE35" s="2795"/>
      <c r="LPF35" s="2795"/>
      <c r="LPG35" s="2795"/>
      <c r="LPH35" s="2795"/>
      <c r="LPI35" s="2795"/>
      <c r="LPJ35" s="2795"/>
      <c r="LPK35" s="2795"/>
      <c r="LPL35" s="2795"/>
      <c r="LPM35" s="2795"/>
      <c r="LPN35" s="2795"/>
      <c r="LPO35" s="2795"/>
      <c r="LPP35" s="2795"/>
      <c r="LPQ35" s="2795"/>
      <c r="LPR35" s="2795"/>
      <c r="LPS35" s="2795"/>
      <c r="LPT35" s="2795"/>
      <c r="LPU35" s="2795"/>
      <c r="LPV35" s="2795"/>
      <c r="LPW35" s="2795"/>
      <c r="LPX35" s="2795"/>
      <c r="LPY35" s="2795"/>
      <c r="LPZ35" s="2795"/>
      <c r="LQA35" s="2795"/>
      <c r="LQB35" s="2795"/>
      <c r="LQC35" s="2795"/>
      <c r="LQD35" s="2795"/>
      <c r="LQE35" s="2795"/>
      <c r="LQF35" s="2795"/>
      <c r="LQG35" s="2795"/>
      <c r="LQH35" s="2795"/>
      <c r="LQI35" s="2795"/>
      <c r="LQJ35" s="2795"/>
      <c r="LQK35" s="2795"/>
      <c r="LQL35" s="2795"/>
      <c r="LQM35" s="2795"/>
      <c r="LQN35" s="2795"/>
      <c r="LQO35" s="2795"/>
      <c r="LQP35" s="2795"/>
      <c r="LQQ35" s="2795"/>
      <c r="LQR35" s="2795"/>
      <c r="LQS35" s="2795"/>
      <c r="LQT35" s="2795"/>
      <c r="LQU35" s="2795"/>
      <c r="LQV35" s="2795"/>
      <c r="LQW35" s="2795"/>
      <c r="LQX35" s="2795"/>
      <c r="LQY35" s="2795"/>
      <c r="LQZ35" s="2795"/>
      <c r="LRA35" s="2795"/>
      <c r="LRB35" s="2795"/>
      <c r="LRC35" s="2795"/>
      <c r="LRD35" s="2795"/>
      <c r="LRE35" s="2795"/>
      <c r="LRF35" s="2795"/>
      <c r="LRG35" s="2795"/>
      <c r="LRH35" s="2795"/>
      <c r="LRI35" s="2795"/>
      <c r="LRJ35" s="2795"/>
      <c r="LRK35" s="2795"/>
      <c r="LRL35" s="2795"/>
      <c r="LRM35" s="2795"/>
      <c r="LRN35" s="2795"/>
      <c r="LRO35" s="2795"/>
      <c r="LRP35" s="2795"/>
      <c r="LRQ35" s="2795"/>
      <c r="LRR35" s="2795"/>
      <c r="LRS35" s="2795"/>
      <c r="LRT35" s="2795"/>
      <c r="LRU35" s="2795"/>
      <c r="LRV35" s="2795"/>
      <c r="LRW35" s="2795"/>
      <c r="LRX35" s="2795"/>
      <c r="LRY35" s="2795"/>
      <c r="LRZ35" s="2795"/>
      <c r="LSA35" s="2795"/>
      <c r="LSB35" s="2795"/>
      <c r="LSC35" s="2795"/>
      <c r="LSD35" s="2795"/>
      <c r="LSE35" s="2795"/>
      <c r="LSF35" s="2795"/>
      <c r="LSG35" s="2795"/>
      <c r="LSH35" s="2795"/>
      <c r="LSI35" s="2795"/>
      <c r="LSJ35" s="2795"/>
      <c r="LSK35" s="2795"/>
      <c r="LSL35" s="2795"/>
      <c r="LSM35" s="2795"/>
      <c r="LSN35" s="2795"/>
      <c r="LSO35" s="2795"/>
      <c r="LSP35" s="2795"/>
      <c r="LSQ35" s="2795"/>
      <c r="LSR35" s="2795"/>
      <c r="LSS35" s="2795"/>
      <c r="LST35" s="2795"/>
      <c r="LSU35" s="2795"/>
      <c r="LSV35" s="2795"/>
      <c r="LSW35" s="2795"/>
      <c r="LSX35" s="2795"/>
      <c r="LSY35" s="2795"/>
      <c r="LSZ35" s="2795"/>
      <c r="LTA35" s="2795"/>
      <c r="LTB35" s="2795"/>
      <c r="LTC35" s="2795"/>
      <c r="LTD35" s="2795"/>
      <c r="LTE35" s="2795"/>
      <c r="LTF35" s="2795"/>
      <c r="LTG35" s="2795"/>
      <c r="LTH35" s="2795"/>
      <c r="LTI35" s="2795"/>
      <c r="LTJ35" s="2795"/>
      <c r="LTK35" s="2795"/>
      <c r="LTL35" s="2795"/>
      <c r="LTM35" s="2795"/>
      <c r="LTN35" s="2795"/>
      <c r="LTO35" s="2795"/>
      <c r="LTP35" s="2795"/>
      <c r="LTQ35" s="2795"/>
      <c r="LTR35" s="2795"/>
      <c r="LTS35" s="2795"/>
      <c r="LTT35" s="2795"/>
      <c r="LTU35" s="2795"/>
      <c r="LTV35" s="2795"/>
      <c r="LTW35" s="2795"/>
      <c r="LTX35" s="2795"/>
      <c r="LTY35" s="2795"/>
      <c r="LTZ35" s="2795"/>
      <c r="LUA35" s="2795"/>
      <c r="LUB35" s="2795"/>
      <c r="LUC35" s="2795"/>
      <c r="LUD35" s="2795"/>
      <c r="LUE35" s="2795"/>
      <c r="LUF35" s="2795"/>
      <c r="LUG35" s="2795"/>
      <c r="LUH35" s="2795"/>
      <c r="LUI35" s="2795"/>
      <c r="LUJ35" s="2795"/>
      <c r="LUK35" s="2795"/>
      <c r="LUL35" s="2795"/>
      <c r="LUM35" s="2795"/>
      <c r="LUN35" s="2795"/>
      <c r="LUO35" s="2795"/>
      <c r="LUP35" s="2795"/>
      <c r="LUQ35" s="2795"/>
      <c r="LUR35" s="2795"/>
      <c r="LUS35" s="2795"/>
      <c r="LUT35" s="2795"/>
      <c r="LUU35" s="2795"/>
      <c r="LUV35" s="2795"/>
      <c r="LUW35" s="2795"/>
      <c r="LUX35" s="2795"/>
      <c r="LUY35" s="2795"/>
      <c r="LUZ35" s="2795"/>
      <c r="LVA35" s="2795"/>
      <c r="LVB35" s="2795"/>
      <c r="LVC35" s="2795"/>
      <c r="LVD35" s="2795"/>
      <c r="LVE35" s="2795"/>
      <c r="LVF35" s="2795"/>
      <c r="LVG35" s="2795"/>
      <c r="LVH35" s="2795"/>
      <c r="LVI35" s="2795"/>
      <c r="LVJ35" s="2795"/>
      <c r="LVK35" s="2795"/>
      <c r="LVL35" s="2795"/>
      <c r="LVM35" s="2795"/>
      <c r="LVN35" s="2795"/>
      <c r="LVO35" s="2795"/>
      <c r="LVP35" s="2795"/>
      <c r="LVQ35" s="2795"/>
      <c r="LVR35" s="2795"/>
      <c r="LVS35" s="2795"/>
      <c r="LVT35" s="2795"/>
      <c r="LVU35" s="2795"/>
      <c r="LVV35" s="2795"/>
      <c r="LVW35" s="2795"/>
      <c r="LVX35" s="2795"/>
      <c r="LVY35" s="2795"/>
      <c r="LVZ35" s="2795"/>
      <c r="LWA35" s="2795"/>
      <c r="LWB35" s="2795"/>
      <c r="LWC35" s="2795"/>
      <c r="LWD35" s="2795"/>
      <c r="LWE35" s="2795"/>
      <c r="LWF35" s="2795"/>
      <c r="LWG35" s="2795"/>
      <c r="LWH35" s="2795"/>
      <c r="LWI35" s="2795"/>
      <c r="LWJ35" s="2795"/>
      <c r="LWK35" s="2795"/>
      <c r="LWL35" s="2795"/>
      <c r="LWM35" s="2795"/>
      <c r="LWN35" s="2795"/>
      <c r="LWO35" s="2795"/>
      <c r="LWP35" s="2795"/>
      <c r="LWQ35" s="2795"/>
      <c r="LWR35" s="2795"/>
      <c r="LWS35" s="2795"/>
      <c r="LWT35" s="2795"/>
      <c r="LWU35" s="2795"/>
      <c r="LWV35" s="2795"/>
      <c r="LWW35" s="2795"/>
      <c r="LWX35" s="2795"/>
      <c r="LWY35" s="2795"/>
      <c r="LWZ35" s="2795"/>
      <c r="LXA35" s="2795"/>
      <c r="LXB35" s="2795"/>
      <c r="LXC35" s="2795"/>
      <c r="LXD35" s="2795"/>
      <c r="LXE35" s="2795"/>
      <c r="LXF35" s="2795"/>
      <c r="LXG35" s="2795"/>
      <c r="LXH35" s="2795"/>
      <c r="LXI35" s="2795"/>
      <c r="LXJ35" s="2795"/>
      <c r="LXK35" s="2795"/>
      <c r="LXL35" s="2795"/>
      <c r="LXM35" s="2795"/>
      <c r="LXN35" s="2795"/>
      <c r="LXO35" s="2795"/>
      <c r="LXP35" s="2795"/>
      <c r="LXQ35" s="2795"/>
      <c r="LXR35" s="2795"/>
      <c r="LXS35" s="2795"/>
      <c r="LXT35" s="2795"/>
      <c r="LXU35" s="2795"/>
      <c r="LXV35" s="2795"/>
      <c r="LXW35" s="2795"/>
      <c r="LXX35" s="2795"/>
      <c r="LXY35" s="2795"/>
      <c r="LXZ35" s="2795"/>
      <c r="LYA35" s="2795"/>
      <c r="LYB35" s="2795"/>
      <c r="LYC35" s="2795"/>
      <c r="LYD35" s="2795"/>
      <c r="LYE35" s="2795"/>
      <c r="LYF35" s="2795"/>
      <c r="LYG35" s="2795"/>
      <c r="LYH35" s="2795"/>
      <c r="LYI35" s="2795"/>
      <c r="LYJ35" s="2795"/>
      <c r="LYK35" s="2795"/>
      <c r="LYL35" s="2795"/>
      <c r="LYM35" s="2795"/>
      <c r="LYN35" s="2795"/>
      <c r="LYO35" s="2795"/>
      <c r="LYP35" s="2795"/>
      <c r="LYQ35" s="2795"/>
      <c r="LYR35" s="2795"/>
      <c r="LYS35" s="2795"/>
      <c r="LYT35" s="2795"/>
      <c r="LYU35" s="2795"/>
      <c r="LYV35" s="2795"/>
      <c r="LYW35" s="2795"/>
      <c r="LYX35" s="2795"/>
      <c r="LYY35" s="2795"/>
      <c r="LYZ35" s="2795"/>
      <c r="LZA35" s="2795"/>
      <c r="LZB35" s="2795"/>
      <c r="LZC35" s="2795"/>
      <c r="LZD35" s="2795"/>
      <c r="LZE35" s="2795"/>
      <c r="LZF35" s="2795"/>
      <c r="LZG35" s="2795"/>
      <c r="LZH35" s="2795"/>
      <c r="LZI35" s="2795"/>
      <c r="LZJ35" s="2795"/>
      <c r="LZK35" s="2795"/>
      <c r="LZL35" s="2795"/>
      <c r="LZM35" s="2795"/>
      <c r="LZN35" s="2795"/>
      <c r="LZO35" s="2795"/>
      <c r="LZP35" s="2795"/>
      <c r="LZQ35" s="2795"/>
      <c r="LZR35" s="2795"/>
      <c r="LZS35" s="2795"/>
      <c r="LZT35" s="2795"/>
      <c r="LZU35" s="2795"/>
      <c r="LZV35" s="2795"/>
      <c r="LZW35" s="2795"/>
      <c r="LZX35" s="2795"/>
      <c r="LZY35" s="2795"/>
      <c r="LZZ35" s="2795"/>
      <c r="MAA35" s="2795"/>
      <c r="MAB35" s="2795"/>
      <c r="MAC35" s="2795"/>
      <c r="MAD35" s="2795"/>
      <c r="MAE35" s="2795"/>
      <c r="MAF35" s="2795"/>
      <c r="MAG35" s="2795"/>
      <c r="MAH35" s="2795"/>
      <c r="MAI35" s="2795"/>
      <c r="MAJ35" s="2795"/>
      <c r="MAK35" s="2795"/>
      <c r="MAL35" s="2795"/>
      <c r="MAM35" s="2795"/>
      <c r="MAN35" s="2795"/>
      <c r="MAO35" s="2795"/>
      <c r="MAP35" s="2795"/>
      <c r="MAQ35" s="2795"/>
      <c r="MAR35" s="2795"/>
      <c r="MAS35" s="2795"/>
      <c r="MAT35" s="2795"/>
      <c r="MAU35" s="2795"/>
      <c r="MAV35" s="2795"/>
      <c r="MAW35" s="2795"/>
      <c r="MAX35" s="2795"/>
      <c r="MAY35" s="2795"/>
      <c r="MAZ35" s="2795"/>
      <c r="MBA35" s="2795"/>
      <c r="MBB35" s="2795"/>
      <c r="MBC35" s="2795"/>
      <c r="MBD35" s="2795"/>
      <c r="MBE35" s="2795"/>
      <c r="MBF35" s="2795"/>
      <c r="MBG35" s="2795"/>
      <c r="MBH35" s="2795"/>
      <c r="MBI35" s="2795"/>
      <c r="MBJ35" s="2795"/>
      <c r="MBK35" s="2795"/>
      <c r="MBL35" s="2795"/>
      <c r="MBM35" s="2795"/>
      <c r="MBN35" s="2795"/>
      <c r="MBO35" s="2795"/>
      <c r="MBP35" s="2795"/>
      <c r="MBQ35" s="2795"/>
      <c r="MBR35" s="2795"/>
      <c r="MBS35" s="2795"/>
      <c r="MBT35" s="2795"/>
      <c r="MBU35" s="2795"/>
      <c r="MBV35" s="2795"/>
      <c r="MBW35" s="2795"/>
      <c r="MBX35" s="2795"/>
      <c r="MBY35" s="2795"/>
      <c r="MBZ35" s="2795"/>
      <c r="MCA35" s="2795"/>
      <c r="MCB35" s="2795"/>
      <c r="MCC35" s="2795"/>
      <c r="MCD35" s="2795"/>
      <c r="MCE35" s="2795"/>
      <c r="MCF35" s="2795"/>
      <c r="MCG35" s="2795"/>
      <c r="MCH35" s="2795"/>
      <c r="MCI35" s="2795"/>
      <c r="MCJ35" s="2795"/>
      <c r="MCK35" s="2795"/>
      <c r="MCL35" s="2795"/>
      <c r="MCM35" s="2795"/>
      <c r="MCN35" s="2795"/>
      <c r="MCO35" s="2795"/>
      <c r="MCP35" s="2795"/>
      <c r="MCQ35" s="2795"/>
      <c r="MCR35" s="2795"/>
      <c r="MCS35" s="2795"/>
      <c r="MCT35" s="2795"/>
      <c r="MCU35" s="2795"/>
      <c r="MCV35" s="2795"/>
      <c r="MCW35" s="2795"/>
      <c r="MCX35" s="2795"/>
      <c r="MCY35" s="2795"/>
      <c r="MCZ35" s="2795"/>
      <c r="MDA35" s="2795"/>
      <c r="MDB35" s="2795"/>
      <c r="MDC35" s="2795"/>
      <c r="MDD35" s="2795"/>
      <c r="MDE35" s="2795"/>
      <c r="MDF35" s="2795"/>
      <c r="MDG35" s="2795"/>
      <c r="MDH35" s="2795"/>
      <c r="MDI35" s="2795"/>
      <c r="MDJ35" s="2795"/>
      <c r="MDK35" s="2795"/>
      <c r="MDL35" s="2795"/>
      <c r="MDM35" s="2795"/>
      <c r="MDN35" s="2795"/>
      <c r="MDO35" s="2795"/>
      <c r="MDP35" s="2795"/>
      <c r="MDQ35" s="2795"/>
      <c r="MDR35" s="2795"/>
      <c r="MDS35" s="2795"/>
      <c r="MDT35" s="2795"/>
      <c r="MDU35" s="2795"/>
      <c r="MDV35" s="2795"/>
      <c r="MDW35" s="2795"/>
      <c r="MDX35" s="2795"/>
      <c r="MDY35" s="2795"/>
      <c r="MDZ35" s="2795"/>
      <c r="MEA35" s="2795"/>
      <c r="MEB35" s="2795"/>
      <c r="MEC35" s="2795"/>
      <c r="MED35" s="2795"/>
      <c r="MEE35" s="2795"/>
      <c r="MEF35" s="2795"/>
      <c r="MEG35" s="2795"/>
      <c r="MEH35" s="2795"/>
      <c r="MEI35" s="2795"/>
      <c r="MEJ35" s="2795"/>
      <c r="MEK35" s="2795"/>
      <c r="MEL35" s="2795"/>
      <c r="MEM35" s="2795"/>
      <c r="MEN35" s="2795"/>
      <c r="MEO35" s="2795"/>
      <c r="MEP35" s="2795"/>
      <c r="MEQ35" s="2795"/>
      <c r="MER35" s="2795"/>
      <c r="MES35" s="2795"/>
      <c r="MET35" s="2795"/>
      <c r="MEU35" s="2795"/>
      <c r="MEV35" s="2795"/>
      <c r="MEW35" s="2795"/>
      <c r="MEX35" s="2795"/>
      <c r="MEY35" s="2795"/>
      <c r="MEZ35" s="2795"/>
      <c r="MFA35" s="2795"/>
      <c r="MFB35" s="2795"/>
      <c r="MFC35" s="2795"/>
      <c r="MFD35" s="2795"/>
      <c r="MFE35" s="2795"/>
      <c r="MFF35" s="2795"/>
      <c r="MFG35" s="2795"/>
      <c r="MFH35" s="2795"/>
      <c r="MFI35" s="2795"/>
      <c r="MFJ35" s="2795"/>
      <c r="MFK35" s="2795"/>
      <c r="MFL35" s="2795"/>
      <c r="MFM35" s="2795"/>
      <c r="MFN35" s="2795"/>
      <c r="MFO35" s="2795"/>
      <c r="MFP35" s="2795"/>
      <c r="MFQ35" s="2795"/>
      <c r="MFR35" s="2795"/>
      <c r="MFS35" s="2795"/>
      <c r="MFT35" s="2795"/>
      <c r="MFU35" s="2795"/>
      <c r="MFV35" s="2795"/>
      <c r="MFW35" s="2795"/>
      <c r="MFX35" s="2795"/>
      <c r="MFY35" s="2795"/>
      <c r="MFZ35" s="2795"/>
      <c r="MGA35" s="2795"/>
      <c r="MGB35" s="2795"/>
      <c r="MGC35" s="2795"/>
      <c r="MGD35" s="2795"/>
      <c r="MGE35" s="2795"/>
      <c r="MGF35" s="2795"/>
      <c r="MGG35" s="2795"/>
      <c r="MGH35" s="2795"/>
      <c r="MGI35" s="2795"/>
      <c r="MGJ35" s="2795"/>
      <c r="MGK35" s="2795"/>
      <c r="MGL35" s="2795"/>
      <c r="MGM35" s="2795"/>
      <c r="MGN35" s="2795"/>
      <c r="MGO35" s="2795"/>
      <c r="MGP35" s="2795"/>
      <c r="MGQ35" s="2795"/>
      <c r="MGR35" s="2795"/>
      <c r="MGS35" s="2795"/>
      <c r="MGT35" s="2795"/>
      <c r="MGU35" s="2795"/>
      <c r="MGV35" s="2795"/>
      <c r="MGW35" s="2795"/>
      <c r="MGX35" s="2795"/>
      <c r="MGY35" s="2795"/>
      <c r="MGZ35" s="2795"/>
      <c r="MHA35" s="2795"/>
      <c r="MHB35" s="2795"/>
      <c r="MHC35" s="2795"/>
      <c r="MHD35" s="2795"/>
      <c r="MHE35" s="2795"/>
      <c r="MHF35" s="2795"/>
      <c r="MHG35" s="2795"/>
      <c r="MHH35" s="2795"/>
      <c r="MHI35" s="2795"/>
      <c r="MHJ35" s="2795"/>
      <c r="MHK35" s="2795"/>
      <c r="MHL35" s="2795"/>
      <c r="MHM35" s="2795"/>
      <c r="MHN35" s="2795"/>
      <c r="MHO35" s="2795"/>
      <c r="MHP35" s="2795"/>
      <c r="MHQ35" s="2795"/>
      <c r="MHR35" s="2795"/>
      <c r="MHS35" s="2795"/>
      <c r="MHT35" s="2795"/>
      <c r="MHU35" s="2795"/>
      <c r="MHV35" s="2795"/>
      <c r="MHW35" s="2795"/>
      <c r="MHX35" s="2795"/>
      <c r="MHY35" s="2795"/>
      <c r="MHZ35" s="2795"/>
      <c r="MIA35" s="2795"/>
      <c r="MIB35" s="2795"/>
      <c r="MIC35" s="2795"/>
      <c r="MID35" s="2795"/>
      <c r="MIE35" s="2795"/>
      <c r="MIF35" s="2795"/>
      <c r="MIG35" s="2795"/>
      <c r="MIH35" s="2795"/>
      <c r="MII35" s="2795"/>
      <c r="MIJ35" s="2795"/>
      <c r="MIK35" s="2795"/>
      <c r="MIL35" s="2795"/>
      <c r="MIM35" s="2795"/>
      <c r="MIN35" s="2795"/>
      <c r="MIO35" s="2795"/>
      <c r="MIP35" s="2795"/>
      <c r="MIQ35" s="2795"/>
      <c r="MIR35" s="2795"/>
      <c r="MIS35" s="2795"/>
      <c r="MIT35" s="2795"/>
      <c r="MIU35" s="2795"/>
      <c r="MIV35" s="2795"/>
      <c r="MIW35" s="2795"/>
      <c r="MIX35" s="2795"/>
      <c r="MIY35" s="2795"/>
      <c r="MIZ35" s="2795"/>
      <c r="MJA35" s="2795"/>
      <c r="MJB35" s="2795"/>
      <c r="MJC35" s="2795"/>
      <c r="MJD35" s="2795"/>
      <c r="MJE35" s="2795"/>
      <c r="MJF35" s="2795"/>
      <c r="MJG35" s="2795"/>
      <c r="MJH35" s="2795"/>
      <c r="MJI35" s="2795"/>
      <c r="MJJ35" s="2795"/>
      <c r="MJK35" s="2795"/>
      <c r="MJL35" s="2795"/>
      <c r="MJM35" s="2795"/>
      <c r="MJN35" s="2795"/>
      <c r="MJO35" s="2795"/>
      <c r="MJP35" s="2795"/>
      <c r="MJQ35" s="2795"/>
      <c r="MJR35" s="2795"/>
      <c r="MJS35" s="2795"/>
      <c r="MJT35" s="2795"/>
      <c r="MJU35" s="2795"/>
      <c r="MJV35" s="2795"/>
      <c r="MJW35" s="2795"/>
      <c r="MJX35" s="2795"/>
      <c r="MJY35" s="2795"/>
      <c r="MJZ35" s="2795"/>
      <c r="MKA35" s="2795"/>
      <c r="MKB35" s="2795"/>
      <c r="MKC35" s="2795"/>
      <c r="MKD35" s="2795"/>
      <c r="MKE35" s="2795"/>
      <c r="MKF35" s="2795"/>
      <c r="MKG35" s="2795"/>
      <c r="MKH35" s="2795"/>
      <c r="MKI35" s="2795"/>
      <c r="MKJ35" s="2795"/>
      <c r="MKK35" s="2795"/>
      <c r="MKL35" s="2795"/>
      <c r="MKM35" s="2795"/>
      <c r="MKN35" s="2795"/>
      <c r="MKO35" s="2795"/>
      <c r="MKP35" s="2795"/>
      <c r="MKQ35" s="2795"/>
      <c r="MKR35" s="2795"/>
      <c r="MKS35" s="2795"/>
      <c r="MKT35" s="2795"/>
      <c r="MKU35" s="2795"/>
      <c r="MKV35" s="2795"/>
      <c r="MKW35" s="2795"/>
      <c r="MKX35" s="2795"/>
      <c r="MKY35" s="2795"/>
      <c r="MKZ35" s="2795"/>
      <c r="MLA35" s="2795"/>
      <c r="MLB35" s="2795"/>
      <c r="MLC35" s="2795"/>
      <c r="MLD35" s="2795"/>
      <c r="MLE35" s="2795"/>
      <c r="MLF35" s="2795"/>
      <c r="MLG35" s="2795"/>
      <c r="MLH35" s="2795"/>
      <c r="MLI35" s="2795"/>
      <c r="MLJ35" s="2795"/>
      <c r="MLK35" s="2795"/>
      <c r="MLL35" s="2795"/>
      <c r="MLM35" s="2795"/>
      <c r="MLN35" s="2795"/>
      <c r="MLO35" s="2795"/>
      <c r="MLP35" s="2795"/>
      <c r="MLQ35" s="2795"/>
      <c r="MLR35" s="2795"/>
      <c r="MLS35" s="2795"/>
      <c r="MLT35" s="2795"/>
      <c r="MLU35" s="2795"/>
      <c r="MLV35" s="2795"/>
      <c r="MLW35" s="2795"/>
      <c r="MLX35" s="2795"/>
      <c r="MLY35" s="2795"/>
      <c r="MLZ35" s="2795"/>
      <c r="MMA35" s="2795"/>
      <c r="MMB35" s="2795"/>
      <c r="MMC35" s="2795"/>
      <c r="MMD35" s="2795"/>
      <c r="MME35" s="2795"/>
      <c r="MMF35" s="2795"/>
      <c r="MMG35" s="2795"/>
      <c r="MMH35" s="2795"/>
      <c r="MMI35" s="2795"/>
      <c r="MMJ35" s="2795"/>
      <c r="MMK35" s="2795"/>
      <c r="MML35" s="2795"/>
      <c r="MMM35" s="2795"/>
      <c r="MMN35" s="2795"/>
      <c r="MMO35" s="2795"/>
      <c r="MMP35" s="2795"/>
      <c r="MMQ35" s="2795"/>
      <c r="MMR35" s="2795"/>
      <c r="MMS35" s="2795"/>
      <c r="MMT35" s="2795"/>
      <c r="MMU35" s="2795"/>
      <c r="MMV35" s="2795"/>
      <c r="MMW35" s="2795"/>
      <c r="MMX35" s="2795"/>
      <c r="MMY35" s="2795"/>
      <c r="MMZ35" s="2795"/>
      <c r="MNA35" s="2795"/>
      <c r="MNB35" s="2795"/>
      <c r="MNC35" s="2795"/>
      <c r="MND35" s="2795"/>
      <c r="MNE35" s="2795"/>
      <c r="MNF35" s="2795"/>
      <c r="MNG35" s="2795"/>
      <c r="MNH35" s="2795"/>
      <c r="MNI35" s="2795"/>
      <c r="MNJ35" s="2795"/>
      <c r="MNK35" s="2795"/>
      <c r="MNL35" s="2795"/>
      <c r="MNM35" s="2795"/>
      <c r="MNN35" s="2795"/>
      <c r="MNO35" s="2795"/>
      <c r="MNP35" s="2795"/>
      <c r="MNQ35" s="2795"/>
      <c r="MNR35" s="2795"/>
      <c r="MNS35" s="2795"/>
      <c r="MNT35" s="2795"/>
      <c r="MNU35" s="2795"/>
      <c r="MNV35" s="2795"/>
      <c r="MNW35" s="2795"/>
      <c r="MNX35" s="2795"/>
      <c r="MNY35" s="2795"/>
      <c r="MNZ35" s="2795"/>
      <c r="MOA35" s="2795"/>
      <c r="MOB35" s="2795"/>
      <c r="MOC35" s="2795"/>
      <c r="MOD35" s="2795"/>
      <c r="MOE35" s="2795"/>
      <c r="MOF35" s="2795"/>
      <c r="MOG35" s="2795"/>
      <c r="MOH35" s="2795"/>
      <c r="MOI35" s="2795"/>
      <c r="MOJ35" s="2795"/>
      <c r="MOK35" s="2795"/>
      <c r="MOL35" s="2795"/>
      <c r="MOM35" s="2795"/>
      <c r="MON35" s="2795"/>
      <c r="MOO35" s="2795"/>
      <c r="MOP35" s="2795"/>
      <c r="MOQ35" s="2795"/>
      <c r="MOR35" s="2795"/>
      <c r="MOS35" s="2795"/>
      <c r="MOT35" s="2795"/>
      <c r="MOU35" s="2795"/>
      <c r="MOV35" s="2795"/>
      <c r="MOW35" s="2795"/>
      <c r="MOX35" s="2795"/>
      <c r="MOY35" s="2795"/>
      <c r="MOZ35" s="2795"/>
      <c r="MPA35" s="2795"/>
      <c r="MPB35" s="2795"/>
      <c r="MPC35" s="2795"/>
      <c r="MPD35" s="2795"/>
      <c r="MPE35" s="2795"/>
      <c r="MPF35" s="2795"/>
      <c r="MPG35" s="2795"/>
      <c r="MPH35" s="2795"/>
      <c r="MPI35" s="2795"/>
      <c r="MPJ35" s="2795"/>
      <c r="MPK35" s="2795"/>
      <c r="MPL35" s="2795"/>
      <c r="MPM35" s="2795"/>
      <c r="MPN35" s="2795"/>
      <c r="MPO35" s="2795"/>
      <c r="MPP35" s="2795"/>
      <c r="MPQ35" s="2795"/>
      <c r="MPR35" s="2795"/>
      <c r="MPS35" s="2795"/>
      <c r="MPT35" s="2795"/>
      <c r="MPU35" s="2795"/>
      <c r="MPV35" s="2795"/>
      <c r="MPW35" s="2795"/>
      <c r="MPX35" s="2795"/>
      <c r="MPY35" s="2795"/>
      <c r="MPZ35" s="2795"/>
      <c r="MQA35" s="2795"/>
      <c r="MQB35" s="2795"/>
      <c r="MQC35" s="2795"/>
      <c r="MQD35" s="2795"/>
      <c r="MQE35" s="2795"/>
      <c r="MQF35" s="2795"/>
      <c r="MQG35" s="2795"/>
      <c r="MQH35" s="2795"/>
      <c r="MQI35" s="2795"/>
      <c r="MQJ35" s="2795"/>
      <c r="MQK35" s="2795"/>
      <c r="MQL35" s="2795"/>
      <c r="MQM35" s="2795"/>
      <c r="MQN35" s="2795"/>
      <c r="MQO35" s="2795"/>
      <c r="MQP35" s="2795"/>
      <c r="MQQ35" s="2795"/>
      <c r="MQR35" s="2795"/>
      <c r="MQS35" s="2795"/>
      <c r="MQT35" s="2795"/>
      <c r="MQU35" s="2795"/>
      <c r="MQV35" s="2795"/>
      <c r="MQW35" s="2795"/>
      <c r="MQX35" s="2795"/>
      <c r="MQY35" s="2795"/>
      <c r="MQZ35" s="2795"/>
      <c r="MRA35" s="2795"/>
      <c r="MRB35" s="2795"/>
      <c r="MRC35" s="2795"/>
      <c r="MRD35" s="2795"/>
      <c r="MRE35" s="2795"/>
      <c r="MRF35" s="2795"/>
      <c r="MRG35" s="2795"/>
      <c r="MRH35" s="2795"/>
      <c r="MRI35" s="2795"/>
      <c r="MRJ35" s="2795"/>
      <c r="MRK35" s="2795"/>
      <c r="MRL35" s="2795"/>
      <c r="MRM35" s="2795"/>
      <c r="MRN35" s="2795"/>
      <c r="MRO35" s="2795"/>
      <c r="MRP35" s="2795"/>
      <c r="MRQ35" s="2795"/>
      <c r="MRR35" s="2795"/>
      <c r="MRS35" s="2795"/>
      <c r="MRT35" s="2795"/>
      <c r="MRU35" s="2795"/>
      <c r="MRV35" s="2795"/>
      <c r="MRW35" s="2795"/>
      <c r="MRX35" s="2795"/>
      <c r="MRY35" s="2795"/>
      <c r="MRZ35" s="2795"/>
      <c r="MSA35" s="2795"/>
      <c r="MSB35" s="2795"/>
      <c r="MSC35" s="2795"/>
      <c r="MSD35" s="2795"/>
      <c r="MSE35" s="2795"/>
      <c r="MSF35" s="2795"/>
      <c r="MSG35" s="2795"/>
      <c r="MSH35" s="2795"/>
      <c r="MSI35" s="2795"/>
      <c r="MSJ35" s="2795"/>
      <c r="MSK35" s="2795"/>
      <c r="MSL35" s="2795"/>
      <c r="MSM35" s="2795"/>
      <c r="MSN35" s="2795"/>
      <c r="MSO35" s="2795"/>
      <c r="MSP35" s="2795"/>
      <c r="MSQ35" s="2795"/>
      <c r="MSR35" s="2795"/>
      <c r="MSS35" s="2795"/>
      <c r="MST35" s="2795"/>
      <c r="MSU35" s="2795"/>
      <c r="MSV35" s="2795"/>
      <c r="MSW35" s="2795"/>
      <c r="MSX35" s="2795"/>
      <c r="MSY35" s="2795"/>
      <c r="MSZ35" s="2795"/>
      <c r="MTA35" s="2795"/>
      <c r="MTB35" s="2795"/>
      <c r="MTC35" s="2795"/>
      <c r="MTD35" s="2795"/>
      <c r="MTE35" s="2795"/>
      <c r="MTF35" s="2795"/>
      <c r="MTG35" s="2795"/>
      <c r="MTH35" s="2795"/>
      <c r="MTI35" s="2795"/>
      <c r="MTJ35" s="2795"/>
      <c r="MTK35" s="2795"/>
      <c r="MTL35" s="2795"/>
      <c r="MTM35" s="2795"/>
      <c r="MTN35" s="2795"/>
      <c r="MTO35" s="2795"/>
      <c r="MTP35" s="2795"/>
      <c r="MTQ35" s="2795"/>
      <c r="MTR35" s="2795"/>
      <c r="MTS35" s="2795"/>
      <c r="MTT35" s="2795"/>
      <c r="MTU35" s="2795"/>
      <c r="MTV35" s="2795"/>
      <c r="MTW35" s="2795"/>
      <c r="MTX35" s="2795"/>
      <c r="MTY35" s="2795"/>
      <c r="MTZ35" s="2795"/>
      <c r="MUA35" s="2795"/>
      <c r="MUB35" s="2795"/>
      <c r="MUC35" s="2795"/>
      <c r="MUD35" s="2795"/>
      <c r="MUE35" s="2795"/>
      <c r="MUF35" s="2795"/>
      <c r="MUG35" s="2795"/>
      <c r="MUH35" s="2795"/>
      <c r="MUI35" s="2795"/>
      <c r="MUJ35" s="2795"/>
      <c r="MUK35" s="2795"/>
      <c r="MUL35" s="2795"/>
      <c r="MUM35" s="2795"/>
      <c r="MUN35" s="2795"/>
      <c r="MUO35" s="2795"/>
      <c r="MUP35" s="2795"/>
      <c r="MUQ35" s="2795"/>
      <c r="MUR35" s="2795"/>
      <c r="MUS35" s="2795"/>
      <c r="MUT35" s="2795"/>
      <c r="MUU35" s="2795"/>
      <c r="MUV35" s="2795"/>
      <c r="MUW35" s="2795"/>
      <c r="MUX35" s="2795"/>
      <c r="MUY35" s="2795"/>
      <c r="MUZ35" s="2795"/>
      <c r="MVA35" s="2795"/>
      <c r="MVB35" s="2795"/>
      <c r="MVC35" s="2795"/>
      <c r="MVD35" s="2795"/>
      <c r="MVE35" s="2795"/>
      <c r="MVF35" s="2795"/>
      <c r="MVG35" s="2795"/>
      <c r="MVH35" s="2795"/>
      <c r="MVI35" s="2795"/>
      <c r="MVJ35" s="2795"/>
      <c r="MVK35" s="2795"/>
      <c r="MVL35" s="2795"/>
      <c r="MVM35" s="2795"/>
      <c r="MVN35" s="2795"/>
      <c r="MVO35" s="2795"/>
      <c r="MVP35" s="2795"/>
      <c r="MVQ35" s="2795"/>
      <c r="MVR35" s="2795"/>
      <c r="MVS35" s="2795"/>
      <c r="MVT35" s="2795"/>
      <c r="MVU35" s="2795"/>
      <c r="MVV35" s="2795"/>
      <c r="MVW35" s="2795"/>
      <c r="MVX35" s="2795"/>
      <c r="MVY35" s="2795"/>
      <c r="MVZ35" s="2795"/>
      <c r="MWA35" s="2795"/>
      <c r="MWB35" s="2795"/>
      <c r="MWC35" s="2795"/>
      <c r="MWD35" s="2795"/>
      <c r="MWE35" s="2795"/>
      <c r="MWF35" s="2795"/>
      <c r="MWG35" s="2795"/>
      <c r="MWH35" s="2795"/>
      <c r="MWI35" s="2795"/>
      <c r="MWJ35" s="2795"/>
      <c r="MWK35" s="2795"/>
      <c r="MWL35" s="2795"/>
      <c r="MWM35" s="2795"/>
      <c r="MWN35" s="2795"/>
      <c r="MWO35" s="2795"/>
      <c r="MWP35" s="2795"/>
      <c r="MWQ35" s="2795"/>
      <c r="MWR35" s="2795"/>
      <c r="MWS35" s="2795"/>
      <c r="MWT35" s="2795"/>
      <c r="MWU35" s="2795"/>
      <c r="MWV35" s="2795"/>
      <c r="MWW35" s="2795"/>
      <c r="MWX35" s="2795"/>
      <c r="MWY35" s="2795"/>
      <c r="MWZ35" s="2795"/>
      <c r="MXA35" s="2795"/>
      <c r="MXB35" s="2795"/>
      <c r="MXC35" s="2795"/>
      <c r="MXD35" s="2795"/>
      <c r="MXE35" s="2795"/>
      <c r="MXF35" s="2795"/>
      <c r="MXG35" s="2795"/>
      <c r="MXH35" s="2795"/>
      <c r="MXI35" s="2795"/>
      <c r="MXJ35" s="2795"/>
      <c r="MXK35" s="2795"/>
      <c r="MXL35" s="2795"/>
      <c r="MXM35" s="2795"/>
      <c r="MXN35" s="2795"/>
      <c r="MXO35" s="2795"/>
      <c r="MXP35" s="2795"/>
      <c r="MXQ35" s="2795"/>
      <c r="MXR35" s="2795"/>
      <c r="MXS35" s="2795"/>
      <c r="MXT35" s="2795"/>
      <c r="MXU35" s="2795"/>
      <c r="MXV35" s="2795"/>
      <c r="MXW35" s="2795"/>
      <c r="MXX35" s="2795"/>
      <c r="MXY35" s="2795"/>
      <c r="MXZ35" s="2795"/>
      <c r="MYA35" s="2795"/>
      <c r="MYB35" s="2795"/>
      <c r="MYC35" s="2795"/>
      <c r="MYD35" s="2795"/>
      <c r="MYE35" s="2795"/>
      <c r="MYF35" s="2795"/>
      <c r="MYG35" s="2795"/>
      <c r="MYH35" s="2795"/>
      <c r="MYI35" s="2795"/>
      <c r="MYJ35" s="2795"/>
      <c r="MYK35" s="2795"/>
      <c r="MYL35" s="2795"/>
      <c r="MYM35" s="2795"/>
      <c r="MYN35" s="2795"/>
      <c r="MYO35" s="2795"/>
      <c r="MYP35" s="2795"/>
      <c r="MYQ35" s="2795"/>
      <c r="MYR35" s="2795"/>
      <c r="MYS35" s="2795"/>
      <c r="MYT35" s="2795"/>
      <c r="MYU35" s="2795"/>
      <c r="MYV35" s="2795"/>
      <c r="MYW35" s="2795"/>
      <c r="MYX35" s="2795"/>
      <c r="MYY35" s="2795"/>
      <c r="MYZ35" s="2795"/>
      <c r="MZA35" s="2795"/>
      <c r="MZB35" s="2795"/>
      <c r="MZC35" s="2795"/>
      <c r="MZD35" s="2795"/>
      <c r="MZE35" s="2795"/>
      <c r="MZF35" s="2795"/>
      <c r="MZG35" s="2795"/>
      <c r="MZH35" s="2795"/>
      <c r="MZI35" s="2795"/>
      <c r="MZJ35" s="2795"/>
      <c r="MZK35" s="2795"/>
      <c r="MZL35" s="2795"/>
      <c r="MZM35" s="2795"/>
      <c r="MZN35" s="2795"/>
      <c r="MZO35" s="2795"/>
      <c r="MZP35" s="2795"/>
      <c r="MZQ35" s="2795"/>
      <c r="MZR35" s="2795"/>
      <c r="MZS35" s="2795"/>
      <c r="MZT35" s="2795"/>
      <c r="MZU35" s="2795"/>
      <c r="MZV35" s="2795"/>
      <c r="MZW35" s="2795"/>
      <c r="MZX35" s="2795"/>
      <c r="MZY35" s="2795"/>
      <c r="MZZ35" s="2795"/>
      <c r="NAA35" s="2795"/>
      <c r="NAB35" s="2795"/>
      <c r="NAC35" s="2795"/>
      <c r="NAD35" s="2795"/>
      <c r="NAE35" s="2795"/>
      <c r="NAF35" s="2795"/>
      <c r="NAG35" s="2795"/>
      <c r="NAH35" s="2795"/>
      <c r="NAI35" s="2795"/>
      <c r="NAJ35" s="2795"/>
      <c r="NAK35" s="2795"/>
      <c r="NAL35" s="2795"/>
      <c r="NAM35" s="2795"/>
      <c r="NAN35" s="2795"/>
      <c r="NAO35" s="2795"/>
      <c r="NAP35" s="2795"/>
      <c r="NAQ35" s="2795"/>
      <c r="NAR35" s="2795"/>
      <c r="NAS35" s="2795"/>
      <c r="NAT35" s="2795"/>
      <c r="NAU35" s="2795"/>
      <c r="NAV35" s="2795"/>
      <c r="NAW35" s="2795"/>
      <c r="NAX35" s="2795"/>
      <c r="NAY35" s="2795"/>
      <c r="NAZ35" s="2795"/>
      <c r="NBA35" s="2795"/>
      <c r="NBB35" s="2795"/>
      <c r="NBC35" s="2795"/>
      <c r="NBD35" s="2795"/>
      <c r="NBE35" s="2795"/>
      <c r="NBF35" s="2795"/>
      <c r="NBG35" s="2795"/>
      <c r="NBH35" s="2795"/>
      <c r="NBI35" s="2795"/>
      <c r="NBJ35" s="2795"/>
      <c r="NBK35" s="2795"/>
      <c r="NBL35" s="2795"/>
      <c r="NBM35" s="2795"/>
      <c r="NBN35" s="2795"/>
      <c r="NBO35" s="2795"/>
      <c r="NBP35" s="2795"/>
      <c r="NBQ35" s="2795"/>
      <c r="NBR35" s="2795"/>
      <c r="NBS35" s="2795"/>
      <c r="NBT35" s="2795"/>
      <c r="NBU35" s="2795"/>
      <c r="NBV35" s="2795"/>
      <c r="NBW35" s="2795"/>
      <c r="NBX35" s="2795"/>
      <c r="NBY35" s="2795"/>
      <c r="NBZ35" s="2795"/>
      <c r="NCA35" s="2795"/>
      <c r="NCB35" s="2795"/>
      <c r="NCC35" s="2795"/>
      <c r="NCD35" s="2795"/>
      <c r="NCE35" s="2795"/>
      <c r="NCF35" s="2795"/>
      <c r="NCG35" s="2795"/>
      <c r="NCH35" s="2795"/>
      <c r="NCI35" s="2795"/>
      <c r="NCJ35" s="2795"/>
      <c r="NCK35" s="2795"/>
      <c r="NCL35" s="2795"/>
      <c r="NCM35" s="2795"/>
      <c r="NCN35" s="2795"/>
      <c r="NCO35" s="2795"/>
      <c r="NCP35" s="2795"/>
      <c r="NCQ35" s="2795"/>
      <c r="NCR35" s="2795"/>
      <c r="NCS35" s="2795"/>
      <c r="NCT35" s="2795"/>
      <c r="NCU35" s="2795"/>
      <c r="NCV35" s="2795"/>
      <c r="NCW35" s="2795"/>
      <c r="NCX35" s="2795"/>
      <c r="NCY35" s="2795"/>
      <c r="NCZ35" s="2795"/>
      <c r="NDA35" s="2795"/>
      <c r="NDB35" s="2795"/>
      <c r="NDC35" s="2795"/>
      <c r="NDD35" s="2795"/>
      <c r="NDE35" s="2795"/>
      <c r="NDF35" s="2795"/>
      <c r="NDG35" s="2795"/>
      <c r="NDH35" s="2795"/>
      <c r="NDI35" s="2795"/>
      <c r="NDJ35" s="2795"/>
      <c r="NDK35" s="2795"/>
      <c r="NDL35" s="2795"/>
      <c r="NDM35" s="2795"/>
      <c r="NDN35" s="2795"/>
      <c r="NDO35" s="2795"/>
      <c r="NDP35" s="2795"/>
      <c r="NDQ35" s="2795"/>
      <c r="NDR35" s="2795"/>
      <c r="NDS35" s="2795"/>
      <c r="NDT35" s="2795"/>
      <c r="NDU35" s="2795"/>
      <c r="NDV35" s="2795"/>
      <c r="NDW35" s="2795"/>
      <c r="NDX35" s="2795"/>
      <c r="NDY35" s="2795"/>
      <c r="NDZ35" s="2795"/>
      <c r="NEA35" s="2795"/>
      <c r="NEB35" s="2795"/>
      <c r="NEC35" s="2795"/>
      <c r="NED35" s="2795"/>
      <c r="NEE35" s="2795"/>
      <c r="NEF35" s="2795"/>
      <c r="NEG35" s="2795"/>
      <c r="NEH35" s="2795"/>
      <c r="NEI35" s="2795"/>
      <c r="NEJ35" s="2795"/>
      <c r="NEK35" s="2795"/>
      <c r="NEL35" s="2795"/>
      <c r="NEM35" s="2795"/>
      <c r="NEN35" s="2795"/>
      <c r="NEO35" s="2795"/>
      <c r="NEP35" s="2795"/>
      <c r="NEQ35" s="2795"/>
      <c r="NER35" s="2795"/>
      <c r="NES35" s="2795"/>
      <c r="NET35" s="2795"/>
      <c r="NEU35" s="2795"/>
      <c r="NEV35" s="2795"/>
      <c r="NEW35" s="2795"/>
      <c r="NEX35" s="2795"/>
      <c r="NEY35" s="2795"/>
      <c r="NEZ35" s="2795"/>
      <c r="NFA35" s="2795"/>
      <c r="NFB35" s="2795"/>
      <c r="NFC35" s="2795"/>
      <c r="NFD35" s="2795"/>
      <c r="NFE35" s="2795"/>
      <c r="NFF35" s="2795"/>
      <c r="NFG35" s="2795"/>
      <c r="NFH35" s="2795"/>
      <c r="NFI35" s="2795"/>
      <c r="NFJ35" s="2795"/>
      <c r="NFK35" s="2795"/>
      <c r="NFL35" s="2795"/>
      <c r="NFM35" s="2795"/>
      <c r="NFN35" s="2795"/>
      <c r="NFO35" s="2795"/>
      <c r="NFP35" s="2795"/>
      <c r="NFQ35" s="2795"/>
      <c r="NFR35" s="2795"/>
      <c r="NFS35" s="2795"/>
      <c r="NFT35" s="2795"/>
      <c r="NFU35" s="2795"/>
      <c r="NFV35" s="2795"/>
      <c r="NFW35" s="2795"/>
      <c r="NFX35" s="2795"/>
      <c r="NFY35" s="2795"/>
      <c r="NFZ35" s="2795"/>
      <c r="NGA35" s="2795"/>
      <c r="NGB35" s="2795"/>
      <c r="NGC35" s="2795"/>
      <c r="NGD35" s="2795"/>
      <c r="NGE35" s="2795"/>
      <c r="NGF35" s="2795"/>
      <c r="NGG35" s="2795"/>
      <c r="NGH35" s="2795"/>
      <c r="NGI35" s="2795"/>
      <c r="NGJ35" s="2795"/>
      <c r="NGK35" s="2795"/>
      <c r="NGL35" s="2795"/>
      <c r="NGM35" s="2795"/>
      <c r="NGN35" s="2795"/>
      <c r="NGO35" s="2795"/>
      <c r="NGP35" s="2795"/>
      <c r="NGQ35" s="2795"/>
      <c r="NGR35" s="2795"/>
      <c r="NGS35" s="2795"/>
      <c r="NGT35" s="2795"/>
      <c r="NGU35" s="2795"/>
      <c r="NGV35" s="2795"/>
      <c r="NGW35" s="2795"/>
      <c r="NGX35" s="2795"/>
      <c r="NGY35" s="2795"/>
      <c r="NGZ35" s="2795"/>
      <c r="NHA35" s="2795"/>
      <c r="NHB35" s="2795"/>
      <c r="NHC35" s="2795"/>
      <c r="NHD35" s="2795"/>
      <c r="NHE35" s="2795"/>
      <c r="NHF35" s="2795"/>
      <c r="NHG35" s="2795"/>
      <c r="NHH35" s="2795"/>
      <c r="NHI35" s="2795"/>
      <c r="NHJ35" s="2795"/>
      <c r="NHK35" s="2795"/>
      <c r="NHL35" s="2795"/>
      <c r="NHM35" s="2795"/>
      <c r="NHN35" s="2795"/>
      <c r="NHO35" s="2795"/>
      <c r="NHP35" s="2795"/>
      <c r="NHQ35" s="2795"/>
      <c r="NHR35" s="2795"/>
      <c r="NHS35" s="2795"/>
      <c r="NHT35" s="2795"/>
      <c r="NHU35" s="2795"/>
      <c r="NHV35" s="2795"/>
      <c r="NHW35" s="2795"/>
      <c r="NHX35" s="2795"/>
      <c r="NHY35" s="2795"/>
      <c r="NHZ35" s="2795"/>
      <c r="NIA35" s="2795"/>
      <c r="NIB35" s="2795"/>
      <c r="NIC35" s="2795"/>
      <c r="NID35" s="2795"/>
      <c r="NIE35" s="2795"/>
      <c r="NIF35" s="2795"/>
      <c r="NIG35" s="2795"/>
      <c r="NIH35" s="2795"/>
      <c r="NII35" s="2795"/>
      <c r="NIJ35" s="2795"/>
      <c r="NIK35" s="2795"/>
      <c r="NIL35" s="2795"/>
      <c r="NIM35" s="2795"/>
      <c r="NIN35" s="2795"/>
      <c r="NIO35" s="2795"/>
      <c r="NIP35" s="2795"/>
      <c r="NIQ35" s="2795"/>
      <c r="NIR35" s="2795"/>
      <c r="NIS35" s="2795"/>
      <c r="NIT35" s="2795"/>
      <c r="NIU35" s="2795"/>
      <c r="NIV35" s="2795"/>
      <c r="NIW35" s="2795"/>
      <c r="NIX35" s="2795"/>
      <c r="NIY35" s="2795"/>
      <c r="NIZ35" s="2795"/>
      <c r="NJA35" s="2795"/>
      <c r="NJB35" s="2795"/>
      <c r="NJC35" s="2795"/>
      <c r="NJD35" s="2795"/>
      <c r="NJE35" s="2795"/>
      <c r="NJF35" s="2795"/>
      <c r="NJG35" s="2795"/>
      <c r="NJH35" s="2795"/>
      <c r="NJI35" s="2795"/>
      <c r="NJJ35" s="2795"/>
      <c r="NJK35" s="2795"/>
      <c r="NJL35" s="2795"/>
      <c r="NJM35" s="2795"/>
      <c r="NJN35" s="2795"/>
      <c r="NJO35" s="2795"/>
      <c r="NJP35" s="2795"/>
      <c r="NJQ35" s="2795"/>
      <c r="NJR35" s="2795"/>
      <c r="NJS35" s="2795"/>
      <c r="NJT35" s="2795"/>
      <c r="NJU35" s="2795"/>
      <c r="NJV35" s="2795"/>
      <c r="NJW35" s="2795"/>
      <c r="NJX35" s="2795"/>
      <c r="NJY35" s="2795"/>
      <c r="NJZ35" s="2795"/>
      <c r="NKA35" s="2795"/>
      <c r="NKB35" s="2795"/>
      <c r="NKC35" s="2795"/>
      <c r="NKD35" s="2795"/>
      <c r="NKE35" s="2795"/>
      <c r="NKF35" s="2795"/>
      <c r="NKG35" s="2795"/>
      <c r="NKH35" s="2795"/>
      <c r="NKI35" s="2795"/>
      <c r="NKJ35" s="2795"/>
      <c r="NKK35" s="2795"/>
      <c r="NKL35" s="2795"/>
      <c r="NKM35" s="2795"/>
      <c r="NKN35" s="2795"/>
      <c r="NKO35" s="2795"/>
      <c r="NKP35" s="2795"/>
      <c r="NKQ35" s="2795"/>
      <c r="NKR35" s="2795"/>
      <c r="NKS35" s="2795"/>
      <c r="NKT35" s="2795"/>
      <c r="NKU35" s="2795"/>
      <c r="NKV35" s="2795"/>
      <c r="NKW35" s="2795"/>
      <c r="NKX35" s="2795"/>
      <c r="NKY35" s="2795"/>
      <c r="NKZ35" s="2795"/>
      <c r="NLA35" s="2795"/>
      <c r="NLB35" s="2795"/>
      <c r="NLC35" s="2795"/>
      <c r="NLD35" s="2795"/>
      <c r="NLE35" s="2795"/>
      <c r="NLF35" s="2795"/>
      <c r="NLG35" s="2795"/>
      <c r="NLH35" s="2795"/>
      <c r="NLI35" s="2795"/>
      <c r="NLJ35" s="2795"/>
      <c r="NLK35" s="2795"/>
      <c r="NLL35" s="2795"/>
      <c r="NLM35" s="2795"/>
      <c r="NLN35" s="2795"/>
      <c r="NLO35" s="2795"/>
      <c r="NLP35" s="2795"/>
      <c r="NLQ35" s="2795"/>
      <c r="NLR35" s="2795"/>
      <c r="NLS35" s="2795"/>
      <c r="NLT35" s="2795"/>
      <c r="NLU35" s="2795"/>
      <c r="NLV35" s="2795"/>
      <c r="NLW35" s="2795"/>
      <c r="NLX35" s="2795"/>
      <c r="NLY35" s="2795"/>
      <c r="NLZ35" s="2795"/>
      <c r="NMA35" s="2795"/>
      <c r="NMB35" s="2795"/>
      <c r="NMC35" s="2795"/>
      <c r="NMD35" s="2795"/>
      <c r="NME35" s="2795"/>
      <c r="NMF35" s="2795"/>
      <c r="NMG35" s="2795"/>
      <c r="NMH35" s="2795"/>
      <c r="NMI35" s="2795"/>
      <c r="NMJ35" s="2795"/>
      <c r="NMK35" s="2795"/>
      <c r="NML35" s="2795"/>
      <c r="NMM35" s="2795"/>
      <c r="NMN35" s="2795"/>
      <c r="NMO35" s="2795"/>
      <c r="NMP35" s="2795"/>
      <c r="NMQ35" s="2795"/>
      <c r="NMR35" s="2795"/>
      <c r="NMS35" s="2795"/>
      <c r="NMT35" s="2795"/>
      <c r="NMU35" s="2795"/>
      <c r="NMV35" s="2795"/>
      <c r="NMW35" s="2795"/>
      <c r="NMX35" s="2795"/>
      <c r="NMY35" s="2795"/>
      <c r="NMZ35" s="2795"/>
      <c r="NNA35" s="2795"/>
      <c r="NNB35" s="2795"/>
      <c r="NNC35" s="2795"/>
      <c r="NND35" s="2795"/>
      <c r="NNE35" s="2795"/>
      <c r="NNF35" s="2795"/>
      <c r="NNG35" s="2795"/>
      <c r="NNH35" s="2795"/>
      <c r="NNI35" s="2795"/>
      <c r="NNJ35" s="2795"/>
      <c r="NNK35" s="2795"/>
      <c r="NNL35" s="2795"/>
      <c r="NNM35" s="2795"/>
      <c r="NNN35" s="2795"/>
      <c r="NNO35" s="2795"/>
      <c r="NNP35" s="2795"/>
      <c r="NNQ35" s="2795"/>
      <c r="NNR35" s="2795"/>
      <c r="NNS35" s="2795"/>
      <c r="NNT35" s="2795"/>
      <c r="NNU35" s="2795"/>
      <c r="NNV35" s="2795"/>
      <c r="NNW35" s="2795"/>
      <c r="NNX35" s="2795"/>
      <c r="NNY35" s="2795"/>
      <c r="NNZ35" s="2795"/>
      <c r="NOA35" s="2795"/>
      <c r="NOB35" s="2795"/>
      <c r="NOC35" s="2795"/>
      <c r="NOD35" s="2795"/>
      <c r="NOE35" s="2795"/>
      <c r="NOF35" s="2795"/>
      <c r="NOG35" s="2795"/>
      <c r="NOH35" s="2795"/>
      <c r="NOI35" s="2795"/>
      <c r="NOJ35" s="2795"/>
      <c r="NOK35" s="2795"/>
      <c r="NOL35" s="2795"/>
      <c r="NOM35" s="2795"/>
      <c r="NON35" s="2795"/>
      <c r="NOO35" s="2795"/>
      <c r="NOP35" s="2795"/>
      <c r="NOQ35" s="2795"/>
      <c r="NOR35" s="2795"/>
      <c r="NOS35" s="2795"/>
      <c r="NOT35" s="2795"/>
      <c r="NOU35" s="2795"/>
      <c r="NOV35" s="2795"/>
      <c r="NOW35" s="2795"/>
      <c r="NOX35" s="2795"/>
      <c r="NOY35" s="2795"/>
      <c r="NOZ35" s="2795"/>
      <c r="NPA35" s="2795"/>
      <c r="NPB35" s="2795"/>
      <c r="NPC35" s="2795"/>
      <c r="NPD35" s="2795"/>
      <c r="NPE35" s="2795"/>
      <c r="NPF35" s="2795"/>
      <c r="NPG35" s="2795"/>
      <c r="NPH35" s="2795"/>
      <c r="NPI35" s="2795"/>
      <c r="NPJ35" s="2795"/>
      <c r="NPK35" s="2795"/>
      <c r="NPL35" s="2795"/>
      <c r="NPM35" s="2795"/>
      <c r="NPN35" s="2795"/>
      <c r="NPO35" s="2795"/>
      <c r="NPP35" s="2795"/>
      <c r="NPQ35" s="2795"/>
      <c r="NPR35" s="2795"/>
      <c r="NPS35" s="2795"/>
      <c r="NPT35" s="2795"/>
      <c r="NPU35" s="2795"/>
      <c r="NPV35" s="2795"/>
      <c r="NPW35" s="2795"/>
      <c r="NPX35" s="2795"/>
      <c r="NPY35" s="2795"/>
      <c r="NPZ35" s="2795"/>
      <c r="NQA35" s="2795"/>
      <c r="NQB35" s="2795"/>
      <c r="NQC35" s="2795"/>
      <c r="NQD35" s="2795"/>
      <c r="NQE35" s="2795"/>
      <c r="NQF35" s="2795"/>
      <c r="NQG35" s="2795"/>
      <c r="NQH35" s="2795"/>
      <c r="NQI35" s="2795"/>
      <c r="NQJ35" s="2795"/>
      <c r="NQK35" s="2795"/>
      <c r="NQL35" s="2795"/>
      <c r="NQM35" s="2795"/>
      <c r="NQN35" s="2795"/>
      <c r="NQO35" s="2795"/>
      <c r="NQP35" s="2795"/>
      <c r="NQQ35" s="2795"/>
      <c r="NQR35" s="2795"/>
      <c r="NQS35" s="2795"/>
      <c r="NQT35" s="2795"/>
      <c r="NQU35" s="2795"/>
      <c r="NQV35" s="2795"/>
      <c r="NQW35" s="2795"/>
      <c r="NQX35" s="2795"/>
      <c r="NQY35" s="2795"/>
      <c r="NQZ35" s="2795"/>
      <c r="NRA35" s="2795"/>
      <c r="NRB35" s="2795"/>
      <c r="NRC35" s="2795"/>
      <c r="NRD35" s="2795"/>
      <c r="NRE35" s="2795"/>
      <c r="NRF35" s="2795"/>
      <c r="NRG35" s="2795"/>
      <c r="NRH35" s="2795"/>
      <c r="NRI35" s="2795"/>
      <c r="NRJ35" s="2795"/>
      <c r="NRK35" s="2795"/>
      <c r="NRL35" s="2795"/>
      <c r="NRM35" s="2795"/>
      <c r="NRN35" s="2795"/>
      <c r="NRO35" s="2795"/>
      <c r="NRP35" s="2795"/>
      <c r="NRQ35" s="2795"/>
      <c r="NRR35" s="2795"/>
      <c r="NRS35" s="2795"/>
      <c r="NRT35" s="2795"/>
      <c r="NRU35" s="2795"/>
      <c r="NRV35" s="2795"/>
      <c r="NRW35" s="2795"/>
      <c r="NRX35" s="2795"/>
      <c r="NRY35" s="2795"/>
      <c r="NRZ35" s="2795"/>
      <c r="NSA35" s="2795"/>
      <c r="NSB35" s="2795"/>
      <c r="NSC35" s="2795"/>
      <c r="NSD35" s="2795"/>
      <c r="NSE35" s="2795"/>
      <c r="NSF35" s="2795"/>
      <c r="NSG35" s="2795"/>
      <c r="NSH35" s="2795"/>
      <c r="NSI35" s="2795"/>
      <c r="NSJ35" s="2795"/>
      <c r="NSK35" s="2795"/>
      <c r="NSL35" s="2795"/>
      <c r="NSM35" s="2795"/>
      <c r="NSN35" s="2795"/>
      <c r="NSO35" s="2795"/>
      <c r="NSP35" s="2795"/>
      <c r="NSQ35" s="2795"/>
      <c r="NSR35" s="2795"/>
      <c r="NSS35" s="2795"/>
      <c r="NST35" s="2795"/>
      <c r="NSU35" s="2795"/>
      <c r="NSV35" s="2795"/>
      <c r="NSW35" s="2795"/>
      <c r="NSX35" s="2795"/>
      <c r="NSY35" s="2795"/>
      <c r="NSZ35" s="2795"/>
      <c r="NTA35" s="2795"/>
      <c r="NTB35" s="2795"/>
      <c r="NTC35" s="2795"/>
      <c r="NTD35" s="2795"/>
      <c r="NTE35" s="2795"/>
      <c r="NTF35" s="2795"/>
      <c r="NTG35" s="2795"/>
      <c r="NTH35" s="2795"/>
      <c r="NTI35" s="2795"/>
      <c r="NTJ35" s="2795"/>
      <c r="NTK35" s="2795"/>
      <c r="NTL35" s="2795"/>
      <c r="NTM35" s="2795"/>
      <c r="NTN35" s="2795"/>
      <c r="NTO35" s="2795"/>
      <c r="NTP35" s="2795"/>
      <c r="NTQ35" s="2795"/>
      <c r="NTR35" s="2795"/>
      <c r="NTS35" s="2795"/>
      <c r="NTT35" s="2795"/>
      <c r="NTU35" s="2795"/>
      <c r="NTV35" s="2795"/>
      <c r="NTW35" s="2795"/>
      <c r="NTX35" s="2795"/>
      <c r="NTY35" s="2795"/>
      <c r="NTZ35" s="2795"/>
      <c r="NUA35" s="2795"/>
      <c r="NUB35" s="2795"/>
      <c r="NUC35" s="2795"/>
      <c r="NUD35" s="2795"/>
      <c r="NUE35" s="2795"/>
      <c r="NUF35" s="2795"/>
      <c r="NUG35" s="2795"/>
      <c r="NUH35" s="2795"/>
      <c r="NUI35" s="2795"/>
      <c r="NUJ35" s="2795"/>
      <c r="NUK35" s="2795"/>
      <c r="NUL35" s="2795"/>
      <c r="NUM35" s="2795"/>
      <c r="NUN35" s="2795"/>
      <c r="NUO35" s="2795"/>
      <c r="NUP35" s="2795"/>
      <c r="NUQ35" s="2795"/>
      <c r="NUR35" s="2795"/>
      <c r="NUS35" s="2795"/>
      <c r="NUT35" s="2795"/>
      <c r="NUU35" s="2795"/>
      <c r="NUV35" s="2795"/>
      <c r="NUW35" s="2795"/>
      <c r="NUX35" s="2795"/>
      <c r="NUY35" s="2795"/>
      <c r="NUZ35" s="2795"/>
      <c r="NVA35" s="2795"/>
      <c r="NVB35" s="2795"/>
      <c r="NVC35" s="2795"/>
      <c r="NVD35" s="2795"/>
      <c r="NVE35" s="2795"/>
      <c r="NVF35" s="2795"/>
      <c r="NVG35" s="2795"/>
      <c r="NVH35" s="2795"/>
      <c r="NVI35" s="2795"/>
      <c r="NVJ35" s="2795"/>
      <c r="NVK35" s="2795"/>
      <c r="NVL35" s="2795"/>
      <c r="NVM35" s="2795"/>
      <c r="NVN35" s="2795"/>
      <c r="NVO35" s="2795"/>
      <c r="NVP35" s="2795"/>
      <c r="NVQ35" s="2795"/>
      <c r="NVR35" s="2795"/>
      <c r="NVS35" s="2795"/>
      <c r="NVT35" s="2795"/>
      <c r="NVU35" s="2795"/>
      <c r="NVV35" s="2795"/>
      <c r="NVW35" s="2795"/>
      <c r="NVX35" s="2795"/>
      <c r="NVY35" s="2795"/>
      <c r="NVZ35" s="2795"/>
      <c r="NWA35" s="2795"/>
      <c r="NWB35" s="2795"/>
      <c r="NWC35" s="2795"/>
      <c r="NWD35" s="2795"/>
      <c r="NWE35" s="2795"/>
      <c r="NWF35" s="2795"/>
      <c r="NWG35" s="2795"/>
      <c r="NWH35" s="2795"/>
      <c r="NWI35" s="2795"/>
      <c r="NWJ35" s="2795"/>
      <c r="NWK35" s="2795"/>
      <c r="NWL35" s="2795"/>
      <c r="NWM35" s="2795"/>
      <c r="NWN35" s="2795"/>
      <c r="NWO35" s="2795"/>
      <c r="NWP35" s="2795"/>
      <c r="NWQ35" s="2795"/>
      <c r="NWR35" s="2795"/>
      <c r="NWS35" s="2795"/>
      <c r="NWT35" s="2795"/>
      <c r="NWU35" s="2795"/>
      <c r="NWV35" s="2795"/>
      <c r="NWW35" s="2795"/>
      <c r="NWX35" s="2795"/>
      <c r="NWY35" s="2795"/>
      <c r="NWZ35" s="2795"/>
      <c r="NXA35" s="2795"/>
      <c r="NXB35" s="2795"/>
      <c r="NXC35" s="2795"/>
      <c r="NXD35" s="2795"/>
      <c r="NXE35" s="2795"/>
      <c r="NXF35" s="2795"/>
      <c r="NXG35" s="2795"/>
      <c r="NXH35" s="2795"/>
      <c r="NXI35" s="2795"/>
      <c r="NXJ35" s="2795"/>
      <c r="NXK35" s="2795"/>
      <c r="NXL35" s="2795"/>
      <c r="NXM35" s="2795"/>
      <c r="NXN35" s="2795"/>
      <c r="NXO35" s="2795"/>
      <c r="NXP35" s="2795"/>
      <c r="NXQ35" s="2795"/>
      <c r="NXR35" s="2795"/>
      <c r="NXS35" s="2795"/>
      <c r="NXT35" s="2795"/>
      <c r="NXU35" s="2795"/>
      <c r="NXV35" s="2795"/>
      <c r="NXW35" s="2795"/>
      <c r="NXX35" s="2795"/>
      <c r="NXY35" s="2795"/>
      <c r="NXZ35" s="2795"/>
      <c r="NYA35" s="2795"/>
      <c r="NYB35" s="2795"/>
      <c r="NYC35" s="2795"/>
      <c r="NYD35" s="2795"/>
      <c r="NYE35" s="2795"/>
      <c r="NYF35" s="2795"/>
      <c r="NYG35" s="2795"/>
      <c r="NYH35" s="2795"/>
      <c r="NYI35" s="2795"/>
      <c r="NYJ35" s="2795"/>
      <c r="NYK35" s="2795"/>
      <c r="NYL35" s="2795"/>
      <c r="NYM35" s="2795"/>
      <c r="NYN35" s="2795"/>
      <c r="NYO35" s="2795"/>
      <c r="NYP35" s="2795"/>
      <c r="NYQ35" s="2795"/>
      <c r="NYR35" s="2795"/>
      <c r="NYS35" s="2795"/>
      <c r="NYT35" s="2795"/>
      <c r="NYU35" s="2795"/>
      <c r="NYV35" s="2795"/>
      <c r="NYW35" s="2795"/>
      <c r="NYX35" s="2795"/>
      <c r="NYY35" s="2795"/>
      <c r="NYZ35" s="2795"/>
      <c r="NZA35" s="2795"/>
      <c r="NZB35" s="2795"/>
      <c r="NZC35" s="2795"/>
      <c r="NZD35" s="2795"/>
      <c r="NZE35" s="2795"/>
      <c r="NZF35" s="2795"/>
      <c r="NZG35" s="2795"/>
      <c r="NZH35" s="2795"/>
      <c r="NZI35" s="2795"/>
      <c r="NZJ35" s="2795"/>
      <c r="NZK35" s="2795"/>
      <c r="NZL35" s="2795"/>
      <c r="NZM35" s="2795"/>
      <c r="NZN35" s="2795"/>
      <c r="NZO35" s="2795"/>
      <c r="NZP35" s="2795"/>
      <c r="NZQ35" s="2795"/>
      <c r="NZR35" s="2795"/>
      <c r="NZS35" s="2795"/>
      <c r="NZT35" s="2795"/>
      <c r="NZU35" s="2795"/>
      <c r="NZV35" s="2795"/>
      <c r="NZW35" s="2795"/>
      <c r="NZX35" s="2795"/>
      <c r="NZY35" s="2795"/>
      <c r="NZZ35" s="2795"/>
      <c r="OAA35" s="2795"/>
      <c r="OAB35" s="2795"/>
      <c r="OAC35" s="2795"/>
      <c r="OAD35" s="2795"/>
      <c r="OAE35" s="2795"/>
      <c r="OAF35" s="2795"/>
      <c r="OAG35" s="2795"/>
      <c r="OAH35" s="2795"/>
      <c r="OAI35" s="2795"/>
      <c r="OAJ35" s="2795"/>
      <c r="OAK35" s="2795"/>
      <c r="OAL35" s="2795"/>
      <c r="OAM35" s="2795"/>
      <c r="OAN35" s="2795"/>
      <c r="OAO35" s="2795"/>
      <c r="OAP35" s="2795"/>
      <c r="OAQ35" s="2795"/>
      <c r="OAR35" s="2795"/>
      <c r="OAS35" s="2795"/>
      <c r="OAT35" s="2795"/>
      <c r="OAU35" s="2795"/>
      <c r="OAV35" s="2795"/>
      <c r="OAW35" s="2795"/>
      <c r="OAX35" s="2795"/>
      <c r="OAY35" s="2795"/>
      <c r="OAZ35" s="2795"/>
      <c r="OBA35" s="2795"/>
      <c r="OBB35" s="2795"/>
      <c r="OBC35" s="2795"/>
      <c r="OBD35" s="2795"/>
      <c r="OBE35" s="2795"/>
      <c r="OBF35" s="2795"/>
      <c r="OBG35" s="2795"/>
      <c r="OBH35" s="2795"/>
      <c r="OBI35" s="2795"/>
      <c r="OBJ35" s="2795"/>
      <c r="OBK35" s="2795"/>
      <c r="OBL35" s="2795"/>
      <c r="OBM35" s="2795"/>
      <c r="OBN35" s="2795"/>
      <c r="OBO35" s="2795"/>
      <c r="OBP35" s="2795"/>
      <c r="OBQ35" s="2795"/>
      <c r="OBR35" s="2795"/>
      <c r="OBS35" s="2795"/>
      <c r="OBT35" s="2795"/>
      <c r="OBU35" s="2795"/>
      <c r="OBV35" s="2795"/>
      <c r="OBW35" s="2795"/>
      <c r="OBX35" s="2795"/>
      <c r="OBY35" s="2795"/>
      <c r="OBZ35" s="2795"/>
      <c r="OCA35" s="2795"/>
      <c r="OCB35" s="2795"/>
      <c r="OCC35" s="2795"/>
      <c r="OCD35" s="2795"/>
      <c r="OCE35" s="2795"/>
      <c r="OCF35" s="2795"/>
      <c r="OCG35" s="2795"/>
      <c r="OCH35" s="2795"/>
      <c r="OCI35" s="2795"/>
      <c r="OCJ35" s="2795"/>
      <c r="OCK35" s="2795"/>
      <c r="OCL35" s="2795"/>
      <c r="OCM35" s="2795"/>
      <c r="OCN35" s="2795"/>
      <c r="OCO35" s="2795"/>
      <c r="OCP35" s="2795"/>
      <c r="OCQ35" s="2795"/>
      <c r="OCR35" s="2795"/>
      <c r="OCS35" s="2795"/>
      <c r="OCT35" s="2795"/>
      <c r="OCU35" s="2795"/>
      <c r="OCV35" s="2795"/>
      <c r="OCW35" s="2795"/>
      <c r="OCX35" s="2795"/>
      <c r="OCY35" s="2795"/>
      <c r="OCZ35" s="2795"/>
      <c r="ODA35" s="2795"/>
      <c r="ODB35" s="2795"/>
      <c r="ODC35" s="2795"/>
      <c r="ODD35" s="2795"/>
      <c r="ODE35" s="2795"/>
      <c r="ODF35" s="2795"/>
      <c r="ODG35" s="2795"/>
      <c r="ODH35" s="2795"/>
      <c r="ODI35" s="2795"/>
      <c r="ODJ35" s="2795"/>
      <c r="ODK35" s="2795"/>
      <c r="ODL35" s="2795"/>
      <c r="ODM35" s="2795"/>
      <c r="ODN35" s="2795"/>
      <c r="ODO35" s="2795"/>
      <c r="ODP35" s="2795"/>
      <c r="ODQ35" s="2795"/>
      <c r="ODR35" s="2795"/>
      <c r="ODS35" s="2795"/>
      <c r="ODT35" s="2795"/>
      <c r="ODU35" s="2795"/>
      <c r="ODV35" s="2795"/>
      <c r="ODW35" s="2795"/>
      <c r="ODX35" s="2795"/>
      <c r="ODY35" s="2795"/>
      <c r="ODZ35" s="2795"/>
      <c r="OEA35" s="2795"/>
      <c r="OEB35" s="2795"/>
      <c r="OEC35" s="2795"/>
      <c r="OED35" s="2795"/>
      <c r="OEE35" s="2795"/>
      <c r="OEF35" s="2795"/>
      <c r="OEG35" s="2795"/>
      <c r="OEH35" s="2795"/>
      <c r="OEI35" s="2795"/>
      <c r="OEJ35" s="2795"/>
      <c r="OEK35" s="2795"/>
      <c r="OEL35" s="2795"/>
      <c r="OEM35" s="2795"/>
      <c r="OEN35" s="2795"/>
      <c r="OEO35" s="2795"/>
      <c r="OEP35" s="2795"/>
      <c r="OEQ35" s="2795"/>
      <c r="OER35" s="2795"/>
      <c r="OES35" s="2795"/>
      <c r="OET35" s="2795"/>
      <c r="OEU35" s="2795"/>
      <c r="OEV35" s="2795"/>
      <c r="OEW35" s="2795"/>
      <c r="OEX35" s="2795"/>
      <c r="OEY35" s="2795"/>
      <c r="OEZ35" s="2795"/>
      <c r="OFA35" s="2795"/>
      <c r="OFB35" s="2795"/>
      <c r="OFC35" s="2795"/>
      <c r="OFD35" s="2795"/>
      <c r="OFE35" s="2795"/>
      <c r="OFF35" s="2795"/>
      <c r="OFG35" s="2795"/>
      <c r="OFH35" s="2795"/>
      <c r="OFI35" s="2795"/>
      <c r="OFJ35" s="2795"/>
      <c r="OFK35" s="2795"/>
      <c r="OFL35" s="2795"/>
      <c r="OFM35" s="2795"/>
      <c r="OFN35" s="2795"/>
      <c r="OFO35" s="2795"/>
      <c r="OFP35" s="2795"/>
      <c r="OFQ35" s="2795"/>
      <c r="OFR35" s="2795"/>
      <c r="OFS35" s="2795"/>
      <c r="OFT35" s="2795"/>
      <c r="OFU35" s="2795"/>
      <c r="OFV35" s="2795"/>
      <c r="OFW35" s="2795"/>
      <c r="OFX35" s="2795"/>
      <c r="OFY35" s="2795"/>
      <c r="OFZ35" s="2795"/>
      <c r="OGA35" s="2795"/>
      <c r="OGB35" s="2795"/>
      <c r="OGC35" s="2795"/>
      <c r="OGD35" s="2795"/>
      <c r="OGE35" s="2795"/>
      <c r="OGF35" s="2795"/>
      <c r="OGG35" s="2795"/>
      <c r="OGH35" s="2795"/>
      <c r="OGI35" s="2795"/>
      <c r="OGJ35" s="2795"/>
      <c r="OGK35" s="2795"/>
      <c r="OGL35" s="2795"/>
      <c r="OGM35" s="2795"/>
      <c r="OGN35" s="2795"/>
      <c r="OGO35" s="2795"/>
      <c r="OGP35" s="2795"/>
      <c r="OGQ35" s="2795"/>
      <c r="OGR35" s="2795"/>
      <c r="OGS35" s="2795"/>
      <c r="OGT35" s="2795"/>
      <c r="OGU35" s="2795"/>
      <c r="OGV35" s="2795"/>
      <c r="OGW35" s="2795"/>
      <c r="OGX35" s="2795"/>
      <c r="OGY35" s="2795"/>
      <c r="OGZ35" s="2795"/>
      <c r="OHA35" s="2795"/>
      <c r="OHB35" s="2795"/>
      <c r="OHC35" s="2795"/>
      <c r="OHD35" s="2795"/>
      <c r="OHE35" s="2795"/>
      <c r="OHF35" s="2795"/>
      <c r="OHG35" s="2795"/>
      <c r="OHH35" s="2795"/>
      <c r="OHI35" s="2795"/>
      <c r="OHJ35" s="2795"/>
      <c r="OHK35" s="2795"/>
      <c r="OHL35" s="2795"/>
      <c r="OHM35" s="2795"/>
      <c r="OHN35" s="2795"/>
      <c r="OHO35" s="2795"/>
      <c r="OHP35" s="2795"/>
      <c r="OHQ35" s="2795"/>
      <c r="OHR35" s="2795"/>
      <c r="OHS35" s="2795"/>
      <c r="OHT35" s="2795"/>
      <c r="OHU35" s="2795"/>
      <c r="OHV35" s="2795"/>
      <c r="OHW35" s="2795"/>
      <c r="OHX35" s="2795"/>
      <c r="OHY35" s="2795"/>
      <c r="OHZ35" s="2795"/>
      <c r="OIA35" s="2795"/>
      <c r="OIB35" s="2795"/>
      <c r="OIC35" s="2795"/>
      <c r="OID35" s="2795"/>
      <c r="OIE35" s="2795"/>
      <c r="OIF35" s="2795"/>
      <c r="OIG35" s="2795"/>
      <c r="OIH35" s="2795"/>
      <c r="OII35" s="2795"/>
      <c r="OIJ35" s="2795"/>
      <c r="OIK35" s="2795"/>
      <c r="OIL35" s="2795"/>
      <c r="OIM35" s="2795"/>
      <c r="OIN35" s="2795"/>
      <c r="OIO35" s="2795"/>
      <c r="OIP35" s="2795"/>
      <c r="OIQ35" s="2795"/>
      <c r="OIR35" s="2795"/>
      <c r="OIS35" s="2795"/>
      <c r="OIT35" s="2795"/>
      <c r="OIU35" s="2795"/>
      <c r="OIV35" s="2795"/>
      <c r="OIW35" s="2795"/>
      <c r="OIX35" s="2795"/>
      <c r="OIY35" s="2795"/>
      <c r="OIZ35" s="2795"/>
      <c r="OJA35" s="2795"/>
      <c r="OJB35" s="2795"/>
      <c r="OJC35" s="2795"/>
      <c r="OJD35" s="2795"/>
      <c r="OJE35" s="2795"/>
      <c r="OJF35" s="2795"/>
      <c r="OJG35" s="2795"/>
      <c r="OJH35" s="2795"/>
      <c r="OJI35" s="2795"/>
      <c r="OJJ35" s="2795"/>
      <c r="OJK35" s="2795"/>
      <c r="OJL35" s="2795"/>
      <c r="OJM35" s="2795"/>
      <c r="OJN35" s="2795"/>
      <c r="OJO35" s="2795"/>
      <c r="OJP35" s="2795"/>
      <c r="OJQ35" s="2795"/>
      <c r="OJR35" s="2795"/>
      <c r="OJS35" s="2795"/>
      <c r="OJT35" s="2795"/>
      <c r="OJU35" s="2795"/>
      <c r="OJV35" s="2795"/>
      <c r="OJW35" s="2795"/>
      <c r="OJX35" s="2795"/>
      <c r="OJY35" s="2795"/>
      <c r="OJZ35" s="2795"/>
      <c r="OKA35" s="2795"/>
      <c r="OKB35" s="2795"/>
      <c r="OKC35" s="2795"/>
      <c r="OKD35" s="2795"/>
      <c r="OKE35" s="2795"/>
      <c r="OKF35" s="2795"/>
      <c r="OKG35" s="2795"/>
      <c r="OKH35" s="2795"/>
      <c r="OKI35" s="2795"/>
      <c r="OKJ35" s="2795"/>
      <c r="OKK35" s="2795"/>
      <c r="OKL35" s="2795"/>
      <c r="OKM35" s="2795"/>
      <c r="OKN35" s="2795"/>
      <c r="OKO35" s="2795"/>
      <c r="OKP35" s="2795"/>
      <c r="OKQ35" s="2795"/>
      <c r="OKR35" s="2795"/>
      <c r="OKS35" s="2795"/>
      <c r="OKT35" s="2795"/>
      <c r="OKU35" s="2795"/>
      <c r="OKV35" s="2795"/>
      <c r="OKW35" s="2795"/>
      <c r="OKX35" s="2795"/>
      <c r="OKY35" s="2795"/>
      <c r="OKZ35" s="2795"/>
      <c r="OLA35" s="2795"/>
      <c r="OLB35" s="2795"/>
      <c r="OLC35" s="2795"/>
      <c r="OLD35" s="2795"/>
      <c r="OLE35" s="2795"/>
      <c r="OLF35" s="2795"/>
      <c r="OLG35" s="2795"/>
      <c r="OLH35" s="2795"/>
      <c r="OLI35" s="2795"/>
      <c r="OLJ35" s="2795"/>
      <c r="OLK35" s="2795"/>
      <c r="OLL35" s="2795"/>
      <c r="OLM35" s="2795"/>
      <c r="OLN35" s="2795"/>
      <c r="OLO35" s="2795"/>
      <c r="OLP35" s="2795"/>
      <c r="OLQ35" s="2795"/>
      <c r="OLR35" s="2795"/>
      <c r="OLS35" s="2795"/>
      <c r="OLT35" s="2795"/>
      <c r="OLU35" s="2795"/>
      <c r="OLV35" s="2795"/>
      <c r="OLW35" s="2795"/>
      <c r="OLX35" s="2795"/>
      <c r="OLY35" s="2795"/>
      <c r="OLZ35" s="2795"/>
      <c r="OMA35" s="2795"/>
      <c r="OMB35" s="2795"/>
      <c r="OMC35" s="2795"/>
      <c r="OMD35" s="2795"/>
      <c r="OME35" s="2795"/>
      <c r="OMF35" s="2795"/>
      <c r="OMG35" s="2795"/>
      <c r="OMH35" s="2795"/>
      <c r="OMI35" s="2795"/>
      <c r="OMJ35" s="2795"/>
      <c r="OMK35" s="2795"/>
      <c r="OML35" s="2795"/>
      <c r="OMM35" s="2795"/>
      <c r="OMN35" s="2795"/>
      <c r="OMO35" s="2795"/>
      <c r="OMP35" s="2795"/>
      <c r="OMQ35" s="2795"/>
      <c r="OMR35" s="2795"/>
      <c r="OMS35" s="2795"/>
      <c r="OMT35" s="2795"/>
      <c r="OMU35" s="2795"/>
      <c r="OMV35" s="2795"/>
      <c r="OMW35" s="2795"/>
      <c r="OMX35" s="2795"/>
      <c r="OMY35" s="2795"/>
      <c r="OMZ35" s="2795"/>
      <c r="ONA35" s="2795"/>
      <c r="ONB35" s="2795"/>
      <c r="ONC35" s="2795"/>
      <c r="OND35" s="2795"/>
      <c r="ONE35" s="2795"/>
      <c r="ONF35" s="2795"/>
      <c r="ONG35" s="2795"/>
      <c r="ONH35" s="2795"/>
      <c r="ONI35" s="2795"/>
      <c r="ONJ35" s="2795"/>
      <c r="ONK35" s="2795"/>
      <c r="ONL35" s="2795"/>
      <c r="ONM35" s="2795"/>
      <c r="ONN35" s="2795"/>
      <c r="ONO35" s="2795"/>
      <c r="ONP35" s="2795"/>
      <c r="ONQ35" s="2795"/>
      <c r="ONR35" s="2795"/>
      <c r="ONS35" s="2795"/>
      <c r="ONT35" s="2795"/>
      <c r="ONU35" s="2795"/>
      <c r="ONV35" s="2795"/>
      <c r="ONW35" s="2795"/>
      <c r="ONX35" s="2795"/>
      <c r="ONY35" s="2795"/>
      <c r="ONZ35" s="2795"/>
      <c r="OOA35" s="2795"/>
      <c r="OOB35" s="2795"/>
      <c r="OOC35" s="2795"/>
      <c r="OOD35" s="2795"/>
      <c r="OOE35" s="2795"/>
      <c r="OOF35" s="2795"/>
      <c r="OOG35" s="2795"/>
      <c r="OOH35" s="2795"/>
      <c r="OOI35" s="2795"/>
      <c r="OOJ35" s="2795"/>
      <c r="OOK35" s="2795"/>
      <c r="OOL35" s="2795"/>
      <c r="OOM35" s="2795"/>
      <c r="OON35" s="2795"/>
      <c r="OOO35" s="2795"/>
      <c r="OOP35" s="2795"/>
      <c r="OOQ35" s="2795"/>
      <c r="OOR35" s="2795"/>
      <c r="OOS35" s="2795"/>
      <c r="OOT35" s="2795"/>
      <c r="OOU35" s="2795"/>
      <c r="OOV35" s="2795"/>
      <c r="OOW35" s="2795"/>
      <c r="OOX35" s="2795"/>
      <c r="OOY35" s="2795"/>
      <c r="OOZ35" s="2795"/>
      <c r="OPA35" s="2795"/>
      <c r="OPB35" s="2795"/>
      <c r="OPC35" s="2795"/>
      <c r="OPD35" s="2795"/>
      <c r="OPE35" s="2795"/>
      <c r="OPF35" s="2795"/>
      <c r="OPG35" s="2795"/>
      <c r="OPH35" s="2795"/>
      <c r="OPI35" s="2795"/>
      <c r="OPJ35" s="2795"/>
      <c r="OPK35" s="2795"/>
      <c r="OPL35" s="2795"/>
      <c r="OPM35" s="2795"/>
      <c r="OPN35" s="2795"/>
      <c r="OPO35" s="2795"/>
      <c r="OPP35" s="2795"/>
      <c r="OPQ35" s="2795"/>
      <c r="OPR35" s="2795"/>
      <c r="OPS35" s="2795"/>
      <c r="OPT35" s="2795"/>
      <c r="OPU35" s="2795"/>
      <c r="OPV35" s="2795"/>
      <c r="OPW35" s="2795"/>
      <c r="OPX35" s="2795"/>
      <c r="OPY35" s="2795"/>
      <c r="OPZ35" s="2795"/>
      <c r="OQA35" s="2795"/>
      <c r="OQB35" s="2795"/>
      <c r="OQC35" s="2795"/>
      <c r="OQD35" s="2795"/>
      <c r="OQE35" s="2795"/>
      <c r="OQF35" s="2795"/>
      <c r="OQG35" s="2795"/>
      <c r="OQH35" s="2795"/>
      <c r="OQI35" s="2795"/>
      <c r="OQJ35" s="2795"/>
      <c r="OQK35" s="2795"/>
      <c r="OQL35" s="2795"/>
      <c r="OQM35" s="2795"/>
      <c r="OQN35" s="2795"/>
      <c r="OQO35" s="2795"/>
      <c r="OQP35" s="2795"/>
      <c r="OQQ35" s="2795"/>
      <c r="OQR35" s="2795"/>
      <c r="OQS35" s="2795"/>
      <c r="OQT35" s="2795"/>
      <c r="OQU35" s="2795"/>
      <c r="OQV35" s="2795"/>
      <c r="OQW35" s="2795"/>
      <c r="OQX35" s="2795"/>
      <c r="OQY35" s="2795"/>
      <c r="OQZ35" s="2795"/>
      <c r="ORA35" s="2795"/>
      <c r="ORB35" s="2795"/>
      <c r="ORC35" s="2795"/>
      <c r="ORD35" s="2795"/>
      <c r="ORE35" s="2795"/>
      <c r="ORF35" s="2795"/>
      <c r="ORG35" s="2795"/>
      <c r="ORH35" s="2795"/>
      <c r="ORI35" s="2795"/>
      <c r="ORJ35" s="2795"/>
      <c r="ORK35" s="2795"/>
      <c r="ORL35" s="2795"/>
      <c r="ORM35" s="2795"/>
      <c r="ORN35" s="2795"/>
      <c r="ORO35" s="2795"/>
      <c r="ORP35" s="2795"/>
      <c r="ORQ35" s="2795"/>
      <c r="ORR35" s="2795"/>
      <c r="ORS35" s="2795"/>
      <c r="ORT35" s="2795"/>
      <c r="ORU35" s="2795"/>
      <c r="ORV35" s="2795"/>
      <c r="ORW35" s="2795"/>
      <c r="ORX35" s="2795"/>
      <c r="ORY35" s="2795"/>
      <c r="ORZ35" s="2795"/>
      <c r="OSA35" s="2795"/>
      <c r="OSB35" s="2795"/>
      <c r="OSC35" s="2795"/>
      <c r="OSD35" s="2795"/>
      <c r="OSE35" s="2795"/>
      <c r="OSF35" s="2795"/>
      <c r="OSG35" s="2795"/>
      <c r="OSH35" s="2795"/>
      <c r="OSI35" s="2795"/>
      <c r="OSJ35" s="2795"/>
      <c r="OSK35" s="2795"/>
      <c r="OSL35" s="2795"/>
      <c r="OSM35" s="2795"/>
      <c r="OSN35" s="2795"/>
      <c r="OSO35" s="2795"/>
      <c r="OSP35" s="2795"/>
      <c r="OSQ35" s="2795"/>
      <c r="OSR35" s="2795"/>
      <c r="OSS35" s="2795"/>
      <c r="OST35" s="2795"/>
      <c r="OSU35" s="2795"/>
      <c r="OSV35" s="2795"/>
      <c r="OSW35" s="2795"/>
      <c r="OSX35" s="2795"/>
      <c r="OSY35" s="2795"/>
      <c r="OSZ35" s="2795"/>
      <c r="OTA35" s="2795"/>
      <c r="OTB35" s="2795"/>
      <c r="OTC35" s="2795"/>
      <c r="OTD35" s="2795"/>
      <c r="OTE35" s="2795"/>
      <c r="OTF35" s="2795"/>
      <c r="OTG35" s="2795"/>
      <c r="OTH35" s="2795"/>
      <c r="OTI35" s="2795"/>
      <c r="OTJ35" s="2795"/>
      <c r="OTK35" s="2795"/>
      <c r="OTL35" s="2795"/>
      <c r="OTM35" s="2795"/>
      <c r="OTN35" s="2795"/>
      <c r="OTO35" s="2795"/>
      <c r="OTP35" s="2795"/>
      <c r="OTQ35" s="2795"/>
      <c r="OTR35" s="2795"/>
      <c r="OTS35" s="2795"/>
      <c r="OTT35" s="2795"/>
      <c r="OTU35" s="2795"/>
      <c r="OTV35" s="2795"/>
      <c r="OTW35" s="2795"/>
      <c r="OTX35" s="2795"/>
      <c r="OTY35" s="2795"/>
      <c r="OTZ35" s="2795"/>
      <c r="OUA35" s="2795"/>
      <c r="OUB35" s="2795"/>
      <c r="OUC35" s="2795"/>
      <c r="OUD35" s="2795"/>
      <c r="OUE35" s="2795"/>
      <c r="OUF35" s="2795"/>
      <c r="OUG35" s="2795"/>
      <c r="OUH35" s="2795"/>
      <c r="OUI35" s="2795"/>
      <c r="OUJ35" s="2795"/>
      <c r="OUK35" s="2795"/>
      <c r="OUL35" s="2795"/>
      <c r="OUM35" s="2795"/>
      <c r="OUN35" s="2795"/>
      <c r="OUO35" s="2795"/>
      <c r="OUP35" s="2795"/>
      <c r="OUQ35" s="2795"/>
      <c r="OUR35" s="2795"/>
      <c r="OUS35" s="2795"/>
      <c r="OUT35" s="2795"/>
      <c r="OUU35" s="2795"/>
      <c r="OUV35" s="2795"/>
      <c r="OUW35" s="2795"/>
      <c r="OUX35" s="2795"/>
      <c r="OUY35" s="2795"/>
      <c r="OUZ35" s="2795"/>
      <c r="OVA35" s="2795"/>
      <c r="OVB35" s="2795"/>
      <c r="OVC35" s="2795"/>
      <c r="OVD35" s="2795"/>
      <c r="OVE35" s="2795"/>
      <c r="OVF35" s="2795"/>
      <c r="OVG35" s="2795"/>
      <c r="OVH35" s="2795"/>
      <c r="OVI35" s="2795"/>
      <c r="OVJ35" s="2795"/>
      <c r="OVK35" s="2795"/>
      <c r="OVL35" s="2795"/>
      <c r="OVM35" s="2795"/>
      <c r="OVN35" s="2795"/>
      <c r="OVO35" s="2795"/>
      <c r="OVP35" s="2795"/>
      <c r="OVQ35" s="2795"/>
      <c r="OVR35" s="2795"/>
      <c r="OVS35" s="2795"/>
      <c r="OVT35" s="2795"/>
      <c r="OVU35" s="2795"/>
      <c r="OVV35" s="2795"/>
      <c r="OVW35" s="2795"/>
      <c r="OVX35" s="2795"/>
      <c r="OVY35" s="2795"/>
      <c r="OVZ35" s="2795"/>
      <c r="OWA35" s="2795"/>
      <c r="OWB35" s="2795"/>
      <c r="OWC35" s="2795"/>
      <c r="OWD35" s="2795"/>
      <c r="OWE35" s="2795"/>
      <c r="OWF35" s="2795"/>
      <c r="OWG35" s="2795"/>
      <c r="OWH35" s="2795"/>
      <c r="OWI35" s="2795"/>
      <c r="OWJ35" s="2795"/>
      <c r="OWK35" s="2795"/>
      <c r="OWL35" s="2795"/>
      <c r="OWM35" s="2795"/>
      <c r="OWN35" s="2795"/>
      <c r="OWO35" s="2795"/>
      <c r="OWP35" s="2795"/>
      <c r="OWQ35" s="2795"/>
      <c r="OWR35" s="2795"/>
      <c r="OWS35" s="2795"/>
      <c r="OWT35" s="2795"/>
      <c r="OWU35" s="2795"/>
      <c r="OWV35" s="2795"/>
      <c r="OWW35" s="2795"/>
      <c r="OWX35" s="2795"/>
      <c r="OWY35" s="2795"/>
      <c r="OWZ35" s="2795"/>
      <c r="OXA35" s="2795"/>
      <c r="OXB35" s="2795"/>
      <c r="OXC35" s="2795"/>
      <c r="OXD35" s="2795"/>
      <c r="OXE35" s="2795"/>
      <c r="OXF35" s="2795"/>
      <c r="OXG35" s="2795"/>
      <c r="OXH35" s="2795"/>
      <c r="OXI35" s="2795"/>
      <c r="OXJ35" s="2795"/>
      <c r="OXK35" s="2795"/>
      <c r="OXL35" s="2795"/>
      <c r="OXM35" s="2795"/>
      <c r="OXN35" s="2795"/>
      <c r="OXO35" s="2795"/>
      <c r="OXP35" s="2795"/>
      <c r="OXQ35" s="2795"/>
      <c r="OXR35" s="2795"/>
      <c r="OXS35" s="2795"/>
      <c r="OXT35" s="2795"/>
      <c r="OXU35" s="2795"/>
      <c r="OXV35" s="2795"/>
      <c r="OXW35" s="2795"/>
      <c r="OXX35" s="2795"/>
      <c r="OXY35" s="2795"/>
      <c r="OXZ35" s="2795"/>
      <c r="OYA35" s="2795"/>
      <c r="OYB35" s="2795"/>
      <c r="OYC35" s="2795"/>
      <c r="OYD35" s="2795"/>
      <c r="OYE35" s="2795"/>
      <c r="OYF35" s="2795"/>
      <c r="OYG35" s="2795"/>
      <c r="OYH35" s="2795"/>
      <c r="OYI35" s="2795"/>
      <c r="OYJ35" s="2795"/>
      <c r="OYK35" s="2795"/>
      <c r="OYL35" s="2795"/>
      <c r="OYM35" s="2795"/>
      <c r="OYN35" s="2795"/>
      <c r="OYO35" s="2795"/>
      <c r="OYP35" s="2795"/>
      <c r="OYQ35" s="2795"/>
      <c r="OYR35" s="2795"/>
      <c r="OYS35" s="2795"/>
      <c r="OYT35" s="2795"/>
      <c r="OYU35" s="2795"/>
      <c r="OYV35" s="2795"/>
      <c r="OYW35" s="2795"/>
      <c r="OYX35" s="2795"/>
      <c r="OYY35" s="2795"/>
      <c r="OYZ35" s="2795"/>
      <c r="OZA35" s="2795"/>
      <c r="OZB35" s="2795"/>
      <c r="OZC35" s="2795"/>
      <c r="OZD35" s="2795"/>
      <c r="OZE35" s="2795"/>
      <c r="OZF35" s="2795"/>
      <c r="OZG35" s="2795"/>
      <c r="OZH35" s="2795"/>
      <c r="OZI35" s="2795"/>
      <c r="OZJ35" s="2795"/>
      <c r="OZK35" s="2795"/>
      <c r="OZL35" s="2795"/>
      <c r="OZM35" s="2795"/>
      <c r="OZN35" s="2795"/>
      <c r="OZO35" s="2795"/>
      <c r="OZP35" s="2795"/>
      <c r="OZQ35" s="2795"/>
      <c r="OZR35" s="2795"/>
      <c r="OZS35" s="2795"/>
      <c r="OZT35" s="2795"/>
      <c r="OZU35" s="2795"/>
      <c r="OZV35" s="2795"/>
      <c r="OZW35" s="2795"/>
      <c r="OZX35" s="2795"/>
      <c r="OZY35" s="2795"/>
      <c r="OZZ35" s="2795"/>
      <c r="PAA35" s="2795"/>
      <c r="PAB35" s="2795"/>
      <c r="PAC35" s="2795"/>
      <c r="PAD35" s="2795"/>
      <c r="PAE35" s="2795"/>
      <c r="PAF35" s="2795"/>
      <c r="PAG35" s="2795"/>
      <c r="PAH35" s="2795"/>
      <c r="PAI35" s="2795"/>
      <c r="PAJ35" s="2795"/>
      <c r="PAK35" s="2795"/>
      <c r="PAL35" s="2795"/>
      <c r="PAM35" s="2795"/>
      <c r="PAN35" s="2795"/>
      <c r="PAO35" s="2795"/>
      <c r="PAP35" s="2795"/>
      <c r="PAQ35" s="2795"/>
      <c r="PAR35" s="2795"/>
      <c r="PAS35" s="2795"/>
      <c r="PAT35" s="2795"/>
      <c r="PAU35" s="2795"/>
      <c r="PAV35" s="2795"/>
      <c r="PAW35" s="2795"/>
      <c r="PAX35" s="2795"/>
      <c r="PAY35" s="2795"/>
      <c r="PAZ35" s="2795"/>
      <c r="PBA35" s="2795"/>
      <c r="PBB35" s="2795"/>
      <c r="PBC35" s="2795"/>
      <c r="PBD35" s="2795"/>
      <c r="PBE35" s="2795"/>
      <c r="PBF35" s="2795"/>
      <c r="PBG35" s="2795"/>
      <c r="PBH35" s="2795"/>
      <c r="PBI35" s="2795"/>
      <c r="PBJ35" s="2795"/>
      <c r="PBK35" s="2795"/>
      <c r="PBL35" s="2795"/>
      <c r="PBM35" s="2795"/>
      <c r="PBN35" s="2795"/>
      <c r="PBO35" s="2795"/>
      <c r="PBP35" s="2795"/>
      <c r="PBQ35" s="2795"/>
      <c r="PBR35" s="2795"/>
      <c r="PBS35" s="2795"/>
      <c r="PBT35" s="2795"/>
      <c r="PBU35" s="2795"/>
      <c r="PBV35" s="2795"/>
      <c r="PBW35" s="2795"/>
      <c r="PBX35" s="2795"/>
      <c r="PBY35" s="2795"/>
      <c r="PBZ35" s="2795"/>
      <c r="PCA35" s="2795"/>
      <c r="PCB35" s="2795"/>
      <c r="PCC35" s="2795"/>
      <c r="PCD35" s="2795"/>
      <c r="PCE35" s="2795"/>
      <c r="PCF35" s="2795"/>
      <c r="PCG35" s="2795"/>
      <c r="PCH35" s="2795"/>
      <c r="PCI35" s="2795"/>
      <c r="PCJ35" s="2795"/>
      <c r="PCK35" s="2795"/>
      <c r="PCL35" s="2795"/>
      <c r="PCM35" s="2795"/>
      <c r="PCN35" s="2795"/>
      <c r="PCO35" s="2795"/>
      <c r="PCP35" s="2795"/>
      <c r="PCQ35" s="2795"/>
      <c r="PCR35" s="2795"/>
      <c r="PCS35" s="2795"/>
      <c r="PCT35" s="2795"/>
      <c r="PCU35" s="2795"/>
      <c r="PCV35" s="2795"/>
      <c r="PCW35" s="2795"/>
      <c r="PCX35" s="2795"/>
      <c r="PCY35" s="2795"/>
      <c r="PCZ35" s="2795"/>
      <c r="PDA35" s="2795"/>
      <c r="PDB35" s="2795"/>
      <c r="PDC35" s="2795"/>
      <c r="PDD35" s="2795"/>
      <c r="PDE35" s="2795"/>
      <c r="PDF35" s="2795"/>
      <c r="PDG35" s="2795"/>
      <c r="PDH35" s="2795"/>
      <c r="PDI35" s="2795"/>
      <c r="PDJ35" s="2795"/>
      <c r="PDK35" s="2795"/>
      <c r="PDL35" s="2795"/>
      <c r="PDM35" s="2795"/>
      <c r="PDN35" s="2795"/>
      <c r="PDO35" s="2795"/>
      <c r="PDP35" s="2795"/>
      <c r="PDQ35" s="2795"/>
      <c r="PDR35" s="2795"/>
      <c r="PDS35" s="2795"/>
      <c r="PDT35" s="2795"/>
      <c r="PDU35" s="2795"/>
      <c r="PDV35" s="2795"/>
      <c r="PDW35" s="2795"/>
      <c r="PDX35" s="2795"/>
      <c r="PDY35" s="2795"/>
      <c r="PDZ35" s="2795"/>
      <c r="PEA35" s="2795"/>
      <c r="PEB35" s="2795"/>
      <c r="PEC35" s="2795"/>
      <c r="PED35" s="2795"/>
      <c r="PEE35" s="2795"/>
      <c r="PEF35" s="2795"/>
      <c r="PEG35" s="2795"/>
      <c r="PEH35" s="2795"/>
      <c r="PEI35" s="2795"/>
      <c r="PEJ35" s="2795"/>
      <c r="PEK35" s="2795"/>
      <c r="PEL35" s="2795"/>
      <c r="PEM35" s="2795"/>
      <c r="PEN35" s="2795"/>
      <c r="PEO35" s="2795"/>
      <c r="PEP35" s="2795"/>
      <c r="PEQ35" s="2795"/>
      <c r="PER35" s="2795"/>
      <c r="PES35" s="2795"/>
      <c r="PET35" s="2795"/>
      <c r="PEU35" s="2795"/>
      <c r="PEV35" s="2795"/>
      <c r="PEW35" s="2795"/>
      <c r="PEX35" s="2795"/>
      <c r="PEY35" s="2795"/>
      <c r="PEZ35" s="2795"/>
      <c r="PFA35" s="2795"/>
      <c r="PFB35" s="2795"/>
      <c r="PFC35" s="2795"/>
      <c r="PFD35" s="2795"/>
      <c r="PFE35" s="2795"/>
      <c r="PFF35" s="2795"/>
      <c r="PFG35" s="2795"/>
      <c r="PFH35" s="2795"/>
      <c r="PFI35" s="2795"/>
      <c r="PFJ35" s="2795"/>
      <c r="PFK35" s="2795"/>
      <c r="PFL35" s="2795"/>
      <c r="PFM35" s="2795"/>
      <c r="PFN35" s="2795"/>
      <c r="PFO35" s="2795"/>
      <c r="PFP35" s="2795"/>
      <c r="PFQ35" s="2795"/>
      <c r="PFR35" s="2795"/>
      <c r="PFS35" s="2795"/>
      <c r="PFT35" s="2795"/>
      <c r="PFU35" s="2795"/>
      <c r="PFV35" s="2795"/>
      <c r="PFW35" s="2795"/>
      <c r="PFX35" s="2795"/>
      <c r="PFY35" s="2795"/>
      <c r="PFZ35" s="2795"/>
      <c r="PGA35" s="2795"/>
      <c r="PGB35" s="2795"/>
      <c r="PGC35" s="2795"/>
      <c r="PGD35" s="2795"/>
      <c r="PGE35" s="2795"/>
      <c r="PGF35" s="2795"/>
      <c r="PGG35" s="2795"/>
      <c r="PGH35" s="2795"/>
      <c r="PGI35" s="2795"/>
      <c r="PGJ35" s="2795"/>
      <c r="PGK35" s="2795"/>
      <c r="PGL35" s="2795"/>
      <c r="PGM35" s="2795"/>
      <c r="PGN35" s="2795"/>
      <c r="PGO35" s="2795"/>
      <c r="PGP35" s="2795"/>
      <c r="PGQ35" s="2795"/>
      <c r="PGR35" s="2795"/>
      <c r="PGS35" s="2795"/>
      <c r="PGT35" s="2795"/>
      <c r="PGU35" s="2795"/>
      <c r="PGV35" s="2795"/>
      <c r="PGW35" s="2795"/>
      <c r="PGX35" s="2795"/>
      <c r="PGY35" s="2795"/>
      <c r="PGZ35" s="2795"/>
      <c r="PHA35" s="2795"/>
      <c r="PHB35" s="2795"/>
      <c r="PHC35" s="2795"/>
      <c r="PHD35" s="2795"/>
      <c r="PHE35" s="2795"/>
      <c r="PHF35" s="2795"/>
      <c r="PHG35" s="2795"/>
      <c r="PHH35" s="2795"/>
      <c r="PHI35" s="2795"/>
      <c r="PHJ35" s="2795"/>
      <c r="PHK35" s="2795"/>
      <c r="PHL35" s="2795"/>
      <c r="PHM35" s="2795"/>
      <c r="PHN35" s="2795"/>
      <c r="PHO35" s="2795"/>
      <c r="PHP35" s="2795"/>
      <c r="PHQ35" s="2795"/>
      <c r="PHR35" s="2795"/>
      <c r="PHS35" s="2795"/>
      <c r="PHT35" s="2795"/>
      <c r="PHU35" s="2795"/>
      <c r="PHV35" s="2795"/>
      <c r="PHW35" s="2795"/>
      <c r="PHX35" s="2795"/>
      <c r="PHY35" s="2795"/>
      <c r="PHZ35" s="2795"/>
      <c r="PIA35" s="2795"/>
      <c r="PIB35" s="2795"/>
      <c r="PIC35" s="2795"/>
      <c r="PID35" s="2795"/>
      <c r="PIE35" s="2795"/>
      <c r="PIF35" s="2795"/>
      <c r="PIG35" s="2795"/>
      <c r="PIH35" s="2795"/>
      <c r="PII35" s="2795"/>
      <c r="PIJ35" s="2795"/>
      <c r="PIK35" s="2795"/>
      <c r="PIL35" s="2795"/>
      <c r="PIM35" s="2795"/>
      <c r="PIN35" s="2795"/>
      <c r="PIO35" s="2795"/>
      <c r="PIP35" s="2795"/>
      <c r="PIQ35" s="2795"/>
      <c r="PIR35" s="2795"/>
      <c r="PIS35" s="2795"/>
      <c r="PIT35" s="2795"/>
      <c r="PIU35" s="2795"/>
      <c r="PIV35" s="2795"/>
      <c r="PIW35" s="2795"/>
      <c r="PIX35" s="2795"/>
      <c r="PIY35" s="2795"/>
      <c r="PIZ35" s="2795"/>
      <c r="PJA35" s="2795"/>
      <c r="PJB35" s="2795"/>
      <c r="PJC35" s="2795"/>
      <c r="PJD35" s="2795"/>
      <c r="PJE35" s="2795"/>
      <c r="PJF35" s="2795"/>
      <c r="PJG35" s="2795"/>
      <c r="PJH35" s="2795"/>
      <c r="PJI35" s="2795"/>
      <c r="PJJ35" s="2795"/>
      <c r="PJK35" s="2795"/>
      <c r="PJL35" s="2795"/>
      <c r="PJM35" s="2795"/>
      <c r="PJN35" s="2795"/>
      <c r="PJO35" s="2795"/>
      <c r="PJP35" s="2795"/>
      <c r="PJQ35" s="2795"/>
      <c r="PJR35" s="2795"/>
      <c r="PJS35" s="2795"/>
      <c r="PJT35" s="2795"/>
      <c r="PJU35" s="2795"/>
      <c r="PJV35" s="2795"/>
      <c r="PJW35" s="2795"/>
      <c r="PJX35" s="2795"/>
      <c r="PJY35" s="2795"/>
      <c r="PJZ35" s="2795"/>
      <c r="PKA35" s="2795"/>
      <c r="PKB35" s="2795"/>
      <c r="PKC35" s="2795"/>
      <c r="PKD35" s="2795"/>
      <c r="PKE35" s="2795"/>
      <c r="PKF35" s="2795"/>
      <c r="PKG35" s="2795"/>
      <c r="PKH35" s="2795"/>
      <c r="PKI35" s="2795"/>
      <c r="PKJ35" s="2795"/>
      <c r="PKK35" s="2795"/>
      <c r="PKL35" s="2795"/>
      <c r="PKM35" s="2795"/>
      <c r="PKN35" s="2795"/>
      <c r="PKO35" s="2795"/>
      <c r="PKP35" s="2795"/>
      <c r="PKQ35" s="2795"/>
      <c r="PKR35" s="2795"/>
      <c r="PKS35" s="2795"/>
      <c r="PKT35" s="2795"/>
      <c r="PKU35" s="2795"/>
      <c r="PKV35" s="2795"/>
      <c r="PKW35" s="2795"/>
      <c r="PKX35" s="2795"/>
      <c r="PKY35" s="2795"/>
      <c r="PKZ35" s="2795"/>
      <c r="PLA35" s="2795"/>
      <c r="PLB35" s="2795"/>
      <c r="PLC35" s="2795"/>
      <c r="PLD35" s="2795"/>
      <c r="PLE35" s="2795"/>
      <c r="PLF35" s="2795"/>
      <c r="PLG35" s="2795"/>
      <c r="PLH35" s="2795"/>
      <c r="PLI35" s="2795"/>
      <c r="PLJ35" s="2795"/>
      <c r="PLK35" s="2795"/>
      <c r="PLL35" s="2795"/>
      <c r="PLM35" s="2795"/>
      <c r="PLN35" s="2795"/>
      <c r="PLO35" s="2795"/>
      <c r="PLP35" s="2795"/>
      <c r="PLQ35" s="2795"/>
      <c r="PLR35" s="2795"/>
      <c r="PLS35" s="2795"/>
      <c r="PLT35" s="2795"/>
      <c r="PLU35" s="2795"/>
      <c r="PLV35" s="2795"/>
      <c r="PLW35" s="2795"/>
      <c r="PLX35" s="2795"/>
      <c r="PLY35" s="2795"/>
      <c r="PLZ35" s="2795"/>
      <c r="PMA35" s="2795"/>
      <c r="PMB35" s="2795"/>
      <c r="PMC35" s="2795"/>
      <c r="PMD35" s="2795"/>
      <c r="PME35" s="2795"/>
      <c r="PMF35" s="2795"/>
      <c r="PMG35" s="2795"/>
      <c r="PMH35" s="2795"/>
      <c r="PMI35" s="2795"/>
      <c r="PMJ35" s="2795"/>
      <c r="PMK35" s="2795"/>
      <c r="PML35" s="2795"/>
      <c r="PMM35" s="2795"/>
      <c r="PMN35" s="2795"/>
      <c r="PMO35" s="2795"/>
      <c r="PMP35" s="2795"/>
      <c r="PMQ35" s="2795"/>
      <c r="PMR35" s="2795"/>
      <c r="PMS35" s="2795"/>
      <c r="PMT35" s="2795"/>
      <c r="PMU35" s="2795"/>
      <c r="PMV35" s="2795"/>
      <c r="PMW35" s="2795"/>
      <c r="PMX35" s="2795"/>
      <c r="PMY35" s="2795"/>
      <c r="PMZ35" s="2795"/>
      <c r="PNA35" s="2795"/>
      <c r="PNB35" s="2795"/>
      <c r="PNC35" s="2795"/>
      <c r="PND35" s="2795"/>
      <c r="PNE35" s="2795"/>
      <c r="PNF35" s="2795"/>
      <c r="PNG35" s="2795"/>
      <c r="PNH35" s="2795"/>
      <c r="PNI35" s="2795"/>
      <c r="PNJ35" s="2795"/>
      <c r="PNK35" s="2795"/>
      <c r="PNL35" s="2795"/>
      <c r="PNM35" s="2795"/>
      <c r="PNN35" s="2795"/>
      <c r="PNO35" s="2795"/>
      <c r="PNP35" s="2795"/>
      <c r="PNQ35" s="2795"/>
      <c r="PNR35" s="2795"/>
      <c r="PNS35" s="2795"/>
      <c r="PNT35" s="2795"/>
      <c r="PNU35" s="2795"/>
      <c r="PNV35" s="2795"/>
      <c r="PNW35" s="2795"/>
      <c r="PNX35" s="2795"/>
      <c r="PNY35" s="2795"/>
      <c r="PNZ35" s="2795"/>
      <c r="POA35" s="2795"/>
      <c r="POB35" s="2795"/>
      <c r="POC35" s="2795"/>
      <c r="POD35" s="2795"/>
      <c r="POE35" s="2795"/>
      <c r="POF35" s="2795"/>
      <c r="POG35" s="2795"/>
      <c r="POH35" s="2795"/>
      <c r="POI35" s="2795"/>
      <c r="POJ35" s="2795"/>
      <c r="POK35" s="2795"/>
      <c r="POL35" s="2795"/>
      <c r="POM35" s="2795"/>
      <c r="PON35" s="2795"/>
      <c r="POO35" s="2795"/>
      <c r="POP35" s="2795"/>
      <c r="POQ35" s="2795"/>
      <c r="POR35" s="2795"/>
      <c r="POS35" s="2795"/>
      <c r="POT35" s="2795"/>
      <c r="POU35" s="2795"/>
      <c r="POV35" s="2795"/>
      <c r="POW35" s="2795"/>
      <c r="POX35" s="2795"/>
      <c r="POY35" s="2795"/>
      <c r="POZ35" s="2795"/>
      <c r="PPA35" s="2795"/>
      <c r="PPB35" s="2795"/>
      <c r="PPC35" s="2795"/>
      <c r="PPD35" s="2795"/>
      <c r="PPE35" s="2795"/>
      <c r="PPF35" s="2795"/>
      <c r="PPG35" s="2795"/>
      <c r="PPH35" s="2795"/>
      <c r="PPI35" s="2795"/>
      <c r="PPJ35" s="2795"/>
      <c r="PPK35" s="2795"/>
      <c r="PPL35" s="2795"/>
      <c r="PPM35" s="2795"/>
      <c r="PPN35" s="2795"/>
      <c r="PPO35" s="2795"/>
      <c r="PPP35" s="2795"/>
      <c r="PPQ35" s="2795"/>
      <c r="PPR35" s="2795"/>
      <c r="PPS35" s="2795"/>
      <c r="PPT35" s="2795"/>
      <c r="PPU35" s="2795"/>
      <c r="PPV35" s="2795"/>
      <c r="PPW35" s="2795"/>
      <c r="PPX35" s="2795"/>
      <c r="PPY35" s="2795"/>
      <c r="PPZ35" s="2795"/>
      <c r="PQA35" s="2795"/>
      <c r="PQB35" s="2795"/>
      <c r="PQC35" s="2795"/>
      <c r="PQD35" s="2795"/>
      <c r="PQE35" s="2795"/>
      <c r="PQF35" s="2795"/>
      <c r="PQG35" s="2795"/>
      <c r="PQH35" s="2795"/>
      <c r="PQI35" s="2795"/>
      <c r="PQJ35" s="2795"/>
      <c r="PQK35" s="2795"/>
      <c r="PQL35" s="2795"/>
      <c r="PQM35" s="2795"/>
      <c r="PQN35" s="2795"/>
      <c r="PQO35" s="2795"/>
      <c r="PQP35" s="2795"/>
      <c r="PQQ35" s="2795"/>
      <c r="PQR35" s="2795"/>
      <c r="PQS35" s="2795"/>
      <c r="PQT35" s="2795"/>
      <c r="PQU35" s="2795"/>
      <c r="PQV35" s="2795"/>
      <c r="PQW35" s="2795"/>
      <c r="PQX35" s="2795"/>
      <c r="PQY35" s="2795"/>
      <c r="PQZ35" s="2795"/>
      <c r="PRA35" s="2795"/>
      <c r="PRB35" s="2795"/>
      <c r="PRC35" s="2795"/>
      <c r="PRD35" s="2795"/>
      <c r="PRE35" s="2795"/>
      <c r="PRF35" s="2795"/>
      <c r="PRG35" s="2795"/>
      <c r="PRH35" s="2795"/>
      <c r="PRI35" s="2795"/>
      <c r="PRJ35" s="2795"/>
      <c r="PRK35" s="2795"/>
      <c r="PRL35" s="2795"/>
      <c r="PRM35" s="2795"/>
      <c r="PRN35" s="2795"/>
      <c r="PRO35" s="2795"/>
      <c r="PRP35" s="2795"/>
      <c r="PRQ35" s="2795"/>
      <c r="PRR35" s="2795"/>
      <c r="PRS35" s="2795"/>
      <c r="PRT35" s="2795"/>
      <c r="PRU35" s="2795"/>
      <c r="PRV35" s="2795"/>
      <c r="PRW35" s="2795"/>
      <c r="PRX35" s="2795"/>
      <c r="PRY35" s="2795"/>
      <c r="PRZ35" s="2795"/>
      <c r="PSA35" s="2795"/>
      <c r="PSB35" s="2795"/>
      <c r="PSC35" s="2795"/>
      <c r="PSD35" s="2795"/>
      <c r="PSE35" s="2795"/>
      <c r="PSF35" s="2795"/>
      <c r="PSG35" s="2795"/>
      <c r="PSH35" s="2795"/>
      <c r="PSI35" s="2795"/>
      <c r="PSJ35" s="2795"/>
      <c r="PSK35" s="2795"/>
      <c r="PSL35" s="2795"/>
      <c r="PSM35" s="2795"/>
      <c r="PSN35" s="2795"/>
      <c r="PSO35" s="2795"/>
      <c r="PSP35" s="2795"/>
      <c r="PSQ35" s="2795"/>
      <c r="PSR35" s="2795"/>
      <c r="PSS35" s="2795"/>
      <c r="PST35" s="2795"/>
      <c r="PSU35" s="2795"/>
      <c r="PSV35" s="2795"/>
      <c r="PSW35" s="2795"/>
      <c r="PSX35" s="2795"/>
      <c r="PSY35" s="2795"/>
      <c r="PSZ35" s="2795"/>
      <c r="PTA35" s="2795"/>
      <c r="PTB35" s="2795"/>
      <c r="PTC35" s="2795"/>
      <c r="PTD35" s="2795"/>
      <c r="PTE35" s="2795"/>
      <c r="PTF35" s="2795"/>
      <c r="PTG35" s="2795"/>
      <c r="PTH35" s="2795"/>
      <c r="PTI35" s="2795"/>
      <c r="PTJ35" s="2795"/>
      <c r="PTK35" s="2795"/>
      <c r="PTL35" s="2795"/>
      <c r="PTM35" s="2795"/>
      <c r="PTN35" s="2795"/>
      <c r="PTO35" s="2795"/>
      <c r="PTP35" s="2795"/>
      <c r="PTQ35" s="2795"/>
      <c r="PTR35" s="2795"/>
      <c r="PTS35" s="2795"/>
      <c r="PTT35" s="2795"/>
      <c r="PTU35" s="2795"/>
      <c r="PTV35" s="2795"/>
      <c r="PTW35" s="2795"/>
      <c r="PTX35" s="2795"/>
      <c r="PTY35" s="2795"/>
      <c r="PTZ35" s="2795"/>
      <c r="PUA35" s="2795"/>
      <c r="PUB35" s="2795"/>
      <c r="PUC35" s="2795"/>
      <c r="PUD35" s="2795"/>
      <c r="PUE35" s="2795"/>
      <c r="PUF35" s="2795"/>
      <c r="PUG35" s="2795"/>
      <c r="PUH35" s="2795"/>
      <c r="PUI35" s="2795"/>
      <c r="PUJ35" s="2795"/>
      <c r="PUK35" s="2795"/>
      <c r="PUL35" s="2795"/>
      <c r="PUM35" s="2795"/>
      <c r="PUN35" s="2795"/>
      <c r="PUO35" s="2795"/>
      <c r="PUP35" s="2795"/>
      <c r="PUQ35" s="2795"/>
      <c r="PUR35" s="2795"/>
      <c r="PUS35" s="2795"/>
      <c r="PUT35" s="2795"/>
      <c r="PUU35" s="2795"/>
      <c r="PUV35" s="2795"/>
      <c r="PUW35" s="2795"/>
      <c r="PUX35" s="2795"/>
      <c r="PUY35" s="2795"/>
      <c r="PUZ35" s="2795"/>
      <c r="PVA35" s="2795"/>
      <c r="PVB35" s="2795"/>
      <c r="PVC35" s="2795"/>
      <c r="PVD35" s="2795"/>
      <c r="PVE35" s="2795"/>
      <c r="PVF35" s="2795"/>
      <c r="PVG35" s="2795"/>
      <c r="PVH35" s="2795"/>
      <c r="PVI35" s="2795"/>
      <c r="PVJ35" s="2795"/>
      <c r="PVK35" s="2795"/>
      <c r="PVL35" s="2795"/>
      <c r="PVM35" s="2795"/>
      <c r="PVN35" s="2795"/>
      <c r="PVO35" s="2795"/>
      <c r="PVP35" s="2795"/>
      <c r="PVQ35" s="2795"/>
      <c r="PVR35" s="2795"/>
      <c r="PVS35" s="2795"/>
      <c r="PVT35" s="2795"/>
      <c r="PVU35" s="2795"/>
      <c r="PVV35" s="2795"/>
      <c r="PVW35" s="2795"/>
      <c r="PVX35" s="2795"/>
      <c r="PVY35" s="2795"/>
      <c r="PVZ35" s="2795"/>
      <c r="PWA35" s="2795"/>
      <c r="PWB35" s="2795"/>
      <c r="PWC35" s="2795"/>
      <c r="PWD35" s="2795"/>
      <c r="PWE35" s="2795"/>
      <c r="PWF35" s="2795"/>
      <c r="PWG35" s="2795"/>
      <c r="PWH35" s="2795"/>
      <c r="PWI35" s="2795"/>
      <c r="PWJ35" s="2795"/>
      <c r="PWK35" s="2795"/>
      <c r="PWL35" s="2795"/>
      <c r="PWM35" s="2795"/>
      <c r="PWN35" s="2795"/>
      <c r="PWO35" s="2795"/>
      <c r="PWP35" s="2795"/>
      <c r="PWQ35" s="2795"/>
      <c r="PWR35" s="2795"/>
      <c r="PWS35" s="2795"/>
      <c r="PWT35" s="2795"/>
      <c r="PWU35" s="2795"/>
      <c r="PWV35" s="2795"/>
      <c r="PWW35" s="2795"/>
      <c r="PWX35" s="2795"/>
      <c r="PWY35" s="2795"/>
      <c r="PWZ35" s="2795"/>
      <c r="PXA35" s="2795"/>
      <c r="PXB35" s="2795"/>
      <c r="PXC35" s="2795"/>
      <c r="PXD35" s="2795"/>
      <c r="PXE35" s="2795"/>
      <c r="PXF35" s="2795"/>
      <c r="PXG35" s="2795"/>
      <c r="PXH35" s="2795"/>
      <c r="PXI35" s="2795"/>
      <c r="PXJ35" s="2795"/>
      <c r="PXK35" s="2795"/>
      <c r="PXL35" s="2795"/>
      <c r="PXM35" s="2795"/>
      <c r="PXN35" s="2795"/>
      <c r="PXO35" s="2795"/>
      <c r="PXP35" s="2795"/>
      <c r="PXQ35" s="2795"/>
      <c r="PXR35" s="2795"/>
      <c r="PXS35" s="2795"/>
      <c r="PXT35" s="2795"/>
      <c r="PXU35" s="2795"/>
      <c r="PXV35" s="2795"/>
      <c r="PXW35" s="2795"/>
      <c r="PXX35" s="2795"/>
      <c r="PXY35" s="2795"/>
      <c r="PXZ35" s="2795"/>
      <c r="PYA35" s="2795"/>
      <c r="PYB35" s="2795"/>
      <c r="PYC35" s="2795"/>
      <c r="PYD35" s="2795"/>
      <c r="PYE35" s="2795"/>
      <c r="PYF35" s="2795"/>
      <c r="PYG35" s="2795"/>
      <c r="PYH35" s="2795"/>
      <c r="PYI35" s="2795"/>
      <c r="PYJ35" s="2795"/>
      <c r="PYK35" s="2795"/>
      <c r="PYL35" s="2795"/>
      <c r="PYM35" s="2795"/>
      <c r="PYN35" s="2795"/>
      <c r="PYO35" s="2795"/>
      <c r="PYP35" s="2795"/>
      <c r="PYQ35" s="2795"/>
      <c r="PYR35" s="2795"/>
      <c r="PYS35" s="2795"/>
      <c r="PYT35" s="2795"/>
      <c r="PYU35" s="2795"/>
      <c r="PYV35" s="2795"/>
      <c r="PYW35" s="2795"/>
      <c r="PYX35" s="2795"/>
      <c r="PYY35" s="2795"/>
      <c r="PYZ35" s="2795"/>
      <c r="PZA35" s="2795"/>
      <c r="PZB35" s="2795"/>
      <c r="PZC35" s="2795"/>
      <c r="PZD35" s="2795"/>
      <c r="PZE35" s="2795"/>
      <c r="PZF35" s="2795"/>
      <c r="PZG35" s="2795"/>
      <c r="PZH35" s="2795"/>
      <c r="PZI35" s="2795"/>
      <c r="PZJ35" s="2795"/>
      <c r="PZK35" s="2795"/>
      <c r="PZL35" s="2795"/>
      <c r="PZM35" s="2795"/>
      <c r="PZN35" s="2795"/>
      <c r="PZO35" s="2795"/>
      <c r="PZP35" s="2795"/>
      <c r="PZQ35" s="2795"/>
      <c r="PZR35" s="2795"/>
      <c r="PZS35" s="2795"/>
      <c r="PZT35" s="2795"/>
      <c r="PZU35" s="2795"/>
      <c r="PZV35" s="2795"/>
      <c r="PZW35" s="2795"/>
      <c r="PZX35" s="2795"/>
      <c r="PZY35" s="2795"/>
      <c r="PZZ35" s="2795"/>
      <c r="QAA35" s="2795"/>
      <c r="QAB35" s="2795"/>
      <c r="QAC35" s="2795"/>
      <c r="QAD35" s="2795"/>
      <c r="QAE35" s="2795"/>
      <c r="QAF35" s="2795"/>
      <c r="QAG35" s="2795"/>
      <c r="QAH35" s="2795"/>
      <c r="QAI35" s="2795"/>
      <c r="QAJ35" s="2795"/>
      <c r="QAK35" s="2795"/>
      <c r="QAL35" s="2795"/>
      <c r="QAM35" s="2795"/>
      <c r="QAN35" s="2795"/>
      <c r="QAO35" s="2795"/>
      <c r="QAP35" s="2795"/>
      <c r="QAQ35" s="2795"/>
      <c r="QAR35" s="2795"/>
      <c r="QAS35" s="2795"/>
      <c r="QAT35" s="2795"/>
      <c r="QAU35" s="2795"/>
      <c r="QAV35" s="2795"/>
      <c r="QAW35" s="2795"/>
      <c r="QAX35" s="2795"/>
      <c r="QAY35" s="2795"/>
      <c r="QAZ35" s="2795"/>
      <c r="QBA35" s="2795"/>
      <c r="QBB35" s="2795"/>
      <c r="QBC35" s="2795"/>
      <c r="QBD35" s="2795"/>
      <c r="QBE35" s="2795"/>
      <c r="QBF35" s="2795"/>
      <c r="QBG35" s="2795"/>
      <c r="QBH35" s="2795"/>
      <c r="QBI35" s="2795"/>
      <c r="QBJ35" s="2795"/>
      <c r="QBK35" s="2795"/>
      <c r="QBL35" s="2795"/>
      <c r="QBM35" s="2795"/>
      <c r="QBN35" s="2795"/>
      <c r="QBO35" s="2795"/>
      <c r="QBP35" s="2795"/>
      <c r="QBQ35" s="2795"/>
      <c r="QBR35" s="2795"/>
      <c r="QBS35" s="2795"/>
      <c r="QBT35" s="2795"/>
      <c r="QBU35" s="2795"/>
      <c r="QBV35" s="2795"/>
      <c r="QBW35" s="2795"/>
      <c r="QBX35" s="2795"/>
      <c r="QBY35" s="2795"/>
      <c r="QBZ35" s="2795"/>
      <c r="QCA35" s="2795"/>
      <c r="QCB35" s="2795"/>
      <c r="QCC35" s="2795"/>
      <c r="QCD35" s="2795"/>
      <c r="QCE35" s="2795"/>
      <c r="QCF35" s="2795"/>
      <c r="QCG35" s="2795"/>
      <c r="QCH35" s="2795"/>
      <c r="QCI35" s="2795"/>
      <c r="QCJ35" s="2795"/>
      <c r="QCK35" s="2795"/>
      <c r="QCL35" s="2795"/>
      <c r="QCM35" s="2795"/>
      <c r="QCN35" s="2795"/>
      <c r="QCO35" s="2795"/>
      <c r="QCP35" s="2795"/>
      <c r="QCQ35" s="2795"/>
      <c r="QCR35" s="2795"/>
      <c r="QCS35" s="2795"/>
      <c r="QCT35" s="2795"/>
      <c r="QCU35" s="2795"/>
      <c r="QCV35" s="2795"/>
      <c r="QCW35" s="2795"/>
      <c r="QCX35" s="2795"/>
      <c r="QCY35" s="2795"/>
      <c r="QCZ35" s="2795"/>
      <c r="QDA35" s="2795"/>
      <c r="QDB35" s="2795"/>
      <c r="QDC35" s="2795"/>
      <c r="QDD35" s="2795"/>
      <c r="QDE35" s="2795"/>
      <c r="QDF35" s="2795"/>
      <c r="QDG35" s="2795"/>
      <c r="QDH35" s="2795"/>
      <c r="QDI35" s="2795"/>
      <c r="QDJ35" s="2795"/>
      <c r="QDK35" s="2795"/>
      <c r="QDL35" s="2795"/>
      <c r="QDM35" s="2795"/>
      <c r="QDN35" s="2795"/>
      <c r="QDO35" s="2795"/>
      <c r="QDP35" s="2795"/>
      <c r="QDQ35" s="2795"/>
      <c r="QDR35" s="2795"/>
      <c r="QDS35" s="2795"/>
      <c r="QDT35" s="2795"/>
      <c r="QDU35" s="2795"/>
      <c r="QDV35" s="2795"/>
      <c r="QDW35" s="2795"/>
      <c r="QDX35" s="2795"/>
      <c r="QDY35" s="2795"/>
      <c r="QDZ35" s="2795"/>
      <c r="QEA35" s="2795"/>
      <c r="QEB35" s="2795"/>
      <c r="QEC35" s="2795"/>
      <c r="QED35" s="2795"/>
      <c r="QEE35" s="2795"/>
      <c r="QEF35" s="2795"/>
      <c r="QEG35" s="2795"/>
      <c r="QEH35" s="2795"/>
      <c r="QEI35" s="2795"/>
      <c r="QEJ35" s="2795"/>
      <c r="QEK35" s="2795"/>
      <c r="QEL35" s="2795"/>
      <c r="QEM35" s="2795"/>
      <c r="QEN35" s="2795"/>
      <c r="QEO35" s="2795"/>
      <c r="QEP35" s="2795"/>
      <c r="QEQ35" s="2795"/>
      <c r="QER35" s="2795"/>
      <c r="QES35" s="2795"/>
      <c r="QET35" s="2795"/>
      <c r="QEU35" s="2795"/>
      <c r="QEV35" s="2795"/>
      <c r="QEW35" s="2795"/>
      <c r="QEX35" s="2795"/>
      <c r="QEY35" s="2795"/>
      <c r="QEZ35" s="2795"/>
      <c r="QFA35" s="2795"/>
      <c r="QFB35" s="2795"/>
      <c r="QFC35" s="2795"/>
      <c r="QFD35" s="2795"/>
      <c r="QFE35" s="2795"/>
      <c r="QFF35" s="2795"/>
      <c r="QFG35" s="2795"/>
      <c r="QFH35" s="2795"/>
      <c r="QFI35" s="2795"/>
      <c r="QFJ35" s="2795"/>
      <c r="QFK35" s="2795"/>
      <c r="QFL35" s="2795"/>
      <c r="QFM35" s="2795"/>
      <c r="QFN35" s="2795"/>
      <c r="QFO35" s="2795"/>
      <c r="QFP35" s="2795"/>
      <c r="QFQ35" s="2795"/>
      <c r="QFR35" s="2795"/>
      <c r="QFS35" s="2795"/>
      <c r="QFT35" s="2795"/>
      <c r="QFU35" s="2795"/>
      <c r="QFV35" s="2795"/>
      <c r="QFW35" s="2795"/>
      <c r="QFX35" s="2795"/>
      <c r="QFY35" s="2795"/>
      <c r="QFZ35" s="2795"/>
      <c r="QGA35" s="2795"/>
      <c r="QGB35" s="2795"/>
      <c r="QGC35" s="2795"/>
      <c r="QGD35" s="2795"/>
      <c r="QGE35" s="2795"/>
      <c r="QGF35" s="2795"/>
      <c r="QGG35" s="2795"/>
      <c r="QGH35" s="2795"/>
      <c r="QGI35" s="2795"/>
      <c r="QGJ35" s="2795"/>
      <c r="QGK35" s="2795"/>
      <c r="QGL35" s="2795"/>
      <c r="QGM35" s="2795"/>
      <c r="QGN35" s="2795"/>
      <c r="QGO35" s="2795"/>
      <c r="QGP35" s="2795"/>
      <c r="QGQ35" s="2795"/>
      <c r="QGR35" s="2795"/>
      <c r="QGS35" s="2795"/>
      <c r="QGT35" s="2795"/>
      <c r="QGU35" s="2795"/>
      <c r="QGV35" s="2795"/>
      <c r="QGW35" s="2795"/>
      <c r="QGX35" s="2795"/>
      <c r="QGY35" s="2795"/>
      <c r="QGZ35" s="2795"/>
      <c r="QHA35" s="2795"/>
      <c r="QHB35" s="2795"/>
      <c r="QHC35" s="2795"/>
      <c r="QHD35" s="2795"/>
      <c r="QHE35" s="2795"/>
      <c r="QHF35" s="2795"/>
      <c r="QHG35" s="2795"/>
      <c r="QHH35" s="2795"/>
      <c r="QHI35" s="2795"/>
      <c r="QHJ35" s="2795"/>
      <c r="QHK35" s="2795"/>
      <c r="QHL35" s="2795"/>
      <c r="QHM35" s="2795"/>
      <c r="QHN35" s="2795"/>
      <c r="QHO35" s="2795"/>
      <c r="QHP35" s="2795"/>
      <c r="QHQ35" s="2795"/>
      <c r="QHR35" s="2795"/>
      <c r="QHS35" s="2795"/>
      <c r="QHT35" s="2795"/>
      <c r="QHU35" s="2795"/>
      <c r="QHV35" s="2795"/>
      <c r="QHW35" s="2795"/>
      <c r="QHX35" s="2795"/>
      <c r="QHY35" s="2795"/>
      <c r="QHZ35" s="2795"/>
      <c r="QIA35" s="2795"/>
      <c r="QIB35" s="2795"/>
      <c r="QIC35" s="2795"/>
      <c r="QID35" s="2795"/>
      <c r="QIE35" s="2795"/>
      <c r="QIF35" s="2795"/>
      <c r="QIG35" s="2795"/>
      <c r="QIH35" s="2795"/>
      <c r="QII35" s="2795"/>
      <c r="QIJ35" s="2795"/>
      <c r="QIK35" s="2795"/>
      <c r="QIL35" s="2795"/>
      <c r="QIM35" s="2795"/>
      <c r="QIN35" s="2795"/>
      <c r="QIO35" s="2795"/>
      <c r="QIP35" s="2795"/>
      <c r="QIQ35" s="2795"/>
      <c r="QIR35" s="2795"/>
      <c r="QIS35" s="2795"/>
      <c r="QIT35" s="2795"/>
      <c r="QIU35" s="2795"/>
      <c r="QIV35" s="2795"/>
      <c r="QIW35" s="2795"/>
      <c r="QIX35" s="2795"/>
      <c r="QIY35" s="2795"/>
      <c r="QIZ35" s="2795"/>
      <c r="QJA35" s="2795"/>
      <c r="QJB35" s="2795"/>
      <c r="QJC35" s="2795"/>
      <c r="QJD35" s="2795"/>
      <c r="QJE35" s="2795"/>
      <c r="QJF35" s="2795"/>
      <c r="QJG35" s="2795"/>
      <c r="QJH35" s="2795"/>
      <c r="QJI35" s="2795"/>
      <c r="QJJ35" s="2795"/>
      <c r="QJK35" s="2795"/>
      <c r="QJL35" s="2795"/>
      <c r="QJM35" s="2795"/>
      <c r="QJN35" s="2795"/>
      <c r="QJO35" s="2795"/>
      <c r="QJP35" s="2795"/>
      <c r="QJQ35" s="2795"/>
      <c r="QJR35" s="2795"/>
      <c r="QJS35" s="2795"/>
      <c r="QJT35" s="2795"/>
      <c r="QJU35" s="2795"/>
      <c r="QJV35" s="2795"/>
      <c r="QJW35" s="2795"/>
      <c r="QJX35" s="2795"/>
      <c r="QJY35" s="2795"/>
      <c r="QJZ35" s="2795"/>
      <c r="QKA35" s="2795"/>
      <c r="QKB35" s="2795"/>
      <c r="QKC35" s="2795"/>
      <c r="QKD35" s="2795"/>
      <c r="QKE35" s="2795"/>
      <c r="QKF35" s="2795"/>
      <c r="QKG35" s="2795"/>
      <c r="QKH35" s="2795"/>
      <c r="QKI35" s="2795"/>
      <c r="QKJ35" s="2795"/>
      <c r="QKK35" s="2795"/>
      <c r="QKL35" s="2795"/>
      <c r="QKM35" s="2795"/>
      <c r="QKN35" s="2795"/>
      <c r="QKO35" s="2795"/>
      <c r="QKP35" s="2795"/>
      <c r="QKQ35" s="2795"/>
      <c r="QKR35" s="2795"/>
      <c r="QKS35" s="2795"/>
      <c r="QKT35" s="2795"/>
      <c r="QKU35" s="2795"/>
      <c r="QKV35" s="2795"/>
      <c r="QKW35" s="2795"/>
      <c r="QKX35" s="2795"/>
      <c r="QKY35" s="2795"/>
      <c r="QKZ35" s="2795"/>
      <c r="QLA35" s="2795"/>
      <c r="QLB35" s="2795"/>
      <c r="QLC35" s="2795"/>
      <c r="QLD35" s="2795"/>
      <c r="QLE35" s="2795"/>
      <c r="QLF35" s="2795"/>
      <c r="QLG35" s="2795"/>
      <c r="QLH35" s="2795"/>
      <c r="QLI35" s="2795"/>
      <c r="QLJ35" s="2795"/>
      <c r="QLK35" s="2795"/>
      <c r="QLL35" s="2795"/>
      <c r="QLM35" s="2795"/>
      <c r="QLN35" s="2795"/>
      <c r="QLO35" s="2795"/>
      <c r="QLP35" s="2795"/>
      <c r="QLQ35" s="2795"/>
      <c r="QLR35" s="2795"/>
      <c r="QLS35" s="2795"/>
      <c r="QLT35" s="2795"/>
      <c r="QLU35" s="2795"/>
      <c r="QLV35" s="2795"/>
      <c r="QLW35" s="2795"/>
      <c r="QLX35" s="2795"/>
      <c r="QLY35" s="2795"/>
      <c r="QLZ35" s="2795"/>
      <c r="QMA35" s="2795"/>
      <c r="QMB35" s="2795"/>
      <c r="QMC35" s="2795"/>
      <c r="QMD35" s="2795"/>
      <c r="QME35" s="2795"/>
      <c r="QMF35" s="2795"/>
      <c r="QMG35" s="2795"/>
      <c r="QMH35" s="2795"/>
      <c r="QMI35" s="2795"/>
      <c r="QMJ35" s="2795"/>
      <c r="QMK35" s="2795"/>
      <c r="QML35" s="2795"/>
      <c r="QMM35" s="2795"/>
      <c r="QMN35" s="2795"/>
      <c r="QMO35" s="2795"/>
      <c r="QMP35" s="2795"/>
      <c r="QMQ35" s="2795"/>
      <c r="QMR35" s="2795"/>
      <c r="QMS35" s="2795"/>
      <c r="QMT35" s="2795"/>
      <c r="QMU35" s="2795"/>
      <c r="QMV35" s="2795"/>
      <c r="QMW35" s="2795"/>
      <c r="QMX35" s="2795"/>
      <c r="QMY35" s="2795"/>
      <c r="QMZ35" s="2795"/>
      <c r="QNA35" s="2795"/>
      <c r="QNB35" s="2795"/>
      <c r="QNC35" s="2795"/>
      <c r="QND35" s="2795"/>
      <c r="QNE35" s="2795"/>
      <c r="QNF35" s="2795"/>
      <c r="QNG35" s="2795"/>
      <c r="QNH35" s="2795"/>
      <c r="QNI35" s="2795"/>
      <c r="QNJ35" s="2795"/>
      <c r="QNK35" s="2795"/>
      <c r="QNL35" s="2795"/>
      <c r="QNM35" s="2795"/>
      <c r="QNN35" s="2795"/>
      <c r="QNO35" s="2795"/>
      <c r="QNP35" s="2795"/>
      <c r="QNQ35" s="2795"/>
      <c r="QNR35" s="2795"/>
      <c r="QNS35" s="2795"/>
      <c r="QNT35" s="2795"/>
      <c r="QNU35" s="2795"/>
      <c r="QNV35" s="2795"/>
      <c r="QNW35" s="2795"/>
      <c r="QNX35" s="2795"/>
      <c r="QNY35" s="2795"/>
      <c r="QNZ35" s="2795"/>
      <c r="QOA35" s="2795"/>
      <c r="QOB35" s="2795"/>
      <c r="QOC35" s="2795"/>
      <c r="QOD35" s="2795"/>
      <c r="QOE35" s="2795"/>
      <c r="QOF35" s="2795"/>
      <c r="QOG35" s="2795"/>
      <c r="QOH35" s="2795"/>
      <c r="QOI35" s="2795"/>
      <c r="QOJ35" s="2795"/>
      <c r="QOK35" s="2795"/>
      <c r="QOL35" s="2795"/>
      <c r="QOM35" s="2795"/>
      <c r="QON35" s="2795"/>
      <c r="QOO35" s="2795"/>
      <c r="QOP35" s="2795"/>
      <c r="QOQ35" s="2795"/>
      <c r="QOR35" s="2795"/>
      <c r="QOS35" s="2795"/>
      <c r="QOT35" s="2795"/>
      <c r="QOU35" s="2795"/>
      <c r="QOV35" s="2795"/>
      <c r="QOW35" s="2795"/>
      <c r="QOX35" s="2795"/>
      <c r="QOY35" s="2795"/>
      <c r="QOZ35" s="2795"/>
      <c r="QPA35" s="2795"/>
      <c r="QPB35" s="2795"/>
      <c r="QPC35" s="2795"/>
      <c r="QPD35" s="2795"/>
      <c r="QPE35" s="2795"/>
      <c r="QPF35" s="2795"/>
      <c r="QPG35" s="2795"/>
      <c r="QPH35" s="2795"/>
      <c r="QPI35" s="2795"/>
      <c r="QPJ35" s="2795"/>
      <c r="QPK35" s="2795"/>
      <c r="QPL35" s="2795"/>
      <c r="QPM35" s="2795"/>
      <c r="QPN35" s="2795"/>
      <c r="QPO35" s="2795"/>
      <c r="QPP35" s="2795"/>
      <c r="QPQ35" s="2795"/>
      <c r="QPR35" s="2795"/>
      <c r="QPS35" s="2795"/>
      <c r="QPT35" s="2795"/>
      <c r="QPU35" s="2795"/>
      <c r="QPV35" s="2795"/>
      <c r="QPW35" s="2795"/>
      <c r="QPX35" s="2795"/>
      <c r="QPY35" s="2795"/>
      <c r="QPZ35" s="2795"/>
      <c r="QQA35" s="2795"/>
      <c r="QQB35" s="2795"/>
      <c r="QQC35" s="2795"/>
      <c r="QQD35" s="2795"/>
      <c r="QQE35" s="2795"/>
      <c r="QQF35" s="2795"/>
      <c r="QQG35" s="2795"/>
      <c r="QQH35" s="2795"/>
      <c r="QQI35" s="2795"/>
      <c r="QQJ35" s="2795"/>
      <c r="QQK35" s="2795"/>
      <c r="QQL35" s="2795"/>
      <c r="QQM35" s="2795"/>
      <c r="QQN35" s="2795"/>
      <c r="QQO35" s="2795"/>
      <c r="QQP35" s="2795"/>
      <c r="QQQ35" s="2795"/>
      <c r="QQR35" s="2795"/>
      <c r="QQS35" s="2795"/>
      <c r="QQT35" s="2795"/>
      <c r="QQU35" s="2795"/>
      <c r="QQV35" s="2795"/>
      <c r="QQW35" s="2795"/>
      <c r="QQX35" s="2795"/>
      <c r="QQY35" s="2795"/>
      <c r="QQZ35" s="2795"/>
      <c r="QRA35" s="2795"/>
      <c r="QRB35" s="2795"/>
      <c r="QRC35" s="2795"/>
      <c r="QRD35" s="2795"/>
      <c r="QRE35" s="2795"/>
      <c r="QRF35" s="2795"/>
      <c r="QRG35" s="2795"/>
      <c r="QRH35" s="2795"/>
      <c r="QRI35" s="2795"/>
      <c r="QRJ35" s="2795"/>
      <c r="QRK35" s="2795"/>
      <c r="QRL35" s="2795"/>
      <c r="QRM35" s="2795"/>
      <c r="QRN35" s="2795"/>
      <c r="QRO35" s="2795"/>
      <c r="QRP35" s="2795"/>
      <c r="QRQ35" s="2795"/>
      <c r="QRR35" s="2795"/>
      <c r="QRS35" s="2795"/>
      <c r="QRT35" s="2795"/>
      <c r="QRU35" s="2795"/>
      <c r="QRV35" s="2795"/>
      <c r="QRW35" s="2795"/>
      <c r="QRX35" s="2795"/>
      <c r="QRY35" s="2795"/>
      <c r="QRZ35" s="2795"/>
      <c r="QSA35" s="2795"/>
      <c r="QSB35" s="2795"/>
      <c r="QSC35" s="2795"/>
      <c r="QSD35" s="2795"/>
      <c r="QSE35" s="2795"/>
      <c r="QSF35" s="2795"/>
      <c r="QSG35" s="2795"/>
      <c r="QSH35" s="2795"/>
      <c r="QSI35" s="2795"/>
      <c r="QSJ35" s="2795"/>
      <c r="QSK35" s="2795"/>
      <c r="QSL35" s="2795"/>
      <c r="QSM35" s="2795"/>
      <c r="QSN35" s="2795"/>
      <c r="QSO35" s="2795"/>
      <c r="QSP35" s="2795"/>
      <c r="QSQ35" s="2795"/>
      <c r="QSR35" s="2795"/>
      <c r="QSS35" s="2795"/>
      <c r="QST35" s="2795"/>
      <c r="QSU35" s="2795"/>
      <c r="QSV35" s="2795"/>
      <c r="QSW35" s="2795"/>
      <c r="QSX35" s="2795"/>
      <c r="QSY35" s="2795"/>
      <c r="QSZ35" s="2795"/>
      <c r="QTA35" s="2795"/>
      <c r="QTB35" s="2795"/>
      <c r="QTC35" s="2795"/>
      <c r="QTD35" s="2795"/>
      <c r="QTE35" s="2795"/>
      <c r="QTF35" s="2795"/>
      <c r="QTG35" s="2795"/>
      <c r="QTH35" s="2795"/>
      <c r="QTI35" s="2795"/>
      <c r="QTJ35" s="2795"/>
      <c r="QTK35" s="2795"/>
      <c r="QTL35" s="2795"/>
      <c r="QTM35" s="2795"/>
      <c r="QTN35" s="2795"/>
      <c r="QTO35" s="2795"/>
      <c r="QTP35" s="2795"/>
      <c r="QTQ35" s="2795"/>
      <c r="QTR35" s="2795"/>
      <c r="QTS35" s="2795"/>
      <c r="QTT35" s="2795"/>
      <c r="QTU35" s="2795"/>
      <c r="QTV35" s="2795"/>
      <c r="QTW35" s="2795"/>
      <c r="QTX35" s="2795"/>
      <c r="QTY35" s="2795"/>
      <c r="QTZ35" s="2795"/>
      <c r="QUA35" s="2795"/>
      <c r="QUB35" s="2795"/>
      <c r="QUC35" s="2795"/>
      <c r="QUD35" s="2795"/>
      <c r="QUE35" s="2795"/>
      <c r="QUF35" s="2795"/>
      <c r="QUG35" s="2795"/>
      <c r="QUH35" s="2795"/>
      <c r="QUI35" s="2795"/>
      <c r="QUJ35" s="2795"/>
      <c r="QUK35" s="2795"/>
      <c r="QUL35" s="2795"/>
      <c r="QUM35" s="2795"/>
      <c r="QUN35" s="2795"/>
      <c r="QUO35" s="2795"/>
      <c r="QUP35" s="2795"/>
      <c r="QUQ35" s="2795"/>
      <c r="QUR35" s="2795"/>
      <c r="QUS35" s="2795"/>
      <c r="QUT35" s="2795"/>
      <c r="QUU35" s="2795"/>
      <c r="QUV35" s="2795"/>
      <c r="QUW35" s="2795"/>
      <c r="QUX35" s="2795"/>
      <c r="QUY35" s="2795"/>
      <c r="QUZ35" s="2795"/>
      <c r="QVA35" s="2795"/>
      <c r="QVB35" s="2795"/>
      <c r="QVC35" s="2795"/>
      <c r="QVD35" s="2795"/>
      <c r="QVE35" s="2795"/>
      <c r="QVF35" s="2795"/>
      <c r="QVG35" s="2795"/>
      <c r="QVH35" s="2795"/>
      <c r="QVI35" s="2795"/>
      <c r="QVJ35" s="2795"/>
      <c r="QVK35" s="2795"/>
      <c r="QVL35" s="2795"/>
      <c r="QVM35" s="2795"/>
      <c r="QVN35" s="2795"/>
      <c r="QVO35" s="2795"/>
      <c r="QVP35" s="2795"/>
      <c r="QVQ35" s="2795"/>
      <c r="QVR35" s="2795"/>
      <c r="QVS35" s="2795"/>
      <c r="QVT35" s="2795"/>
      <c r="QVU35" s="2795"/>
      <c r="QVV35" s="2795"/>
      <c r="QVW35" s="2795"/>
      <c r="QVX35" s="2795"/>
      <c r="QVY35" s="2795"/>
      <c r="QVZ35" s="2795"/>
      <c r="QWA35" s="2795"/>
      <c r="QWB35" s="2795"/>
      <c r="QWC35" s="2795"/>
      <c r="QWD35" s="2795"/>
      <c r="QWE35" s="2795"/>
      <c r="QWF35" s="2795"/>
      <c r="QWG35" s="2795"/>
      <c r="QWH35" s="2795"/>
      <c r="QWI35" s="2795"/>
      <c r="QWJ35" s="2795"/>
      <c r="QWK35" s="2795"/>
      <c r="QWL35" s="2795"/>
      <c r="QWM35" s="2795"/>
      <c r="QWN35" s="2795"/>
      <c r="QWO35" s="2795"/>
      <c r="QWP35" s="2795"/>
      <c r="QWQ35" s="2795"/>
      <c r="QWR35" s="2795"/>
      <c r="QWS35" s="2795"/>
      <c r="QWT35" s="2795"/>
      <c r="QWU35" s="2795"/>
      <c r="QWV35" s="2795"/>
      <c r="QWW35" s="2795"/>
      <c r="QWX35" s="2795"/>
      <c r="QWY35" s="2795"/>
      <c r="QWZ35" s="2795"/>
      <c r="QXA35" s="2795"/>
      <c r="QXB35" s="2795"/>
      <c r="QXC35" s="2795"/>
      <c r="QXD35" s="2795"/>
      <c r="QXE35" s="2795"/>
      <c r="QXF35" s="2795"/>
      <c r="QXG35" s="2795"/>
      <c r="QXH35" s="2795"/>
      <c r="QXI35" s="2795"/>
      <c r="QXJ35" s="2795"/>
      <c r="QXK35" s="2795"/>
      <c r="QXL35" s="2795"/>
      <c r="QXM35" s="2795"/>
      <c r="QXN35" s="2795"/>
      <c r="QXO35" s="2795"/>
      <c r="QXP35" s="2795"/>
      <c r="QXQ35" s="2795"/>
      <c r="QXR35" s="2795"/>
      <c r="QXS35" s="2795"/>
      <c r="QXT35" s="2795"/>
      <c r="QXU35" s="2795"/>
      <c r="QXV35" s="2795"/>
      <c r="QXW35" s="2795"/>
      <c r="QXX35" s="2795"/>
      <c r="QXY35" s="2795"/>
      <c r="QXZ35" s="2795"/>
      <c r="QYA35" s="2795"/>
      <c r="QYB35" s="2795"/>
      <c r="QYC35" s="2795"/>
      <c r="QYD35" s="2795"/>
      <c r="QYE35" s="2795"/>
      <c r="QYF35" s="2795"/>
      <c r="QYG35" s="2795"/>
      <c r="QYH35" s="2795"/>
      <c r="QYI35" s="2795"/>
      <c r="QYJ35" s="2795"/>
      <c r="QYK35" s="2795"/>
      <c r="QYL35" s="2795"/>
      <c r="QYM35" s="2795"/>
      <c r="QYN35" s="2795"/>
      <c r="QYO35" s="2795"/>
      <c r="QYP35" s="2795"/>
      <c r="QYQ35" s="2795"/>
      <c r="QYR35" s="2795"/>
      <c r="QYS35" s="2795"/>
      <c r="QYT35" s="2795"/>
      <c r="QYU35" s="2795"/>
      <c r="QYV35" s="2795"/>
      <c r="QYW35" s="2795"/>
      <c r="QYX35" s="2795"/>
      <c r="QYY35" s="2795"/>
      <c r="QYZ35" s="2795"/>
      <c r="QZA35" s="2795"/>
      <c r="QZB35" s="2795"/>
      <c r="QZC35" s="2795"/>
      <c r="QZD35" s="2795"/>
      <c r="QZE35" s="2795"/>
      <c r="QZF35" s="2795"/>
      <c r="QZG35" s="2795"/>
      <c r="QZH35" s="2795"/>
      <c r="QZI35" s="2795"/>
      <c r="QZJ35" s="2795"/>
      <c r="QZK35" s="2795"/>
      <c r="QZL35" s="2795"/>
      <c r="QZM35" s="2795"/>
      <c r="QZN35" s="2795"/>
      <c r="QZO35" s="2795"/>
      <c r="QZP35" s="2795"/>
      <c r="QZQ35" s="2795"/>
      <c r="QZR35" s="2795"/>
      <c r="QZS35" s="2795"/>
      <c r="QZT35" s="2795"/>
      <c r="QZU35" s="2795"/>
      <c r="QZV35" s="2795"/>
      <c r="QZW35" s="2795"/>
      <c r="QZX35" s="2795"/>
      <c r="QZY35" s="2795"/>
      <c r="QZZ35" s="2795"/>
      <c r="RAA35" s="2795"/>
      <c r="RAB35" s="2795"/>
      <c r="RAC35" s="2795"/>
      <c r="RAD35" s="2795"/>
      <c r="RAE35" s="2795"/>
      <c r="RAF35" s="2795"/>
      <c r="RAG35" s="2795"/>
      <c r="RAH35" s="2795"/>
      <c r="RAI35" s="2795"/>
      <c r="RAJ35" s="2795"/>
      <c r="RAK35" s="2795"/>
      <c r="RAL35" s="2795"/>
      <c r="RAM35" s="2795"/>
      <c r="RAN35" s="2795"/>
      <c r="RAO35" s="2795"/>
      <c r="RAP35" s="2795"/>
      <c r="RAQ35" s="2795"/>
      <c r="RAR35" s="2795"/>
      <c r="RAS35" s="2795"/>
      <c r="RAT35" s="2795"/>
      <c r="RAU35" s="2795"/>
      <c r="RAV35" s="2795"/>
      <c r="RAW35" s="2795"/>
      <c r="RAX35" s="2795"/>
      <c r="RAY35" s="2795"/>
      <c r="RAZ35" s="2795"/>
      <c r="RBA35" s="2795"/>
      <c r="RBB35" s="2795"/>
      <c r="RBC35" s="2795"/>
      <c r="RBD35" s="2795"/>
      <c r="RBE35" s="2795"/>
      <c r="RBF35" s="2795"/>
      <c r="RBG35" s="2795"/>
      <c r="RBH35" s="2795"/>
      <c r="RBI35" s="2795"/>
      <c r="RBJ35" s="2795"/>
      <c r="RBK35" s="2795"/>
      <c r="RBL35" s="2795"/>
      <c r="RBM35" s="2795"/>
      <c r="RBN35" s="2795"/>
      <c r="RBO35" s="2795"/>
      <c r="RBP35" s="2795"/>
      <c r="RBQ35" s="2795"/>
      <c r="RBR35" s="2795"/>
      <c r="RBS35" s="2795"/>
      <c r="RBT35" s="2795"/>
      <c r="RBU35" s="2795"/>
      <c r="RBV35" s="2795"/>
      <c r="RBW35" s="2795"/>
      <c r="RBX35" s="2795"/>
      <c r="RBY35" s="2795"/>
      <c r="RBZ35" s="2795"/>
      <c r="RCA35" s="2795"/>
      <c r="RCB35" s="2795"/>
      <c r="RCC35" s="2795"/>
      <c r="RCD35" s="2795"/>
      <c r="RCE35" s="2795"/>
      <c r="RCF35" s="2795"/>
      <c r="RCG35" s="2795"/>
      <c r="RCH35" s="2795"/>
      <c r="RCI35" s="2795"/>
      <c r="RCJ35" s="2795"/>
      <c r="RCK35" s="2795"/>
      <c r="RCL35" s="2795"/>
      <c r="RCM35" s="2795"/>
      <c r="RCN35" s="2795"/>
      <c r="RCO35" s="2795"/>
      <c r="RCP35" s="2795"/>
      <c r="RCQ35" s="2795"/>
      <c r="RCR35" s="2795"/>
      <c r="RCS35" s="2795"/>
      <c r="RCT35" s="2795"/>
      <c r="RCU35" s="2795"/>
      <c r="RCV35" s="2795"/>
      <c r="RCW35" s="2795"/>
      <c r="RCX35" s="2795"/>
      <c r="RCY35" s="2795"/>
      <c r="RCZ35" s="2795"/>
      <c r="RDA35" s="2795"/>
      <c r="RDB35" s="2795"/>
      <c r="RDC35" s="2795"/>
      <c r="RDD35" s="2795"/>
      <c r="RDE35" s="2795"/>
      <c r="RDF35" s="2795"/>
      <c r="RDG35" s="2795"/>
      <c r="RDH35" s="2795"/>
      <c r="RDI35" s="2795"/>
      <c r="RDJ35" s="2795"/>
      <c r="RDK35" s="2795"/>
      <c r="RDL35" s="2795"/>
      <c r="RDM35" s="2795"/>
      <c r="RDN35" s="2795"/>
      <c r="RDO35" s="2795"/>
      <c r="RDP35" s="2795"/>
      <c r="RDQ35" s="2795"/>
      <c r="RDR35" s="2795"/>
      <c r="RDS35" s="2795"/>
      <c r="RDT35" s="2795"/>
      <c r="RDU35" s="2795"/>
      <c r="RDV35" s="2795"/>
      <c r="RDW35" s="2795"/>
      <c r="RDX35" s="2795"/>
      <c r="RDY35" s="2795"/>
      <c r="RDZ35" s="2795"/>
      <c r="REA35" s="2795"/>
      <c r="REB35" s="2795"/>
      <c r="REC35" s="2795"/>
      <c r="RED35" s="2795"/>
      <c r="REE35" s="2795"/>
      <c r="REF35" s="2795"/>
      <c r="REG35" s="2795"/>
      <c r="REH35" s="2795"/>
      <c r="REI35" s="2795"/>
      <c r="REJ35" s="2795"/>
      <c r="REK35" s="2795"/>
      <c r="REL35" s="2795"/>
      <c r="REM35" s="2795"/>
      <c r="REN35" s="2795"/>
      <c r="REO35" s="2795"/>
      <c r="REP35" s="2795"/>
      <c r="REQ35" s="2795"/>
      <c r="RER35" s="2795"/>
      <c r="RES35" s="2795"/>
      <c r="RET35" s="2795"/>
      <c r="REU35" s="2795"/>
      <c r="REV35" s="2795"/>
      <c r="REW35" s="2795"/>
      <c r="REX35" s="2795"/>
      <c r="REY35" s="2795"/>
      <c r="REZ35" s="2795"/>
      <c r="RFA35" s="2795"/>
      <c r="RFB35" s="2795"/>
      <c r="RFC35" s="2795"/>
      <c r="RFD35" s="2795"/>
      <c r="RFE35" s="2795"/>
      <c r="RFF35" s="2795"/>
      <c r="RFG35" s="2795"/>
      <c r="RFH35" s="2795"/>
      <c r="RFI35" s="2795"/>
      <c r="RFJ35" s="2795"/>
      <c r="RFK35" s="2795"/>
      <c r="RFL35" s="2795"/>
      <c r="RFM35" s="2795"/>
      <c r="RFN35" s="2795"/>
      <c r="RFO35" s="2795"/>
      <c r="RFP35" s="2795"/>
      <c r="RFQ35" s="2795"/>
      <c r="RFR35" s="2795"/>
      <c r="RFS35" s="2795"/>
      <c r="RFT35" s="2795"/>
      <c r="RFU35" s="2795"/>
      <c r="RFV35" s="2795"/>
      <c r="RFW35" s="2795"/>
      <c r="RFX35" s="2795"/>
      <c r="RFY35" s="2795"/>
      <c r="RFZ35" s="2795"/>
      <c r="RGA35" s="2795"/>
      <c r="RGB35" s="2795"/>
      <c r="RGC35" s="2795"/>
      <c r="RGD35" s="2795"/>
      <c r="RGE35" s="2795"/>
      <c r="RGF35" s="2795"/>
      <c r="RGG35" s="2795"/>
      <c r="RGH35" s="2795"/>
      <c r="RGI35" s="2795"/>
      <c r="RGJ35" s="2795"/>
      <c r="RGK35" s="2795"/>
      <c r="RGL35" s="2795"/>
      <c r="RGM35" s="2795"/>
      <c r="RGN35" s="2795"/>
      <c r="RGO35" s="2795"/>
      <c r="RGP35" s="2795"/>
      <c r="RGQ35" s="2795"/>
      <c r="RGR35" s="2795"/>
      <c r="RGS35" s="2795"/>
      <c r="RGT35" s="2795"/>
      <c r="RGU35" s="2795"/>
      <c r="RGV35" s="2795"/>
      <c r="RGW35" s="2795"/>
      <c r="RGX35" s="2795"/>
      <c r="RGY35" s="2795"/>
      <c r="RGZ35" s="2795"/>
      <c r="RHA35" s="2795"/>
      <c r="RHB35" s="2795"/>
      <c r="RHC35" s="2795"/>
      <c r="RHD35" s="2795"/>
      <c r="RHE35" s="2795"/>
      <c r="RHF35" s="2795"/>
      <c r="RHG35" s="2795"/>
      <c r="RHH35" s="2795"/>
      <c r="RHI35" s="2795"/>
      <c r="RHJ35" s="2795"/>
      <c r="RHK35" s="2795"/>
      <c r="RHL35" s="2795"/>
      <c r="RHM35" s="2795"/>
      <c r="RHN35" s="2795"/>
      <c r="RHO35" s="2795"/>
      <c r="RHP35" s="2795"/>
      <c r="RHQ35" s="2795"/>
      <c r="RHR35" s="2795"/>
      <c r="RHS35" s="2795"/>
      <c r="RHT35" s="2795"/>
      <c r="RHU35" s="2795"/>
      <c r="RHV35" s="2795"/>
      <c r="RHW35" s="2795"/>
      <c r="RHX35" s="2795"/>
      <c r="RHY35" s="2795"/>
      <c r="RHZ35" s="2795"/>
      <c r="RIA35" s="2795"/>
      <c r="RIB35" s="2795"/>
      <c r="RIC35" s="2795"/>
      <c r="RID35" s="2795"/>
      <c r="RIE35" s="2795"/>
      <c r="RIF35" s="2795"/>
      <c r="RIG35" s="2795"/>
      <c r="RIH35" s="2795"/>
      <c r="RII35" s="2795"/>
      <c r="RIJ35" s="2795"/>
      <c r="RIK35" s="2795"/>
      <c r="RIL35" s="2795"/>
      <c r="RIM35" s="2795"/>
      <c r="RIN35" s="2795"/>
      <c r="RIO35" s="2795"/>
      <c r="RIP35" s="2795"/>
      <c r="RIQ35" s="2795"/>
      <c r="RIR35" s="2795"/>
      <c r="RIS35" s="2795"/>
      <c r="RIT35" s="2795"/>
      <c r="RIU35" s="2795"/>
      <c r="RIV35" s="2795"/>
      <c r="RIW35" s="2795"/>
      <c r="RIX35" s="2795"/>
      <c r="RIY35" s="2795"/>
      <c r="RIZ35" s="2795"/>
      <c r="RJA35" s="2795"/>
      <c r="RJB35" s="2795"/>
      <c r="RJC35" s="2795"/>
      <c r="RJD35" s="2795"/>
      <c r="RJE35" s="2795"/>
      <c r="RJF35" s="2795"/>
      <c r="RJG35" s="2795"/>
      <c r="RJH35" s="2795"/>
      <c r="RJI35" s="2795"/>
      <c r="RJJ35" s="2795"/>
      <c r="RJK35" s="2795"/>
      <c r="RJL35" s="2795"/>
      <c r="RJM35" s="2795"/>
      <c r="RJN35" s="2795"/>
      <c r="RJO35" s="2795"/>
      <c r="RJP35" s="2795"/>
      <c r="RJQ35" s="2795"/>
      <c r="RJR35" s="2795"/>
      <c r="RJS35" s="2795"/>
      <c r="RJT35" s="2795"/>
      <c r="RJU35" s="2795"/>
      <c r="RJV35" s="2795"/>
      <c r="RJW35" s="2795"/>
      <c r="RJX35" s="2795"/>
      <c r="RJY35" s="2795"/>
      <c r="RJZ35" s="2795"/>
      <c r="RKA35" s="2795"/>
      <c r="RKB35" s="2795"/>
      <c r="RKC35" s="2795"/>
      <c r="RKD35" s="2795"/>
      <c r="RKE35" s="2795"/>
      <c r="RKF35" s="2795"/>
      <c r="RKG35" s="2795"/>
      <c r="RKH35" s="2795"/>
      <c r="RKI35" s="2795"/>
      <c r="RKJ35" s="2795"/>
      <c r="RKK35" s="2795"/>
      <c r="RKL35" s="2795"/>
      <c r="RKM35" s="2795"/>
      <c r="RKN35" s="2795"/>
      <c r="RKO35" s="2795"/>
      <c r="RKP35" s="2795"/>
      <c r="RKQ35" s="2795"/>
      <c r="RKR35" s="2795"/>
      <c r="RKS35" s="2795"/>
      <c r="RKT35" s="2795"/>
      <c r="RKU35" s="2795"/>
      <c r="RKV35" s="2795"/>
      <c r="RKW35" s="2795"/>
      <c r="RKX35" s="2795"/>
      <c r="RKY35" s="2795"/>
      <c r="RKZ35" s="2795"/>
      <c r="RLA35" s="2795"/>
      <c r="RLB35" s="2795"/>
      <c r="RLC35" s="2795"/>
      <c r="RLD35" s="2795"/>
      <c r="RLE35" s="2795"/>
      <c r="RLF35" s="2795"/>
      <c r="RLG35" s="2795"/>
      <c r="RLH35" s="2795"/>
      <c r="RLI35" s="2795"/>
      <c r="RLJ35" s="2795"/>
      <c r="RLK35" s="2795"/>
      <c r="RLL35" s="2795"/>
      <c r="RLM35" s="2795"/>
      <c r="RLN35" s="2795"/>
      <c r="RLO35" s="2795"/>
      <c r="RLP35" s="2795"/>
      <c r="RLQ35" s="2795"/>
      <c r="RLR35" s="2795"/>
      <c r="RLS35" s="2795"/>
      <c r="RLT35" s="2795"/>
      <c r="RLU35" s="2795"/>
      <c r="RLV35" s="2795"/>
      <c r="RLW35" s="2795"/>
      <c r="RLX35" s="2795"/>
      <c r="RLY35" s="2795"/>
      <c r="RLZ35" s="2795"/>
      <c r="RMA35" s="2795"/>
      <c r="RMB35" s="2795"/>
      <c r="RMC35" s="2795"/>
      <c r="RMD35" s="2795"/>
      <c r="RME35" s="2795"/>
      <c r="RMF35" s="2795"/>
      <c r="RMG35" s="2795"/>
      <c r="RMH35" s="2795"/>
      <c r="RMI35" s="2795"/>
      <c r="RMJ35" s="2795"/>
      <c r="RMK35" s="2795"/>
      <c r="RML35" s="2795"/>
      <c r="RMM35" s="2795"/>
      <c r="RMN35" s="2795"/>
      <c r="RMO35" s="2795"/>
      <c r="RMP35" s="2795"/>
      <c r="RMQ35" s="2795"/>
      <c r="RMR35" s="2795"/>
      <c r="RMS35" s="2795"/>
      <c r="RMT35" s="2795"/>
      <c r="RMU35" s="2795"/>
      <c r="RMV35" s="2795"/>
      <c r="RMW35" s="2795"/>
      <c r="RMX35" s="2795"/>
      <c r="RMY35" s="2795"/>
      <c r="RMZ35" s="2795"/>
      <c r="RNA35" s="2795"/>
      <c r="RNB35" s="2795"/>
      <c r="RNC35" s="2795"/>
      <c r="RND35" s="2795"/>
      <c r="RNE35" s="2795"/>
      <c r="RNF35" s="2795"/>
      <c r="RNG35" s="2795"/>
      <c r="RNH35" s="2795"/>
      <c r="RNI35" s="2795"/>
      <c r="RNJ35" s="2795"/>
      <c r="RNK35" s="2795"/>
      <c r="RNL35" s="2795"/>
      <c r="RNM35" s="2795"/>
      <c r="RNN35" s="2795"/>
      <c r="RNO35" s="2795"/>
      <c r="RNP35" s="2795"/>
      <c r="RNQ35" s="2795"/>
      <c r="RNR35" s="2795"/>
      <c r="RNS35" s="2795"/>
      <c r="RNT35" s="2795"/>
      <c r="RNU35" s="2795"/>
      <c r="RNV35" s="2795"/>
      <c r="RNW35" s="2795"/>
      <c r="RNX35" s="2795"/>
      <c r="RNY35" s="2795"/>
      <c r="RNZ35" s="2795"/>
      <c r="ROA35" s="2795"/>
      <c r="ROB35" s="2795"/>
      <c r="ROC35" s="2795"/>
      <c r="ROD35" s="2795"/>
      <c r="ROE35" s="2795"/>
      <c r="ROF35" s="2795"/>
      <c r="ROG35" s="2795"/>
      <c r="ROH35" s="2795"/>
      <c r="ROI35" s="2795"/>
      <c r="ROJ35" s="2795"/>
      <c r="ROK35" s="2795"/>
      <c r="ROL35" s="2795"/>
      <c r="ROM35" s="2795"/>
      <c r="RON35" s="2795"/>
      <c r="ROO35" s="2795"/>
      <c r="ROP35" s="2795"/>
      <c r="ROQ35" s="2795"/>
      <c r="ROR35" s="2795"/>
      <c r="ROS35" s="2795"/>
      <c r="ROT35" s="2795"/>
      <c r="ROU35" s="2795"/>
      <c r="ROV35" s="2795"/>
      <c r="ROW35" s="2795"/>
      <c r="ROX35" s="2795"/>
      <c r="ROY35" s="2795"/>
      <c r="ROZ35" s="2795"/>
      <c r="RPA35" s="2795"/>
      <c r="RPB35" s="2795"/>
      <c r="RPC35" s="2795"/>
      <c r="RPD35" s="2795"/>
      <c r="RPE35" s="2795"/>
      <c r="RPF35" s="2795"/>
      <c r="RPG35" s="2795"/>
      <c r="RPH35" s="2795"/>
      <c r="RPI35" s="2795"/>
      <c r="RPJ35" s="2795"/>
      <c r="RPK35" s="2795"/>
      <c r="RPL35" s="2795"/>
      <c r="RPM35" s="2795"/>
      <c r="RPN35" s="2795"/>
      <c r="RPO35" s="2795"/>
      <c r="RPP35" s="2795"/>
      <c r="RPQ35" s="2795"/>
      <c r="RPR35" s="2795"/>
      <c r="RPS35" s="2795"/>
      <c r="RPT35" s="2795"/>
      <c r="RPU35" s="2795"/>
      <c r="RPV35" s="2795"/>
      <c r="RPW35" s="2795"/>
      <c r="RPX35" s="2795"/>
      <c r="RPY35" s="2795"/>
      <c r="RPZ35" s="2795"/>
      <c r="RQA35" s="2795"/>
      <c r="RQB35" s="2795"/>
      <c r="RQC35" s="2795"/>
      <c r="RQD35" s="2795"/>
      <c r="RQE35" s="2795"/>
      <c r="RQF35" s="2795"/>
      <c r="RQG35" s="2795"/>
      <c r="RQH35" s="2795"/>
      <c r="RQI35" s="2795"/>
      <c r="RQJ35" s="2795"/>
      <c r="RQK35" s="2795"/>
      <c r="RQL35" s="2795"/>
      <c r="RQM35" s="2795"/>
      <c r="RQN35" s="2795"/>
      <c r="RQO35" s="2795"/>
      <c r="RQP35" s="2795"/>
      <c r="RQQ35" s="2795"/>
      <c r="RQR35" s="2795"/>
      <c r="RQS35" s="2795"/>
      <c r="RQT35" s="2795"/>
      <c r="RQU35" s="2795"/>
      <c r="RQV35" s="2795"/>
      <c r="RQW35" s="2795"/>
      <c r="RQX35" s="2795"/>
      <c r="RQY35" s="2795"/>
      <c r="RQZ35" s="2795"/>
      <c r="RRA35" s="2795"/>
      <c r="RRB35" s="2795"/>
      <c r="RRC35" s="2795"/>
      <c r="RRD35" s="2795"/>
      <c r="RRE35" s="2795"/>
      <c r="RRF35" s="2795"/>
      <c r="RRG35" s="2795"/>
      <c r="RRH35" s="2795"/>
      <c r="RRI35" s="2795"/>
      <c r="RRJ35" s="2795"/>
      <c r="RRK35" s="2795"/>
      <c r="RRL35" s="2795"/>
      <c r="RRM35" s="2795"/>
      <c r="RRN35" s="2795"/>
      <c r="RRO35" s="2795"/>
      <c r="RRP35" s="2795"/>
      <c r="RRQ35" s="2795"/>
      <c r="RRR35" s="2795"/>
      <c r="RRS35" s="2795"/>
      <c r="RRT35" s="2795"/>
      <c r="RRU35" s="2795"/>
      <c r="RRV35" s="2795"/>
      <c r="RRW35" s="2795"/>
      <c r="RRX35" s="2795"/>
      <c r="RRY35" s="2795"/>
      <c r="RRZ35" s="2795"/>
      <c r="RSA35" s="2795"/>
      <c r="RSB35" s="2795"/>
      <c r="RSC35" s="2795"/>
      <c r="RSD35" s="2795"/>
      <c r="RSE35" s="2795"/>
      <c r="RSF35" s="2795"/>
      <c r="RSG35" s="2795"/>
      <c r="RSH35" s="2795"/>
      <c r="RSI35" s="2795"/>
      <c r="RSJ35" s="2795"/>
      <c r="RSK35" s="2795"/>
      <c r="RSL35" s="2795"/>
      <c r="RSM35" s="2795"/>
      <c r="RSN35" s="2795"/>
      <c r="RSO35" s="2795"/>
      <c r="RSP35" s="2795"/>
      <c r="RSQ35" s="2795"/>
      <c r="RSR35" s="2795"/>
      <c r="RSS35" s="2795"/>
      <c r="RST35" s="2795"/>
      <c r="RSU35" s="2795"/>
      <c r="RSV35" s="2795"/>
      <c r="RSW35" s="2795"/>
      <c r="RSX35" s="2795"/>
      <c r="RSY35" s="2795"/>
      <c r="RSZ35" s="2795"/>
      <c r="RTA35" s="2795"/>
      <c r="RTB35" s="2795"/>
      <c r="RTC35" s="2795"/>
      <c r="RTD35" s="2795"/>
      <c r="RTE35" s="2795"/>
      <c r="RTF35" s="2795"/>
      <c r="RTG35" s="2795"/>
      <c r="RTH35" s="2795"/>
      <c r="RTI35" s="2795"/>
      <c r="RTJ35" s="2795"/>
      <c r="RTK35" s="2795"/>
      <c r="RTL35" s="2795"/>
      <c r="RTM35" s="2795"/>
      <c r="RTN35" s="2795"/>
      <c r="RTO35" s="2795"/>
      <c r="RTP35" s="2795"/>
      <c r="RTQ35" s="2795"/>
      <c r="RTR35" s="2795"/>
      <c r="RTS35" s="2795"/>
      <c r="RTT35" s="2795"/>
      <c r="RTU35" s="2795"/>
      <c r="RTV35" s="2795"/>
      <c r="RTW35" s="2795"/>
      <c r="RTX35" s="2795"/>
      <c r="RTY35" s="2795"/>
      <c r="RTZ35" s="2795"/>
      <c r="RUA35" s="2795"/>
      <c r="RUB35" s="2795"/>
      <c r="RUC35" s="2795"/>
      <c r="RUD35" s="2795"/>
      <c r="RUE35" s="2795"/>
      <c r="RUF35" s="2795"/>
      <c r="RUG35" s="2795"/>
      <c r="RUH35" s="2795"/>
      <c r="RUI35" s="2795"/>
      <c r="RUJ35" s="2795"/>
      <c r="RUK35" s="2795"/>
      <c r="RUL35" s="2795"/>
      <c r="RUM35" s="2795"/>
      <c r="RUN35" s="2795"/>
      <c r="RUO35" s="2795"/>
      <c r="RUP35" s="2795"/>
      <c r="RUQ35" s="2795"/>
      <c r="RUR35" s="2795"/>
      <c r="RUS35" s="2795"/>
      <c r="RUT35" s="2795"/>
      <c r="RUU35" s="2795"/>
      <c r="RUV35" s="2795"/>
      <c r="RUW35" s="2795"/>
      <c r="RUX35" s="2795"/>
      <c r="RUY35" s="2795"/>
      <c r="RUZ35" s="2795"/>
      <c r="RVA35" s="2795"/>
      <c r="RVB35" s="2795"/>
      <c r="RVC35" s="2795"/>
      <c r="RVD35" s="2795"/>
      <c r="RVE35" s="2795"/>
      <c r="RVF35" s="2795"/>
      <c r="RVG35" s="2795"/>
      <c r="RVH35" s="2795"/>
      <c r="RVI35" s="2795"/>
      <c r="RVJ35" s="2795"/>
      <c r="RVK35" s="2795"/>
      <c r="RVL35" s="2795"/>
      <c r="RVM35" s="2795"/>
      <c r="RVN35" s="2795"/>
      <c r="RVO35" s="2795"/>
      <c r="RVP35" s="2795"/>
      <c r="RVQ35" s="2795"/>
      <c r="RVR35" s="2795"/>
      <c r="RVS35" s="2795"/>
      <c r="RVT35" s="2795"/>
      <c r="RVU35" s="2795"/>
      <c r="RVV35" s="2795"/>
      <c r="RVW35" s="2795"/>
      <c r="RVX35" s="2795"/>
      <c r="RVY35" s="2795"/>
      <c r="RVZ35" s="2795"/>
      <c r="RWA35" s="2795"/>
      <c r="RWB35" s="2795"/>
      <c r="RWC35" s="2795"/>
      <c r="RWD35" s="2795"/>
      <c r="RWE35" s="2795"/>
      <c r="RWF35" s="2795"/>
      <c r="RWG35" s="2795"/>
      <c r="RWH35" s="2795"/>
      <c r="RWI35" s="2795"/>
      <c r="RWJ35" s="2795"/>
      <c r="RWK35" s="2795"/>
      <c r="RWL35" s="2795"/>
      <c r="RWM35" s="2795"/>
      <c r="RWN35" s="2795"/>
      <c r="RWO35" s="2795"/>
      <c r="RWP35" s="2795"/>
      <c r="RWQ35" s="2795"/>
      <c r="RWR35" s="2795"/>
      <c r="RWS35" s="2795"/>
      <c r="RWT35" s="2795"/>
      <c r="RWU35" s="2795"/>
      <c r="RWV35" s="2795"/>
      <c r="RWW35" s="2795"/>
      <c r="RWX35" s="2795"/>
      <c r="RWY35" s="2795"/>
      <c r="RWZ35" s="2795"/>
      <c r="RXA35" s="2795"/>
      <c r="RXB35" s="2795"/>
      <c r="RXC35" s="2795"/>
      <c r="RXD35" s="2795"/>
      <c r="RXE35" s="2795"/>
      <c r="RXF35" s="2795"/>
      <c r="RXG35" s="2795"/>
      <c r="RXH35" s="2795"/>
      <c r="RXI35" s="2795"/>
      <c r="RXJ35" s="2795"/>
      <c r="RXK35" s="2795"/>
      <c r="RXL35" s="2795"/>
      <c r="RXM35" s="2795"/>
      <c r="RXN35" s="2795"/>
      <c r="RXO35" s="2795"/>
      <c r="RXP35" s="2795"/>
      <c r="RXQ35" s="2795"/>
      <c r="RXR35" s="2795"/>
      <c r="RXS35" s="2795"/>
      <c r="RXT35" s="2795"/>
      <c r="RXU35" s="2795"/>
      <c r="RXV35" s="2795"/>
      <c r="RXW35" s="2795"/>
      <c r="RXX35" s="2795"/>
      <c r="RXY35" s="2795"/>
      <c r="RXZ35" s="2795"/>
      <c r="RYA35" s="2795"/>
      <c r="RYB35" s="2795"/>
      <c r="RYC35" s="2795"/>
      <c r="RYD35" s="2795"/>
      <c r="RYE35" s="2795"/>
      <c r="RYF35" s="2795"/>
      <c r="RYG35" s="2795"/>
      <c r="RYH35" s="2795"/>
      <c r="RYI35" s="2795"/>
      <c r="RYJ35" s="2795"/>
      <c r="RYK35" s="2795"/>
      <c r="RYL35" s="2795"/>
      <c r="RYM35" s="2795"/>
      <c r="RYN35" s="2795"/>
      <c r="RYO35" s="2795"/>
      <c r="RYP35" s="2795"/>
      <c r="RYQ35" s="2795"/>
      <c r="RYR35" s="2795"/>
      <c r="RYS35" s="2795"/>
      <c r="RYT35" s="2795"/>
      <c r="RYU35" s="2795"/>
      <c r="RYV35" s="2795"/>
      <c r="RYW35" s="2795"/>
      <c r="RYX35" s="2795"/>
      <c r="RYY35" s="2795"/>
      <c r="RYZ35" s="2795"/>
      <c r="RZA35" s="2795"/>
      <c r="RZB35" s="2795"/>
      <c r="RZC35" s="2795"/>
      <c r="RZD35" s="2795"/>
      <c r="RZE35" s="2795"/>
      <c r="RZF35" s="2795"/>
      <c r="RZG35" s="2795"/>
      <c r="RZH35" s="2795"/>
      <c r="RZI35" s="2795"/>
      <c r="RZJ35" s="2795"/>
      <c r="RZK35" s="2795"/>
      <c r="RZL35" s="2795"/>
      <c r="RZM35" s="2795"/>
      <c r="RZN35" s="2795"/>
      <c r="RZO35" s="2795"/>
      <c r="RZP35" s="2795"/>
      <c r="RZQ35" s="2795"/>
      <c r="RZR35" s="2795"/>
      <c r="RZS35" s="2795"/>
      <c r="RZT35" s="2795"/>
      <c r="RZU35" s="2795"/>
      <c r="RZV35" s="2795"/>
      <c r="RZW35" s="2795"/>
      <c r="RZX35" s="2795"/>
      <c r="RZY35" s="2795"/>
      <c r="RZZ35" s="2795"/>
      <c r="SAA35" s="2795"/>
      <c r="SAB35" s="2795"/>
      <c r="SAC35" s="2795"/>
      <c r="SAD35" s="2795"/>
      <c r="SAE35" s="2795"/>
      <c r="SAF35" s="2795"/>
      <c r="SAG35" s="2795"/>
      <c r="SAH35" s="2795"/>
      <c r="SAI35" s="2795"/>
      <c r="SAJ35" s="2795"/>
      <c r="SAK35" s="2795"/>
      <c r="SAL35" s="2795"/>
      <c r="SAM35" s="2795"/>
      <c r="SAN35" s="2795"/>
      <c r="SAO35" s="2795"/>
      <c r="SAP35" s="2795"/>
      <c r="SAQ35" s="2795"/>
      <c r="SAR35" s="2795"/>
      <c r="SAS35" s="2795"/>
      <c r="SAT35" s="2795"/>
      <c r="SAU35" s="2795"/>
      <c r="SAV35" s="2795"/>
      <c r="SAW35" s="2795"/>
      <c r="SAX35" s="2795"/>
      <c r="SAY35" s="2795"/>
      <c r="SAZ35" s="2795"/>
      <c r="SBA35" s="2795"/>
      <c r="SBB35" s="2795"/>
      <c r="SBC35" s="2795"/>
      <c r="SBD35" s="2795"/>
      <c r="SBE35" s="2795"/>
      <c r="SBF35" s="2795"/>
      <c r="SBG35" s="2795"/>
      <c r="SBH35" s="2795"/>
      <c r="SBI35" s="2795"/>
      <c r="SBJ35" s="2795"/>
      <c r="SBK35" s="2795"/>
      <c r="SBL35" s="2795"/>
      <c r="SBM35" s="2795"/>
      <c r="SBN35" s="2795"/>
      <c r="SBO35" s="2795"/>
      <c r="SBP35" s="2795"/>
      <c r="SBQ35" s="2795"/>
      <c r="SBR35" s="2795"/>
      <c r="SBS35" s="2795"/>
      <c r="SBT35" s="2795"/>
      <c r="SBU35" s="2795"/>
      <c r="SBV35" s="2795"/>
      <c r="SBW35" s="2795"/>
      <c r="SBX35" s="2795"/>
      <c r="SBY35" s="2795"/>
      <c r="SBZ35" s="2795"/>
      <c r="SCA35" s="2795"/>
      <c r="SCB35" s="2795"/>
      <c r="SCC35" s="2795"/>
      <c r="SCD35" s="2795"/>
      <c r="SCE35" s="2795"/>
      <c r="SCF35" s="2795"/>
      <c r="SCG35" s="2795"/>
      <c r="SCH35" s="2795"/>
      <c r="SCI35" s="2795"/>
      <c r="SCJ35" s="2795"/>
      <c r="SCK35" s="2795"/>
      <c r="SCL35" s="2795"/>
      <c r="SCM35" s="2795"/>
      <c r="SCN35" s="2795"/>
      <c r="SCO35" s="2795"/>
      <c r="SCP35" s="2795"/>
      <c r="SCQ35" s="2795"/>
      <c r="SCR35" s="2795"/>
      <c r="SCS35" s="2795"/>
      <c r="SCT35" s="2795"/>
      <c r="SCU35" s="2795"/>
      <c r="SCV35" s="2795"/>
      <c r="SCW35" s="2795"/>
      <c r="SCX35" s="2795"/>
      <c r="SCY35" s="2795"/>
      <c r="SCZ35" s="2795"/>
      <c r="SDA35" s="2795"/>
      <c r="SDB35" s="2795"/>
      <c r="SDC35" s="2795"/>
      <c r="SDD35" s="2795"/>
      <c r="SDE35" s="2795"/>
      <c r="SDF35" s="2795"/>
      <c r="SDG35" s="2795"/>
      <c r="SDH35" s="2795"/>
      <c r="SDI35" s="2795"/>
      <c r="SDJ35" s="2795"/>
      <c r="SDK35" s="2795"/>
      <c r="SDL35" s="2795"/>
      <c r="SDM35" s="2795"/>
      <c r="SDN35" s="2795"/>
      <c r="SDO35" s="2795"/>
      <c r="SDP35" s="2795"/>
      <c r="SDQ35" s="2795"/>
      <c r="SDR35" s="2795"/>
      <c r="SDS35" s="2795"/>
      <c r="SDT35" s="2795"/>
      <c r="SDU35" s="2795"/>
      <c r="SDV35" s="2795"/>
      <c r="SDW35" s="2795"/>
      <c r="SDX35" s="2795"/>
      <c r="SDY35" s="2795"/>
      <c r="SDZ35" s="2795"/>
      <c r="SEA35" s="2795"/>
      <c r="SEB35" s="2795"/>
      <c r="SEC35" s="2795"/>
      <c r="SED35" s="2795"/>
      <c r="SEE35" s="2795"/>
      <c r="SEF35" s="2795"/>
      <c r="SEG35" s="2795"/>
      <c r="SEH35" s="2795"/>
      <c r="SEI35" s="2795"/>
      <c r="SEJ35" s="2795"/>
      <c r="SEK35" s="2795"/>
      <c r="SEL35" s="2795"/>
      <c r="SEM35" s="2795"/>
      <c r="SEN35" s="2795"/>
      <c r="SEO35" s="2795"/>
      <c r="SEP35" s="2795"/>
      <c r="SEQ35" s="2795"/>
      <c r="SER35" s="2795"/>
      <c r="SES35" s="2795"/>
      <c r="SET35" s="2795"/>
      <c r="SEU35" s="2795"/>
      <c r="SEV35" s="2795"/>
      <c r="SEW35" s="2795"/>
      <c r="SEX35" s="2795"/>
      <c r="SEY35" s="2795"/>
      <c r="SEZ35" s="2795"/>
      <c r="SFA35" s="2795"/>
      <c r="SFB35" s="2795"/>
      <c r="SFC35" s="2795"/>
      <c r="SFD35" s="2795"/>
      <c r="SFE35" s="2795"/>
      <c r="SFF35" s="2795"/>
      <c r="SFG35" s="2795"/>
      <c r="SFH35" s="2795"/>
      <c r="SFI35" s="2795"/>
      <c r="SFJ35" s="2795"/>
      <c r="SFK35" s="2795"/>
      <c r="SFL35" s="2795"/>
      <c r="SFM35" s="2795"/>
      <c r="SFN35" s="2795"/>
      <c r="SFO35" s="2795"/>
      <c r="SFP35" s="2795"/>
      <c r="SFQ35" s="2795"/>
      <c r="SFR35" s="2795"/>
      <c r="SFS35" s="2795"/>
      <c r="SFT35" s="2795"/>
      <c r="SFU35" s="2795"/>
      <c r="SFV35" s="2795"/>
      <c r="SFW35" s="2795"/>
      <c r="SFX35" s="2795"/>
      <c r="SFY35" s="2795"/>
      <c r="SFZ35" s="2795"/>
      <c r="SGA35" s="2795"/>
      <c r="SGB35" s="2795"/>
      <c r="SGC35" s="2795"/>
      <c r="SGD35" s="2795"/>
      <c r="SGE35" s="2795"/>
      <c r="SGF35" s="2795"/>
      <c r="SGG35" s="2795"/>
      <c r="SGH35" s="2795"/>
      <c r="SGI35" s="2795"/>
      <c r="SGJ35" s="2795"/>
      <c r="SGK35" s="2795"/>
      <c r="SGL35" s="2795"/>
      <c r="SGM35" s="2795"/>
      <c r="SGN35" s="2795"/>
      <c r="SGO35" s="2795"/>
      <c r="SGP35" s="2795"/>
      <c r="SGQ35" s="2795"/>
      <c r="SGR35" s="2795"/>
      <c r="SGS35" s="2795"/>
      <c r="SGT35" s="2795"/>
      <c r="SGU35" s="2795"/>
      <c r="SGV35" s="2795"/>
      <c r="SGW35" s="2795"/>
      <c r="SGX35" s="2795"/>
      <c r="SGY35" s="2795"/>
      <c r="SGZ35" s="2795"/>
      <c r="SHA35" s="2795"/>
      <c r="SHB35" s="2795"/>
      <c r="SHC35" s="2795"/>
      <c r="SHD35" s="2795"/>
      <c r="SHE35" s="2795"/>
      <c r="SHF35" s="2795"/>
      <c r="SHG35" s="2795"/>
      <c r="SHH35" s="2795"/>
      <c r="SHI35" s="2795"/>
      <c r="SHJ35" s="2795"/>
      <c r="SHK35" s="2795"/>
      <c r="SHL35" s="2795"/>
      <c r="SHM35" s="2795"/>
      <c r="SHN35" s="2795"/>
      <c r="SHO35" s="2795"/>
      <c r="SHP35" s="2795"/>
      <c r="SHQ35" s="2795"/>
      <c r="SHR35" s="2795"/>
      <c r="SHS35" s="2795"/>
      <c r="SHT35" s="2795"/>
      <c r="SHU35" s="2795"/>
      <c r="SHV35" s="2795"/>
      <c r="SHW35" s="2795"/>
      <c r="SHX35" s="2795"/>
      <c r="SHY35" s="2795"/>
      <c r="SHZ35" s="2795"/>
      <c r="SIA35" s="2795"/>
      <c r="SIB35" s="2795"/>
      <c r="SIC35" s="2795"/>
      <c r="SID35" s="2795"/>
      <c r="SIE35" s="2795"/>
      <c r="SIF35" s="2795"/>
      <c r="SIG35" s="2795"/>
      <c r="SIH35" s="2795"/>
      <c r="SII35" s="2795"/>
      <c r="SIJ35" s="2795"/>
      <c r="SIK35" s="2795"/>
      <c r="SIL35" s="2795"/>
      <c r="SIM35" s="2795"/>
      <c r="SIN35" s="2795"/>
      <c r="SIO35" s="2795"/>
      <c r="SIP35" s="2795"/>
      <c r="SIQ35" s="2795"/>
      <c r="SIR35" s="2795"/>
      <c r="SIS35" s="2795"/>
      <c r="SIT35" s="2795"/>
      <c r="SIU35" s="2795"/>
      <c r="SIV35" s="2795"/>
      <c r="SIW35" s="2795"/>
      <c r="SIX35" s="2795"/>
      <c r="SIY35" s="2795"/>
      <c r="SIZ35" s="2795"/>
      <c r="SJA35" s="2795"/>
      <c r="SJB35" s="2795"/>
      <c r="SJC35" s="2795"/>
      <c r="SJD35" s="2795"/>
      <c r="SJE35" s="2795"/>
      <c r="SJF35" s="2795"/>
      <c r="SJG35" s="2795"/>
      <c r="SJH35" s="2795"/>
      <c r="SJI35" s="2795"/>
      <c r="SJJ35" s="2795"/>
      <c r="SJK35" s="2795"/>
      <c r="SJL35" s="2795"/>
      <c r="SJM35" s="2795"/>
      <c r="SJN35" s="2795"/>
      <c r="SJO35" s="2795"/>
      <c r="SJP35" s="2795"/>
      <c r="SJQ35" s="2795"/>
      <c r="SJR35" s="2795"/>
      <c r="SJS35" s="2795"/>
      <c r="SJT35" s="2795"/>
      <c r="SJU35" s="2795"/>
      <c r="SJV35" s="2795"/>
      <c r="SJW35" s="2795"/>
      <c r="SJX35" s="2795"/>
      <c r="SJY35" s="2795"/>
      <c r="SJZ35" s="2795"/>
      <c r="SKA35" s="2795"/>
      <c r="SKB35" s="2795"/>
      <c r="SKC35" s="2795"/>
      <c r="SKD35" s="2795"/>
      <c r="SKE35" s="2795"/>
      <c r="SKF35" s="2795"/>
      <c r="SKG35" s="2795"/>
      <c r="SKH35" s="2795"/>
      <c r="SKI35" s="2795"/>
      <c r="SKJ35" s="2795"/>
      <c r="SKK35" s="2795"/>
      <c r="SKL35" s="2795"/>
      <c r="SKM35" s="2795"/>
      <c r="SKN35" s="2795"/>
      <c r="SKO35" s="2795"/>
      <c r="SKP35" s="2795"/>
      <c r="SKQ35" s="2795"/>
      <c r="SKR35" s="2795"/>
      <c r="SKS35" s="2795"/>
      <c r="SKT35" s="2795"/>
      <c r="SKU35" s="2795"/>
      <c r="SKV35" s="2795"/>
      <c r="SKW35" s="2795"/>
      <c r="SKX35" s="2795"/>
      <c r="SKY35" s="2795"/>
      <c r="SKZ35" s="2795"/>
      <c r="SLA35" s="2795"/>
      <c r="SLB35" s="2795"/>
      <c r="SLC35" s="2795"/>
      <c r="SLD35" s="2795"/>
      <c r="SLE35" s="2795"/>
      <c r="SLF35" s="2795"/>
      <c r="SLG35" s="2795"/>
      <c r="SLH35" s="2795"/>
      <c r="SLI35" s="2795"/>
      <c r="SLJ35" s="2795"/>
      <c r="SLK35" s="2795"/>
      <c r="SLL35" s="2795"/>
      <c r="SLM35" s="2795"/>
      <c r="SLN35" s="2795"/>
      <c r="SLO35" s="2795"/>
      <c r="SLP35" s="2795"/>
      <c r="SLQ35" s="2795"/>
      <c r="SLR35" s="2795"/>
      <c r="SLS35" s="2795"/>
      <c r="SLT35" s="2795"/>
      <c r="SLU35" s="2795"/>
      <c r="SLV35" s="2795"/>
      <c r="SLW35" s="2795"/>
      <c r="SLX35" s="2795"/>
      <c r="SLY35" s="2795"/>
      <c r="SLZ35" s="2795"/>
      <c r="SMA35" s="2795"/>
      <c r="SMB35" s="2795"/>
      <c r="SMC35" s="2795"/>
      <c r="SMD35" s="2795"/>
      <c r="SME35" s="2795"/>
      <c r="SMF35" s="2795"/>
      <c r="SMG35" s="2795"/>
      <c r="SMH35" s="2795"/>
      <c r="SMI35" s="2795"/>
      <c r="SMJ35" s="2795"/>
      <c r="SMK35" s="2795"/>
      <c r="SML35" s="2795"/>
      <c r="SMM35" s="2795"/>
      <c r="SMN35" s="2795"/>
      <c r="SMO35" s="2795"/>
      <c r="SMP35" s="2795"/>
      <c r="SMQ35" s="2795"/>
      <c r="SMR35" s="2795"/>
      <c r="SMS35" s="2795"/>
      <c r="SMT35" s="2795"/>
      <c r="SMU35" s="2795"/>
      <c r="SMV35" s="2795"/>
      <c r="SMW35" s="2795"/>
      <c r="SMX35" s="2795"/>
      <c r="SMY35" s="2795"/>
      <c r="SMZ35" s="2795"/>
      <c r="SNA35" s="2795"/>
      <c r="SNB35" s="2795"/>
      <c r="SNC35" s="2795"/>
      <c r="SND35" s="2795"/>
      <c r="SNE35" s="2795"/>
      <c r="SNF35" s="2795"/>
      <c r="SNG35" s="2795"/>
      <c r="SNH35" s="2795"/>
      <c r="SNI35" s="2795"/>
      <c r="SNJ35" s="2795"/>
      <c r="SNK35" s="2795"/>
      <c r="SNL35" s="2795"/>
      <c r="SNM35" s="2795"/>
      <c r="SNN35" s="2795"/>
      <c r="SNO35" s="2795"/>
      <c r="SNP35" s="2795"/>
      <c r="SNQ35" s="2795"/>
      <c r="SNR35" s="2795"/>
      <c r="SNS35" s="2795"/>
      <c r="SNT35" s="2795"/>
      <c r="SNU35" s="2795"/>
      <c r="SNV35" s="2795"/>
      <c r="SNW35" s="2795"/>
      <c r="SNX35" s="2795"/>
      <c r="SNY35" s="2795"/>
      <c r="SNZ35" s="2795"/>
      <c r="SOA35" s="2795"/>
      <c r="SOB35" s="2795"/>
      <c r="SOC35" s="2795"/>
      <c r="SOD35" s="2795"/>
      <c r="SOE35" s="2795"/>
      <c r="SOF35" s="2795"/>
      <c r="SOG35" s="2795"/>
      <c r="SOH35" s="2795"/>
      <c r="SOI35" s="2795"/>
      <c r="SOJ35" s="2795"/>
      <c r="SOK35" s="2795"/>
      <c r="SOL35" s="2795"/>
      <c r="SOM35" s="2795"/>
      <c r="SON35" s="2795"/>
      <c r="SOO35" s="2795"/>
      <c r="SOP35" s="2795"/>
      <c r="SOQ35" s="2795"/>
      <c r="SOR35" s="2795"/>
      <c r="SOS35" s="2795"/>
      <c r="SOT35" s="2795"/>
      <c r="SOU35" s="2795"/>
      <c r="SOV35" s="2795"/>
      <c r="SOW35" s="2795"/>
      <c r="SOX35" s="2795"/>
      <c r="SOY35" s="2795"/>
      <c r="SOZ35" s="2795"/>
      <c r="SPA35" s="2795"/>
      <c r="SPB35" s="2795"/>
      <c r="SPC35" s="2795"/>
      <c r="SPD35" s="2795"/>
      <c r="SPE35" s="2795"/>
      <c r="SPF35" s="2795"/>
      <c r="SPG35" s="2795"/>
      <c r="SPH35" s="2795"/>
      <c r="SPI35" s="2795"/>
      <c r="SPJ35" s="2795"/>
      <c r="SPK35" s="2795"/>
      <c r="SPL35" s="2795"/>
      <c r="SPM35" s="2795"/>
      <c r="SPN35" s="2795"/>
      <c r="SPO35" s="2795"/>
      <c r="SPP35" s="2795"/>
      <c r="SPQ35" s="2795"/>
      <c r="SPR35" s="2795"/>
      <c r="SPS35" s="2795"/>
      <c r="SPT35" s="2795"/>
      <c r="SPU35" s="2795"/>
      <c r="SPV35" s="2795"/>
      <c r="SPW35" s="2795"/>
      <c r="SPX35" s="2795"/>
      <c r="SPY35" s="2795"/>
      <c r="SPZ35" s="2795"/>
      <c r="SQA35" s="2795"/>
      <c r="SQB35" s="2795"/>
      <c r="SQC35" s="2795"/>
      <c r="SQD35" s="2795"/>
      <c r="SQE35" s="2795"/>
      <c r="SQF35" s="2795"/>
      <c r="SQG35" s="2795"/>
      <c r="SQH35" s="2795"/>
      <c r="SQI35" s="2795"/>
      <c r="SQJ35" s="2795"/>
      <c r="SQK35" s="2795"/>
      <c r="SQL35" s="2795"/>
      <c r="SQM35" s="2795"/>
      <c r="SQN35" s="2795"/>
      <c r="SQO35" s="2795"/>
      <c r="SQP35" s="2795"/>
      <c r="SQQ35" s="2795"/>
      <c r="SQR35" s="2795"/>
      <c r="SQS35" s="2795"/>
      <c r="SQT35" s="2795"/>
      <c r="SQU35" s="2795"/>
      <c r="SQV35" s="2795"/>
      <c r="SQW35" s="2795"/>
      <c r="SQX35" s="2795"/>
      <c r="SQY35" s="2795"/>
      <c r="SQZ35" s="2795"/>
      <c r="SRA35" s="2795"/>
      <c r="SRB35" s="2795"/>
      <c r="SRC35" s="2795"/>
      <c r="SRD35" s="2795"/>
      <c r="SRE35" s="2795"/>
      <c r="SRF35" s="2795"/>
      <c r="SRG35" s="2795"/>
      <c r="SRH35" s="2795"/>
      <c r="SRI35" s="2795"/>
      <c r="SRJ35" s="2795"/>
      <c r="SRK35" s="2795"/>
      <c r="SRL35" s="2795"/>
      <c r="SRM35" s="2795"/>
      <c r="SRN35" s="2795"/>
      <c r="SRO35" s="2795"/>
      <c r="SRP35" s="2795"/>
      <c r="SRQ35" s="2795"/>
      <c r="SRR35" s="2795"/>
      <c r="SRS35" s="2795"/>
      <c r="SRT35" s="2795"/>
      <c r="SRU35" s="2795"/>
      <c r="SRV35" s="2795"/>
      <c r="SRW35" s="2795"/>
      <c r="SRX35" s="2795"/>
      <c r="SRY35" s="2795"/>
      <c r="SRZ35" s="2795"/>
      <c r="SSA35" s="2795"/>
      <c r="SSB35" s="2795"/>
      <c r="SSC35" s="2795"/>
      <c r="SSD35" s="2795"/>
      <c r="SSE35" s="2795"/>
      <c r="SSF35" s="2795"/>
      <c r="SSG35" s="2795"/>
      <c r="SSH35" s="2795"/>
      <c r="SSI35" s="2795"/>
      <c r="SSJ35" s="2795"/>
      <c r="SSK35" s="2795"/>
      <c r="SSL35" s="2795"/>
      <c r="SSM35" s="2795"/>
      <c r="SSN35" s="2795"/>
      <c r="SSO35" s="2795"/>
      <c r="SSP35" s="2795"/>
      <c r="SSQ35" s="2795"/>
      <c r="SSR35" s="2795"/>
      <c r="SSS35" s="2795"/>
      <c r="SST35" s="2795"/>
      <c r="SSU35" s="2795"/>
      <c r="SSV35" s="2795"/>
      <c r="SSW35" s="2795"/>
      <c r="SSX35" s="2795"/>
      <c r="SSY35" s="2795"/>
      <c r="SSZ35" s="2795"/>
      <c r="STA35" s="2795"/>
      <c r="STB35" s="2795"/>
      <c r="STC35" s="2795"/>
      <c r="STD35" s="2795"/>
      <c r="STE35" s="2795"/>
      <c r="STF35" s="2795"/>
      <c r="STG35" s="2795"/>
      <c r="STH35" s="2795"/>
      <c r="STI35" s="2795"/>
      <c r="STJ35" s="2795"/>
      <c r="STK35" s="2795"/>
      <c r="STL35" s="2795"/>
      <c r="STM35" s="2795"/>
      <c r="STN35" s="2795"/>
      <c r="STO35" s="2795"/>
      <c r="STP35" s="2795"/>
      <c r="STQ35" s="2795"/>
      <c r="STR35" s="2795"/>
      <c r="STS35" s="2795"/>
      <c r="STT35" s="2795"/>
      <c r="STU35" s="2795"/>
      <c r="STV35" s="2795"/>
      <c r="STW35" s="2795"/>
      <c r="STX35" s="2795"/>
      <c r="STY35" s="2795"/>
      <c r="STZ35" s="2795"/>
      <c r="SUA35" s="2795"/>
      <c r="SUB35" s="2795"/>
      <c r="SUC35" s="2795"/>
      <c r="SUD35" s="2795"/>
      <c r="SUE35" s="2795"/>
      <c r="SUF35" s="2795"/>
      <c r="SUG35" s="2795"/>
      <c r="SUH35" s="2795"/>
      <c r="SUI35" s="2795"/>
      <c r="SUJ35" s="2795"/>
      <c r="SUK35" s="2795"/>
      <c r="SUL35" s="2795"/>
      <c r="SUM35" s="2795"/>
      <c r="SUN35" s="2795"/>
      <c r="SUO35" s="2795"/>
      <c r="SUP35" s="2795"/>
      <c r="SUQ35" s="2795"/>
      <c r="SUR35" s="2795"/>
      <c r="SUS35" s="2795"/>
      <c r="SUT35" s="2795"/>
      <c r="SUU35" s="2795"/>
      <c r="SUV35" s="2795"/>
      <c r="SUW35" s="2795"/>
      <c r="SUX35" s="2795"/>
      <c r="SUY35" s="2795"/>
      <c r="SUZ35" s="2795"/>
      <c r="SVA35" s="2795"/>
      <c r="SVB35" s="2795"/>
      <c r="SVC35" s="2795"/>
      <c r="SVD35" s="2795"/>
      <c r="SVE35" s="2795"/>
      <c r="SVF35" s="2795"/>
      <c r="SVG35" s="2795"/>
      <c r="SVH35" s="2795"/>
      <c r="SVI35" s="2795"/>
      <c r="SVJ35" s="2795"/>
      <c r="SVK35" s="2795"/>
      <c r="SVL35" s="2795"/>
      <c r="SVM35" s="2795"/>
      <c r="SVN35" s="2795"/>
      <c r="SVO35" s="2795"/>
      <c r="SVP35" s="2795"/>
      <c r="SVQ35" s="2795"/>
      <c r="SVR35" s="2795"/>
      <c r="SVS35" s="2795"/>
      <c r="SVT35" s="2795"/>
      <c r="SVU35" s="2795"/>
      <c r="SVV35" s="2795"/>
      <c r="SVW35" s="2795"/>
      <c r="SVX35" s="2795"/>
      <c r="SVY35" s="2795"/>
      <c r="SVZ35" s="2795"/>
      <c r="SWA35" s="2795"/>
      <c r="SWB35" s="2795"/>
      <c r="SWC35" s="2795"/>
      <c r="SWD35" s="2795"/>
      <c r="SWE35" s="2795"/>
      <c r="SWF35" s="2795"/>
      <c r="SWG35" s="2795"/>
      <c r="SWH35" s="2795"/>
      <c r="SWI35" s="2795"/>
      <c r="SWJ35" s="2795"/>
      <c r="SWK35" s="2795"/>
      <c r="SWL35" s="2795"/>
      <c r="SWM35" s="2795"/>
      <c r="SWN35" s="2795"/>
      <c r="SWO35" s="2795"/>
      <c r="SWP35" s="2795"/>
      <c r="SWQ35" s="2795"/>
      <c r="SWR35" s="2795"/>
      <c r="SWS35" s="2795"/>
      <c r="SWT35" s="2795"/>
      <c r="SWU35" s="2795"/>
      <c r="SWV35" s="2795"/>
      <c r="SWW35" s="2795"/>
      <c r="SWX35" s="2795"/>
      <c r="SWY35" s="2795"/>
      <c r="SWZ35" s="2795"/>
      <c r="SXA35" s="2795"/>
      <c r="SXB35" s="2795"/>
      <c r="SXC35" s="2795"/>
      <c r="SXD35" s="2795"/>
      <c r="SXE35" s="2795"/>
      <c r="SXF35" s="2795"/>
      <c r="SXG35" s="2795"/>
      <c r="SXH35" s="2795"/>
      <c r="SXI35" s="2795"/>
      <c r="SXJ35" s="2795"/>
      <c r="SXK35" s="2795"/>
      <c r="SXL35" s="2795"/>
      <c r="SXM35" s="2795"/>
      <c r="SXN35" s="2795"/>
      <c r="SXO35" s="2795"/>
      <c r="SXP35" s="2795"/>
      <c r="SXQ35" s="2795"/>
      <c r="SXR35" s="2795"/>
      <c r="SXS35" s="2795"/>
      <c r="SXT35" s="2795"/>
      <c r="SXU35" s="2795"/>
      <c r="SXV35" s="2795"/>
      <c r="SXW35" s="2795"/>
      <c r="SXX35" s="2795"/>
      <c r="SXY35" s="2795"/>
      <c r="SXZ35" s="2795"/>
      <c r="SYA35" s="2795"/>
      <c r="SYB35" s="2795"/>
      <c r="SYC35" s="2795"/>
      <c r="SYD35" s="2795"/>
      <c r="SYE35" s="2795"/>
      <c r="SYF35" s="2795"/>
      <c r="SYG35" s="2795"/>
      <c r="SYH35" s="2795"/>
      <c r="SYI35" s="2795"/>
      <c r="SYJ35" s="2795"/>
      <c r="SYK35" s="2795"/>
      <c r="SYL35" s="2795"/>
      <c r="SYM35" s="2795"/>
      <c r="SYN35" s="2795"/>
      <c r="SYO35" s="2795"/>
      <c r="SYP35" s="2795"/>
      <c r="SYQ35" s="2795"/>
      <c r="SYR35" s="2795"/>
      <c r="SYS35" s="2795"/>
      <c r="SYT35" s="2795"/>
      <c r="SYU35" s="2795"/>
      <c r="SYV35" s="2795"/>
      <c r="SYW35" s="2795"/>
      <c r="SYX35" s="2795"/>
      <c r="SYY35" s="2795"/>
      <c r="SYZ35" s="2795"/>
      <c r="SZA35" s="2795"/>
      <c r="SZB35" s="2795"/>
      <c r="SZC35" s="2795"/>
      <c r="SZD35" s="2795"/>
      <c r="SZE35" s="2795"/>
      <c r="SZF35" s="2795"/>
      <c r="SZG35" s="2795"/>
      <c r="SZH35" s="2795"/>
      <c r="SZI35" s="2795"/>
      <c r="SZJ35" s="2795"/>
      <c r="SZK35" s="2795"/>
      <c r="SZL35" s="2795"/>
      <c r="SZM35" s="2795"/>
      <c r="SZN35" s="2795"/>
      <c r="SZO35" s="2795"/>
      <c r="SZP35" s="2795"/>
      <c r="SZQ35" s="2795"/>
      <c r="SZR35" s="2795"/>
      <c r="SZS35" s="2795"/>
      <c r="SZT35" s="2795"/>
      <c r="SZU35" s="2795"/>
      <c r="SZV35" s="2795"/>
      <c r="SZW35" s="2795"/>
      <c r="SZX35" s="2795"/>
      <c r="SZY35" s="2795"/>
      <c r="SZZ35" s="2795"/>
      <c r="TAA35" s="2795"/>
      <c r="TAB35" s="2795"/>
      <c r="TAC35" s="2795"/>
      <c r="TAD35" s="2795"/>
      <c r="TAE35" s="2795"/>
      <c r="TAF35" s="2795"/>
      <c r="TAG35" s="2795"/>
      <c r="TAH35" s="2795"/>
      <c r="TAI35" s="2795"/>
      <c r="TAJ35" s="2795"/>
      <c r="TAK35" s="2795"/>
      <c r="TAL35" s="2795"/>
      <c r="TAM35" s="2795"/>
      <c r="TAN35" s="2795"/>
      <c r="TAO35" s="2795"/>
      <c r="TAP35" s="2795"/>
      <c r="TAQ35" s="2795"/>
      <c r="TAR35" s="2795"/>
      <c r="TAS35" s="2795"/>
      <c r="TAT35" s="2795"/>
      <c r="TAU35" s="2795"/>
      <c r="TAV35" s="2795"/>
      <c r="TAW35" s="2795"/>
      <c r="TAX35" s="2795"/>
      <c r="TAY35" s="2795"/>
      <c r="TAZ35" s="2795"/>
      <c r="TBA35" s="2795"/>
      <c r="TBB35" s="2795"/>
      <c r="TBC35" s="2795"/>
      <c r="TBD35" s="2795"/>
      <c r="TBE35" s="2795"/>
      <c r="TBF35" s="2795"/>
      <c r="TBG35" s="2795"/>
      <c r="TBH35" s="2795"/>
      <c r="TBI35" s="2795"/>
      <c r="TBJ35" s="2795"/>
      <c r="TBK35" s="2795"/>
      <c r="TBL35" s="2795"/>
      <c r="TBM35" s="2795"/>
      <c r="TBN35" s="2795"/>
      <c r="TBO35" s="2795"/>
      <c r="TBP35" s="2795"/>
      <c r="TBQ35" s="2795"/>
      <c r="TBR35" s="2795"/>
      <c r="TBS35" s="2795"/>
      <c r="TBT35" s="2795"/>
      <c r="TBU35" s="2795"/>
      <c r="TBV35" s="2795"/>
      <c r="TBW35" s="2795"/>
      <c r="TBX35" s="2795"/>
      <c r="TBY35" s="2795"/>
      <c r="TBZ35" s="2795"/>
      <c r="TCA35" s="2795"/>
      <c r="TCB35" s="2795"/>
      <c r="TCC35" s="2795"/>
      <c r="TCD35" s="2795"/>
      <c r="TCE35" s="2795"/>
      <c r="TCF35" s="2795"/>
      <c r="TCG35" s="2795"/>
      <c r="TCH35" s="2795"/>
      <c r="TCI35" s="2795"/>
      <c r="TCJ35" s="2795"/>
      <c r="TCK35" s="2795"/>
      <c r="TCL35" s="2795"/>
      <c r="TCM35" s="2795"/>
      <c r="TCN35" s="2795"/>
      <c r="TCO35" s="2795"/>
      <c r="TCP35" s="2795"/>
      <c r="TCQ35" s="2795"/>
      <c r="TCR35" s="2795"/>
      <c r="TCS35" s="2795"/>
      <c r="TCT35" s="2795"/>
      <c r="TCU35" s="2795"/>
      <c r="TCV35" s="2795"/>
      <c r="TCW35" s="2795"/>
      <c r="TCX35" s="2795"/>
      <c r="TCY35" s="2795"/>
      <c r="TCZ35" s="2795"/>
      <c r="TDA35" s="2795"/>
      <c r="TDB35" s="2795"/>
      <c r="TDC35" s="2795"/>
      <c r="TDD35" s="2795"/>
      <c r="TDE35" s="2795"/>
      <c r="TDF35" s="2795"/>
      <c r="TDG35" s="2795"/>
      <c r="TDH35" s="2795"/>
      <c r="TDI35" s="2795"/>
      <c r="TDJ35" s="2795"/>
      <c r="TDK35" s="2795"/>
      <c r="TDL35" s="2795"/>
      <c r="TDM35" s="2795"/>
      <c r="TDN35" s="2795"/>
      <c r="TDO35" s="2795"/>
      <c r="TDP35" s="2795"/>
      <c r="TDQ35" s="2795"/>
      <c r="TDR35" s="2795"/>
      <c r="TDS35" s="2795"/>
      <c r="TDT35" s="2795"/>
      <c r="TDU35" s="2795"/>
      <c r="TDV35" s="2795"/>
      <c r="TDW35" s="2795"/>
      <c r="TDX35" s="2795"/>
      <c r="TDY35" s="2795"/>
      <c r="TDZ35" s="2795"/>
      <c r="TEA35" s="2795"/>
      <c r="TEB35" s="2795"/>
      <c r="TEC35" s="2795"/>
      <c r="TED35" s="2795"/>
      <c r="TEE35" s="2795"/>
      <c r="TEF35" s="2795"/>
      <c r="TEG35" s="2795"/>
      <c r="TEH35" s="2795"/>
      <c r="TEI35" s="2795"/>
      <c r="TEJ35" s="2795"/>
      <c r="TEK35" s="2795"/>
      <c r="TEL35" s="2795"/>
      <c r="TEM35" s="2795"/>
      <c r="TEN35" s="2795"/>
      <c r="TEO35" s="2795"/>
      <c r="TEP35" s="2795"/>
      <c r="TEQ35" s="2795"/>
      <c r="TER35" s="2795"/>
      <c r="TES35" s="2795"/>
      <c r="TET35" s="2795"/>
      <c r="TEU35" s="2795"/>
      <c r="TEV35" s="2795"/>
      <c r="TEW35" s="2795"/>
      <c r="TEX35" s="2795"/>
      <c r="TEY35" s="2795"/>
      <c r="TEZ35" s="2795"/>
      <c r="TFA35" s="2795"/>
      <c r="TFB35" s="2795"/>
      <c r="TFC35" s="2795"/>
      <c r="TFD35" s="2795"/>
      <c r="TFE35" s="2795"/>
      <c r="TFF35" s="2795"/>
      <c r="TFG35" s="2795"/>
      <c r="TFH35" s="2795"/>
      <c r="TFI35" s="2795"/>
      <c r="TFJ35" s="2795"/>
      <c r="TFK35" s="2795"/>
      <c r="TFL35" s="2795"/>
      <c r="TFM35" s="2795"/>
      <c r="TFN35" s="2795"/>
      <c r="TFO35" s="2795"/>
      <c r="TFP35" s="2795"/>
      <c r="TFQ35" s="2795"/>
      <c r="TFR35" s="2795"/>
      <c r="TFS35" s="2795"/>
      <c r="TFT35" s="2795"/>
      <c r="TFU35" s="2795"/>
      <c r="TFV35" s="2795"/>
      <c r="TFW35" s="2795"/>
      <c r="TFX35" s="2795"/>
      <c r="TFY35" s="2795"/>
      <c r="TFZ35" s="2795"/>
      <c r="TGA35" s="2795"/>
      <c r="TGB35" s="2795"/>
      <c r="TGC35" s="2795"/>
      <c r="TGD35" s="2795"/>
      <c r="TGE35" s="2795"/>
      <c r="TGF35" s="2795"/>
      <c r="TGG35" s="2795"/>
      <c r="TGH35" s="2795"/>
      <c r="TGI35" s="2795"/>
      <c r="TGJ35" s="2795"/>
      <c r="TGK35" s="2795"/>
      <c r="TGL35" s="2795"/>
      <c r="TGM35" s="2795"/>
      <c r="TGN35" s="2795"/>
      <c r="TGO35" s="2795"/>
      <c r="TGP35" s="2795"/>
      <c r="TGQ35" s="2795"/>
      <c r="TGR35" s="2795"/>
      <c r="TGS35" s="2795"/>
      <c r="TGT35" s="2795"/>
      <c r="TGU35" s="2795"/>
      <c r="TGV35" s="2795"/>
      <c r="TGW35" s="2795"/>
      <c r="TGX35" s="2795"/>
      <c r="TGY35" s="2795"/>
      <c r="TGZ35" s="2795"/>
      <c r="THA35" s="2795"/>
      <c r="THB35" s="2795"/>
      <c r="THC35" s="2795"/>
      <c r="THD35" s="2795"/>
      <c r="THE35" s="2795"/>
      <c r="THF35" s="2795"/>
      <c r="THG35" s="2795"/>
      <c r="THH35" s="2795"/>
      <c r="THI35" s="2795"/>
      <c r="THJ35" s="2795"/>
      <c r="THK35" s="2795"/>
      <c r="THL35" s="2795"/>
      <c r="THM35" s="2795"/>
      <c r="THN35" s="2795"/>
      <c r="THO35" s="2795"/>
      <c r="THP35" s="2795"/>
      <c r="THQ35" s="2795"/>
      <c r="THR35" s="2795"/>
      <c r="THS35" s="2795"/>
      <c r="THT35" s="2795"/>
      <c r="THU35" s="2795"/>
      <c r="THV35" s="2795"/>
      <c r="THW35" s="2795"/>
      <c r="THX35" s="2795"/>
      <c r="THY35" s="2795"/>
      <c r="THZ35" s="2795"/>
      <c r="TIA35" s="2795"/>
      <c r="TIB35" s="2795"/>
      <c r="TIC35" s="2795"/>
      <c r="TID35" s="2795"/>
      <c r="TIE35" s="2795"/>
      <c r="TIF35" s="2795"/>
      <c r="TIG35" s="2795"/>
      <c r="TIH35" s="2795"/>
      <c r="TII35" s="2795"/>
      <c r="TIJ35" s="2795"/>
      <c r="TIK35" s="2795"/>
      <c r="TIL35" s="2795"/>
      <c r="TIM35" s="2795"/>
      <c r="TIN35" s="2795"/>
      <c r="TIO35" s="2795"/>
      <c r="TIP35" s="2795"/>
      <c r="TIQ35" s="2795"/>
      <c r="TIR35" s="2795"/>
      <c r="TIS35" s="2795"/>
      <c r="TIT35" s="2795"/>
      <c r="TIU35" s="2795"/>
      <c r="TIV35" s="2795"/>
      <c r="TIW35" s="2795"/>
      <c r="TIX35" s="2795"/>
      <c r="TIY35" s="2795"/>
      <c r="TIZ35" s="2795"/>
      <c r="TJA35" s="2795"/>
      <c r="TJB35" s="2795"/>
      <c r="TJC35" s="2795"/>
      <c r="TJD35" s="2795"/>
      <c r="TJE35" s="2795"/>
      <c r="TJF35" s="2795"/>
      <c r="TJG35" s="2795"/>
      <c r="TJH35" s="2795"/>
      <c r="TJI35" s="2795"/>
      <c r="TJJ35" s="2795"/>
      <c r="TJK35" s="2795"/>
      <c r="TJL35" s="2795"/>
      <c r="TJM35" s="2795"/>
      <c r="TJN35" s="2795"/>
      <c r="TJO35" s="2795"/>
      <c r="TJP35" s="2795"/>
      <c r="TJQ35" s="2795"/>
      <c r="TJR35" s="2795"/>
      <c r="TJS35" s="2795"/>
      <c r="TJT35" s="2795"/>
      <c r="TJU35" s="2795"/>
      <c r="TJV35" s="2795"/>
      <c r="TJW35" s="2795"/>
      <c r="TJX35" s="2795"/>
      <c r="TJY35" s="2795"/>
      <c r="TJZ35" s="2795"/>
      <c r="TKA35" s="2795"/>
      <c r="TKB35" s="2795"/>
      <c r="TKC35" s="2795"/>
      <c r="TKD35" s="2795"/>
      <c r="TKE35" s="2795"/>
      <c r="TKF35" s="2795"/>
      <c r="TKG35" s="2795"/>
      <c r="TKH35" s="2795"/>
      <c r="TKI35" s="2795"/>
      <c r="TKJ35" s="2795"/>
      <c r="TKK35" s="2795"/>
      <c r="TKL35" s="2795"/>
      <c r="TKM35" s="2795"/>
      <c r="TKN35" s="2795"/>
      <c r="TKO35" s="2795"/>
      <c r="TKP35" s="2795"/>
      <c r="TKQ35" s="2795"/>
      <c r="TKR35" s="2795"/>
      <c r="TKS35" s="2795"/>
      <c r="TKT35" s="2795"/>
      <c r="TKU35" s="2795"/>
      <c r="TKV35" s="2795"/>
      <c r="TKW35" s="2795"/>
      <c r="TKX35" s="2795"/>
      <c r="TKY35" s="2795"/>
      <c r="TKZ35" s="2795"/>
      <c r="TLA35" s="2795"/>
      <c r="TLB35" s="2795"/>
      <c r="TLC35" s="2795"/>
      <c r="TLD35" s="2795"/>
      <c r="TLE35" s="2795"/>
      <c r="TLF35" s="2795"/>
      <c r="TLG35" s="2795"/>
      <c r="TLH35" s="2795"/>
      <c r="TLI35" s="2795"/>
      <c r="TLJ35" s="2795"/>
      <c r="TLK35" s="2795"/>
      <c r="TLL35" s="2795"/>
      <c r="TLM35" s="2795"/>
      <c r="TLN35" s="2795"/>
      <c r="TLO35" s="2795"/>
      <c r="TLP35" s="2795"/>
      <c r="TLQ35" s="2795"/>
      <c r="TLR35" s="2795"/>
      <c r="TLS35" s="2795"/>
      <c r="TLT35" s="2795"/>
      <c r="TLU35" s="2795"/>
      <c r="TLV35" s="2795"/>
      <c r="TLW35" s="2795"/>
      <c r="TLX35" s="2795"/>
      <c r="TLY35" s="2795"/>
      <c r="TLZ35" s="2795"/>
      <c r="TMA35" s="2795"/>
      <c r="TMB35" s="2795"/>
      <c r="TMC35" s="2795"/>
      <c r="TMD35" s="2795"/>
      <c r="TME35" s="2795"/>
      <c r="TMF35" s="2795"/>
      <c r="TMG35" s="2795"/>
      <c r="TMH35" s="2795"/>
      <c r="TMI35" s="2795"/>
      <c r="TMJ35" s="2795"/>
      <c r="TMK35" s="2795"/>
      <c r="TML35" s="2795"/>
      <c r="TMM35" s="2795"/>
      <c r="TMN35" s="2795"/>
      <c r="TMO35" s="2795"/>
      <c r="TMP35" s="2795"/>
      <c r="TMQ35" s="2795"/>
      <c r="TMR35" s="2795"/>
      <c r="TMS35" s="2795"/>
      <c r="TMT35" s="2795"/>
      <c r="TMU35" s="2795"/>
      <c r="TMV35" s="2795"/>
      <c r="TMW35" s="2795"/>
      <c r="TMX35" s="2795"/>
      <c r="TMY35" s="2795"/>
      <c r="TMZ35" s="2795"/>
      <c r="TNA35" s="2795"/>
      <c r="TNB35" s="2795"/>
      <c r="TNC35" s="2795"/>
      <c r="TND35" s="2795"/>
      <c r="TNE35" s="2795"/>
      <c r="TNF35" s="2795"/>
      <c r="TNG35" s="2795"/>
      <c r="TNH35" s="2795"/>
      <c r="TNI35" s="2795"/>
      <c r="TNJ35" s="2795"/>
      <c r="TNK35" s="2795"/>
      <c r="TNL35" s="2795"/>
      <c r="TNM35" s="2795"/>
      <c r="TNN35" s="2795"/>
      <c r="TNO35" s="2795"/>
      <c r="TNP35" s="2795"/>
      <c r="TNQ35" s="2795"/>
      <c r="TNR35" s="2795"/>
      <c r="TNS35" s="2795"/>
      <c r="TNT35" s="2795"/>
      <c r="TNU35" s="2795"/>
      <c r="TNV35" s="2795"/>
      <c r="TNW35" s="2795"/>
      <c r="TNX35" s="2795"/>
      <c r="TNY35" s="2795"/>
      <c r="TNZ35" s="2795"/>
      <c r="TOA35" s="2795"/>
      <c r="TOB35" s="2795"/>
      <c r="TOC35" s="2795"/>
      <c r="TOD35" s="2795"/>
      <c r="TOE35" s="2795"/>
      <c r="TOF35" s="2795"/>
      <c r="TOG35" s="2795"/>
      <c r="TOH35" s="2795"/>
      <c r="TOI35" s="2795"/>
      <c r="TOJ35" s="2795"/>
      <c r="TOK35" s="2795"/>
      <c r="TOL35" s="2795"/>
      <c r="TOM35" s="2795"/>
      <c r="TON35" s="2795"/>
      <c r="TOO35" s="2795"/>
      <c r="TOP35" s="2795"/>
      <c r="TOQ35" s="2795"/>
      <c r="TOR35" s="2795"/>
      <c r="TOS35" s="2795"/>
      <c r="TOT35" s="2795"/>
      <c r="TOU35" s="2795"/>
      <c r="TOV35" s="2795"/>
      <c r="TOW35" s="2795"/>
      <c r="TOX35" s="2795"/>
      <c r="TOY35" s="2795"/>
      <c r="TOZ35" s="2795"/>
      <c r="TPA35" s="2795"/>
      <c r="TPB35" s="2795"/>
      <c r="TPC35" s="2795"/>
      <c r="TPD35" s="2795"/>
      <c r="TPE35" s="2795"/>
      <c r="TPF35" s="2795"/>
      <c r="TPG35" s="2795"/>
      <c r="TPH35" s="2795"/>
      <c r="TPI35" s="2795"/>
      <c r="TPJ35" s="2795"/>
      <c r="TPK35" s="2795"/>
      <c r="TPL35" s="2795"/>
      <c r="TPM35" s="2795"/>
      <c r="TPN35" s="2795"/>
      <c r="TPO35" s="2795"/>
      <c r="TPP35" s="2795"/>
      <c r="TPQ35" s="2795"/>
      <c r="TPR35" s="2795"/>
      <c r="TPS35" s="2795"/>
      <c r="TPT35" s="2795"/>
      <c r="TPU35" s="2795"/>
      <c r="TPV35" s="2795"/>
      <c r="TPW35" s="2795"/>
      <c r="TPX35" s="2795"/>
      <c r="TPY35" s="2795"/>
      <c r="TPZ35" s="2795"/>
      <c r="TQA35" s="2795"/>
      <c r="TQB35" s="2795"/>
      <c r="TQC35" s="2795"/>
      <c r="TQD35" s="2795"/>
      <c r="TQE35" s="2795"/>
      <c r="TQF35" s="2795"/>
      <c r="TQG35" s="2795"/>
      <c r="TQH35" s="2795"/>
      <c r="TQI35" s="2795"/>
      <c r="TQJ35" s="2795"/>
      <c r="TQK35" s="2795"/>
      <c r="TQL35" s="2795"/>
      <c r="TQM35" s="2795"/>
      <c r="TQN35" s="2795"/>
      <c r="TQO35" s="2795"/>
      <c r="TQP35" s="2795"/>
      <c r="TQQ35" s="2795"/>
      <c r="TQR35" s="2795"/>
      <c r="TQS35" s="2795"/>
      <c r="TQT35" s="2795"/>
      <c r="TQU35" s="2795"/>
      <c r="TQV35" s="2795"/>
      <c r="TQW35" s="2795"/>
      <c r="TQX35" s="2795"/>
      <c r="TQY35" s="2795"/>
      <c r="TQZ35" s="2795"/>
      <c r="TRA35" s="2795"/>
      <c r="TRB35" s="2795"/>
      <c r="TRC35" s="2795"/>
      <c r="TRD35" s="2795"/>
      <c r="TRE35" s="2795"/>
      <c r="TRF35" s="2795"/>
      <c r="TRG35" s="2795"/>
      <c r="TRH35" s="2795"/>
      <c r="TRI35" s="2795"/>
      <c r="TRJ35" s="2795"/>
      <c r="TRK35" s="2795"/>
      <c r="TRL35" s="2795"/>
      <c r="TRM35" s="2795"/>
      <c r="TRN35" s="2795"/>
      <c r="TRO35" s="2795"/>
      <c r="TRP35" s="2795"/>
      <c r="TRQ35" s="2795"/>
      <c r="TRR35" s="2795"/>
      <c r="TRS35" s="2795"/>
      <c r="TRT35" s="2795"/>
      <c r="TRU35" s="2795"/>
      <c r="TRV35" s="2795"/>
      <c r="TRW35" s="2795"/>
      <c r="TRX35" s="2795"/>
      <c r="TRY35" s="2795"/>
      <c r="TRZ35" s="2795"/>
      <c r="TSA35" s="2795"/>
      <c r="TSB35" s="2795"/>
      <c r="TSC35" s="2795"/>
      <c r="TSD35" s="2795"/>
      <c r="TSE35" s="2795"/>
      <c r="TSF35" s="2795"/>
      <c r="TSG35" s="2795"/>
      <c r="TSH35" s="2795"/>
      <c r="TSI35" s="2795"/>
      <c r="TSJ35" s="2795"/>
      <c r="TSK35" s="2795"/>
      <c r="TSL35" s="2795"/>
      <c r="TSM35" s="2795"/>
      <c r="TSN35" s="2795"/>
      <c r="TSO35" s="2795"/>
      <c r="TSP35" s="2795"/>
      <c r="TSQ35" s="2795"/>
      <c r="TSR35" s="2795"/>
      <c r="TSS35" s="2795"/>
      <c r="TST35" s="2795"/>
      <c r="TSU35" s="2795"/>
      <c r="TSV35" s="2795"/>
      <c r="TSW35" s="2795"/>
      <c r="TSX35" s="2795"/>
      <c r="TSY35" s="2795"/>
      <c r="TSZ35" s="2795"/>
      <c r="TTA35" s="2795"/>
      <c r="TTB35" s="2795"/>
      <c r="TTC35" s="2795"/>
      <c r="TTD35" s="2795"/>
      <c r="TTE35" s="2795"/>
      <c r="TTF35" s="2795"/>
      <c r="TTG35" s="2795"/>
      <c r="TTH35" s="2795"/>
      <c r="TTI35" s="2795"/>
      <c r="TTJ35" s="2795"/>
      <c r="TTK35" s="2795"/>
      <c r="TTL35" s="2795"/>
      <c r="TTM35" s="2795"/>
      <c r="TTN35" s="2795"/>
      <c r="TTO35" s="2795"/>
      <c r="TTP35" s="2795"/>
      <c r="TTQ35" s="2795"/>
      <c r="TTR35" s="2795"/>
      <c r="TTS35" s="2795"/>
      <c r="TTT35" s="2795"/>
      <c r="TTU35" s="2795"/>
      <c r="TTV35" s="2795"/>
      <c r="TTW35" s="2795"/>
      <c r="TTX35" s="2795"/>
      <c r="TTY35" s="2795"/>
      <c r="TTZ35" s="2795"/>
      <c r="TUA35" s="2795"/>
      <c r="TUB35" s="2795"/>
      <c r="TUC35" s="2795"/>
      <c r="TUD35" s="2795"/>
      <c r="TUE35" s="2795"/>
      <c r="TUF35" s="2795"/>
      <c r="TUG35" s="2795"/>
      <c r="TUH35" s="2795"/>
      <c r="TUI35" s="2795"/>
      <c r="TUJ35" s="2795"/>
      <c r="TUK35" s="2795"/>
      <c r="TUL35" s="2795"/>
      <c r="TUM35" s="2795"/>
      <c r="TUN35" s="2795"/>
      <c r="TUO35" s="2795"/>
      <c r="TUP35" s="2795"/>
      <c r="TUQ35" s="2795"/>
      <c r="TUR35" s="2795"/>
      <c r="TUS35" s="2795"/>
      <c r="TUT35" s="2795"/>
      <c r="TUU35" s="2795"/>
      <c r="TUV35" s="2795"/>
      <c r="TUW35" s="2795"/>
      <c r="TUX35" s="2795"/>
      <c r="TUY35" s="2795"/>
      <c r="TUZ35" s="2795"/>
      <c r="TVA35" s="2795"/>
      <c r="TVB35" s="2795"/>
      <c r="TVC35" s="2795"/>
      <c r="TVD35" s="2795"/>
      <c r="TVE35" s="2795"/>
      <c r="TVF35" s="2795"/>
      <c r="TVG35" s="2795"/>
      <c r="TVH35" s="2795"/>
      <c r="TVI35" s="2795"/>
      <c r="TVJ35" s="2795"/>
      <c r="TVK35" s="2795"/>
      <c r="TVL35" s="2795"/>
      <c r="TVM35" s="2795"/>
      <c r="TVN35" s="2795"/>
      <c r="TVO35" s="2795"/>
      <c r="TVP35" s="2795"/>
      <c r="TVQ35" s="2795"/>
      <c r="TVR35" s="2795"/>
      <c r="TVS35" s="2795"/>
      <c r="TVT35" s="2795"/>
      <c r="TVU35" s="2795"/>
      <c r="TVV35" s="2795"/>
      <c r="TVW35" s="2795"/>
      <c r="TVX35" s="2795"/>
      <c r="TVY35" s="2795"/>
      <c r="TVZ35" s="2795"/>
      <c r="TWA35" s="2795"/>
      <c r="TWB35" s="2795"/>
      <c r="TWC35" s="2795"/>
      <c r="TWD35" s="2795"/>
      <c r="TWE35" s="2795"/>
      <c r="TWF35" s="2795"/>
      <c r="TWG35" s="2795"/>
      <c r="TWH35" s="2795"/>
      <c r="TWI35" s="2795"/>
      <c r="TWJ35" s="2795"/>
      <c r="TWK35" s="2795"/>
      <c r="TWL35" s="2795"/>
      <c r="TWM35" s="2795"/>
      <c r="TWN35" s="2795"/>
      <c r="TWO35" s="2795"/>
      <c r="TWP35" s="2795"/>
      <c r="TWQ35" s="2795"/>
      <c r="TWR35" s="2795"/>
      <c r="TWS35" s="2795"/>
      <c r="TWT35" s="2795"/>
      <c r="TWU35" s="2795"/>
      <c r="TWV35" s="2795"/>
      <c r="TWW35" s="2795"/>
      <c r="TWX35" s="2795"/>
      <c r="TWY35" s="2795"/>
      <c r="TWZ35" s="2795"/>
      <c r="TXA35" s="2795"/>
      <c r="TXB35" s="2795"/>
      <c r="TXC35" s="2795"/>
      <c r="TXD35" s="2795"/>
      <c r="TXE35" s="2795"/>
      <c r="TXF35" s="2795"/>
      <c r="TXG35" s="2795"/>
      <c r="TXH35" s="2795"/>
      <c r="TXI35" s="2795"/>
      <c r="TXJ35" s="2795"/>
      <c r="TXK35" s="2795"/>
      <c r="TXL35" s="2795"/>
      <c r="TXM35" s="2795"/>
      <c r="TXN35" s="2795"/>
      <c r="TXO35" s="2795"/>
      <c r="TXP35" s="2795"/>
      <c r="TXQ35" s="2795"/>
      <c r="TXR35" s="2795"/>
      <c r="TXS35" s="2795"/>
      <c r="TXT35" s="2795"/>
      <c r="TXU35" s="2795"/>
      <c r="TXV35" s="2795"/>
      <c r="TXW35" s="2795"/>
      <c r="TXX35" s="2795"/>
      <c r="TXY35" s="2795"/>
      <c r="TXZ35" s="2795"/>
      <c r="TYA35" s="2795"/>
      <c r="TYB35" s="2795"/>
      <c r="TYC35" s="2795"/>
      <c r="TYD35" s="2795"/>
      <c r="TYE35" s="2795"/>
      <c r="TYF35" s="2795"/>
      <c r="TYG35" s="2795"/>
      <c r="TYH35" s="2795"/>
      <c r="TYI35" s="2795"/>
      <c r="TYJ35" s="2795"/>
      <c r="TYK35" s="2795"/>
      <c r="TYL35" s="2795"/>
      <c r="TYM35" s="2795"/>
      <c r="TYN35" s="2795"/>
      <c r="TYO35" s="2795"/>
      <c r="TYP35" s="2795"/>
      <c r="TYQ35" s="2795"/>
      <c r="TYR35" s="2795"/>
      <c r="TYS35" s="2795"/>
      <c r="TYT35" s="2795"/>
      <c r="TYU35" s="2795"/>
      <c r="TYV35" s="2795"/>
      <c r="TYW35" s="2795"/>
      <c r="TYX35" s="2795"/>
      <c r="TYY35" s="2795"/>
      <c r="TYZ35" s="2795"/>
      <c r="TZA35" s="2795"/>
      <c r="TZB35" s="2795"/>
      <c r="TZC35" s="2795"/>
      <c r="TZD35" s="2795"/>
      <c r="TZE35" s="2795"/>
      <c r="TZF35" s="2795"/>
      <c r="TZG35" s="2795"/>
      <c r="TZH35" s="2795"/>
      <c r="TZI35" s="2795"/>
      <c r="TZJ35" s="2795"/>
      <c r="TZK35" s="2795"/>
      <c r="TZL35" s="2795"/>
      <c r="TZM35" s="2795"/>
      <c r="TZN35" s="2795"/>
      <c r="TZO35" s="2795"/>
      <c r="TZP35" s="2795"/>
      <c r="TZQ35" s="2795"/>
      <c r="TZR35" s="2795"/>
      <c r="TZS35" s="2795"/>
      <c r="TZT35" s="2795"/>
      <c r="TZU35" s="2795"/>
      <c r="TZV35" s="2795"/>
      <c r="TZW35" s="2795"/>
      <c r="TZX35" s="2795"/>
      <c r="TZY35" s="2795"/>
      <c r="TZZ35" s="2795"/>
      <c r="UAA35" s="2795"/>
      <c r="UAB35" s="2795"/>
      <c r="UAC35" s="2795"/>
      <c r="UAD35" s="2795"/>
      <c r="UAE35" s="2795"/>
      <c r="UAF35" s="2795"/>
      <c r="UAG35" s="2795"/>
      <c r="UAH35" s="2795"/>
      <c r="UAI35" s="2795"/>
      <c r="UAJ35" s="2795"/>
      <c r="UAK35" s="2795"/>
      <c r="UAL35" s="2795"/>
      <c r="UAM35" s="2795"/>
      <c r="UAN35" s="2795"/>
      <c r="UAO35" s="2795"/>
      <c r="UAP35" s="2795"/>
      <c r="UAQ35" s="2795"/>
      <c r="UAR35" s="2795"/>
      <c r="UAS35" s="2795"/>
      <c r="UAT35" s="2795"/>
      <c r="UAU35" s="2795"/>
      <c r="UAV35" s="2795"/>
      <c r="UAW35" s="2795"/>
      <c r="UAX35" s="2795"/>
      <c r="UAY35" s="2795"/>
      <c r="UAZ35" s="2795"/>
      <c r="UBA35" s="2795"/>
      <c r="UBB35" s="2795"/>
      <c r="UBC35" s="2795"/>
      <c r="UBD35" s="2795"/>
      <c r="UBE35" s="2795"/>
      <c r="UBF35" s="2795"/>
      <c r="UBG35" s="2795"/>
      <c r="UBH35" s="2795"/>
      <c r="UBI35" s="2795"/>
      <c r="UBJ35" s="2795"/>
      <c r="UBK35" s="2795"/>
      <c r="UBL35" s="2795"/>
      <c r="UBM35" s="2795"/>
      <c r="UBN35" s="2795"/>
      <c r="UBO35" s="2795"/>
      <c r="UBP35" s="2795"/>
      <c r="UBQ35" s="2795"/>
      <c r="UBR35" s="2795"/>
      <c r="UBS35" s="2795"/>
      <c r="UBT35" s="2795"/>
      <c r="UBU35" s="2795"/>
      <c r="UBV35" s="2795"/>
      <c r="UBW35" s="2795"/>
      <c r="UBX35" s="2795"/>
      <c r="UBY35" s="2795"/>
      <c r="UBZ35" s="2795"/>
      <c r="UCA35" s="2795"/>
      <c r="UCB35" s="2795"/>
      <c r="UCC35" s="2795"/>
      <c r="UCD35" s="2795"/>
      <c r="UCE35" s="2795"/>
      <c r="UCF35" s="2795"/>
      <c r="UCG35" s="2795"/>
      <c r="UCH35" s="2795"/>
      <c r="UCI35" s="2795"/>
      <c r="UCJ35" s="2795"/>
      <c r="UCK35" s="2795"/>
      <c r="UCL35" s="2795"/>
      <c r="UCM35" s="2795"/>
      <c r="UCN35" s="2795"/>
      <c r="UCO35" s="2795"/>
      <c r="UCP35" s="2795"/>
      <c r="UCQ35" s="2795"/>
      <c r="UCR35" s="2795"/>
      <c r="UCS35" s="2795"/>
      <c r="UCT35" s="2795"/>
      <c r="UCU35" s="2795"/>
      <c r="UCV35" s="2795"/>
      <c r="UCW35" s="2795"/>
      <c r="UCX35" s="2795"/>
      <c r="UCY35" s="2795"/>
      <c r="UCZ35" s="2795"/>
      <c r="UDA35" s="2795"/>
      <c r="UDB35" s="2795"/>
      <c r="UDC35" s="2795"/>
      <c r="UDD35" s="2795"/>
      <c r="UDE35" s="2795"/>
      <c r="UDF35" s="2795"/>
      <c r="UDG35" s="2795"/>
      <c r="UDH35" s="2795"/>
      <c r="UDI35" s="2795"/>
      <c r="UDJ35" s="2795"/>
      <c r="UDK35" s="2795"/>
      <c r="UDL35" s="2795"/>
      <c r="UDM35" s="2795"/>
      <c r="UDN35" s="2795"/>
      <c r="UDO35" s="2795"/>
      <c r="UDP35" s="2795"/>
      <c r="UDQ35" s="2795"/>
      <c r="UDR35" s="2795"/>
      <c r="UDS35" s="2795"/>
      <c r="UDT35" s="2795"/>
      <c r="UDU35" s="2795"/>
      <c r="UDV35" s="2795"/>
      <c r="UDW35" s="2795"/>
      <c r="UDX35" s="2795"/>
      <c r="UDY35" s="2795"/>
      <c r="UDZ35" s="2795"/>
      <c r="UEA35" s="2795"/>
      <c r="UEB35" s="2795"/>
      <c r="UEC35" s="2795"/>
      <c r="UED35" s="2795"/>
      <c r="UEE35" s="2795"/>
      <c r="UEF35" s="2795"/>
      <c r="UEG35" s="2795"/>
      <c r="UEH35" s="2795"/>
      <c r="UEI35" s="2795"/>
      <c r="UEJ35" s="2795"/>
      <c r="UEK35" s="2795"/>
      <c r="UEL35" s="2795"/>
      <c r="UEM35" s="2795"/>
      <c r="UEN35" s="2795"/>
      <c r="UEO35" s="2795"/>
      <c r="UEP35" s="2795"/>
      <c r="UEQ35" s="2795"/>
      <c r="UER35" s="2795"/>
      <c r="UES35" s="2795"/>
      <c r="UET35" s="2795"/>
      <c r="UEU35" s="2795"/>
      <c r="UEV35" s="2795"/>
      <c r="UEW35" s="2795"/>
      <c r="UEX35" s="2795"/>
      <c r="UEY35" s="2795"/>
      <c r="UEZ35" s="2795"/>
      <c r="UFA35" s="2795"/>
      <c r="UFB35" s="2795"/>
      <c r="UFC35" s="2795"/>
      <c r="UFD35" s="2795"/>
      <c r="UFE35" s="2795"/>
      <c r="UFF35" s="2795"/>
      <c r="UFG35" s="2795"/>
      <c r="UFH35" s="2795"/>
      <c r="UFI35" s="2795"/>
      <c r="UFJ35" s="2795"/>
      <c r="UFK35" s="2795"/>
      <c r="UFL35" s="2795"/>
      <c r="UFM35" s="2795"/>
      <c r="UFN35" s="2795"/>
      <c r="UFO35" s="2795"/>
      <c r="UFP35" s="2795"/>
      <c r="UFQ35" s="2795"/>
      <c r="UFR35" s="2795"/>
      <c r="UFS35" s="2795"/>
      <c r="UFT35" s="2795"/>
      <c r="UFU35" s="2795"/>
      <c r="UFV35" s="2795"/>
      <c r="UFW35" s="2795"/>
      <c r="UFX35" s="2795"/>
      <c r="UFY35" s="2795"/>
      <c r="UFZ35" s="2795"/>
      <c r="UGA35" s="2795"/>
      <c r="UGB35" s="2795"/>
      <c r="UGC35" s="2795"/>
      <c r="UGD35" s="2795"/>
      <c r="UGE35" s="2795"/>
      <c r="UGF35" s="2795"/>
      <c r="UGG35" s="2795"/>
      <c r="UGH35" s="2795"/>
      <c r="UGI35" s="2795"/>
      <c r="UGJ35" s="2795"/>
      <c r="UGK35" s="2795"/>
      <c r="UGL35" s="2795"/>
      <c r="UGM35" s="2795"/>
      <c r="UGN35" s="2795"/>
      <c r="UGO35" s="2795"/>
      <c r="UGP35" s="2795"/>
      <c r="UGQ35" s="2795"/>
      <c r="UGR35" s="2795"/>
      <c r="UGS35" s="2795"/>
      <c r="UGT35" s="2795"/>
      <c r="UGU35" s="2795"/>
      <c r="UGV35" s="2795"/>
      <c r="UGW35" s="2795"/>
      <c r="UGX35" s="2795"/>
      <c r="UGY35" s="2795"/>
      <c r="UGZ35" s="2795"/>
      <c r="UHA35" s="2795"/>
      <c r="UHB35" s="2795"/>
      <c r="UHC35" s="2795"/>
      <c r="UHD35" s="2795"/>
      <c r="UHE35" s="2795"/>
      <c r="UHF35" s="2795"/>
      <c r="UHG35" s="2795"/>
      <c r="UHH35" s="2795"/>
      <c r="UHI35" s="2795"/>
      <c r="UHJ35" s="2795"/>
      <c r="UHK35" s="2795"/>
      <c r="UHL35" s="2795"/>
      <c r="UHM35" s="2795"/>
      <c r="UHN35" s="2795"/>
      <c r="UHO35" s="2795"/>
      <c r="UHP35" s="2795"/>
      <c r="UHQ35" s="2795"/>
      <c r="UHR35" s="2795"/>
      <c r="UHS35" s="2795"/>
      <c r="UHT35" s="2795"/>
      <c r="UHU35" s="2795"/>
      <c r="UHV35" s="2795"/>
      <c r="UHW35" s="2795"/>
      <c r="UHX35" s="2795"/>
      <c r="UHY35" s="2795"/>
      <c r="UHZ35" s="2795"/>
      <c r="UIA35" s="2795"/>
      <c r="UIB35" s="2795"/>
      <c r="UIC35" s="2795"/>
      <c r="UID35" s="2795"/>
      <c r="UIE35" s="2795"/>
      <c r="UIF35" s="2795"/>
      <c r="UIG35" s="2795"/>
      <c r="UIH35" s="2795"/>
      <c r="UII35" s="2795"/>
      <c r="UIJ35" s="2795"/>
      <c r="UIK35" s="2795"/>
      <c r="UIL35" s="2795"/>
      <c r="UIM35" s="2795"/>
      <c r="UIN35" s="2795"/>
      <c r="UIO35" s="2795"/>
      <c r="UIP35" s="2795"/>
      <c r="UIQ35" s="2795"/>
      <c r="UIR35" s="2795"/>
      <c r="UIS35" s="2795"/>
      <c r="UIT35" s="2795"/>
      <c r="UIU35" s="2795"/>
      <c r="UIV35" s="2795"/>
      <c r="UIW35" s="2795"/>
      <c r="UIX35" s="2795"/>
      <c r="UIY35" s="2795"/>
      <c r="UIZ35" s="2795"/>
      <c r="UJA35" s="2795"/>
      <c r="UJB35" s="2795"/>
      <c r="UJC35" s="2795"/>
      <c r="UJD35" s="2795"/>
      <c r="UJE35" s="2795"/>
      <c r="UJF35" s="2795"/>
      <c r="UJG35" s="2795"/>
      <c r="UJH35" s="2795"/>
      <c r="UJI35" s="2795"/>
      <c r="UJJ35" s="2795"/>
      <c r="UJK35" s="2795"/>
      <c r="UJL35" s="2795"/>
      <c r="UJM35" s="2795"/>
      <c r="UJN35" s="2795"/>
      <c r="UJO35" s="2795"/>
      <c r="UJP35" s="2795"/>
      <c r="UJQ35" s="2795"/>
      <c r="UJR35" s="2795"/>
      <c r="UJS35" s="2795"/>
      <c r="UJT35" s="2795"/>
      <c r="UJU35" s="2795"/>
      <c r="UJV35" s="2795"/>
      <c r="UJW35" s="2795"/>
      <c r="UJX35" s="2795"/>
      <c r="UJY35" s="2795"/>
      <c r="UJZ35" s="2795"/>
      <c r="UKA35" s="2795"/>
      <c r="UKB35" s="2795"/>
      <c r="UKC35" s="2795"/>
      <c r="UKD35" s="2795"/>
      <c r="UKE35" s="2795"/>
      <c r="UKF35" s="2795"/>
      <c r="UKG35" s="2795"/>
      <c r="UKH35" s="2795"/>
      <c r="UKI35" s="2795"/>
      <c r="UKJ35" s="2795"/>
      <c r="UKK35" s="2795"/>
      <c r="UKL35" s="2795"/>
      <c r="UKM35" s="2795"/>
      <c r="UKN35" s="2795"/>
      <c r="UKO35" s="2795"/>
      <c r="UKP35" s="2795"/>
      <c r="UKQ35" s="2795"/>
      <c r="UKR35" s="2795"/>
      <c r="UKS35" s="2795"/>
      <c r="UKT35" s="2795"/>
      <c r="UKU35" s="2795"/>
      <c r="UKV35" s="2795"/>
      <c r="UKW35" s="2795"/>
      <c r="UKX35" s="2795"/>
      <c r="UKY35" s="2795"/>
      <c r="UKZ35" s="2795"/>
      <c r="ULA35" s="2795"/>
      <c r="ULB35" s="2795"/>
      <c r="ULC35" s="2795"/>
      <c r="ULD35" s="2795"/>
      <c r="ULE35" s="2795"/>
      <c r="ULF35" s="2795"/>
      <c r="ULG35" s="2795"/>
      <c r="ULH35" s="2795"/>
      <c r="ULI35" s="2795"/>
      <c r="ULJ35" s="2795"/>
      <c r="ULK35" s="2795"/>
      <c r="ULL35" s="2795"/>
      <c r="ULM35" s="2795"/>
      <c r="ULN35" s="2795"/>
      <c r="ULO35" s="2795"/>
      <c r="ULP35" s="2795"/>
      <c r="ULQ35" s="2795"/>
      <c r="ULR35" s="2795"/>
      <c r="ULS35" s="2795"/>
      <c r="ULT35" s="2795"/>
      <c r="ULU35" s="2795"/>
      <c r="ULV35" s="2795"/>
      <c r="ULW35" s="2795"/>
      <c r="ULX35" s="2795"/>
      <c r="ULY35" s="2795"/>
      <c r="ULZ35" s="2795"/>
      <c r="UMA35" s="2795"/>
      <c r="UMB35" s="2795"/>
      <c r="UMC35" s="2795"/>
      <c r="UMD35" s="2795"/>
      <c r="UME35" s="2795"/>
      <c r="UMF35" s="2795"/>
      <c r="UMG35" s="2795"/>
      <c r="UMH35" s="2795"/>
      <c r="UMI35" s="2795"/>
      <c r="UMJ35" s="2795"/>
      <c r="UMK35" s="2795"/>
      <c r="UML35" s="2795"/>
      <c r="UMM35" s="2795"/>
      <c r="UMN35" s="2795"/>
      <c r="UMO35" s="2795"/>
      <c r="UMP35" s="2795"/>
      <c r="UMQ35" s="2795"/>
      <c r="UMR35" s="2795"/>
      <c r="UMS35" s="2795"/>
      <c r="UMT35" s="2795"/>
      <c r="UMU35" s="2795"/>
      <c r="UMV35" s="2795"/>
      <c r="UMW35" s="2795"/>
      <c r="UMX35" s="2795"/>
      <c r="UMY35" s="2795"/>
      <c r="UMZ35" s="2795"/>
      <c r="UNA35" s="2795"/>
      <c r="UNB35" s="2795"/>
      <c r="UNC35" s="2795"/>
      <c r="UND35" s="2795"/>
      <c r="UNE35" s="2795"/>
      <c r="UNF35" s="2795"/>
      <c r="UNG35" s="2795"/>
      <c r="UNH35" s="2795"/>
      <c r="UNI35" s="2795"/>
      <c r="UNJ35" s="2795"/>
      <c r="UNK35" s="2795"/>
      <c r="UNL35" s="2795"/>
      <c r="UNM35" s="2795"/>
      <c r="UNN35" s="2795"/>
      <c r="UNO35" s="2795"/>
      <c r="UNP35" s="2795"/>
      <c r="UNQ35" s="2795"/>
      <c r="UNR35" s="2795"/>
      <c r="UNS35" s="2795"/>
      <c r="UNT35" s="2795"/>
      <c r="UNU35" s="2795"/>
      <c r="UNV35" s="2795"/>
      <c r="UNW35" s="2795"/>
      <c r="UNX35" s="2795"/>
      <c r="UNY35" s="2795"/>
      <c r="UNZ35" s="2795"/>
      <c r="UOA35" s="2795"/>
      <c r="UOB35" s="2795"/>
      <c r="UOC35" s="2795"/>
      <c r="UOD35" s="2795"/>
      <c r="UOE35" s="2795"/>
      <c r="UOF35" s="2795"/>
      <c r="UOG35" s="2795"/>
      <c r="UOH35" s="2795"/>
      <c r="UOI35" s="2795"/>
      <c r="UOJ35" s="2795"/>
      <c r="UOK35" s="2795"/>
      <c r="UOL35" s="2795"/>
      <c r="UOM35" s="2795"/>
      <c r="UON35" s="2795"/>
      <c r="UOO35" s="2795"/>
      <c r="UOP35" s="2795"/>
      <c r="UOQ35" s="2795"/>
      <c r="UOR35" s="2795"/>
      <c r="UOS35" s="2795"/>
      <c r="UOT35" s="2795"/>
      <c r="UOU35" s="2795"/>
      <c r="UOV35" s="2795"/>
      <c r="UOW35" s="2795"/>
      <c r="UOX35" s="2795"/>
      <c r="UOY35" s="2795"/>
      <c r="UOZ35" s="2795"/>
      <c r="UPA35" s="2795"/>
      <c r="UPB35" s="2795"/>
      <c r="UPC35" s="2795"/>
      <c r="UPD35" s="2795"/>
      <c r="UPE35" s="2795"/>
      <c r="UPF35" s="2795"/>
      <c r="UPG35" s="2795"/>
      <c r="UPH35" s="2795"/>
      <c r="UPI35" s="2795"/>
      <c r="UPJ35" s="2795"/>
      <c r="UPK35" s="2795"/>
      <c r="UPL35" s="2795"/>
      <c r="UPM35" s="2795"/>
      <c r="UPN35" s="2795"/>
      <c r="UPO35" s="2795"/>
      <c r="UPP35" s="2795"/>
      <c r="UPQ35" s="2795"/>
      <c r="UPR35" s="2795"/>
      <c r="UPS35" s="2795"/>
      <c r="UPT35" s="2795"/>
      <c r="UPU35" s="2795"/>
      <c r="UPV35" s="2795"/>
      <c r="UPW35" s="2795"/>
      <c r="UPX35" s="2795"/>
      <c r="UPY35" s="2795"/>
      <c r="UPZ35" s="2795"/>
      <c r="UQA35" s="2795"/>
      <c r="UQB35" s="2795"/>
      <c r="UQC35" s="2795"/>
      <c r="UQD35" s="2795"/>
      <c r="UQE35" s="2795"/>
      <c r="UQF35" s="2795"/>
      <c r="UQG35" s="2795"/>
      <c r="UQH35" s="2795"/>
      <c r="UQI35" s="2795"/>
      <c r="UQJ35" s="2795"/>
      <c r="UQK35" s="2795"/>
      <c r="UQL35" s="2795"/>
      <c r="UQM35" s="2795"/>
      <c r="UQN35" s="2795"/>
      <c r="UQO35" s="2795"/>
      <c r="UQP35" s="2795"/>
      <c r="UQQ35" s="2795"/>
      <c r="UQR35" s="2795"/>
      <c r="UQS35" s="2795"/>
      <c r="UQT35" s="2795"/>
      <c r="UQU35" s="2795"/>
      <c r="UQV35" s="2795"/>
      <c r="UQW35" s="2795"/>
      <c r="UQX35" s="2795"/>
      <c r="UQY35" s="2795"/>
      <c r="UQZ35" s="2795"/>
      <c r="URA35" s="2795"/>
      <c r="URB35" s="2795"/>
      <c r="URC35" s="2795"/>
      <c r="URD35" s="2795"/>
      <c r="URE35" s="2795"/>
      <c r="URF35" s="2795"/>
      <c r="URG35" s="2795"/>
      <c r="URH35" s="2795"/>
      <c r="URI35" s="2795"/>
      <c r="URJ35" s="2795"/>
      <c r="URK35" s="2795"/>
      <c r="URL35" s="2795"/>
      <c r="URM35" s="2795"/>
      <c r="URN35" s="2795"/>
      <c r="URO35" s="2795"/>
      <c r="URP35" s="2795"/>
      <c r="URQ35" s="2795"/>
      <c r="URR35" s="2795"/>
      <c r="URS35" s="2795"/>
      <c r="URT35" s="2795"/>
      <c r="URU35" s="2795"/>
      <c r="URV35" s="2795"/>
      <c r="URW35" s="2795"/>
      <c r="URX35" s="2795"/>
      <c r="URY35" s="2795"/>
      <c r="URZ35" s="2795"/>
      <c r="USA35" s="2795"/>
      <c r="USB35" s="2795"/>
      <c r="USC35" s="2795"/>
      <c r="USD35" s="2795"/>
      <c r="USE35" s="2795"/>
      <c r="USF35" s="2795"/>
      <c r="USG35" s="2795"/>
      <c r="USH35" s="2795"/>
      <c r="USI35" s="2795"/>
      <c r="USJ35" s="2795"/>
      <c r="USK35" s="2795"/>
      <c r="USL35" s="2795"/>
      <c r="USM35" s="2795"/>
      <c r="USN35" s="2795"/>
      <c r="USO35" s="2795"/>
      <c r="USP35" s="2795"/>
      <c r="USQ35" s="2795"/>
      <c r="USR35" s="2795"/>
      <c r="USS35" s="2795"/>
      <c r="UST35" s="2795"/>
      <c r="USU35" s="2795"/>
      <c r="USV35" s="2795"/>
      <c r="USW35" s="2795"/>
      <c r="USX35" s="2795"/>
      <c r="USY35" s="2795"/>
      <c r="USZ35" s="2795"/>
      <c r="UTA35" s="2795"/>
      <c r="UTB35" s="2795"/>
      <c r="UTC35" s="2795"/>
      <c r="UTD35" s="2795"/>
      <c r="UTE35" s="2795"/>
      <c r="UTF35" s="2795"/>
      <c r="UTG35" s="2795"/>
      <c r="UTH35" s="2795"/>
      <c r="UTI35" s="2795"/>
      <c r="UTJ35" s="2795"/>
      <c r="UTK35" s="2795"/>
      <c r="UTL35" s="2795"/>
      <c r="UTM35" s="2795"/>
      <c r="UTN35" s="2795"/>
      <c r="UTO35" s="2795"/>
      <c r="UTP35" s="2795"/>
      <c r="UTQ35" s="2795"/>
      <c r="UTR35" s="2795"/>
      <c r="UTS35" s="2795"/>
      <c r="UTT35" s="2795"/>
      <c r="UTU35" s="2795"/>
      <c r="UTV35" s="2795"/>
      <c r="UTW35" s="2795"/>
      <c r="UTX35" s="2795"/>
      <c r="UTY35" s="2795"/>
      <c r="UTZ35" s="2795"/>
      <c r="UUA35" s="2795"/>
      <c r="UUB35" s="2795"/>
      <c r="UUC35" s="2795"/>
      <c r="UUD35" s="2795"/>
      <c r="UUE35" s="2795"/>
      <c r="UUF35" s="2795"/>
      <c r="UUG35" s="2795"/>
      <c r="UUH35" s="2795"/>
      <c r="UUI35" s="2795"/>
      <c r="UUJ35" s="2795"/>
      <c r="UUK35" s="2795"/>
      <c r="UUL35" s="2795"/>
      <c r="UUM35" s="2795"/>
      <c r="UUN35" s="2795"/>
      <c r="UUO35" s="2795"/>
      <c r="UUP35" s="2795"/>
      <c r="UUQ35" s="2795"/>
      <c r="UUR35" s="2795"/>
      <c r="UUS35" s="2795"/>
      <c r="UUT35" s="2795"/>
      <c r="UUU35" s="2795"/>
      <c r="UUV35" s="2795"/>
      <c r="UUW35" s="2795"/>
      <c r="UUX35" s="2795"/>
      <c r="UUY35" s="2795"/>
      <c r="UUZ35" s="2795"/>
      <c r="UVA35" s="2795"/>
      <c r="UVB35" s="2795"/>
      <c r="UVC35" s="2795"/>
      <c r="UVD35" s="2795"/>
      <c r="UVE35" s="2795"/>
      <c r="UVF35" s="2795"/>
      <c r="UVG35" s="2795"/>
      <c r="UVH35" s="2795"/>
      <c r="UVI35" s="2795"/>
      <c r="UVJ35" s="2795"/>
      <c r="UVK35" s="2795"/>
      <c r="UVL35" s="2795"/>
      <c r="UVM35" s="2795"/>
      <c r="UVN35" s="2795"/>
      <c r="UVO35" s="2795"/>
      <c r="UVP35" s="2795"/>
      <c r="UVQ35" s="2795"/>
      <c r="UVR35" s="2795"/>
      <c r="UVS35" s="2795"/>
      <c r="UVT35" s="2795"/>
      <c r="UVU35" s="2795"/>
      <c r="UVV35" s="2795"/>
      <c r="UVW35" s="2795"/>
      <c r="UVX35" s="2795"/>
      <c r="UVY35" s="2795"/>
      <c r="UVZ35" s="2795"/>
      <c r="UWA35" s="2795"/>
      <c r="UWB35" s="2795"/>
      <c r="UWC35" s="2795"/>
      <c r="UWD35" s="2795"/>
      <c r="UWE35" s="2795"/>
      <c r="UWF35" s="2795"/>
      <c r="UWG35" s="2795"/>
      <c r="UWH35" s="2795"/>
      <c r="UWI35" s="2795"/>
      <c r="UWJ35" s="2795"/>
      <c r="UWK35" s="2795"/>
      <c r="UWL35" s="2795"/>
      <c r="UWM35" s="2795"/>
      <c r="UWN35" s="2795"/>
      <c r="UWO35" s="2795"/>
      <c r="UWP35" s="2795"/>
      <c r="UWQ35" s="2795"/>
      <c r="UWR35" s="2795"/>
      <c r="UWS35" s="2795"/>
      <c r="UWT35" s="2795"/>
      <c r="UWU35" s="2795"/>
      <c r="UWV35" s="2795"/>
      <c r="UWW35" s="2795"/>
      <c r="UWX35" s="2795"/>
      <c r="UWY35" s="2795"/>
      <c r="UWZ35" s="2795"/>
      <c r="UXA35" s="2795"/>
      <c r="UXB35" s="2795"/>
      <c r="UXC35" s="2795"/>
      <c r="UXD35" s="2795"/>
      <c r="UXE35" s="2795"/>
      <c r="UXF35" s="2795"/>
      <c r="UXG35" s="2795"/>
      <c r="UXH35" s="2795"/>
      <c r="UXI35" s="2795"/>
      <c r="UXJ35" s="2795"/>
      <c r="UXK35" s="2795"/>
      <c r="UXL35" s="2795"/>
      <c r="UXM35" s="2795"/>
      <c r="UXN35" s="2795"/>
      <c r="UXO35" s="2795"/>
      <c r="UXP35" s="2795"/>
      <c r="UXQ35" s="2795"/>
      <c r="UXR35" s="2795"/>
      <c r="UXS35" s="2795"/>
      <c r="UXT35" s="2795"/>
      <c r="UXU35" s="2795"/>
      <c r="UXV35" s="2795"/>
      <c r="UXW35" s="2795"/>
      <c r="UXX35" s="2795"/>
      <c r="UXY35" s="2795"/>
      <c r="UXZ35" s="2795"/>
      <c r="UYA35" s="2795"/>
      <c r="UYB35" s="2795"/>
      <c r="UYC35" s="2795"/>
      <c r="UYD35" s="2795"/>
      <c r="UYE35" s="2795"/>
      <c r="UYF35" s="2795"/>
      <c r="UYG35" s="2795"/>
      <c r="UYH35" s="2795"/>
      <c r="UYI35" s="2795"/>
      <c r="UYJ35" s="2795"/>
      <c r="UYK35" s="2795"/>
      <c r="UYL35" s="2795"/>
      <c r="UYM35" s="2795"/>
      <c r="UYN35" s="2795"/>
      <c r="UYO35" s="2795"/>
      <c r="UYP35" s="2795"/>
      <c r="UYQ35" s="2795"/>
      <c r="UYR35" s="2795"/>
      <c r="UYS35" s="2795"/>
      <c r="UYT35" s="2795"/>
      <c r="UYU35" s="2795"/>
      <c r="UYV35" s="2795"/>
      <c r="UYW35" s="2795"/>
      <c r="UYX35" s="2795"/>
      <c r="UYY35" s="2795"/>
      <c r="UYZ35" s="2795"/>
      <c r="UZA35" s="2795"/>
      <c r="UZB35" s="2795"/>
      <c r="UZC35" s="2795"/>
      <c r="UZD35" s="2795"/>
      <c r="UZE35" s="2795"/>
      <c r="UZF35" s="2795"/>
      <c r="UZG35" s="2795"/>
      <c r="UZH35" s="2795"/>
      <c r="UZI35" s="2795"/>
      <c r="UZJ35" s="2795"/>
      <c r="UZK35" s="2795"/>
      <c r="UZL35" s="2795"/>
      <c r="UZM35" s="2795"/>
      <c r="UZN35" s="2795"/>
      <c r="UZO35" s="2795"/>
      <c r="UZP35" s="2795"/>
      <c r="UZQ35" s="2795"/>
      <c r="UZR35" s="2795"/>
      <c r="UZS35" s="2795"/>
      <c r="UZT35" s="2795"/>
      <c r="UZU35" s="2795"/>
      <c r="UZV35" s="2795"/>
      <c r="UZW35" s="2795"/>
      <c r="UZX35" s="2795"/>
      <c r="UZY35" s="2795"/>
      <c r="UZZ35" s="2795"/>
      <c r="VAA35" s="2795"/>
      <c r="VAB35" s="2795"/>
      <c r="VAC35" s="2795"/>
      <c r="VAD35" s="2795"/>
      <c r="VAE35" s="2795"/>
      <c r="VAF35" s="2795"/>
      <c r="VAG35" s="2795"/>
      <c r="VAH35" s="2795"/>
      <c r="VAI35" s="2795"/>
      <c r="VAJ35" s="2795"/>
      <c r="VAK35" s="2795"/>
      <c r="VAL35" s="2795"/>
      <c r="VAM35" s="2795"/>
      <c r="VAN35" s="2795"/>
      <c r="VAO35" s="2795"/>
      <c r="VAP35" s="2795"/>
      <c r="VAQ35" s="2795"/>
      <c r="VAR35" s="2795"/>
      <c r="VAS35" s="2795"/>
      <c r="VAT35" s="2795"/>
      <c r="VAU35" s="2795"/>
      <c r="VAV35" s="2795"/>
      <c r="VAW35" s="2795"/>
      <c r="VAX35" s="2795"/>
      <c r="VAY35" s="2795"/>
      <c r="VAZ35" s="2795"/>
      <c r="VBA35" s="2795"/>
      <c r="VBB35" s="2795"/>
      <c r="VBC35" s="2795"/>
      <c r="VBD35" s="2795"/>
      <c r="VBE35" s="2795"/>
      <c r="VBF35" s="2795"/>
      <c r="VBG35" s="2795"/>
      <c r="VBH35" s="2795"/>
      <c r="VBI35" s="2795"/>
      <c r="VBJ35" s="2795"/>
      <c r="VBK35" s="2795"/>
      <c r="VBL35" s="2795"/>
      <c r="VBM35" s="2795"/>
      <c r="VBN35" s="2795"/>
      <c r="VBO35" s="2795"/>
      <c r="VBP35" s="2795"/>
      <c r="VBQ35" s="2795"/>
      <c r="VBR35" s="2795"/>
      <c r="VBS35" s="2795"/>
      <c r="VBT35" s="2795"/>
      <c r="VBU35" s="2795"/>
      <c r="VBV35" s="2795"/>
      <c r="VBW35" s="2795"/>
      <c r="VBX35" s="2795"/>
      <c r="VBY35" s="2795"/>
      <c r="VBZ35" s="2795"/>
      <c r="VCA35" s="2795"/>
      <c r="VCB35" s="2795"/>
      <c r="VCC35" s="2795"/>
      <c r="VCD35" s="2795"/>
      <c r="VCE35" s="2795"/>
      <c r="VCF35" s="2795"/>
      <c r="VCG35" s="2795"/>
      <c r="VCH35" s="2795"/>
      <c r="VCI35" s="2795"/>
      <c r="VCJ35" s="2795"/>
      <c r="VCK35" s="2795"/>
      <c r="VCL35" s="2795"/>
      <c r="VCM35" s="2795"/>
      <c r="VCN35" s="2795"/>
      <c r="VCO35" s="2795"/>
      <c r="VCP35" s="2795"/>
      <c r="VCQ35" s="2795"/>
      <c r="VCR35" s="2795"/>
      <c r="VCS35" s="2795"/>
      <c r="VCT35" s="2795"/>
      <c r="VCU35" s="2795"/>
      <c r="VCV35" s="2795"/>
      <c r="VCW35" s="2795"/>
      <c r="VCX35" s="2795"/>
      <c r="VCY35" s="2795"/>
      <c r="VCZ35" s="2795"/>
      <c r="VDA35" s="2795"/>
      <c r="VDB35" s="2795"/>
      <c r="VDC35" s="2795"/>
      <c r="VDD35" s="2795"/>
      <c r="VDE35" s="2795"/>
      <c r="VDF35" s="2795"/>
      <c r="VDG35" s="2795"/>
      <c r="VDH35" s="2795"/>
      <c r="VDI35" s="2795"/>
      <c r="VDJ35" s="2795"/>
      <c r="VDK35" s="2795"/>
      <c r="VDL35" s="2795"/>
      <c r="VDM35" s="2795"/>
      <c r="VDN35" s="2795"/>
      <c r="VDO35" s="2795"/>
      <c r="VDP35" s="2795"/>
      <c r="VDQ35" s="2795"/>
      <c r="VDR35" s="2795"/>
      <c r="VDS35" s="2795"/>
      <c r="VDT35" s="2795"/>
      <c r="VDU35" s="2795"/>
      <c r="VDV35" s="2795"/>
      <c r="VDW35" s="2795"/>
      <c r="VDX35" s="2795"/>
      <c r="VDY35" s="2795"/>
      <c r="VDZ35" s="2795"/>
      <c r="VEA35" s="2795"/>
      <c r="VEB35" s="2795"/>
      <c r="VEC35" s="2795"/>
      <c r="VED35" s="2795"/>
      <c r="VEE35" s="2795"/>
      <c r="VEF35" s="2795"/>
      <c r="VEG35" s="2795"/>
      <c r="VEH35" s="2795"/>
      <c r="VEI35" s="2795"/>
      <c r="VEJ35" s="2795"/>
      <c r="VEK35" s="2795"/>
      <c r="VEL35" s="2795"/>
      <c r="VEM35" s="2795"/>
      <c r="VEN35" s="2795"/>
      <c r="VEO35" s="2795"/>
      <c r="VEP35" s="2795"/>
      <c r="VEQ35" s="2795"/>
      <c r="VER35" s="2795"/>
      <c r="VES35" s="2795"/>
      <c r="VET35" s="2795"/>
      <c r="VEU35" s="2795"/>
      <c r="VEV35" s="2795"/>
      <c r="VEW35" s="2795"/>
      <c r="VEX35" s="2795"/>
      <c r="VEY35" s="2795"/>
      <c r="VEZ35" s="2795"/>
      <c r="VFA35" s="2795"/>
      <c r="VFB35" s="2795"/>
      <c r="VFC35" s="2795"/>
      <c r="VFD35" s="2795"/>
      <c r="VFE35" s="2795"/>
      <c r="VFF35" s="2795"/>
      <c r="VFG35" s="2795"/>
      <c r="VFH35" s="2795"/>
      <c r="VFI35" s="2795"/>
      <c r="VFJ35" s="2795"/>
      <c r="VFK35" s="2795"/>
      <c r="VFL35" s="2795"/>
      <c r="VFM35" s="2795"/>
      <c r="VFN35" s="2795"/>
      <c r="VFO35" s="2795"/>
      <c r="VFP35" s="2795"/>
      <c r="VFQ35" s="2795"/>
      <c r="VFR35" s="2795"/>
      <c r="VFS35" s="2795"/>
      <c r="VFT35" s="2795"/>
      <c r="VFU35" s="2795"/>
      <c r="VFV35" s="2795"/>
      <c r="VFW35" s="2795"/>
      <c r="VFX35" s="2795"/>
      <c r="VFY35" s="2795"/>
      <c r="VFZ35" s="2795"/>
      <c r="VGA35" s="2795"/>
      <c r="VGB35" s="2795"/>
      <c r="VGC35" s="2795"/>
      <c r="VGD35" s="2795"/>
      <c r="VGE35" s="2795"/>
      <c r="VGF35" s="2795"/>
      <c r="VGG35" s="2795"/>
      <c r="VGH35" s="2795"/>
      <c r="VGI35" s="2795"/>
      <c r="VGJ35" s="2795"/>
      <c r="VGK35" s="2795"/>
      <c r="VGL35" s="2795"/>
      <c r="VGM35" s="2795"/>
      <c r="VGN35" s="2795"/>
      <c r="VGO35" s="2795"/>
      <c r="VGP35" s="2795"/>
      <c r="VGQ35" s="2795"/>
      <c r="VGR35" s="2795"/>
      <c r="VGS35" s="2795"/>
      <c r="VGT35" s="2795"/>
      <c r="VGU35" s="2795"/>
      <c r="VGV35" s="2795"/>
      <c r="VGW35" s="2795"/>
      <c r="VGX35" s="2795"/>
      <c r="VGY35" s="2795"/>
      <c r="VGZ35" s="2795"/>
      <c r="VHA35" s="2795"/>
      <c r="VHB35" s="2795"/>
      <c r="VHC35" s="2795"/>
      <c r="VHD35" s="2795"/>
      <c r="VHE35" s="2795"/>
      <c r="VHF35" s="2795"/>
      <c r="VHG35" s="2795"/>
      <c r="VHH35" s="2795"/>
      <c r="VHI35" s="2795"/>
      <c r="VHJ35" s="2795"/>
      <c r="VHK35" s="2795"/>
      <c r="VHL35" s="2795"/>
      <c r="VHM35" s="2795"/>
      <c r="VHN35" s="2795"/>
      <c r="VHO35" s="2795"/>
      <c r="VHP35" s="2795"/>
      <c r="VHQ35" s="2795"/>
      <c r="VHR35" s="2795"/>
      <c r="VHS35" s="2795"/>
      <c r="VHT35" s="2795"/>
      <c r="VHU35" s="2795"/>
      <c r="VHV35" s="2795"/>
      <c r="VHW35" s="2795"/>
      <c r="VHX35" s="2795"/>
      <c r="VHY35" s="2795"/>
      <c r="VHZ35" s="2795"/>
      <c r="VIA35" s="2795"/>
      <c r="VIB35" s="2795"/>
      <c r="VIC35" s="2795"/>
      <c r="VID35" s="2795"/>
      <c r="VIE35" s="2795"/>
      <c r="VIF35" s="2795"/>
      <c r="VIG35" s="2795"/>
      <c r="VIH35" s="2795"/>
      <c r="VII35" s="2795"/>
      <c r="VIJ35" s="2795"/>
      <c r="VIK35" s="2795"/>
      <c r="VIL35" s="2795"/>
      <c r="VIM35" s="2795"/>
      <c r="VIN35" s="2795"/>
      <c r="VIO35" s="2795"/>
      <c r="VIP35" s="2795"/>
      <c r="VIQ35" s="2795"/>
      <c r="VIR35" s="2795"/>
      <c r="VIS35" s="2795"/>
      <c r="VIT35" s="2795"/>
      <c r="VIU35" s="2795"/>
      <c r="VIV35" s="2795"/>
      <c r="VIW35" s="2795"/>
      <c r="VIX35" s="2795"/>
      <c r="VIY35" s="2795"/>
      <c r="VIZ35" s="2795"/>
      <c r="VJA35" s="2795"/>
      <c r="VJB35" s="2795"/>
      <c r="VJC35" s="2795"/>
      <c r="VJD35" s="2795"/>
      <c r="VJE35" s="2795"/>
      <c r="VJF35" s="2795"/>
      <c r="VJG35" s="2795"/>
      <c r="VJH35" s="2795"/>
      <c r="VJI35" s="2795"/>
      <c r="VJJ35" s="2795"/>
      <c r="VJK35" s="2795"/>
      <c r="VJL35" s="2795"/>
      <c r="VJM35" s="2795"/>
      <c r="VJN35" s="2795"/>
      <c r="VJO35" s="2795"/>
      <c r="VJP35" s="2795"/>
      <c r="VJQ35" s="2795"/>
      <c r="VJR35" s="2795"/>
      <c r="VJS35" s="2795"/>
      <c r="VJT35" s="2795"/>
      <c r="VJU35" s="2795"/>
      <c r="VJV35" s="2795"/>
      <c r="VJW35" s="2795"/>
      <c r="VJX35" s="2795"/>
      <c r="VJY35" s="2795"/>
      <c r="VJZ35" s="2795"/>
      <c r="VKA35" s="2795"/>
      <c r="VKB35" s="2795"/>
      <c r="VKC35" s="2795"/>
      <c r="VKD35" s="2795"/>
      <c r="VKE35" s="2795"/>
      <c r="VKF35" s="2795"/>
      <c r="VKG35" s="2795"/>
      <c r="VKH35" s="2795"/>
      <c r="VKI35" s="2795"/>
      <c r="VKJ35" s="2795"/>
      <c r="VKK35" s="2795"/>
      <c r="VKL35" s="2795"/>
      <c r="VKM35" s="2795"/>
      <c r="VKN35" s="2795"/>
      <c r="VKO35" s="2795"/>
      <c r="VKP35" s="2795"/>
      <c r="VKQ35" s="2795"/>
      <c r="VKR35" s="2795"/>
      <c r="VKS35" s="2795"/>
      <c r="VKT35" s="2795"/>
      <c r="VKU35" s="2795"/>
      <c r="VKV35" s="2795"/>
      <c r="VKW35" s="2795"/>
      <c r="VKX35" s="2795"/>
      <c r="VKY35" s="2795"/>
      <c r="VKZ35" s="2795"/>
      <c r="VLA35" s="2795"/>
      <c r="VLB35" s="2795"/>
      <c r="VLC35" s="2795"/>
      <c r="VLD35" s="2795"/>
      <c r="VLE35" s="2795"/>
      <c r="VLF35" s="2795"/>
      <c r="VLG35" s="2795"/>
      <c r="VLH35" s="2795"/>
      <c r="VLI35" s="2795"/>
      <c r="VLJ35" s="2795"/>
      <c r="VLK35" s="2795"/>
      <c r="VLL35" s="2795"/>
      <c r="VLM35" s="2795"/>
      <c r="VLN35" s="2795"/>
      <c r="VLO35" s="2795"/>
      <c r="VLP35" s="2795"/>
      <c r="VLQ35" s="2795"/>
      <c r="VLR35" s="2795"/>
      <c r="VLS35" s="2795"/>
      <c r="VLT35" s="2795"/>
      <c r="VLU35" s="2795"/>
      <c r="VLV35" s="2795"/>
      <c r="VLW35" s="2795"/>
      <c r="VLX35" s="2795"/>
      <c r="VLY35" s="2795"/>
      <c r="VLZ35" s="2795"/>
      <c r="VMA35" s="2795"/>
      <c r="VMB35" s="2795"/>
      <c r="VMC35" s="2795"/>
      <c r="VMD35" s="2795"/>
      <c r="VME35" s="2795"/>
      <c r="VMF35" s="2795"/>
      <c r="VMG35" s="2795"/>
      <c r="VMH35" s="2795"/>
      <c r="VMI35" s="2795"/>
      <c r="VMJ35" s="2795"/>
      <c r="VMK35" s="2795"/>
      <c r="VML35" s="2795"/>
      <c r="VMM35" s="2795"/>
      <c r="VMN35" s="2795"/>
      <c r="VMO35" s="2795"/>
      <c r="VMP35" s="2795"/>
      <c r="VMQ35" s="2795"/>
      <c r="VMR35" s="2795"/>
      <c r="VMS35" s="2795"/>
      <c r="VMT35" s="2795"/>
      <c r="VMU35" s="2795"/>
      <c r="VMV35" s="2795"/>
      <c r="VMW35" s="2795"/>
      <c r="VMX35" s="2795"/>
      <c r="VMY35" s="2795"/>
      <c r="VMZ35" s="2795"/>
      <c r="VNA35" s="2795"/>
      <c r="VNB35" s="2795"/>
      <c r="VNC35" s="2795"/>
      <c r="VND35" s="2795"/>
      <c r="VNE35" s="2795"/>
      <c r="VNF35" s="2795"/>
      <c r="VNG35" s="2795"/>
      <c r="VNH35" s="2795"/>
      <c r="VNI35" s="2795"/>
      <c r="VNJ35" s="2795"/>
      <c r="VNK35" s="2795"/>
      <c r="VNL35" s="2795"/>
      <c r="VNM35" s="2795"/>
      <c r="VNN35" s="2795"/>
      <c r="VNO35" s="2795"/>
      <c r="VNP35" s="2795"/>
      <c r="VNQ35" s="2795"/>
      <c r="VNR35" s="2795"/>
      <c r="VNS35" s="2795"/>
      <c r="VNT35" s="2795"/>
      <c r="VNU35" s="2795"/>
      <c r="VNV35" s="2795"/>
      <c r="VNW35" s="2795"/>
      <c r="VNX35" s="2795"/>
      <c r="VNY35" s="2795"/>
      <c r="VNZ35" s="2795"/>
      <c r="VOA35" s="2795"/>
      <c r="VOB35" s="2795"/>
      <c r="VOC35" s="2795"/>
      <c r="VOD35" s="2795"/>
      <c r="VOE35" s="2795"/>
      <c r="VOF35" s="2795"/>
      <c r="VOG35" s="2795"/>
      <c r="VOH35" s="2795"/>
      <c r="VOI35" s="2795"/>
      <c r="VOJ35" s="2795"/>
      <c r="VOK35" s="2795"/>
      <c r="VOL35" s="2795"/>
      <c r="VOM35" s="2795"/>
      <c r="VON35" s="2795"/>
      <c r="VOO35" s="2795"/>
      <c r="VOP35" s="2795"/>
      <c r="VOQ35" s="2795"/>
      <c r="VOR35" s="2795"/>
      <c r="VOS35" s="2795"/>
      <c r="VOT35" s="2795"/>
      <c r="VOU35" s="2795"/>
      <c r="VOV35" s="2795"/>
      <c r="VOW35" s="2795"/>
      <c r="VOX35" s="2795"/>
      <c r="VOY35" s="2795"/>
      <c r="VOZ35" s="2795"/>
      <c r="VPA35" s="2795"/>
      <c r="VPB35" s="2795"/>
      <c r="VPC35" s="2795"/>
      <c r="VPD35" s="2795"/>
      <c r="VPE35" s="2795"/>
      <c r="VPF35" s="2795"/>
      <c r="VPG35" s="2795"/>
      <c r="VPH35" s="2795"/>
      <c r="VPI35" s="2795"/>
      <c r="VPJ35" s="2795"/>
      <c r="VPK35" s="2795"/>
      <c r="VPL35" s="2795"/>
      <c r="VPM35" s="2795"/>
      <c r="VPN35" s="2795"/>
      <c r="VPO35" s="2795"/>
      <c r="VPP35" s="2795"/>
      <c r="VPQ35" s="2795"/>
      <c r="VPR35" s="2795"/>
      <c r="VPS35" s="2795"/>
      <c r="VPT35" s="2795"/>
      <c r="VPU35" s="2795"/>
      <c r="VPV35" s="2795"/>
      <c r="VPW35" s="2795"/>
      <c r="VPX35" s="2795"/>
      <c r="VPY35" s="2795"/>
      <c r="VPZ35" s="2795"/>
      <c r="VQA35" s="2795"/>
      <c r="VQB35" s="2795"/>
      <c r="VQC35" s="2795"/>
      <c r="VQD35" s="2795"/>
      <c r="VQE35" s="2795"/>
      <c r="VQF35" s="2795"/>
      <c r="VQG35" s="2795"/>
      <c r="VQH35" s="2795"/>
      <c r="VQI35" s="2795"/>
      <c r="VQJ35" s="2795"/>
      <c r="VQK35" s="2795"/>
      <c r="VQL35" s="2795"/>
      <c r="VQM35" s="2795"/>
      <c r="VQN35" s="2795"/>
      <c r="VQO35" s="2795"/>
      <c r="VQP35" s="2795"/>
      <c r="VQQ35" s="2795"/>
      <c r="VQR35" s="2795"/>
      <c r="VQS35" s="2795"/>
      <c r="VQT35" s="2795"/>
      <c r="VQU35" s="2795"/>
      <c r="VQV35" s="2795"/>
      <c r="VQW35" s="2795"/>
      <c r="VQX35" s="2795"/>
      <c r="VQY35" s="2795"/>
      <c r="VQZ35" s="2795"/>
      <c r="VRA35" s="2795"/>
      <c r="VRB35" s="2795"/>
      <c r="VRC35" s="2795"/>
      <c r="VRD35" s="2795"/>
      <c r="VRE35" s="2795"/>
      <c r="VRF35" s="2795"/>
      <c r="VRG35" s="2795"/>
      <c r="VRH35" s="2795"/>
      <c r="VRI35" s="2795"/>
      <c r="VRJ35" s="2795"/>
      <c r="VRK35" s="2795"/>
      <c r="VRL35" s="2795"/>
      <c r="VRM35" s="2795"/>
      <c r="VRN35" s="2795"/>
      <c r="VRO35" s="2795"/>
      <c r="VRP35" s="2795"/>
      <c r="VRQ35" s="2795"/>
      <c r="VRR35" s="2795"/>
      <c r="VRS35" s="2795"/>
      <c r="VRT35" s="2795"/>
      <c r="VRU35" s="2795"/>
      <c r="VRV35" s="2795"/>
      <c r="VRW35" s="2795"/>
      <c r="VRX35" s="2795"/>
      <c r="VRY35" s="2795"/>
      <c r="VRZ35" s="2795"/>
      <c r="VSA35" s="2795"/>
      <c r="VSB35" s="2795"/>
      <c r="VSC35" s="2795"/>
      <c r="VSD35" s="2795"/>
      <c r="VSE35" s="2795"/>
      <c r="VSF35" s="2795"/>
      <c r="VSG35" s="2795"/>
      <c r="VSH35" s="2795"/>
      <c r="VSI35" s="2795"/>
      <c r="VSJ35" s="2795"/>
      <c r="VSK35" s="2795"/>
      <c r="VSL35" s="2795"/>
      <c r="VSM35" s="2795"/>
      <c r="VSN35" s="2795"/>
      <c r="VSO35" s="2795"/>
      <c r="VSP35" s="2795"/>
      <c r="VSQ35" s="2795"/>
      <c r="VSR35" s="2795"/>
      <c r="VSS35" s="2795"/>
      <c r="VST35" s="2795"/>
      <c r="VSU35" s="2795"/>
      <c r="VSV35" s="2795"/>
      <c r="VSW35" s="2795"/>
      <c r="VSX35" s="2795"/>
      <c r="VSY35" s="2795"/>
      <c r="VSZ35" s="2795"/>
      <c r="VTA35" s="2795"/>
      <c r="VTB35" s="2795"/>
      <c r="VTC35" s="2795"/>
      <c r="VTD35" s="2795"/>
      <c r="VTE35" s="2795"/>
      <c r="VTF35" s="2795"/>
      <c r="VTG35" s="2795"/>
      <c r="VTH35" s="2795"/>
      <c r="VTI35" s="2795"/>
      <c r="VTJ35" s="2795"/>
      <c r="VTK35" s="2795"/>
      <c r="VTL35" s="2795"/>
      <c r="VTM35" s="2795"/>
      <c r="VTN35" s="2795"/>
      <c r="VTO35" s="2795"/>
      <c r="VTP35" s="2795"/>
      <c r="VTQ35" s="2795"/>
      <c r="VTR35" s="2795"/>
      <c r="VTS35" s="2795"/>
      <c r="VTT35" s="2795"/>
      <c r="VTU35" s="2795"/>
      <c r="VTV35" s="2795"/>
      <c r="VTW35" s="2795"/>
      <c r="VTX35" s="2795"/>
      <c r="VTY35" s="2795"/>
      <c r="VTZ35" s="2795"/>
      <c r="VUA35" s="2795"/>
      <c r="VUB35" s="2795"/>
      <c r="VUC35" s="2795"/>
      <c r="VUD35" s="2795"/>
      <c r="VUE35" s="2795"/>
      <c r="VUF35" s="2795"/>
      <c r="VUG35" s="2795"/>
      <c r="VUH35" s="2795"/>
      <c r="VUI35" s="2795"/>
      <c r="VUJ35" s="2795"/>
      <c r="VUK35" s="2795"/>
      <c r="VUL35" s="2795"/>
      <c r="VUM35" s="2795"/>
      <c r="VUN35" s="2795"/>
      <c r="VUO35" s="2795"/>
      <c r="VUP35" s="2795"/>
      <c r="VUQ35" s="2795"/>
      <c r="VUR35" s="2795"/>
      <c r="VUS35" s="2795"/>
      <c r="VUT35" s="2795"/>
      <c r="VUU35" s="2795"/>
      <c r="VUV35" s="2795"/>
      <c r="VUW35" s="2795"/>
      <c r="VUX35" s="2795"/>
      <c r="VUY35" s="2795"/>
      <c r="VUZ35" s="2795"/>
      <c r="VVA35" s="2795"/>
      <c r="VVB35" s="2795"/>
      <c r="VVC35" s="2795"/>
      <c r="VVD35" s="2795"/>
      <c r="VVE35" s="2795"/>
      <c r="VVF35" s="2795"/>
      <c r="VVG35" s="2795"/>
      <c r="VVH35" s="2795"/>
      <c r="VVI35" s="2795"/>
      <c r="VVJ35" s="2795"/>
      <c r="VVK35" s="2795"/>
      <c r="VVL35" s="2795"/>
      <c r="VVM35" s="2795"/>
      <c r="VVN35" s="2795"/>
      <c r="VVO35" s="2795"/>
      <c r="VVP35" s="2795"/>
      <c r="VVQ35" s="2795"/>
      <c r="VVR35" s="2795"/>
      <c r="VVS35" s="2795"/>
      <c r="VVT35" s="2795"/>
      <c r="VVU35" s="2795"/>
      <c r="VVV35" s="2795"/>
      <c r="VVW35" s="2795"/>
      <c r="VVX35" s="2795"/>
      <c r="VVY35" s="2795"/>
      <c r="VVZ35" s="2795"/>
      <c r="VWA35" s="2795"/>
      <c r="VWB35" s="2795"/>
      <c r="VWC35" s="2795"/>
      <c r="VWD35" s="2795"/>
      <c r="VWE35" s="2795"/>
      <c r="VWF35" s="2795"/>
      <c r="VWG35" s="2795"/>
      <c r="VWH35" s="2795"/>
      <c r="VWI35" s="2795"/>
      <c r="VWJ35" s="2795"/>
      <c r="VWK35" s="2795"/>
      <c r="VWL35" s="2795"/>
      <c r="VWM35" s="2795"/>
      <c r="VWN35" s="2795"/>
      <c r="VWO35" s="2795"/>
      <c r="VWP35" s="2795"/>
      <c r="VWQ35" s="2795"/>
      <c r="VWR35" s="2795"/>
      <c r="VWS35" s="2795"/>
      <c r="VWT35" s="2795"/>
      <c r="VWU35" s="2795"/>
      <c r="VWV35" s="2795"/>
      <c r="VWW35" s="2795"/>
      <c r="VWX35" s="2795"/>
      <c r="VWY35" s="2795"/>
      <c r="VWZ35" s="2795"/>
      <c r="VXA35" s="2795"/>
      <c r="VXB35" s="2795"/>
      <c r="VXC35" s="2795"/>
      <c r="VXD35" s="2795"/>
      <c r="VXE35" s="2795"/>
      <c r="VXF35" s="2795"/>
      <c r="VXG35" s="2795"/>
      <c r="VXH35" s="2795"/>
      <c r="VXI35" s="2795"/>
      <c r="VXJ35" s="2795"/>
      <c r="VXK35" s="2795"/>
      <c r="VXL35" s="2795"/>
      <c r="VXM35" s="2795"/>
      <c r="VXN35" s="2795"/>
      <c r="VXO35" s="2795"/>
      <c r="VXP35" s="2795"/>
      <c r="VXQ35" s="2795"/>
      <c r="VXR35" s="2795"/>
      <c r="VXS35" s="2795"/>
      <c r="VXT35" s="2795"/>
      <c r="VXU35" s="2795"/>
      <c r="VXV35" s="2795"/>
      <c r="VXW35" s="2795"/>
      <c r="VXX35" s="2795"/>
      <c r="VXY35" s="2795"/>
      <c r="VXZ35" s="2795"/>
      <c r="VYA35" s="2795"/>
      <c r="VYB35" s="2795"/>
      <c r="VYC35" s="2795"/>
      <c r="VYD35" s="2795"/>
      <c r="VYE35" s="2795"/>
      <c r="VYF35" s="2795"/>
      <c r="VYG35" s="2795"/>
      <c r="VYH35" s="2795"/>
      <c r="VYI35" s="2795"/>
      <c r="VYJ35" s="2795"/>
      <c r="VYK35" s="2795"/>
      <c r="VYL35" s="2795"/>
      <c r="VYM35" s="2795"/>
      <c r="VYN35" s="2795"/>
      <c r="VYO35" s="2795"/>
      <c r="VYP35" s="2795"/>
      <c r="VYQ35" s="2795"/>
      <c r="VYR35" s="2795"/>
      <c r="VYS35" s="2795"/>
      <c r="VYT35" s="2795"/>
      <c r="VYU35" s="2795"/>
      <c r="VYV35" s="2795"/>
      <c r="VYW35" s="2795"/>
      <c r="VYX35" s="2795"/>
      <c r="VYY35" s="2795"/>
      <c r="VYZ35" s="2795"/>
      <c r="VZA35" s="2795"/>
      <c r="VZB35" s="2795"/>
      <c r="VZC35" s="2795"/>
      <c r="VZD35" s="2795"/>
      <c r="VZE35" s="2795"/>
      <c r="VZF35" s="2795"/>
      <c r="VZG35" s="2795"/>
      <c r="VZH35" s="2795"/>
      <c r="VZI35" s="2795"/>
      <c r="VZJ35" s="2795"/>
      <c r="VZK35" s="2795"/>
      <c r="VZL35" s="2795"/>
      <c r="VZM35" s="2795"/>
      <c r="VZN35" s="2795"/>
      <c r="VZO35" s="2795"/>
      <c r="VZP35" s="2795"/>
      <c r="VZQ35" s="2795"/>
      <c r="VZR35" s="2795"/>
      <c r="VZS35" s="2795"/>
      <c r="VZT35" s="2795"/>
      <c r="VZU35" s="2795"/>
      <c r="VZV35" s="2795"/>
      <c r="VZW35" s="2795"/>
      <c r="VZX35" s="2795"/>
      <c r="VZY35" s="2795"/>
      <c r="VZZ35" s="2795"/>
      <c r="WAA35" s="2795"/>
      <c r="WAB35" s="2795"/>
      <c r="WAC35" s="2795"/>
      <c r="WAD35" s="2795"/>
      <c r="WAE35" s="2795"/>
      <c r="WAF35" s="2795"/>
      <c r="WAG35" s="2795"/>
      <c r="WAH35" s="2795"/>
      <c r="WAI35" s="2795"/>
      <c r="WAJ35" s="2795"/>
      <c r="WAK35" s="2795"/>
      <c r="WAL35" s="2795"/>
      <c r="WAM35" s="2795"/>
      <c r="WAN35" s="2795"/>
      <c r="WAO35" s="2795"/>
      <c r="WAP35" s="2795"/>
      <c r="WAQ35" s="2795"/>
      <c r="WAR35" s="2795"/>
      <c r="WAS35" s="2795"/>
      <c r="WAT35" s="2795"/>
      <c r="WAU35" s="2795"/>
      <c r="WAV35" s="2795"/>
      <c r="WAW35" s="2795"/>
      <c r="WAX35" s="2795"/>
      <c r="WAY35" s="2795"/>
      <c r="WAZ35" s="2795"/>
      <c r="WBA35" s="2795"/>
      <c r="WBB35" s="2795"/>
      <c r="WBC35" s="2795"/>
      <c r="WBD35" s="2795"/>
      <c r="WBE35" s="2795"/>
      <c r="WBF35" s="2795"/>
      <c r="WBG35" s="2795"/>
      <c r="WBH35" s="2795"/>
      <c r="WBI35" s="2795"/>
      <c r="WBJ35" s="2795"/>
      <c r="WBK35" s="2795"/>
      <c r="WBL35" s="2795"/>
      <c r="WBM35" s="2795"/>
      <c r="WBN35" s="2795"/>
      <c r="WBO35" s="2795"/>
      <c r="WBP35" s="2795"/>
      <c r="WBQ35" s="2795"/>
      <c r="WBR35" s="2795"/>
      <c r="WBS35" s="2795"/>
      <c r="WBT35" s="2795"/>
      <c r="WBU35" s="2795"/>
      <c r="WBV35" s="2795"/>
      <c r="WBW35" s="2795"/>
      <c r="WBX35" s="2795"/>
      <c r="WBY35" s="2795"/>
      <c r="WBZ35" s="2795"/>
      <c r="WCA35" s="2795"/>
      <c r="WCB35" s="2795"/>
      <c r="WCC35" s="2795"/>
      <c r="WCD35" s="2795"/>
      <c r="WCE35" s="2795"/>
      <c r="WCF35" s="2795"/>
      <c r="WCG35" s="2795"/>
      <c r="WCH35" s="2795"/>
      <c r="WCI35" s="2795"/>
      <c r="WCJ35" s="2795"/>
      <c r="WCK35" s="2795"/>
      <c r="WCL35" s="2795"/>
      <c r="WCM35" s="2795"/>
      <c r="WCN35" s="2795"/>
      <c r="WCO35" s="2795"/>
      <c r="WCP35" s="2795"/>
      <c r="WCQ35" s="2795"/>
      <c r="WCR35" s="2795"/>
      <c r="WCS35" s="2795"/>
      <c r="WCT35" s="2795"/>
      <c r="WCU35" s="2795"/>
      <c r="WCV35" s="2795"/>
      <c r="WCW35" s="2795"/>
      <c r="WCX35" s="2795"/>
      <c r="WCY35" s="2795"/>
      <c r="WCZ35" s="2795"/>
      <c r="WDA35" s="2795"/>
      <c r="WDB35" s="2795"/>
      <c r="WDC35" s="2795"/>
      <c r="WDD35" s="2795"/>
      <c r="WDE35" s="2795"/>
      <c r="WDF35" s="2795"/>
      <c r="WDG35" s="2795"/>
      <c r="WDH35" s="2795"/>
      <c r="WDI35" s="2795"/>
      <c r="WDJ35" s="2795"/>
      <c r="WDK35" s="2795"/>
      <c r="WDL35" s="2795"/>
      <c r="WDM35" s="2795"/>
      <c r="WDN35" s="2795"/>
      <c r="WDO35" s="2795"/>
      <c r="WDP35" s="2795"/>
      <c r="WDQ35" s="2795"/>
      <c r="WDR35" s="2795"/>
      <c r="WDS35" s="2795"/>
      <c r="WDT35" s="2795"/>
      <c r="WDU35" s="2795"/>
      <c r="WDV35" s="2795"/>
      <c r="WDW35" s="2795"/>
      <c r="WDX35" s="2795"/>
      <c r="WDY35" s="2795"/>
      <c r="WDZ35" s="2795"/>
      <c r="WEA35" s="2795"/>
      <c r="WEB35" s="2795"/>
      <c r="WEC35" s="2795"/>
      <c r="WED35" s="2795"/>
      <c r="WEE35" s="2795"/>
      <c r="WEF35" s="2795"/>
      <c r="WEG35" s="2795"/>
      <c r="WEH35" s="2795"/>
      <c r="WEI35" s="2795"/>
      <c r="WEJ35" s="2795"/>
      <c r="WEK35" s="2795"/>
      <c r="WEL35" s="2795"/>
      <c r="WEM35" s="2795"/>
      <c r="WEN35" s="2795"/>
      <c r="WEO35" s="2795"/>
      <c r="WEP35" s="2795"/>
      <c r="WEQ35" s="2795"/>
      <c r="WER35" s="2795"/>
      <c r="WES35" s="2795"/>
      <c r="WET35" s="2795"/>
      <c r="WEU35" s="2795"/>
      <c r="WEV35" s="2795"/>
      <c r="WEW35" s="2795"/>
      <c r="WEX35" s="2795"/>
      <c r="WEY35" s="2795"/>
      <c r="WEZ35" s="2795"/>
      <c r="WFA35" s="2795"/>
      <c r="WFB35" s="2795"/>
      <c r="WFC35" s="2795"/>
      <c r="WFD35" s="2795"/>
      <c r="WFE35" s="2795"/>
      <c r="WFF35" s="2795"/>
      <c r="WFG35" s="2795"/>
      <c r="WFH35" s="2795"/>
      <c r="WFI35" s="2795"/>
      <c r="WFJ35" s="2795"/>
      <c r="WFK35" s="2795"/>
      <c r="WFL35" s="2795"/>
      <c r="WFM35" s="2795"/>
      <c r="WFN35" s="2795"/>
      <c r="WFO35" s="2795"/>
      <c r="WFP35" s="2795"/>
      <c r="WFQ35" s="2795"/>
      <c r="WFR35" s="2795"/>
      <c r="WFS35" s="2795"/>
      <c r="WFT35" s="2795"/>
      <c r="WFU35" s="2795"/>
      <c r="WFV35" s="2795"/>
      <c r="WFW35" s="2795"/>
      <c r="WFX35" s="2795"/>
      <c r="WFY35" s="2795"/>
      <c r="WFZ35" s="2795"/>
      <c r="WGA35" s="2795"/>
      <c r="WGB35" s="2795"/>
      <c r="WGC35" s="2795"/>
      <c r="WGD35" s="2795"/>
      <c r="WGE35" s="2795"/>
      <c r="WGF35" s="2795"/>
      <c r="WGG35" s="2795"/>
      <c r="WGH35" s="2795"/>
      <c r="WGI35" s="2795"/>
      <c r="WGJ35" s="2795"/>
      <c r="WGK35" s="2795"/>
      <c r="WGL35" s="2795"/>
      <c r="WGM35" s="2795"/>
      <c r="WGN35" s="2795"/>
      <c r="WGO35" s="2795"/>
      <c r="WGP35" s="2795"/>
      <c r="WGQ35" s="2795"/>
      <c r="WGR35" s="2795"/>
      <c r="WGS35" s="2795"/>
      <c r="WGT35" s="2795"/>
      <c r="WGU35" s="2795"/>
      <c r="WGV35" s="2795"/>
      <c r="WGW35" s="2795"/>
      <c r="WGX35" s="2795"/>
      <c r="WGY35" s="2795"/>
      <c r="WGZ35" s="2795"/>
      <c r="WHA35" s="2795"/>
      <c r="WHB35" s="2795"/>
      <c r="WHC35" s="2795"/>
      <c r="WHD35" s="2795"/>
      <c r="WHE35" s="2795"/>
      <c r="WHF35" s="2795"/>
      <c r="WHG35" s="2795"/>
      <c r="WHH35" s="2795"/>
      <c r="WHI35" s="2795"/>
      <c r="WHJ35" s="2795"/>
      <c r="WHK35" s="2795"/>
      <c r="WHL35" s="2795"/>
      <c r="WHM35" s="2795"/>
      <c r="WHN35" s="2795"/>
      <c r="WHO35" s="2795"/>
      <c r="WHP35" s="2795"/>
      <c r="WHQ35" s="2795"/>
      <c r="WHR35" s="2795"/>
      <c r="WHS35" s="2795"/>
      <c r="WHT35" s="2795"/>
      <c r="WHU35" s="2795"/>
      <c r="WHV35" s="2795"/>
      <c r="WHW35" s="2795"/>
      <c r="WHX35" s="2795"/>
      <c r="WHY35" s="2795"/>
      <c r="WHZ35" s="2795"/>
      <c r="WIA35" s="2795"/>
      <c r="WIB35" s="2795"/>
      <c r="WIC35" s="2795"/>
      <c r="WID35" s="2795"/>
      <c r="WIE35" s="2795"/>
      <c r="WIF35" s="2795"/>
      <c r="WIG35" s="2795"/>
      <c r="WIH35" s="2795"/>
      <c r="WII35" s="2795"/>
      <c r="WIJ35" s="2795"/>
      <c r="WIK35" s="2795"/>
      <c r="WIL35" s="2795"/>
      <c r="WIM35" s="2795"/>
      <c r="WIN35" s="2795"/>
      <c r="WIO35" s="2795"/>
      <c r="WIP35" s="2795"/>
      <c r="WIQ35" s="2795"/>
      <c r="WIR35" s="2795"/>
      <c r="WIS35" s="2795"/>
      <c r="WIT35" s="2795"/>
      <c r="WIU35" s="2795"/>
      <c r="WIV35" s="2795"/>
      <c r="WIW35" s="2795"/>
      <c r="WIX35" s="2795"/>
      <c r="WIY35" s="2795"/>
      <c r="WIZ35" s="2795"/>
      <c r="WJA35" s="2795"/>
      <c r="WJB35" s="2795"/>
      <c r="WJC35" s="2795"/>
      <c r="WJD35" s="2795"/>
      <c r="WJE35" s="2795"/>
      <c r="WJF35" s="2795"/>
      <c r="WJG35" s="2795"/>
      <c r="WJH35" s="2795"/>
      <c r="WJI35" s="2795"/>
      <c r="WJJ35" s="2795"/>
      <c r="WJK35" s="2795"/>
      <c r="WJL35" s="2795"/>
      <c r="WJM35" s="2795"/>
      <c r="WJN35" s="2795"/>
      <c r="WJO35" s="2795"/>
      <c r="WJP35" s="2795"/>
      <c r="WJQ35" s="2795"/>
      <c r="WJR35" s="2795"/>
      <c r="WJS35" s="2795"/>
      <c r="WJT35" s="2795"/>
      <c r="WJU35" s="2795"/>
      <c r="WJV35" s="2795"/>
      <c r="WJW35" s="2795"/>
      <c r="WJX35" s="2795"/>
      <c r="WJY35" s="2795"/>
      <c r="WJZ35" s="2795"/>
      <c r="WKA35" s="2795"/>
      <c r="WKB35" s="2795"/>
      <c r="WKC35" s="2795"/>
      <c r="WKD35" s="2795"/>
      <c r="WKE35" s="2795"/>
      <c r="WKF35" s="2795"/>
      <c r="WKG35" s="2795"/>
      <c r="WKH35" s="2795"/>
      <c r="WKI35" s="2795"/>
      <c r="WKJ35" s="2795"/>
      <c r="WKK35" s="2795"/>
      <c r="WKL35" s="2795"/>
      <c r="WKM35" s="2795"/>
      <c r="WKN35" s="2795"/>
      <c r="WKO35" s="2795"/>
      <c r="WKP35" s="2795"/>
      <c r="WKQ35" s="2795"/>
      <c r="WKR35" s="2795"/>
      <c r="WKS35" s="2795"/>
      <c r="WKT35" s="2795"/>
      <c r="WKU35" s="2795"/>
      <c r="WKV35" s="2795"/>
      <c r="WKW35" s="2795"/>
      <c r="WKX35" s="2795"/>
      <c r="WKY35" s="2795"/>
      <c r="WKZ35" s="2795"/>
      <c r="WLA35" s="2795"/>
      <c r="WLB35" s="2795"/>
      <c r="WLC35" s="2795"/>
      <c r="WLD35" s="2795"/>
      <c r="WLE35" s="2795"/>
      <c r="WLF35" s="2795"/>
      <c r="WLG35" s="2795"/>
      <c r="WLH35" s="2795"/>
      <c r="WLI35" s="2795"/>
      <c r="WLJ35" s="2795"/>
      <c r="WLK35" s="2795"/>
      <c r="WLL35" s="2795"/>
      <c r="WLM35" s="2795"/>
      <c r="WLN35" s="2795"/>
      <c r="WLO35" s="2795"/>
      <c r="WLP35" s="2795"/>
      <c r="WLQ35" s="2795"/>
      <c r="WLR35" s="2795"/>
      <c r="WLS35" s="2795"/>
      <c r="WLT35" s="2795"/>
      <c r="WLU35" s="2795"/>
      <c r="WLV35" s="2795"/>
      <c r="WLW35" s="2795"/>
      <c r="WLX35" s="2795"/>
      <c r="WLY35" s="2795"/>
      <c r="WLZ35" s="2795"/>
      <c r="WMA35" s="2795"/>
      <c r="WMB35" s="2795"/>
      <c r="WMC35" s="2795"/>
      <c r="WMD35" s="2795"/>
      <c r="WME35" s="2795"/>
      <c r="WMF35" s="2795"/>
      <c r="WMG35" s="2795"/>
      <c r="WMH35" s="2795"/>
      <c r="WMI35" s="2795"/>
      <c r="WMJ35" s="2795"/>
      <c r="WMK35" s="2795"/>
      <c r="WML35" s="2795"/>
      <c r="WMM35" s="2795"/>
      <c r="WMN35" s="2795"/>
      <c r="WMO35" s="2795"/>
      <c r="WMP35" s="2795"/>
      <c r="WMQ35" s="2795"/>
      <c r="WMR35" s="2795"/>
      <c r="WMS35" s="2795"/>
      <c r="WMT35" s="2795"/>
      <c r="WMU35" s="2795"/>
      <c r="WMV35" s="2795"/>
      <c r="WMW35" s="2795"/>
      <c r="WMX35" s="2795"/>
      <c r="WMY35" s="2795"/>
      <c r="WMZ35" s="2795"/>
      <c r="WNA35" s="2795"/>
      <c r="WNB35" s="2795"/>
      <c r="WNC35" s="2795"/>
      <c r="WND35" s="2795"/>
      <c r="WNE35" s="2795"/>
      <c r="WNF35" s="2795"/>
      <c r="WNG35" s="2795"/>
      <c r="WNH35" s="2795"/>
      <c r="WNI35" s="2795"/>
      <c r="WNJ35" s="2795"/>
      <c r="WNK35" s="2795"/>
      <c r="WNL35" s="2795"/>
      <c r="WNM35" s="2795"/>
      <c r="WNN35" s="2795"/>
      <c r="WNO35" s="2795"/>
      <c r="WNP35" s="2795"/>
      <c r="WNQ35" s="2795"/>
      <c r="WNR35" s="2795"/>
      <c r="WNS35" s="2795"/>
      <c r="WNT35" s="2795"/>
      <c r="WNU35" s="2795"/>
      <c r="WNV35" s="2795"/>
      <c r="WNW35" s="2795"/>
      <c r="WNX35" s="2795"/>
      <c r="WNY35" s="2795"/>
      <c r="WNZ35" s="2795"/>
      <c r="WOA35" s="2795"/>
      <c r="WOB35" s="2795"/>
      <c r="WOC35" s="2795"/>
      <c r="WOD35" s="2795"/>
      <c r="WOE35" s="2795"/>
      <c r="WOF35" s="2795"/>
      <c r="WOG35" s="2795"/>
      <c r="WOH35" s="2795"/>
      <c r="WOI35" s="2795"/>
      <c r="WOJ35" s="2795"/>
      <c r="WOK35" s="2795"/>
      <c r="WOL35" s="2795"/>
      <c r="WOM35" s="2795"/>
      <c r="WON35" s="2795"/>
      <c r="WOO35" s="2795"/>
      <c r="WOP35" s="2795"/>
      <c r="WOQ35" s="2795"/>
      <c r="WOR35" s="2795"/>
      <c r="WOS35" s="2795"/>
      <c r="WOT35" s="2795"/>
      <c r="WOU35" s="2795"/>
      <c r="WOV35" s="2795"/>
      <c r="WOW35" s="2795"/>
      <c r="WOX35" s="2795"/>
      <c r="WOY35" s="2795"/>
      <c r="WOZ35" s="2795"/>
      <c r="WPA35" s="2795"/>
      <c r="WPB35" s="2795"/>
      <c r="WPC35" s="2795"/>
      <c r="WPD35" s="2795"/>
      <c r="WPE35" s="2795"/>
      <c r="WPF35" s="2795"/>
      <c r="WPG35" s="2795"/>
      <c r="WPH35" s="2795"/>
      <c r="WPI35" s="2795"/>
      <c r="WPJ35" s="2795"/>
      <c r="WPK35" s="2795"/>
      <c r="WPL35" s="2795"/>
      <c r="WPM35" s="2795"/>
      <c r="WPN35" s="2795"/>
      <c r="WPO35" s="2795"/>
      <c r="WPP35" s="2795"/>
      <c r="WPQ35" s="2795"/>
      <c r="WPR35" s="2795"/>
      <c r="WPS35" s="2795"/>
      <c r="WPT35" s="2795"/>
      <c r="WPU35" s="2795"/>
      <c r="WPV35" s="2795"/>
      <c r="WPW35" s="2795"/>
      <c r="WPX35" s="2795"/>
      <c r="WPY35" s="2795"/>
      <c r="WPZ35" s="2795"/>
      <c r="WQA35" s="2795"/>
      <c r="WQB35" s="2795"/>
      <c r="WQC35" s="2795"/>
      <c r="WQD35" s="2795"/>
      <c r="WQE35" s="2795"/>
      <c r="WQF35" s="2795"/>
      <c r="WQG35" s="2795"/>
      <c r="WQH35" s="2795"/>
      <c r="WQI35" s="2795"/>
      <c r="WQJ35" s="2795"/>
      <c r="WQK35" s="2795"/>
      <c r="WQL35" s="2795"/>
      <c r="WQM35" s="2795"/>
      <c r="WQN35" s="2795"/>
      <c r="WQO35" s="2795"/>
      <c r="WQP35" s="2795"/>
      <c r="WQQ35" s="2795"/>
      <c r="WQR35" s="2795"/>
      <c r="WQS35" s="2795"/>
      <c r="WQT35" s="2795"/>
      <c r="WQU35" s="2795"/>
      <c r="WQV35" s="2795"/>
      <c r="WQW35" s="2795"/>
      <c r="WQX35" s="2795"/>
      <c r="WQY35" s="2795"/>
      <c r="WQZ35" s="2795"/>
      <c r="WRA35" s="2795"/>
      <c r="WRB35" s="2795"/>
      <c r="WRC35" s="2795"/>
      <c r="WRD35" s="2795"/>
      <c r="WRE35" s="2795"/>
      <c r="WRF35" s="2795"/>
      <c r="WRG35" s="2795"/>
      <c r="WRH35" s="2795"/>
      <c r="WRI35" s="2795"/>
      <c r="WRJ35" s="2795"/>
      <c r="WRK35" s="2795"/>
      <c r="WRL35" s="2795"/>
      <c r="WRM35" s="2795"/>
      <c r="WRN35" s="2795"/>
      <c r="WRO35" s="2795"/>
      <c r="WRP35" s="2795"/>
      <c r="WRQ35" s="2795"/>
      <c r="WRR35" s="2795"/>
      <c r="WRS35" s="2795"/>
      <c r="WRT35" s="2795"/>
      <c r="WRU35" s="2795"/>
      <c r="WRV35" s="2795"/>
      <c r="WRW35" s="2795"/>
      <c r="WRX35" s="2795"/>
      <c r="WRY35" s="2795"/>
      <c r="WRZ35" s="2795"/>
      <c r="WSA35" s="2795"/>
      <c r="WSB35" s="2795"/>
      <c r="WSC35" s="2795"/>
      <c r="WSD35" s="2795"/>
      <c r="WSE35" s="2795"/>
      <c r="WSF35" s="2795"/>
      <c r="WSG35" s="2795"/>
      <c r="WSH35" s="2795"/>
      <c r="WSI35" s="2795"/>
      <c r="WSJ35" s="2795"/>
      <c r="WSK35" s="2795"/>
      <c r="WSL35" s="2795"/>
      <c r="WSM35" s="2795"/>
      <c r="WSN35" s="2795"/>
      <c r="WSO35" s="2795"/>
      <c r="WSP35" s="2795"/>
      <c r="WSQ35" s="2795"/>
      <c r="WSR35" s="2795"/>
      <c r="WSS35" s="2795"/>
      <c r="WST35" s="2795"/>
      <c r="WSU35" s="2795"/>
      <c r="WSV35" s="2795"/>
      <c r="WSW35" s="2795"/>
      <c r="WSX35" s="2795"/>
      <c r="WSY35" s="2795"/>
      <c r="WSZ35" s="2795"/>
      <c r="WTA35" s="2795"/>
      <c r="WTB35" s="2795"/>
      <c r="WTC35" s="2795"/>
      <c r="WTD35" s="2795"/>
      <c r="WTE35" s="2795"/>
      <c r="WTF35" s="2795"/>
      <c r="WTG35" s="2795"/>
      <c r="WTH35" s="2795"/>
      <c r="WTI35" s="2795"/>
      <c r="WTJ35" s="2795"/>
      <c r="WTK35" s="2795"/>
      <c r="WTL35" s="2795"/>
      <c r="WTM35" s="2795"/>
      <c r="WTN35" s="2795"/>
      <c r="WTO35" s="2795"/>
      <c r="WTP35" s="2795"/>
      <c r="WTQ35" s="2795"/>
      <c r="WTR35" s="2795"/>
      <c r="WTS35" s="2795"/>
      <c r="WTT35" s="2795"/>
      <c r="WTU35" s="2795"/>
      <c r="WTV35" s="2795"/>
      <c r="WTW35" s="2795"/>
      <c r="WTX35" s="2795"/>
      <c r="WTY35" s="2795"/>
      <c r="WTZ35" s="2795"/>
      <c r="WUA35" s="2795"/>
      <c r="WUB35" s="2795"/>
      <c r="WUC35" s="2795"/>
      <c r="WUD35" s="2795"/>
      <c r="WUE35" s="2795"/>
      <c r="WUF35" s="2795"/>
      <c r="WUG35" s="2795"/>
      <c r="WUH35" s="2795"/>
      <c r="WUI35" s="2795"/>
      <c r="WUJ35" s="2795"/>
      <c r="WUK35" s="2795"/>
      <c r="WUL35" s="2795"/>
      <c r="WUM35" s="2795"/>
      <c r="WUN35" s="2795"/>
      <c r="WUO35" s="2795"/>
      <c r="WUP35" s="2795"/>
      <c r="WUQ35" s="2795"/>
      <c r="WUR35" s="2795"/>
      <c r="WUS35" s="2795"/>
      <c r="WUT35" s="2795"/>
      <c r="WUU35" s="2795"/>
      <c r="WUV35" s="2795"/>
      <c r="WUW35" s="2795"/>
      <c r="WUX35" s="2795"/>
      <c r="WUY35" s="2795"/>
      <c r="WUZ35" s="2795"/>
      <c r="WVA35" s="2795"/>
      <c r="WVB35" s="2795"/>
      <c r="WVC35" s="2795"/>
      <c r="WVD35" s="2795"/>
      <c r="WVE35" s="2795"/>
      <c r="WVF35" s="2795"/>
      <c r="WVG35" s="2795"/>
      <c r="WVH35" s="2795"/>
      <c r="WVI35" s="2795"/>
      <c r="WVJ35" s="2795"/>
      <c r="WVK35" s="2795"/>
      <c r="WVL35" s="2795"/>
      <c r="WVM35" s="2795"/>
      <c r="WVN35" s="2795"/>
      <c r="WVO35" s="2795"/>
      <c r="WVP35" s="2795"/>
      <c r="WVQ35" s="2795"/>
      <c r="WVR35" s="2795"/>
      <c r="WVS35" s="2795"/>
      <c r="WVT35" s="2795"/>
      <c r="WVU35" s="2795"/>
      <c r="WVV35" s="2795"/>
      <c r="WVW35" s="2795"/>
      <c r="WVX35" s="2795"/>
      <c r="WVY35" s="2795"/>
      <c r="WVZ35" s="2795"/>
      <c r="WWA35" s="2795"/>
      <c r="WWB35" s="2795"/>
      <c r="WWC35" s="2795"/>
      <c r="WWD35" s="2795"/>
      <c r="WWE35" s="2795"/>
      <c r="WWF35" s="2795"/>
      <c r="WWG35" s="2795"/>
      <c r="WWH35" s="2795"/>
      <c r="WWI35" s="2795"/>
      <c r="WWJ35" s="2795"/>
      <c r="WWK35" s="2795"/>
      <c r="WWL35" s="2795"/>
      <c r="WWM35" s="2795"/>
      <c r="WWN35" s="2795"/>
      <c r="WWO35" s="2795"/>
      <c r="WWP35" s="2795"/>
      <c r="WWQ35" s="2795"/>
      <c r="WWR35" s="2795"/>
      <c r="WWS35" s="2795"/>
      <c r="WWT35" s="2795"/>
      <c r="WWU35" s="2795"/>
      <c r="WWV35" s="2795"/>
      <c r="WWW35" s="2795"/>
      <c r="WWX35" s="2795"/>
      <c r="WWY35" s="2795"/>
      <c r="WWZ35" s="2795"/>
      <c r="WXA35" s="2795"/>
      <c r="WXB35" s="2795"/>
      <c r="WXC35" s="2795"/>
      <c r="WXD35" s="2795"/>
      <c r="WXE35" s="2795"/>
      <c r="WXF35" s="2795"/>
      <c r="WXG35" s="2795"/>
      <c r="WXH35" s="2795"/>
      <c r="WXI35" s="2795"/>
      <c r="WXJ35" s="2795"/>
      <c r="WXK35" s="2795"/>
      <c r="WXL35" s="2795"/>
      <c r="WXM35" s="2795"/>
      <c r="WXN35" s="2795"/>
      <c r="WXO35" s="2795"/>
      <c r="WXP35" s="2795"/>
      <c r="WXQ35" s="2795"/>
      <c r="WXR35" s="2795"/>
      <c r="WXS35" s="2795"/>
      <c r="WXT35" s="2795"/>
      <c r="WXU35" s="2795"/>
      <c r="WXV35" s="2795"/>
      <c r="WXW35" s="2795"/>
      <c r="WXX35" s="2795"/>
      <c r="WXY35" s="2795"/>
      <c r="WXZ35" s="2795"/>
      <c r="WYA35" s="2795"/>
      <c r="WYB35" s="2795"/>
      <c r="WYC35" s="2795"/>
      <c r="WYD35" s="2795"/>
      <c r="WYE35" s="2795"/>
      <c r="WYF35" s="2795"/>
      <c r="WYG35" s="2795"/>
      <c r="WYH35" s="2795"/>
      <c r="WYI35" s="2795"/>
      <c r="WYJ35" s="2795"/>
      <c r="WYK35" s="2795"/>
      <c r="WYL35" s="2795"/>
      <c r="WYM35" s="2795"/>
      <c r="WYN35" s="2795"/>
      <c r="WYO35" s="2795"/>
      <c r="WYP35" s="2795"/>
      <c r="WYQ35" s="2795"/>
      <c r="WYR35" s="2795"/>
      <c r="WYS35" s="2795"/>
      <c r="WYT35" s="2795"/>
      <c r="WYU35" s="2795"/>
      <c r="WYV35" s="2795"/>
      <c r="WYW35" s="2795"/>
      <c r="WYX35" s="2795"/>
      <c r="WYY35" s="2795"/>
      <c r="WYZ35" s="2795"/>
      <c r="WZA35" s="2795"/>
      <c r="WZB35" s="2795"/>
      <c r="WZC35" s="2795"/>
      <c r="WZD35" s="2795"/>
      <c r="WZE35" s="2795"/>
      <c r="WZF35" s="2795"/>
      <c r="WZG35" s="2795"/>
      <c r="WZH35" s="2795"/>
      <c r="WZI35" s="2795"/>
      <c r="WZJ35" s="2795"/>
      <c r="WZK35" s="2795"/>
      <c r="WZL35" s="2795"/>
      <c r="WZM35" s="2795"/>
      <c r="WZN35" s="2795"/>
      <c r="WZO35" s="2795"/>
      <c r="WZP35" s="2795"/>
      <c r="WZQ35" s="2795"/>
      <c r="WZR35" s="2795"/>
      <c r="WZS35" s="2795"/>
      <c r="WZT35" s="2795"/>
      <c r="WZU35" s="2795"/>
      <c r="WZV35" s="2795"/>
      <c r="WZW35" s="2795"/>
      <c r="WZX35" s="2795"/>
      <c r="WZY35" s="2795"/>
      <c r="WZZ35" s="2795"/>
      <c r="XAA35" s="2795"/>
      <c r="XAB35" s="2795"/>
      <c r="XAC35" s="2795"/>
      <c r="XAD35" s="2795"/>
      <c r="XAE35" s="2795"/>
      <c r="XAF35" s="2795"/>
      <c r="XAG35" s="2795"/>
      <c r="XAH35" s="2795"/>
      <c r="XAI35" s="2795"/>
      <c r="XAJ35" s="2795"/>
      <c r="XAK35" s="2795"/>
      <c r="XAL35" s="2795"/>
      <c r="XAM35" s="2795"/>
      <c r="XAN35" s="2795"/>
      <c r="XAO35" s="2795"/>
      <c r="XAP35" s="2795"/>
      <c r="XAQ35" s="2795"/>
      <c r="XAR35" s="2795"/>
      <c r="XAS35" s="2795"/>
      <c r="XAT35" s="2795"/>
      <c r="XAU35" s="2795"/>
      <c r="XAV35" s="2795"/>
      <c r="XAW35" s="2795"/>
      <c r="XAX35" s="2795"/>
      <c r="XAY35" s="2795"/>
      <c r="XAZ35" s="2795"/>
      <c r="XBA35" s="2795"/>
      <c r="XBB35" s="2795"/>
      <c r="XBC35" s="2795"/>
      <c r="XBD35" s="2795"/>
      <c r="XBE35" s="2795"/>
      <c r="XBF35" s="2795"/>
      <c r="XBG35" s="2795"/>
      <c r="XBH35" s="2795"/>
      <c r="XBI35" s="2795"/>
      <c r="XBJ35" s="2795"/>
      <c r="XBK35" s="2795"/>
      <c r="XBL35" s="2795"/>
      <c r="XBM35" s="2795"/>
      <c r="XBN35" s="2795"/>
      <c r="XBO35" s="2795"/>
      <c r="XBP35" s="2795"/>
      <c r="XBQ35" s="2795"/>
      <c r="XBR35" s="2795"/>
      <c r="XBS35" s="2795"/>
      <c r="XBT35" s="2795"/>
      <c r="XBU35" s="2795"/>
      <c r="XBV35" s="2795"/>
      <c r="XBW35" s="2795"/>
      <c r="XBX35" s="2795"/>
      <c r="XBY35" s="2795"/>
      <c r="XBZ35" s="2795"/>
      <c r="XCA35" s="2795"/>
      <c r="XCB35" s="2795"/>
      <c r="XCC35" s="2795"/>
      <c r="XCD35" s="2795"/>
      <c r="XCE35" s="2795"/>
      <c r="XCF35" s="2795"/>
      <c r="XCG35" s="2795"/>
      <c r="XCH35" s="2795"/>
      <c r="XCI35" s="2795"/>
      <c r="XCJ35" s="2795"/>
      <c r="XCK35" s="2795"/>
      <c r="XCL35" s="2795"/>
      <c r="XCM35" s="2795"/>
      <c r="XCN35" s="2795"/>
      <c r="XCO35" s="2795"/>
      <c r="XCP35" s="2795"/>
      <c r="XCQ35" s="2795"/>
      <c r="XCR35" s="2795"/>
      <c r="XCS35" s="2795"/>
      <c r="XCT35" s="2795"/>
      <c r="XCU35" s="2795"/>
      <c r="XCV35" s="2795"/>
      <c r="XCW35" s="2795"/>
      <c r="XCX35" s="2795"/>
      <c r="XCY35" s="2795"/>
      <c r="XCZ35" s="2795"/>
      <c r="XDA35" s="2795"/>
      <c r="XDB35" s="2795"/>
      <c r="XDC35" s="2795"/>
      <c r="XDD35" s="2795"/>
      <c r="XDE35" s="2795"/>
      <c r="XDF35" s="2795"/>
      <c r="XDG35" s="2795"/>
      <c r="XDH35" s="2795"/>
      <c r="XDI35" s="2795"/>
      <c r="XDJ35" s="2795"/>
      <c r="XDK35" s="2795"/>
      <c r="XDL35" s="2795"/>
      <c r="XDM35" s="2795"/>
      <c r="XDN35" s="2795"/>
      <c r="XDO35" s="2795"/>
      <c r="XDP35" s="2795"/>
      <c r="XDQ35" s="2795"/>
      <c r="XDR35" s="2795"/>
      <c r="XDS35" s="2795"/>
      <c r="XDT35" s="2795"/>
      <c r="XDU35" s="2795"/>
      <c r="XDV35" s="2795"/>
      <c r="XDW35" s="2795"/>
      <c r="XDX35" s="2795"/>
      <c r="XDY35" s="2795"/>
      <c r="XDZ35" s="2795"/>
      <c r="XEA35" s="2795"/>
      <c r="XEB35" s="2795"/>
      <c r="XEC35" s="2795"/>
      <c r="XED35" s="2795"/>
      <c r="XEE35" s="2795"/>
      <c r="XEF35" s="2795"/>
      <c r="XEG35" s="2795"/>
      <c r="XEH35" s="2795"/>
      <c r="XEI35" s="2795"/>
      <c r="XEJ35" s="2795"/>
      <c r="XEK35" s="2795"/>
      <c r="XEL35" s="2795"/>
      <c r="XEM35" s="2795"/>
      <c r="XEN35" s="2795"/>
      <c r="XEO35" s="2795"/>
      <c r="XEP35" s="2795"/>
      <c r="XEQ35" s="2795"/>
      <c r="XER35" s="2795"/>
      <c r="XES35" s="2795"/>
      <c r="XET35" s="2795"/>
      <c r="XEU35" s="2795"/>
      <c r="XEV35" s="2795"/>
      <c r="XEW35" s="2795"/>
      <c r="XEX35" s="2795"/>
      <c r="XEY35" s="2795"/>
      <c r="XEZ35" s="2795"/>
      <c r="XFA35" s="2795"/>
      <c r="XFB35" s="2795"/>
      <c r="XFC35" s="2795"/>
      <c r="XFD35" s="2795"/>
    </row>
    <row r="36" spans="1:16384" s="1632" customFormat="1" ht="39" customHeight="1">
      <c r="A36" s="2795" t="s">
        <v>2472</v>
      </c>
      <c r="B36" s="2795"/>
      <c r="C36" s="2795"/>
      <c r="D36" s="2795"/>
      <c r="E36" s="2795"/>
      <c r="F36" s="2795"/>
      <c r="G36" s="2795"/>
      <c r="H36" s="2795"/>
      <c r="I36" s="2795"/>
      <c r="J36" s="2795"/>
      <c r="K36" s="2795"/>
      <c r="L36" s="2795"/>
      <c r="M36" s="2795"/>
      <c r="N36" s="2795"/>
      <c r="O36" s="2795"/>
      <c r="P36" s="2795"/>
      <c r="Q36" s="2795"/>
      <c r="R36" s="2795"/>
      <c r="S36" s="2795"/>
      <c r="T36" s="2795"/>
      <c r="U36" s="2795"/>
      <c r="V36" s="2795"/>
      <c r="W36" s="2795"/>
      <c r="X36" s="2795"/>
      <c r="Y36" s="2795"/>
      <c r="Z36" s="2795"/>
      <c r="AA36" s="2795"/>
      <c r="AB36" s="2795"/>
      <c r="AC36" s="2795"/>
      <c r="AD36" s="2795"/>
      <c r="AE36" s="2795"/>
      <c r="AF36" s="2795"/>
      <c r="AG36" s="2795"/>
      <c r="AH36" s="2795"/>
      <c r="AI36" s="2795"/>
      <c r="AJ36" s="2795"/>
      <c r="AK36" s="2795"/>
      <c r="AL36" s="2795"/>
      <c r="AM36" s="2795"/>
      <c r="AN36" s="2795"/>
      <c r="AO36" s="2795"/>
      <c r="AP36" s="2795"/>
      <c r="AQ36" s="2795"/>
      <c r="AR36" s="2795"/>
      <c r="AS36" s="2795"/>
      <c r="AT36" s="2795"/>
      <c r="AU36" s="2795"/>
      <c r="AV36" s="2795"/>
      <c r="AW36" s="2795"/>
      <c r="AX36" s="2795"/>
      <c r="AY36" s="2795"/>
      <c r="AZ36" s="2795"/>
      <c r="BA36" s="2795"/>
      <c r="BB36" s="2795"/>
      <c r="BC36" s="2795"/>
      <c r="BD36" s="2795"/>
      <c r="BE36" s="2795"/>
      <c r="BF36" s="2795"/>
      <c r="BG36" s="2795"/>
      <c r="BH36" s="2795"/>
      <c r="BI36" s="2795"/>
      <c r="BJ36" s="2795"/>
      <c r="BK36" s="2795"/>
      <c r="BL36" s="2795"/>
      <c r="BM36" s="2795"/>
      <c r="BN36" s="2795"/>
      <c r="BO36" s="2795"/>
      <c r="BP36" s="2795"/>
      <c r="BQ36" s="2795"/>
      <c r="BR36" s="2795"/>
      <c r="BS36" s="2795"/>
      <c r="BT36" s="2795"/>
      <c r="BU36" s="2795"/>
      <c r="BV36" s="2795"/>
      <c r="BW36" s="2795"/>
      <c r="BX36" s="2795"/>
      <c r="BY36" s="2795"/>
      <c r="BZ36" s="2795"/>
      <c r="CA36" s="2795"/>
      <c r="CB36" s="2795"/>
      <c r="CC36" s="2795"/>
      <c r="CD36" s="2795"/>
      <c r="CE36" s="2795"/>
      <c r="CF36" s="2795"/>
      <c r="CG36" s="2795"/>
      <c r="CH36" s="2795"/>
      <c r="CI36" s="2795"/>
      <c r="CJ36" s="2795"/>
      <c r="CK36" s="2795"/>
      <c r="CL36" s="2795"/>
      <c r="CM36" s="2795"/>
      <c r="CN36" s="2795"/>
      <c r="CO36" s="2795"/>
      <c r="CP36" s="2795"/>
      <c r="CQ36" s="2795"/>
      <c r="CR36" s="2795"/>
      <c r="CS36" s="2795"/>
      <c r="CT36" s="2795"/>
      <c r="CU36" s="2795"/>
      <c r="CV36" s="2795"/>
      <c r="CW36" s="2795"/>
      <c r="CX36" s="2795"/>
      <c r="CY36" s="2795"/>
      <c r="CZ36" s="2795"/>
      <c r="DA36" s="2795"/>
      <c r="DB36" s="2795"/>
      <c r="DC36" s="2795"/>
      <c r="DD36" s="2795"/>
      <c r="DE36" s="2795"/>
      <c r="DF36" s="2795"/>
      <c r="DG36" s="2795"/>
      <c r="DH36" s="2795"/>
      <c r="DI36" s="2795"/>
      <c r="DJ36" s="2795"/>
      <c r="DK36" s="2795"/>
      <c r="DL36" s="2795"/>
      <c r="DM36" s="2795"/>
      <c r="DN36" s="2795"/>
      <c r="DO36" s="2795"/>
      <c r="DP36" s="2795"/>
      <c r="DQ36" s="2795"/>
      <c r="DR36" s="2795"/>
      <c r="DS36" s="2795"/>
      <c r="DT36" s="2795"/>
      <c r="DU36" s="2795"/>
      <c r="DV36" s="2795"/>
      <c r="DW36" s="2795"/>
      <c r="DX36" s="2795"/>
      <c r="DY36" s="2795"/>
      <c r="DZ36" s="2795"/>
      <c r="EA36" s="2795"/>
      <c r="EB36" s="2795"/>
      <c r="EC36" s="2795"/>
      <c r="ED36" s="2795"/>
      <c r="EE36" s="2795"/>
      <c r="EF36" s="2795"/>
      <c r="EG36" s="2795"/>
      <c r="EH36" s="2795"/>
      <c r="EI36" s="2795"/>
      <c r="EJ36" s="2795"/>
      <c r="EK36" s="2795"/>
      <c r="EL36" s="2795"/>
      <c r="EM36" s="2795"/>
      <c r="EN36" s="2795"/>
      <c r="EO36" s="2795"/>
      <c r="EP36" s="2795"/>
      <c r="EQ36" s="2795"/>
      <c r="ER36" s="2795"/>
      <c r="ES36" s="2795"/>
      <c r="ET36" s="2795"/>
      <c r="EU36" s="2795"/>
      <c r="EV36" s="2795"/>
      <c r="EW36" s="2795"/>
      <c r="EX36" s="2795"/>
      <c r="EY36" s="2795"/>
      <c r="EZ36" s="2795"/>
      <c r="FA36" s="2795"/>
      <c r="FB36" s="2795"/>
      <c r="FC36" s="2795"/>
      <c r="FD36" s="2795"/>
      <c r="FE36" s="2795"/>
      <c r="FF36" s="2795"/>
      <c r="FG36" s="2795"/>
      <c r="FH36" s="2795"/>
      <c r="FI36" s="2795"/>
      <c r="FJ36" s="2795"/>
      <c r="FK36" s="2795"/>
      <c r="FL36" s="2795"/>
      <c r="FM36" s="2795"/>
      <c r="FN36" s="2795"/>
      <c r="FO36" s="2795"/>
      <c r="FP36" s="2795"/>
      <c r="FQ36" s="2795"/>
      <c r="FR36" s="2795"/>
      <c r="FS36" s="2795"/>
      <c r="FT36" s="2795"/>
      <c r="FU36" s="2795"/>
      <c r="FV36" s="2795"/>
      <c r="FW36" s="2795"/>
      <c r="FX36" s="2795"/>
      <c r="FY36" s="2795"/>
      <c r="FZ36" s="2795"/>
      <c r="GA36" s="2795"/>
      <c r="GB36" s="2795"/>
      <c r="GC36" s="2795"/>
      <c r="GD36" s="2795"/>
      <c r="GE36" s="2795"/>
      <c r="GF36" s="2795"/>
      <c r="GG36" s="2795"/>
      <c r="GH36" s="2795"/>
      <c r="GI36" s="2795"/>
      <c r="GJ36" s="2795"/>
      <c r="GK36" s="2795"/>
      <c r="GL36" s="2795"/>
      <c r="GM36" s="2795"/>
      <c r="GN36" s="2795"/>
      <c r="GO36" s="2795"/>
      <c r="GP36" s="2795"/>
      <c r="GQ36" s="2795"/>
      <c r="GR36" s="2795"/>
      <c r="GS36" s="2795"/>
      <c r="GT36" s="2795"/>
      <c r="GU36" s="2795"/>
      <c r="GV36" s="2795"/>
      <c r="GW36" s="2795"/>
      <c r="GX36" s="2795"/>
      <c r="GY36" s="2795"/>
      <c r="GZ36" s="2795"/>
      <c r="HA36" s="2795"/>
      <c r="HB36" s="2795"/>
      <c r="HC36" s="2795"/>
      <c r="HD36" s="2795"/>
      <c r="HE36" s="2795"/>
      <c r="HF36" s="2795"/>
      <c r="HG36" s="2795"/>
      <c r="HH36" s="2795"/>
      <c r="HI36" s="2795"/>
      <c r="HJ36" s="2795"/>
      <c r="HK36" s="2795"/>
      <c r="HL36" s="2795"/>
      <c r="HM36" s="2795"/>
      <c r="HN36" s="2795"/>
      <c r="HO36" s="2795"/>
      <c r="HP36" s="2795"/>
      <c r="HQ36" s="2795"/>
      <c r="HR36" s="2795"/>
      <c r="HS36" s="2795"/>
      <c r="HT36" s="2795"/>
      <c r="HU36" s="2795"/>
      <c r="HV36" s="2795"/>
      <c r="HW36" s="2795"/>
      <c r="HX36" s="2795"/>
      <c r="HY36" s="2795"/>
      <c r="HZ36" s="2795"/>
      <c r="IA36" s="2795"/>
      <c r="IB36" s="2795"/>
      <c r="IC36" s="2795"/>
      <c r="ID36" s="2795"/>
      <c r="IE36" s="2795"/>
      <c r="IF36" s="2795"/>
      <c r="IG36" s="2795"/>
      <c r="IH36" s="2795"/>
      <c r="II36" s="2795"/>
      <c r="IJ36" s="2795"/>
      <c r="IK36" s="2795"/>
      <c r="IL36" s="2795"/>
      <c r="IM36" s="2795"/>
      <c r="IN36" s="2795"/>
      <c r="IO36" s="2795"/>
      <c r="IP36" s="2795"/>
      <c r="IQ36" s="2795"/>
      <c r="IR36" s="2795"/>
      <c r="IS36" s="2795"/>
      <c r="IT36" s="2795"/>
      <c r="IU36" s="2795"/>
      <c r="IV36" s="2795"/>
      <c r="IW36" s="2795"/>
      <c r="IX36" s="2795"/>
      <c r="IY36" s="2795"/>
      <c r="IZ36" s="2795"/>
      <c r="JA36" s="2795"/>
      <c r="JB36" s="2795"/>
      <c r="JC36" s="2795"/>
      <c r="JD36" s="2795"/>
      <c r="JE36" s="2795"/>
      <c r="JF36" s="2795"/>
      <c r="JG36" s="2795"/>
      <c r="JH36" s="2795"/>
      <c r="JI36" s="2795"/>
      <c r="JJ36" s="2795"/>
      <c r="JK36" s="2795"/>
      <c r="JL36" s="2795"/>
      <c r="JM36" s="2795"/>
      <c r="JN36" s="2795"/>
      <c r="JO36" s="2795"/>
      <c r="JP36" s="2795"/>
      <c r="JQ36" s="2795"/>
      <c r="JR36" s="2795"/>
      <c r="JS36" s="2795"/>
      <c r="JT36" s="2795"/>
      <c r="JU36" s="2795"/>
      <c r="JV36" s="2795"/>
      <c r="JW36" s="2795"/>
      <c r="JX36" s="2795"/>
      <c r="JY36" s="2795"/>
      <c r="JZ36" s="2795"/>
      <c r="KA36" s="2795"/>
      <c r="KB36" s="2795"/>
      <c r="KC36" s="2795"/>
      <c r="KD36" s="2795"/>
      <c r="KE36" s="2795"/>
      <c r="KF36" s="2795"/>
      <c r="KG36" s="2795"/>
      <c r="KH36" s="2795"/>
      <c r="KI36" s="2795"/>
      <c r="KJ36" s="2795"/>
      <c r="KK36" s="2795"/>
      <c r="KL36" s="2795"/>
      <c r="KM36" s="2795"/>
      <c r="KN36" s="2795"/>
      <c r="KO36" s="2795"/>
      <c r="KP36" s="2795"/>
      <c r="KQ36" s="2795"/>
      <c r="KR36" s="2795"/>
      <c r="KS36" s="2795"/>
      <c r="KT36" s="2795"/>
      <c r="KU36" s="2795"/>
      <c r="KV36" s="2795"/>
      <c r="KW36" s="2795"/>
      <c r="KX36" s="2795"/>
      <c r="KY36" s="2795"/>
      <c r="KZ36" s="2795"/>
      <c r="LA36" s="2795"/>
      <c r="LB36" s="2795"/>
      <c r="LC36" s="2795"/>
      <c r="LD36" s="2795"/>
      <c r="LE36" s="2795"/>
      <c r="LF36" s="2795"/>
      <c r="LG36" s="2795"/>
      <c r="LH36" s="2795"/>
      <c r="LI36" s="2795"/>
      <c r="LJ36" s="2795"/>
      <c r="LK36" s="2795"/>
      <c r="LL36" s="2795"/>
      <c r="LM36" s="2795"/>
      <c r="LN36" s="2795"/>
      <c r="LO36" s="2795"/>
      <c r="LP36" s="2795"/>
      <c r="LQ36" s="2795"/>
      <c r="LR36" s="2795"/>
      <c r="LS36" s="2795"/>
      <c r="LT36" s="2795"/>
      <c r="LU36" s="2795"/>
      <c r="LV36" s="2795"/>
      <c r="LW36" s="2795"/>
      <c r="LX36" s="2795"/>
      <c r="LY36" s="2795"/>
      <c r="LZ36" s="2795"/>
      <c r="MA36" s="2795"/>
      <c r="MB36" s="2795"/>
      <c r="MC36" s="2795"/>
      <c r="MD36" s="2795"/>
      <c r="ME36" s="2795"/>
      <c r="MF36" s="2795"/>
      <c r="MG36" s="2795"/>
      <c r="MH36" s="2795"/>
      <c r="MI36" s="2795"/>
      <c r="MJ36" s="2795"/>
      <c r="MK36" s="2795"/>
      <c r="ML36" s="2795"/>
      <c r="MM36" s="2795"/>
      <c r="MN36" s="2795"/>
      <c r="MO36" s="2795"/>
      <c r="MP36" s="2795"/>
      <c r="MQ36" s="2795"/>
      <c r="MR36" s="2795"/>
      <c r="MS36" s="2795"/>
      <c r="MT36" s="2795"/>
      <c r="MU36" s="2795"/>
      <c r="MV36" s="2795"/>
      <c r="MW36" s="2795"/>
      <c r="MX36" s="2795"/>
      <c r="MY36" s="2795"/>
      <c r="MZ36" s="2795"/>
      <c r="NA36" s="2795"/>
      <c r="NB36" s="2795"/>
      <c r="NC36" s="2795"/>
      <c r="ND36" s="2795"/>
      <c r="NE36" s="2795"/>
      <c r="NF36" s="2795"/>
      <c r="NG36" s="2795"/>
      <c r="NH36" s="2795"/>
      <c r="NI36" s="2795"/>
      <c r="NJ36" s="2795"/>
      <c r="NK36" s="2795"/>
      <c r="NL36" s="2795"/>
      <c r="NM36" s="2795"/>
      <c r="NN36" s="2795"/>
      <c r="NO36" s="2795"/>
      <c r="NP36" s="2795"/>
      <c r="NQ36" s="2795"/>
      <c r="NR36" s="2795"/>
      <c r="NS36" s="2795"/>
      <c r="NT36" s="2795"/>
      <c r="NU36" s="2795"/>
      <c r="NV36" s="2795"/>
      <c r="NW36" s="2795"/>
      <c r="NX36" s="2795"/>
      <c r="NY36" s="2795"/>
      <c r="NZ36" s="2795"/>
      <c r="OA36" s="2795"/>
      <c r="OB36" s="2795"/>
      <c r="OC36" s="2795"/>
      <c r="OD36" s="2795"/>
      <c r="OE36" s="2795"/>
      <c r="OF36" s="2795"/>
      <c r="OG36" s="2795"/>
      <c r="OH36" s="2795"/>
      <c r="OI36" s="2795"/>
      <c r="OJ36" s="2795"/>
      <c r="OK36" s="2795"/>
      <c r="OL36" s="2795"/>
      <c r="OM36" s="2795"/>
      <c r="ON36" s="2795"/>
      <c r="OO36" s="2795"/>
      <c r="OP36" s="2795"/>
      <c r="OQ36" s="2795"/>
      <c r="OR36" s="2795"/>
      <c r="OS36" s="2795"/>
      <c r="OT36" s="2795"/>
      <c r="OU36" s="2795"/>
      <c r="OV36" s="2795"/>
      <c r="OW36" s="2795"/>
      <c r="OX36" s="2795"/>
      <c r="OY36" s="2795"/>
      <c r="OZ36" s="2795"/>
      <c r="PA36" s="2795"/>
      <c r="PB36" s="2795"/>
      <c r="PC36" s="2795"/>
      <c r="PD36" s="2795"/>
      <c r="PE36" s="2795"/>
      <c r="PF36" s="2795"/>
      <c r="PG36" s="2795"/>
      <c r="PH36" s="2795"/>
      <c r="PI36" s="2795"/>
      <c r="PJ36" s="2795"/>
      <c r="PK36" s="2795"/>
      <c r="PL36" s="2795"/>
      <c r="PM36" s="2795"/>
      <c r="PN36" s="2795"/>
      <c r="PO36" s="2795"/>
      <c r="PP36" s="2795"/>
      <c r="PQ36" s="2795"/>
      <c r="PR36" s="2795"/>
      <c r="PS36" s="2795"/>
      <c r="PT36" s="2795"/>
      <c r="PU36" s="2795"/>
      <c r="PV36" s="2795"/>
      <c r="PW36" s="2795"/>
      <c r="PX36" s="2795"/>
      <c r="PY36" s="2795"/>
      <c r="PZ36" s="2795"/>
      <c r="QA36" s="2795"/>
      <c r="QB36" s="2795"/>
      <c r="QC36" s="2795"/>
      <c r="QD36" s="2795"/>
      <c r="QE36" s="2795"/>
      <c r="QF36" s="2795"/>
      <c r="QG36" s="2795"/>
      <c r="QH36" s="2795"/>
      <c r="QI36" s="2795"/>
      <c r="QJ36" s="2795"/>
      <c r="QK36" s="2795"/>
      <c r="QL36" s="2795"/>
      <c r="QM36" s="2795"/>
      <c r="QN36" s="2795"/>
      <c r="QO36" s="2795"/>
      <c r="QP36" s="2795"/>
      <c r="QQ36" s="2795"/>
      <c r="QR36" s="2795"/>
      <c r="QS36" s="2795"/>
      <c r="QT36" s="2795"/>
      <c r="QU36" s="2795"/>
      <c r="QV36" s="2795"/>
      <c r="QW36" s="2795"/>
      <c r="QX36" s="2795"/>
      <c r="QY36" s="2795"/>
      <c r="QZ36" s="2795"/>
      <c r="RA36" s="2795"/>
      <c r="RB36" s="2795"/>
      <c r="RC36" s="2795"/>
      <c r="RD36" s="2795"/>
      <c r="RE36" s="2795"/>
      <c r="RF36" s="2795"/>
      <c r="RG36" s="2795"/>
      <c r="RH36" s="2795"/>
      <c r="RI36" s="2795"/>
      <c r="RJ36" s="2795"/>
      <c r="RK36" s="2795"/>
      <c r="RL36" s="2795"/>
      <c r="RM36" s="2795"/>
      <c r="RN36" s="2795"/>
      <c r="RO36" s="2795"/>
      <c r="RP36" s="2795"/>
      <c r="RQ36" s="2795"/>
      <c r="RR36" s="2795"/>
      <c r="RS36" s="2795"/>
      <c r="RT36" s="2795"/>
      <c r="RU36" s="2795"/>
      <c r="RV36" s="2795"/>
      <c r="RW36" s="2795"/>
      <c r="RX36" s="2795"/>
      <c r="RY36" s="2795"/>
      <c r="RZ36" s="2795"/>
      <c r="SA36" s="2795"/>
      <c r="SB36" s="2795"/>
      <c r="SC36" s="2795"/>
      <c r="SD36" s="2795"/>
      <c r="SE36" s="2795"/>
      <c r="SF36" s="2795"/>
      <c r="SG36" s="2795"/>
      <c r="SH36" s="2795"/>
      <c r="SI36" s="2795"/>
      <c r="SJ36" s="2795"/>
      <c r="SK36" s="2795"/>
      <c r="SL36" s="2795"/>
      <c r="SM36" s="2795"/>
      <c r="SN36" s="2795"/>
      <c r="SO36" s="2795"/>
      <c r="SP36" s="2795"/>
      <c r="SQ36" s="2795"/>
      <c r="SR36" s="2795"/>
      <c r="SS36" s="2795"/>
      <c r="ST36" s="2795"/>
      <c r="SU36" s="2795"/>
      <c r="SV36" s="2795"/>
      <c r="SW36" s="2795"/>
      <c r="SX36" s="2795"/>
      <c r="SY36" s="2795"/>
      <c r="SZ36" s="2795"/>
      <c r="TA36" s="2795"/>
      <c r="TB36" s="2795"/>
      <c r="TC36" s="2795"/>
      <c r="TD36" s="2795"/>
      <c r="TE36" s="2795"/>
      <c r="TF36" s="2795"/>
      <c r="TG36" s="2795"/>
      <c r="TH36" s="2795"/>
      <c r="TI36" s="2795"/>
      <c r="TJ36" s="2795"/>
      <c r="TK36" s="2795"/>
      <c r="TL36" s="2795"/>
      <c r="TM36" s="2795"/>
      <c r="TN36" s="2795"/>
      <c r="TO36" s="2795"/>
      <c r="TP36" s="2795"/>
      <c r="TQ36" s="2795"/>
      <c r="TR36" s="2795"/>
      <c r="TS36" s="2795"/>
      <c r="TT36" s="2795"/>
      <c r="TU36" s="2795"/>
      <c r="TV36" s="2795"/>
      <c r="TW36" s="2795"/>
      <c r="TX36" s="2795"/>
      <c r="TY36" s="2795"/>
      <c r="TZ36" s="2795"/>
      <c r="UA36" s="2795"/>
      <c r="UB36" s="2795"/>
      <c r="UC36" s="2795"/>
      <c r="UD36" s="2795"/>
      <c r="UE36" s="2795"/>
      <c r="UF36" s="2795"/>
      <c r="UG36" s="2795"/>
      <c r="UH36" s="2795"/>
      <c r="UI36" s="2795"/>
      <c r="UJ36" s="2795"/>
      <c r="UK36" s="2795"/>
      <c r="UL36" s="2795"/>
      <c r="UM36" s="2795"/>
      <c r="UN36" s="2795"/>
      <c r="UO36" s="2795"/>
      <c r="UP36" s="2795"/>
      <c r="UQ36" s="2795"/>
      <c r="UR36" s="2795"/>
      <c r="US36" s="2795"/>
      <c r="UT36" s="2795"/>
      <c r="UU36" s="2795"/>
      <c r="UV36" s="2795"/>
      <c r="UW36" s="2795"/>
      <c r="UX36" s="2795"/>
      <c r="UY36" s="2795"/>
      <c r="UZ36" s="2795"/>
      <c r="VA36" s="2795"/>
      <c r="VB36" s="2795"/>
      <c r="VC36" s="2795"/>
      <c r="VD36" s="2795"/>
      <c r="VE36" s="2795"/>
      <c r="VF36" s="2795"/>
      <c r="VG36" s="2795"/>
      <c r="VH36" s="2795"/>
      <c r="VI36" s="2795"/>
      <c r="VJ36" s="2795"/>
      <c r="VK36" s="2795"/>
      <c r="VL36" s="2795"/>
      <c r="VM36" s="2795"/>
      <c r="VN36" s="2795"/>
      <c r="VO36" s="2795"/>
      <c r="VP36" s="2795"/>
      <c r="VQ36" s="2795"/>
      <c r="VR36" s="2795"/>
      <c r="VS36" s="2795"/>
      <c r="VT36" s="2795"/>
      <c r="VU36" s="2795"/>
      <c r="VV36" s="2795"/>
      <c r="VW36" s="2795"/>
      <c r="VX36" s="2795"/>
      <c r="VY36" s="2795"/>
      <c r="VZ36" s="2795"/>
      <c r="WA36" s="2795"/>
      <c r="WB36" s="2795"/>
      <c r="WC36" s="2795"/>
      <c r="WD36" s="2795"/>
      <c r="WE36" s="2795"/>
      <c r="WF36" s="2795"/>
      <c r="WG36" s="2795"/>
      <c r="WH36" s="2795"/>
      <c r="WI36" s="2795"/>
      <c r="WJ36" s="2795"/>
      <c r="WK36" s="2795"/>
      <c r="WL36" s="2795"/>
      <c r="WM36" s="2795"/>
      <c r="WN36" s="2795"/>
      <c r="WO36" s="2795"/>
      <c r="WP36" s="2795"/>
      <c r="WQ36" s="2795"/>
      <c r="WR36" s="2795"/>
      <c r="WS36" s="2795"/>
      <c r="WT36" s="2795"/>
      <c r="WU36" s="2795"/>
      <c r="WV36" s="2795"/>
      <c r="WW36" s="2795"/>
      <c r="WX36" s="2795"/>
      <c r="WY36" s="2795"/>
      <c r="WZ36" s="2795"/>
      <c r="XA36" s="2795"/>
      <c r="XB36" s="2795"/>
      <c r="XC36" s="2795"/>
      <c r="XD36" s="2795"/>
      <c r="XE36" s="2795"/>
      <c r="XF36" s="2795"/>
      <c r="XG36" s="2795"/>
      <c r="XH36" s="2795"/>
      <c r="XI36" s="2795"/>
      <c r="XJ36" s="2795"/>
      <c r="XK36" s="2795"/>
      <c r="XL36" s="2795"/>
      <c r="XM36" s="2795"/>
      <c r="XN36" s="2795"/>
      <c r="XO36" s="2795"/>
      <c r="XP36" s="2795"/>
      <c r="XQ36" s="2795"/>
      <c r="XR36" s="2795"/>
      <c r="XS36" s="2795"/>
      <c r="XT36" s="2795"/>
      <c r="XU36" s="2795"/>
      <c r="XV36" s="2795"/>
      <c r="XW36" s="2795"/>
      <c r="XX36" s="2795"/>
      <c r="XY36" s="2795"/>
      <c r="XZ36" s="2795"/>
      <c r="YA36" s="2795"/>
      <c r="YB36" s="2795"/>
      <c r="YC36" s="2795"/>
      <c r="YD36" s="2795"/>
      <c r="YE36" s="2795"/>
      <c r="YF36" s="2795"/>
      <c r="YG36" s="2795"/>
      <c r="YH36" s="2795"/>
      <c r="YI36" s="2795"/>
      <c r="YJ36" s="2795"/>
      <c r="YK36" s="2795"/>
      <c r="YL36" s="2795"/>
      <c r="YM36" s="2795"/>
      <c r="YN36" s="2795"/>
      <c r="YO36" s="2795"/>
      <c r="YP36" s="2795"/>
      <c r="YQ36" s="2795"/>
      <c r="YR36" s="2795"/>
      <c r="YS36" s="2795"/>
      <c r="YT36" s="2795"/>
      <c r="YU36" s="2795"/>
      <c r="YV36" s="2795"/>
      <c r="YW36" s="2795"/>
      <c r="YX36" s="2795"/>
      <c r="YY36" s="2795"/>
      <c r="YZ36" s="2795"/>
      <c r="ZA36" s="2795"/>
      <c r="ZB36" s="2795"/>
      <c r="ZC36" s="2795"/>
      <c r="ZD36" s="2795"/>
      <c r="ZE36" s="2795"/>
      <c r="ZF36" s="2795"/>
      <c r="ZG36" s="2795"/>
      <c r="ZH36" s="2795"/>
      <c r="ZI36" s="2795"/>
      <c r="ZJ36" s="2795"/>
      <c r="ZK36" s="2795"/>
      <c r="ZL36" s="2795"/>
      <c r="ZM36" s="2795"/>
      <c r="ZN36" s="2795"/>
      <c r="ZO36" s="2795"/>
      <c r="ZP36" s="2795"/>
      <c r="ZQ36" s="2795"/>
      <c r="ZR36" s="2795"/>
      <c r="ZS36" s="2795"/>
      <c r="ZT36" s="2795"/>
      <c r="ZU36" s="2795"/>
      <c r="ZV36" s="2795"/>
      <c r="ZW36" s="2795"/>
      <c r="ZX36" s="2795"/>
      <c r="ZY36" s="2795"/>
      <c r="ZZ36" s="2795"/>
      <c r="AAA36" s="2795"/>
      <c r="AAB36" s="2795"/>
      <c r="AAC36" s="2795"/>
      <c r="AAD36" s="2795"/>
      <c r="AAE36" s="2795"/>
      <c r="AAF36" s="2795"/>
      <c r="AAG36" s="2795"/>
      <c r="AAH36" s="2795"/>
      <c r="AAI36" s="2795"/>
      <c r="AAJ36" s="2795"/>
      <c r="AAK36" s="2795"/>
      <c r="AAL36" s="2795"/>
      <c r="AAM36" s="2795"/>
      <c r="AAN36" s="2795"/>
      <c r="AAO36" s="2795"/>
      <c r="AAP36" s="2795"/>
      <c r="AAQ36" s="2795"/>
      <c r="AAR36" s="2795"/>
      <c r="AAS36" s="2795"/>
      <c r="AAT36" s="2795"/>
      <c r="AAU36" s="2795"/>
      <c r="AAV36" s="2795"/>
      <c r="AAW36" s="2795"/>
      <c r="AAX36" s="2795"/>
      <c r="AAY36" s="2795"/>
      <c r="AAZ36" s="2795"/>
      <c r="ABA36" s="2795"/>
      <c r="ABB36" s="2795"/>
      <c r="ABC36" s="2795"/>
      <c r="ABD36" s="2795"/>
      <c r="ABE36" s="2795"/>
      <c r="ABF36" s="2795"/>
      <c r="ABG36" s="2795"/>
      <c r="ABH36" s="2795"/>
      <c r="ABI36" s="2795"/>
      <c r="ABJ36" s="2795"/>
      <c r="ABK36" s="2795"/>
      <c r="ABL36" s="2795"/>
      <c r="ABM36" s="2795"/>
      <c r="ABN36" s="2795"/>
      <c r="ABO36" s="2795"/>
      <c r="ABP36" s="2795"/>
      <c r="ABQ36" s="2795"/>
      <c r="ABR36" s="2795"/>
      <c r="ABS36" s="2795"/>
      <c r="ABT36" s="2795"/>
      <c r="ABU36" s="2795"/>
      <c r="ABV36" s="2795"/>
      <c r="ABW36" s="2795"/>
      <c r="ABX36" s="2795"/>
      <c r="ABY36" s="2795"/>
      <c r="ABZ36" s="2795"/>
      <c r="ACA36" s="2795"/>
      <c r="ACB36" s="2795"/>
      <c r="ACC36" s="2795"/>
      <c r="ACD36" s="2795"/>
      <c r="ACE36" s="2795"/>
      <c r="ACF36" s="2795"/>
      <c r="ACG36" s="2795"/>
      <c r="ACH36" s="2795"/>
      <c r="ACI36" s="2795"/>
      <c r="ACJ36" s="2795"/>
      <c r="ACK36" s="2795"/>
      <c r="ACL36" s="2795"/>
      <c r="ACM36" s="2795"/>
      <c r="ACN36" s="2795"/>
      <c r="ACO36" s="2795"/>
      <c r="ACP36" s="2795"/>
      <c r="ACQ36" s="2795"/>
      <c r="ACR36" s="2795"/>
      <c r="ACS36" s="2795"/>
      <c r="ACT36" s="2795"/>
      <c r="ACU36" s="2795"/>
      <c r="ACV36" s="2795"/>
      <c r="ACW36" s="2795"/>
      <c r="ACX36" s="2795"/>
      <c r="ACY36" s="2795"/>
      <c r="ACZ36" s="2795"/>
      <c r="ADA36" s="2795"/>
      <c r="ADB36" s="2795"/>
      <c r="ADC36" s="2795"/>
      <c r="ADD36" s="2795"/>
      <c r="ADE36" s="2795"/>
      <c r="ADF36" s="2795"/>
      <c r="ADG36" s="2795"/>
      <c r="ADH36" s="2795"/>
      <c r="ADI36" s="2795"/>
      <c r="ADJ36" s="2795"/>
      <c r="ADK36" s="2795"/>
      <c r="ADL36" s="2795"/>
      <c r="ADM36" s="2795"/>
      <c r="ADN36" s="2795"/>
      <c r="ADO36" s="2795"/>
      <c r="ADP36" s="2795"/>
      <c r="ADQ36" s="2795"/>
      <c r="ADR36" s="2795"/>
      <c r="ADS36" s="2795"/>
      <c r="ADT36" s="2795"/>
      <c r="ADU36" s="2795"/>
      <c r="ADV36" s="2795"/>
      <c r="ADW36" s="2795"/>
      <c r="ADX36" s="2795"/>
      <c r="ADY36" s="2795"/>
      <c r="ADZ36" s="2795"/>
      <c r="AEA36" s="2795"/>
      <c r="AEB36" s="2795"/>
      <c r="AEC36" s="2795"/>
      <c r="AED36" s="2795"/>
      <c r="AEE36" s="2795"/>
      <c r="AEF36" s="2795"/>
      <c r="AEG36" s="2795"/>
      <c r="AEH36" s="2795"/>
      <c r="AEI36" s="2795"/>
      <c r="AEJ36" s="2795"/>
      <c r="AEK36" s="2795"/>
      <c r="AEL36" s="2795"/>
      <c r="AEM36" s="2795"/>
      <c r="AEN36" s="2795"/>
      <c r="AEO36" s="2795"/>
      <c r="AEP36" s="2795"/>
      <c r="AEQ36" s="2795"/>
      <c r="AER36" s="2795"/>
      <c r="AES36" s="2795"/>
      <c r="AET36" s="2795"/>
      <c r="AEU36" s="2795"/>
      <c r="AEV36" s="2795"/>
      <c r="AEW36" s="2795"/>
      <c r="AEX36" s="2795"/>
      <c r="AEY36" s="2795"/>
      <c r="AEZ36" s="2795"/>
      <c r="AFA36" s="2795"/>
      <c r="AFB36" s="2795"/>
      <c r="AFC36" s="2795"/>
      <c r="AFD36" s="2795"/>
      <c r="AFE36" s="2795"/>
      <c r="AFF36" s="2795"/>
      <c r="AFG36" s="2795"/>
      <c r="AFH36" s="2795"/>
      <c r="AFI36" s="2795"/>
      <c r="AFJ36" s="2795"/>
      <c r="AFK36" s="2795"/>
      <c r="AFL36" s="2795"/>
      <c r="AFM36" s="2795"/>
      <c r="AFN36" s="2795"/>
      <c r="AFO36" s="2795"/>
      <c r="AFP36" s="2795"/>
      <c r="AFQ36" s="2795"/>
      <c r="AFR36" s="2795"/>
      <c r="AFS36" s="2795"/>
      <c r="AFT36" s="2795"/>
      <c r="AFU36" s="2795"/>
      <c r="AFV36" s="2795"/>
      <c r="AFW36" s="2795"/>
      <c r="AFX36" s="2795"/>
      <c r="AFY36" s="2795"/>
      <c r="AFZ36" s="2795"/>
      <c r="AGA36" s="2795"/>
      <c r="AGB36" s="2795"/>
      <c r="AGC36" s="2795"/>
      <c r="AGD36" s="2795"/>
      <c r="AGE36" s="2795"/>
      <c r="AGF36" s="2795"/>
      <c r="AGG36" s="2795"/>
      <c r="AGH36" s="2795"/>
      <c r="AGI36" s="2795"/>
      <c r="AGJ36" s="2795"/>
      <c r="AGK36" s="2795"/>
      <c r="AGL36" s="2795"/>
      <c r="AGM36" s="2795"/>
      <c r="AGN36" s="2795"/>
      <c r="AGO36" s="2795"/>
      <c r="AGP36" s="2795"/>
      <c r="AGQ36" s="2795"/>
      <c r="AGR36" s="2795"/>
      <c r="AGS36" s="2795"/>
      <c r="AGT36" s="2795"/>
      <c r="AGU36" s="2795"/>
      <c r="AGV36" s="2795"/>
      <c r="AGW36" s="2795"/>
      <c r="AGX36" s="2795"/>
      <c r="AGY36" s="2795"/>
      <c r="AGZ36" s="2795"/>
      <c r="AHA36" s="2795"/>
      <c r="AHB36" s="2795"/>
      <c r="AHC36" s="2795"/>
      <c r="AHD36" s="2795"/>
      <c r="AHE36" s="2795"/>
      <c r="AHF36" s="2795"/>
      <c r="AHG36" s="2795"/>
      <c r="AHH36" s="2795"/>
      <c r="AHI36" s="2795"/>
      <c r="AHJ36" s="2795"/>
      <c r="AHK36" s="2795"/>
      <c r="AHL36" s="2795"/>
      <c r="AHM36" s="2795"/>
      <c r="AHN36" s="2795"/>
      <c r="AHO36" s="2795"/>
      <c r="AHP36" s="2795"/>
      <c r="AHQ36" s="2795"/>
      <c r="AHR36" s="2795"/>
      <c r="AHS36" s="2795"/>
      <c r="AHT36" s="2795"/>
      <c r="AHU36" s="2795"/>
      <c r="AHV36" s="2795"/>
      <c r="AHW36" s="2795"/>
      <c r="AHX36" s="2795"/>
      <c r="AHY36" s="2795"/>
      <c r="AHZ36" s="2795"/>
      <c r="AIA36" s="2795"/>
      <c r="AIB36" s="2795"/>
      <c r="AIC36" s="2795"/>
      <c r="AID36" s="2795"/>
      <c r="AIE36" s="2795"/>
      <c r="AIF36" s="2795"/>
      <c r="AIG36" s="2795"/>
      <c r="AIH36" s="2795"/>
      <c r="AII36" s="2795"/>
      <c r="AIJ36" s="2795"/>
      <c r="AIK36" s="2795"/>
      <c r="AIL36" s="2795"/>
      <c r="AIM36" s="2795"/>
      <c r="AIN36" s="2795"/>
      <c r="AIO36" s="2795"/>
      <c r="AIP36" s="2795"/>
      <c r="AIQ36" s="2795"/>
      <c r="AIR36" s="2795"/>
      <c r="AIS36" s="2795"/>
      <c r="AIT36" s="2795"/>
      <c r="AIU36" s="2795"/>
      <c r="AIV36" s="2795"/>
      <c r="AIW36" s="2795"/>
      <c r="AIX36" s="2795"/>
      <c r="AIY36" s="2795"/>
      <c r="AIZ36" s="2795"/>
      <c r="AJA36" s="2795"/>
      <c r="AJB36" s="2795"/>
      <c r="AJC36" s="2795"/>
      <c r="AJD36" s="2795"/>
      <c r="AJE36" s="2795"/>
      <c r="AJF36" s="2795"/>
      <c r="AJG36" s="2795"/>
      <c r="AJH36" s="2795"/>
      <c r="AJI36" s="2795"/>
      <c r="AJJ36" s="2795"/>
      <c r="AJK36" s="2795"/>
      <c r="AJL36" s="2795"/>
      <c r="AJM36" s="2795"/>
      <c r="AJN36" s="2795"/>
      <c r="AJO36" s="2795"/>
      <c r="AJP36" s="2795"/>
      <c r="AJQ36" s="2795"/>
      <c r="AJR36" s="2795"/>
      <c r="AJS36" s="2795"/>
      <c r="AJT36" s="2795"/>
      <c r="AJU36" s="2795"/>
      <c r="AJV36" s="2795"/>
      <c r="AJW36" s="2795"/>
      <c r="AJX36" s="2795"/>
      <c r="AJY36" s="2795"/>
      <c r="AJZ36" s="2795"/>
      <c r="AKA36" s="2795"/>
      <c r="AKB36" s="2795"/>
      <c r="AKC36" s="2795"/>
      <c r="AKD36" s="2795"/>
      <c r="AKE36" s="2795"/>
      <c r="AKF36" s="2795"/>
      <c r="AKG36" s="2795"/>
      <c r="AKH36" s="2795"/>
      <c r="AKI36" s="2795"/>
      <c r="AKJ36" s="2795"/>
      <c r="AKK36" s="2795"/>
      <c r="AKL36" s="2795"/>
      <c r="AKM36" s="2795"/>
      <c r="AKN36" s="2795"/>
      <c r="AKO36" s="2795"/>
      <c r="AKP36" s="2795"/>
      <c r="AKQ36" s="2795"/>
      <c r="AKR36" s="2795"/>
      <c r="AKS36" s="2795"/>
      <c r="AKT36" s="2795"/>
      <c r="AKU36" s="2795"/>
      <c r="AKV36" s="2795"/>
      <c r="AKW36" s="2795"/>
      <c r="AKX36" s="2795"/>
      <c r="AKY36" s="2795"/>
      <c r="AKZ36" s="2795"/>
      <c r="ALA36" s="2795"/>
      <c r="ALB36" s="2795"/>
      <c r="ALC36" s="2795"/>
      <c r="ALD36" s="2795"/>
      <c r="ALE36" s="2795"/>
      <c r="ALF36" s="2795"/>
      <c r="ALG36" s="2795"/>
      <c r="ALH36" s="2795"/>
      <c r="ALI36" s="2795"/>
      <c r="ALJ36" s="2795"/>
      <c r="ALK36" s="2795"/>
      <c r="ALL36" s="2795"/>
      <c r="ALM36" s="2795"/>
      <c r="ALN36" s="2795"/>
      <c r="ALO36" s="2795"/>
      <c r="ALP36" s="2795"/>
      <c r="ALQ36" s="2795"/>
      <c r="ALR36" s="2795"/>
      <c r="ALS36" s="2795"/>
      <c r="ALT36" s="2795"/>
      <c r="ALU36" s="2795"/>
      <c r="ALV36" s="2795"/>
      <c r="ALW36" s="2795"/>
      <c r="ALX36" s="2795"/>
      <c r="ALY36" s="2795"/>
      <c r="ALZ36" s="2795"/>
      <c r="AMA36" s="2795"/>
      <c r="AMB36" s="2795"/>
      <c r="AMC36" s="2795"/>
      <c r="AMD36" s="2795"/>
      <c r="AME36" s="2795"/>
      <c r="AMF36" s="2795"/>
      <c r="AMG36" s="2795"/>
      <c r="AMH36" s="2795"/>
      <c r="AMI36" s="2795"/>
      <c r="AMJ36" s="2795"/>
      <c r="AMK36" s="2795"/>
      <c r="AML36" s="2795"/>
      <c r="AMM36" s="2795"/>
      <c r="AMN36" s="2795"/>
      <c r="AMO36" s="2795"/>
      <c r="AMP36" s="2795"/>
      <c r="AMQ36" s="2795"/>
      <c r="AMR36" s="2795"/>
      <c r="AMS36" s="2795"/>
      <c r="AMT36" s="2795"/>
      <c r="AMU36" s="2795"/>
      <c r="AMV36" s="2795"/>
      <c r="AMW36" s="2795"/>
      <c r="AMX36" s="2795"/>
      <c r="AMY36" s="2795"/>
      <c r="AMZ36" s="2795"/>
      <c r="ANA36" s="2795"/>
      <c r="ANB36" s="2795"/>
      <c r="ANC36" s="2795"/>
      <c r="AND36" s="2795"/>
      <c r="ANE36" s="2795"/>
      <c r="ANF36" s="2795"/>
      <c r="ANG36" s="2795"/>
      <c r="ANH36" s="2795"/>
      <c r="ANI36" s="2795"/>
      <c r="ANJ36" s="2795"/>
      <c r="ANK36" s="2795"/>
      <c r="ANL36" s="2795"/>
      <c r="ANM36" s="2795"/>
      <c r="ANN36" s="2795"/>
      <c r="ANO36" s="2795"/>
      <c r="ANP36" s="2795"/>
      <c r="ANQ36" s="2795"/>
      <c r="ANR36" s="2795"/>
      <c r="ANS36" s="2795"/>
      <c r="ANT36" s="2795"/>
      <c r="ANU36" s="2795"/>
      <c r="ANV36" s="2795"/>
      <c r="ANW36" s="2795"/>
      <c r="ANX36" s="2795"/>
      <c r="ANY36" s="2795"/>
      <c r="ANZ36" s="2795"/>
      <c r="AOA36" s="2795"/>
      <c r="AOB36" s="2795"/>
      <c r="AOC36" s="2795"/>
      <c r="AOD36" s="2795"/>
      <c r="AOE36" s="2795"/>
      <c r="AOF36" s="2795"/>
      <c r="AOG36" s="2795"/>
      <c r="AOH36" s="2795"/>
      <c r="AOI36" s="2795"/>
      <c r="AOJ36" s="2795"/>
      <c r="AOK36" s="2795"/>
      <c r="AOL36" s="2795"/>
      <c r="AOM36" s="2795"/>
      <c r="AON36" s="2795"/>
      <c r="AOO36" s="2795"/>
      <c r="AOP36" s="2795"/>
      <c r="AOQ36" s="2795"/>
      <c r="AOR36" s="2795"/>
      <c r="AOS36" s="2795"/>
      <c r="AOT36" s="2795"/>
      <c r="AOU36" s="2795"/>
      <c r="AOV36" s="2795"/>
      <c r="AOW36" s="2795"/>
      <c r="AOX36" s="2795"/>
      <c r="AOY36" s="2795"/>
      <c r="AOZ36" s="2795"/>
      <c r="APA36" s="2795"/>
      <c r="APB36" s="2795"/>
      <c r="APC36" s="2795"/>
      <c r="APD36" s="2795"/>
      <c r="APE36" s="2795"/>
      <c r="APF36" s="2795"/>
      <c r="APG36" s="2795"/>
      <c r="APH36" s="2795"/>
      <c r="API36" s="2795"/>
      <c r="APJ36" s="2795"/>
      <c r="APK36" s="2795"/>
      <c r="APL36" s="2795"/>
      <c r="APM36" s="2795"/>
      <c r="APN36" s="2795"/>
      <c r="APO36" s="2795"/>
      <c r="APP36" s="2795"/>
      <c r="APQ36" s="2795"/>
      <c r="APR36" s="2795"/>
      <c r="APS36" s="2795"/>
      <c r="APT36" s="2795"/>
      <c r="APU36" s="2795"/>
      <c r="APV36" s="2795"/>
      <c r="APW36" s="2795"/>
      <c r="APX36" s="2795"/>
      <c r="APY36" s="2795"/>
      <c r="APZ36" s="2795"/>
      <c r="AQA36" s="2795"/>
      <c r="AQB36" s="2795"/>
      <c r="AQC36" s="2795"/>
      <c r="AQD36" s="2795"/>
      <c r="AQE36" s="2795"/>
      <c r="AQF36" s="2795"/>
      <c r="AQG36" s="2795"/>
      <c r="AQH36" s="2795"/>
      <c r="AQI36" s="2795"/>
      <c r="AQJ36" s="2795"/>
      <c r="AQK36" s="2795"/>
      <c r="AQL36" s="2795"/>
      <c r="AQM36" s="2795"/>
      <c r="AQN36" s="2795"/>
      <c r="AQO36" s="2795"/>
      <c r="AQP36" s="2795"/>
      <c r="AQQ36" s="2795"/>
      <c r="AQR36" s="2795"/>
      <c r="AQS36" s="2795"/>
      <c r="AQT36" s="2795"/>
      <c r="AQU36" s="2795"/>
      <c r="AQV36" s="2795"/>
      <c r="AQW36" s="2795"/>
      <c r="AQX36" s="2795"/>
      <c r="AQY36" s="2795"/>
      <c r="AQZ36" s="2795"/>
      <c r="ARA36" s="2795"/>
      <c r="ARB36" s="2795"/>
      <c r="ARC36" s="2795"/>
      <c r="ARD36" s="2795"/>
      <c r="ARE36" s="2795"/>
      <c r="ARF36" s="2795"/>
      <c r="ARG36" s="2795"/>
      <c r="ARH36" s="2795"/>
      <c r="ARI36" s="2795"/>
      <c r="ARJ36" s="2795"/>
      <c r="ARK36" s="2795"/>
      <c r="ARL36" s="2795"/>
      <c r="ARM36" s="2795"/>
      <c r="ARN36" s="2795"/>
      <c r="ARO36" s="2795"/>
      <c r="ARP36" s="2795"/>
      <c r="ARQ36" s="2795"/>
      <c r="ARR36" s="2795"/>
      <c r="ARS36" s="2795"/>
      <c r="ART36" s="2795"/>
      <c r="ARU36" s="2795"/>
      <c r="ARV36" s="2795"/>
      <c r="ARW36" s="2795"/>
      <c r="ARX36" s="2795"/>
      <c r="ARY36" s="2795"/>
      <c r="ARZ36" s="2795"/>
      <c r="ASA36" s="2795"/>
      <c r="ASB36" s="2795"/>
      <c r="ASC36" s="2795"/>
      <c r="ASD36" s="2795"/>
      <c r="ASE36" s="2795"/>
      <c r="ASF36" s="2795"/>
      <c r="ASG36" s="2795"/>
      <c r="ASH36" s="2795"/>
      <c r="ASI36" s="2795"/>
      <c r="ASJ36" s="2795"/>
      <c r="ASK36" s="2795"/>
      <c r="ASL36" s="2795"/>
      <c r="ASM36" s="2795"/>
      <c r="ASN36" s="2795"/>
      <c r="ASO36" s="2795"/>
      <c r="ASP36" s="2795"/>
      <c r="ASQ36" s="2795"/>
      <c r="ASR36" s="2795"/>
      <c r="ASS36" s="2795"/>
      <c r="AST36" s="2795"/>
      <c r="ASU36" s="2795"/>
      <c r="ASV36" s="2795"/>
      <c r="ASW36" s="2795"/>
      <c r="ASX36" s="2795"/>
      <c r="ASY36" s="2795"/>
      <c r="ASZ36" s="2795"/>
      <c r="ATA36" s="2795"/>
      <c r="ATB36" s="2795"/>
      <c r="ATC36" s="2795"/>
      <c r="ATD36" s="2795"/>
      <c r="ATE36" s="2795"/>
      <c r="ATF36" s="2795"/>
      <c r="ATG36" s="2795"/>
      <c r="ATH36" s="2795"/>
      <c r="ATI36" s="2795"/>
      <c r="ATJ36" s="2795"/>
      <c r="ATK36" s="2795"/>
      <c r="ATL36" s="2795"/>
      <c r="ATM36" s="2795"/>
      <c r="ATN36" s="2795"/>
      <c r="ATO36" s="2795"/>
      <c r="ATP36" s="2795"/>
      <c r="ATQ36" s="2795"/>
      <c r="ATR36" s="2795"/>
      <c r="ATS36" s="2795"/>
      <c r="ATT36" s="2795"/>
      <c r="ATU36" s="2795"/>
      <c r="ATV36" s="2795"/>
      <c r="ATW36" s="2795"/>
      <c r="ATX36" s="2795"/>
      <c r="ATY36" s="2795"/>
      <c r="ATZ36" s="2795"/>
      <c r="AUA36" s="2795"/>
      <c r="AUB36" s="2795"/>
      <c r="AUC36" s="2795"/>
      <c r="AUD36" s="2795"/>
      <c r="AUE36" s="2795"/>
      <c r="AUF36" s="2795"/>
      <c r="AUG36" s="2795"/>
      <c r="AUH36" s="2795"/>
      <c r="AUI36" s="2795"/>
      <c r="AUJ36" s="2795"/>
      <c r="AUK36" s="2795"/>
      <c r="AUL36" s="2795"/>
      <c r="AUM36" s="2795"/>
      <c r="AUN36" s="2795"/>
      <c r="AUO36" s="2795"/>
      <c r="AUP36" s="2795"/>
      <c r="AUQ36" s="2795"/>
      <c r="AUR36" s="2795"/>
      <c r="AUS36" s="2795"/>
      <c r="AUT36" s="2795"/>
      <c r="AUU36" s="2795"/>
      <c r="AUV36" s="2795"/>
      <c r="AUW36" s="2795"/>
      <c r="AUX36" s="2795"/>
      <c r="AUY36" s="2795"/>
      <c r="AUZ36" s="2795"/>
      <c r="AVA36" s="2795"/>
      <c r="AVB36" s="2795"/>
      <c r="AVC36" s="2795"/>
      <c r="AVD36" s="2795"/>
      <c r="AVE36" s="2795"/>
      <c r="AVF36" s="2795"/>
      <c r="AVG36" s="2795"/>
      <c r="AVH36" s="2795"/>
      <c r="AVI36" s="2795"/>
      <c r="AVJ36" s="2795"/>
      <c r="AVK36" s="2795"/>
      <c r="AVL36" s="2795"/>
      <c r="AVM36" s="2795"/>
      <c r="AVN36" s="2795"/>
      <c r="AVO36" s="2795"/>
      <c r="AVP36" s="2795"/>
      <c r="AVQ36" s="2795"/>
      <c r="AVR36" s="2795"/>
      <c r="AVS36" s="2795"/>
      <c r="AVT36" s="2795"/>
      <c r="AVU36" s="2795"/>
      <c r="AVV36" s="2795"/>
      <c r="AVW36" s="2795"/>
      <c r="AVX36" s="2795"/>
      <c r="AVY36" s="2795"/>
      <c r="AVZ36" s="2795"/>
      <c r="AWA36" s="2795"/>
      <c r="AWB36" s="2795"/>
      <c r="AWC36" s="2795"/>
      <c r="AWD36" s="2795"/>
      <c r="AWE36" s="2795"/>
      <c r="AWF36" s="2795"/>
      <c r="AWG36" s="2795"/>
      <c r="AWH36" s="2795"/>
      <c r="AWI36" s="2795"/>
      <c r="AWJ36" s="2795"/>
      <c r="AWK36" s="2795"/>
      <c r="AWL36" s="2795"/>
      <c r="AWM36" s="2795"/>
      <c r="AWN36" s="2795"/>
      <c r="AWO36" s="2795"/>
      <c r="AWP36" s="2795"/>
      <c r="AWQ36" s="2795"/>
      <c r="AWR36" s="2795"/>
      <c r="AWS36" s="2795"/>
      <c r="AWT36" s="2795"/>
      <c r="AWU36" s="2795"/>
      <c r="AWV36" s="2795"/>
      <c r="AWW36" s="2795"/>
      <c r="AWX36" s="2795"/>
      <c r="AWY36" s="2795"/>
      <c r="AWZ36" s="2795"/>
      <c r="AXA36" s="2795"/>
      <c r="AXB36" s="2795"/>
      <c r="AXC36" s="2795"/>
      <c r="AXD36" s="2795"/>
      <c r="AXE36" s="2795"/>
      <c r="AXF36" s="2795"/>
      <c r="AXG36" s="2795"/>
      <c r="AXH36" s="2795"/>
      <c r="AXI36" s="2795"/>
      <c r="AXJ36" s="2795"/>
      <c r="AXK36" s="2795"/>
      <c r="AXL36" s="2795"/>
      <c r="AXM36" s="2795"/>
      <c r="AXN36" s="2795"/>
      <c r="AXO36" s="2795"/>
      <c r="AXP36" s="2795"/>
      <c r="AXQ36" s="2795"/>
      <c r="AXR36" s="2795"/>
      <c r="AXS36" s="2795"/>
      <c r="AXT36" s="2795"/>
      <c r="AXU36" s="2795"/>
      <c r="AXV36" s="2795"/>
      <c r="AXW36" s="2795"/>
      <c r="AXX36" s="2795"/>
      <c r="AXY36" s="2795"/>
      <c r="AXZ36" s="2795"/>
      <c r="AYA36" s="2795"/>
      <c r="AYB36" s="2795"/>
      <c r="AYC36" s="2795"/>
      <c r="AYD36" s="2795"/>
      <c r="AYE36" s="2795"/>
      <c r="AYF36" s="2795"/>
      <c r="AYG36" s="2795"/>
      <c r="AYH36" s="2795"/>
      <c r="AYI36" s="2795"/>
      <c r="AYJ36" s="2795"/>
      <c r="AYK36" s="2795"/>
      <c r="AYL36" s="2795"/>
      <c r="AYM36" s="2795"/>
      <c r="AYN36" s="2795"/>
      <c r="AYO36" s="2795"/>
      <c r="AYP36" s="2795"/>
      <c r="AYQ36" s="2795"/>
      <c r="AYR36" s="2795"/>
      <c r="AYS36" s="2795"/>
      <c r="AYT36" s="2795"/>
      <c r="AYU36" s="2795"/>
      <c r="AYV36" s="2795"/>
      <c r="AYW36" s="2795"/>
      <c r="AYX36" s="2795"/>
      <c r="AYY36" s="2795"/>
      <c r="AYZ36" s="2795"/>
      <c r="AZA36" s="2795"/>
      <c r="AZB36" s="2795"/>
      <c r="AZC36" s="2795"/>
      <c r="AZD36" s="2795"/>
      <c r="AZE36" s="2795"/>
      <c r="AZF36" s="2795"/>
      <c r="AZG36" s="2795"/>
      <c r="AZH36" s="2795"/>
      <c r="AZI36" s="2795"/>
      <c r="AZJ36" s="2795"/>
      <c r="AZK36" s="2795"/>
      <c r="AZL36" s="2795"/>
      <c r="AZM36" s="2795"/>
      <c r="AZN36" s="2795"/>
      <c r="AZO36" s="2795"/>
      <c r="AZP36" s="2795"/>
      <c r="AZQ36" s="2795"/>
      <c r="AZR36" s="2795"/>
      <c r="AZS36" s="2795"/>
      <c r="AZT36" s="2795"/>
      <c r="AZU36" s="2795"/>
      <c r="AZV36" s="2795"/>
      <c r="AZW36" s="2795"/>
      <c r="AZX36" s="2795"/>
      <c r="AZY36" s="2795"/>
      <c r="AZZ36" s="2795"/>
      <c r="BAA36" s="2795"/>
      <c r="BAB36" s="2795"/>
      <c r="BAC36" s="2795"/>
      <c r="BAD36" s="2795"/>
      <c r="BAE36" s="2795"/>
      <c r="BAF36" s="2795"/>
      <c r="BAG36" s="2795"/>
      <c r="BAH36" s="2795"/>
      <c r="BAI36" s="2795"/>
      <c r="BAJ36" s="2795"/>
      <c r="BAK36" s="2795"/>
      <c r="BAL36" s="2795"/>
      <c r="BAM36" s="2795"/>
      <c r="BAN36" s="2795"/>
      <c r="BAO36" s="2795"/>
      <c r="BAP36" s="2795"/>
      <c r="BAQ36" s="2795"/>
      <c r="BAR36" s="2795"/>
      <c r="BAS36" s="2795"/>
      <c r="BAT36" s="2795"/>
      <c r="BAU36" s="2795"/>
      <c r="BAV36" s="2795"/>
      <c r="BAW36" s="2795"/>
      <c r="BAX36" s="2795"/>
      <c r="BAY36" s="2795"/>
      <c r="BAZ36" s="2795"/>
      <c r="BBA36" s="2795"/>
      <c r="BBB36" s="2795"/>
      <c r="BBC36" s="2795"/>
      <c r="BBD36" s="2795"/>
      <c r="BBE36" s="2795"/>
      <c r="BBF36" s="2795"/>
      <c r="BBG36" s="2795"/>
      <c r="BBH36" s="2795"/>
      <c r="BBI36" s="2795"/>
      <c r="BBJ36" s="2795"/>
      <c r="BBK36" s="2795"/>
      <c r="BBL36" s="2795"/>
      <c r="BBM36" s="2795"/>
      <c r="BBN36" s="2795"/>
      <c r="BBO36" s="2795"/>
      <c r="BBP36" s="2795"/>
      <c r="BBQ36" s="2795"/>
      <c r="BBR36" s="2795"/>
      <c r="BBS36" s="2795"/>
      <c r="BBT36" s="2795"/>
      <c r="BBU36" s="2795"/>
      <c r="BBV36" s="2795"/>
      <c r="BBW36" s="2795"/>
      <c r="BBX36" s="2795"/>
      <c r="BBY36" s="2795"/>
      <c r="BBZ36" s="2795"/>
      <c r="BCA36" s="2795"/>
      <c r="BCB36" s="2795"/>
      <c r="BCC36" s="2795"/>
      <c r="BCD36" s="2795"/>
      <c r="BCE36" s="2795"/>
      <c r="BCF36" s="2795"/>
      <c r="BCG36" s="2795"/>
      <c r="BCH36" s="2795"/>
      <c r="BCI36" s="2795"/>
      <c r="BCJ36" s="2795"/>
      <c r="BCK36" s="2795"/>
      <c r="BCL36" s="2795"/>
      <c r="BCM36" s="2795"/>
      <c r="BCN36" s="2795"/>
      <c r="BCO36" s="2795"/>
      <c r="BCP36" s="2795"/>
      <c r="BCQ36" s="2795"/>
      <c r="BCR36" s="2795"/>
      <c r="BCS36" s="2795"/>
      <c r="BCT36" s="2795"/>
      <c r="BCU36" s="2795"/>
      <c r="BCV36" s="2795"/>
      <c r="BCW36" s="2795"/>
      <c r="BCX36" s="2795"/>
      <c r="BCY36" s="2795"/>
      <c r="BCZ36" s="2795"/>
      <c r="BDA36" s="2795"/>
      <c r="BDB36" s="2795"/>
      <c r="BDC36" s="2795"/>
      <c r="BDD36" s="2795"/>
      <c r="BDE36" s="2795"/>
      <c r="BDF36" s="2795"/>
      <c r="BDG36" s="2795"/>
      <c r="BDH36" s="2795"/>
      <c r="BDI36" s="2795"/>
      <c r="BDJ36" s="2795"/>
      <c r="BDK36" s="2795"/>
      <c r="BDL36" s="2795"/>
      <c r="BDM36" s="2795"/>
      <c r="BDN36" s="2795"/>
      <c r="BDO36" s="2795"/>
      <c r="BDP36" s="2795"/>
      <c r="BDQ36" s="2795"/>
      <c r="BDR36" s="2795"/>
      <c r="BDS36" s="2795"/>
      <c r="BDT36" s="2795"/>
      <c r="BDU36" s="2795"/>
      <c r="BDV36" s="2795"/>
      <c r="BDW36" s="2795"/>
      <c r="BDX36" s="2795"/>
      <c r="BDY36" s="2795"/>
      <c r="BDZ36" s="2795"/>
      <c r="BEA36" s="2795"/>
      <c r="BEB36" s="2795"/>
      <c r="BEC36" s="2795"/>
      <c r="BED36" s="2795"/>
      <c r="BEE36" s="2795"/>
      <c r="BEF36" s="2795"/>
      <c r="BEG36" s="2795"/>
      <c r="BEH36" s="2795"/>
      <c r="BEI36" s="2795"/>
      <c r="BEJ36" s="2795"/>
      <c r="BEK36" s="2795"/>
      <c r="BEL36" s="2795"/>
      <c r="BEM36" s="2795"/>
      <c r="BEN36" s="2795"/>
      <c r="BEO36" s="2795"/>
      <c r="BEP36" s="2795"/>
      <c r="BEQ36" s="2795"/>
      <c r="BER36" s="2795"/>
      <c r="BES36" s="2795"/>
      <c r="BET36" s="2795"/>
      <c r="BEU36" s="2795"/>
      <c r="BEV36" s="2795"/>
      <c r="BEW36" s="2795"/>
      <c r="BEX36" s="2795"/>
      <c r="BEY36" s="2795"/>
      <c r="BEZ36" s="2795"/>
      <c r="BFA36" s="2795"/>
      <c r="BFB36" s="2795"/>
      <c r="BFC36" s="2795"/>
      <c r="BFD36" s="2795"/>
      <c r="BFE36" s="2795"/>
      <c r="BFF36" s="2795"/>
      <c r="BFG36" s="2795"/>
      <c r="BFH36" s="2795"/>
      <c r="BFI36" s="2795"/>
      <c r="BFJ36" s="2795"/>
      <c r="BFK36" s="2795"/>
      <c r="BFL36" s="2795"/>
      <c r="BFM36" s="2795"/>
      <c r="BFN36" s="2795"/>
      <c r="BFO36" s="2795"/>
      <c r="BFP36" s="2795"/>
      <c r="BFQ36" s="2795"/>
      <c r="BFR36" s="2795"/>
      <c r="BFS36" s="2795"/>
      <c r="BFT36" s="2795"/>
      <c r="BFU36" s="2795"/>
      <c r="BFV36" s="2795"/>
      <c r="BFW36" s="2795"/>
      <c r="BFX36" s="2795"/>
      <c r="BFY36" s="2795"/>
      <c r="BFZ36" s="2795"/>
      <c r="BGA36" s="2795"/>
      <c r="BGB36" s="2795"/>
      <c r="BGC36" s="2795"/>
      <c r="BGD36" s="2795"/>
      <c r="BGE36" s="2795"/>
      <c r="BGF36" s="2795"/>
      <c r="BGG36" s="2795"/>
      <c r="BGH36" s="2795"/>
      <c r="BGI36" s="2795"/>
      <c r="BGJ36" s="2795"/>
      <c r="BGK36" s="2795"/>
      <c r="BGL36" s="2795"/>
      <c r="BGM36" s="2795"/>
      <c r="BGN36" s="2795"/>
      <c r="BGO36" s="2795"/>
      <c r="BGP36" s="2795"/>
      <c r="BGQ36" s="2795"/>
      <c r="BGR36" s="2795"/>
      <c r="BGS36" s="2795"/>
      <c r="BGT36" s="2795"/>
      <c r="BGU36" s="2795"/>
      <c r="BGV36" s="2795"/>
      <c r="BGW36" s="2795"/>
      <c r="BGX36" s="2795"/>
      <c r="BGY36" s="2795"/>
      <c r="BGZ36" s="2795"/>
      <c r="BHA36" s="2795"/>
      <c r="BHB36" s="2795"/>
      <c r="BHC36" s="2795"/>
      <c r="BHD36" s="2795"/>
      <c r="BHE36" s="2795"/>
      <c r="BHF36" s="2795"/>
      <c r="BHG36" s="2795"/>
      <c r="BHH36" s="2795"/>
      <c r="BHI36" s="2795"/>
      <c r="BHJ36" s="2795"/>
      <c r="BHK36" s="2795"/>
      <c r="BHL36" s="2795"/>
      <c r="BHM36" s="2795"/>
      <c r="BHN36" s="2795"/>
      <c r="BHO36" s="2795"/>
      <c r="BHP36" s="2795"/>
      <c r="BHQ36" s="2795"/>
      <c r="BHR36" s="2795"/>
      <c r="BHS36" s="2795"/>
      <c r="BHT36" s="2795"/>
      <c r="BHU36" s="2795"/>
      <c r="BHV36" s="2795"/>
      <c r="BHW36" s="2795"/>
      <c r="BHX36" s="2795"/>
      <c r="BHY36" s="2795"/>
      <c r="BHZ36" s="2795"/>
      <c r="BIA36" s="2795"/>
      <c r="BIB36" s="2795"/>
      <c r="BIC36" s="2795"/>
      <c r="BID36" s="2795"/>
      <c r="BIE36" s="2795"/>
      <c r="BIF36" s="2795"/>
      <c r="BIG36" s="2795"/>
      <c r="BIH36" s="2795"/>
      <c r="BII36" s="2795"/>
      <c r="BIJ36" s="2795"/>
      <c r="BIK36" s="2795"/>
      <c r="BIL36" s="2795"/>
      <c r="BIM36" s="2795"/>
      <c r="BIN36" s="2795"/>
      <c r="BIO36" s="2795"/>
      <c r="BIP36" s="2795"/>
      <c r="BIQ36" s="2795"/>
      <c r="BIR36" s="2795"/>
      <c r="BIS36" s="2795"/>
      <c r="BIT36" s="2795"/>
      <c r="BIU36" s="2795"/>
      <c r="BIV36" s="2795"/>
      <c r="BIW36" s="2795"/>
      <c r="BIX36" s="2795"/>
      <c r="BIY36" s="2795"/>
      <c r="BIZ36" s="2795"/>
      <c r="BJA36" s="2795"/>
      <c r="BJB36" s="2795"/>
      <c r="BJC36" s="2795"/>
      <c r="BJD36" s="2795"/>
      <c r="BJE36" s="2795"/>
      <c r="BJF36" s="2795"/>
      <c r="BJG36" s="2795"/>
      <c r="BJH36" s="2795"/>
      <c r="BJI36" s="2795"/>
      <c r="BJJ36" s="2795"/>
      <c r="BJK36" s="2795"/>
      <c r="BJL36" s="2795"/>
      <c r="BJM36" s="2795"/>
      <c r="BJN36" s="2795"/>
      <c r="BJO36" s="2795"/>
      <c r="BJP36" s="2795"/>
      <c r="BJQ36" s="2795"/>
      <c r="BJR36" s="2795"/>
      <c r="BJS36" s="2795"/>
      <c r="BJT36" s="2795"/>
      <c r="BJU36" s="2795"/>
      <c r="BJV36" s="2795"/>
      <c r="BJW36" s="2795"/>
      <c r="BJX36" s="2795"/>
      <c r="BJY36" s="2795"/>
      <c r="BJZ36" s="2795"/>
      <c r="BKA36" s="2795"/>
      <c r="BKB36" s="2795"/>
      <c r="BKC36" s="2795"/>
      <c r="BKD36" s="2795"/>
      <c r="BKE36" s="2795"/>
      <c r="BKF36" s="2795"/>
      <c r="BKG36" s="2795"/>
      <c r="BKH36" s="2795"/>
      <c r="BKI36" s="2795"/>
      <c r="BKJ36" s="2795"/>
      <c r="BKK36" s="2795"/>
      <c r="BKL36" s="2795"/>
      <c r="BKM36" s="2795"/>
      <c r="BKN36" s="2795"/>
      <c r="BKO36" s="2795"/>
      <c r="BKP36" s="2795"/>
      <c r="BKQ36" s="2795"/>
      <c r="BKR36" s="2795"/>
      <c r="BKS36" s="2795"/>
      <c r="BKT36" s="2795"/>
      <c r="BKU36" s="2795"/>
      <c r="BKV36" s="2795"/>
      <c r="BKW36" s="2795"/>
      <c r="BKX36" s="2795"/>
      <c r="BKY36" s="2795"/>
      <c r="BKZ36" s="2795"/>
      <c r="BLA36" s="2795"/>
      <c r="BLB36" s="2795"/>
      <c r="BLC36" s="2795"/>
      <c r="BLD36" s="2795"/>
      <c r="BLE36" s="2795"/>
      <c r="BLF36" s="2795"/>
      <c r="BLG36" s="2795"/>
      <c r="BLH36" s="2795"/>
      <c r="BLI36" s="2795"/>
      <c r="BLJ36" s="2795"/>
      <c r="BLK36" s="2795"/>
      <c r="BLL36" s="2795"/>
      <c r="BLM36" s="2795"/>
      <c r="BLN36" s="2795"/>
      <c r="BLO36" s="2795"/>
      <c r="BLP36" s="2795"/>
      <c r="BLQ36" s="2795"/>
      <c r="BLR36" s="2795"/>
      <c r="BLS36" s="2795"/>
      <c r="BLT36" s="2795"/>
      <c r="BLU36" s="2795"/>
      <c r="BLV36" s="2795"/>
      <c r="BLW36" s="2795"/>
      <c r="BLX36" s="2795"/>
      <c r="BLY36" s="2795"/>
      <c r="BLZ36" s="2795"/>
      <c r="BMA36" s="2795"/>
      <c r="BMB36" s="2795"/>
      <c r="BMC36" s="2795"/>
      <c r="BMD36" s="2795"/>
      <c r="BME36" s="2795"/>
      <c r="BMF36" s="2795"/>
      <c r="BMG36" s="2795"/>
      <c r="BMH36" s="2795"/>
      <c r="BMI36" s="2795"/>
      <c r="BMJ36" s="2795"/>
      <c r="BMK36" s="2795"/>
      <c r="BML36" s="2795"/>
      <c r="BMM36" s="2795"/>
      <c r="BMN36" s="2795"/>
      <c r="BMO36" s="2795"/>
      <c r="BMP36" s="2795"/>
      <c r="BMQ36" s="2795"/>
      <c r="BMR36" s="2795"/>
      <c r="BMS36" s="2795"/>
      <c r="BMT36" s="2795"/>
      <c r="BMU36" s="2795"/>
      <c r="BMV36" s="2795"/>
      <c r="BMW36" s="2795"/>
      <c r="BMX36" s="2795"/>
      <c r="BMY36" s="2795"/>
      <c r="BMZ36" s="2795"/>
      <c r="BNA36" s="2795"/>
      <c r="BNB36" s="2795"/>
      <c r="BNC36" s="2795"/>
      <c r="BND36" s="2795"/>
      <c r="BNE36" s="2795"/>
      <c r="BNF36" s="2795"/>
      <c r="BNG36" s="2795"/>
      <c r="BNH36" s="2795"/>
      <c r="BNI36" s="2795"/>
      <c r="BNJ36" s="2795"/>
      <c r="BNK36" s="2795"/>
      <c r="BNL36" s="2795"/>
      <c r="BNM36" s="2795"/>
      <c r="BNN36" s="2795"/>
      <c r="BNO36" s="2795"/>
      <c r="BNP36" s="2795"/>
      <c r="BNQ36" s="2795"/>
      <c r="BNR36" s="2795"/>
      <c r="BNS36" s="2795"/>
      <c r="BNT36" s="2795"/>
      <c r="BNU36" s="2795"/>
      <c r="BNV36" s="2795"/>
      <c r="BNW36" s="2795"/>
      <c r="BNX36" s="2795"/>
      <c r="BNY36" s="2795"/>
      <c r="BNZ36" s="2795"/>
      <c r="BOA36" s="2795"/>
      <c r="BOB36" s="2795"/>
      <c r="BOC36" s="2795"/>
      <c r="BOD36" s="2795"/>
      <c r="BOE36" s="2795"/>
      <c r="BOF36" s="2795"/>
      <c r="BOG36" s="2795"/>
      <c r="BOH36" s="2795"/>
      <c r="BOI36" s="2795"/>
      <c r="BOJ36" s="2795"/>
      <c r="BOK36" s="2795"/>
      <c r="BOL36" s="2795"/>
      <c r="BOM36" s="2795"/>
      <c r="BON36" s="2795"/>
      <c r="BOO36" s="2795"/>
      <c r="BOP36" s="2795"/>
      <c r="BOQ36" s="2795"/>
      <c r="BOR36" s="2795"/>
      <c r="BOS36" s="2795"/>
      <c r="BOT36" s="2795"/>
      <c r="BOU36" s="2795"/>
      <c r="BOV36" s="2795"/>
      <c r="BOW36" s="2795"/>
      <c r="BOX36" s="2795"/>
      <c r="BOY36" s="2795"/>
      <c r="BOZ36" s="2795"/>
      <c r="BPA36" s="2795"/>
      <c r="BPB36" s="2795"/>
      <c r="BPC36" s="2795"/>
      <c r="BPD36" s="2795"/>
      <c r="BPE36" s="2795"/>
      <c r="BPF36" s="2795"/>
      <c r="BPG36" s="2795"/>
      <c r="BPH36" s="2795"/>
      <c r="BPI36" s="2795"/>
      <c r="BPJ36" s="2795"/>
      <c r="BPK36" s="2795"/>
      <c r="BPL36" s="2795"/>
      <c r="BPM36" s="2795"/>
      <c r="BPN36" s="2795"/>
      <c r="BPO36" s="2795"/>
      <c r="BPP36" s="2795"/>
      <c r="BPQ36" s="2795"/>
      <c r="BPR36" s="2795"/>
      <c r="BPS36" s="2795"/>
      <c r="BPT36" s="2795"/>
      <c r="BPU36" s="2795"/>
      <c r="BPV36" s="2795"/>
      <c r="BPW36" s="2795"/>
      <c r="BPX36" s="2795"/>
      <c r="BPY36" s="2795"/>
      <c r="BPZ36" s="2795"/>
      <c r="BQA36" s="2795"/>
      <c r="BQB36" s="2795"/>
      <c r="BQC36" s="2795"/>
      <c r="BQD36" s="2795"/>
      <c r="BQE36" s="2795"/>
      <c r="BQF36" s="2795"/>
      <c r="BQG36" s="2795"/>
      <c r="BQH36" s="2795"/>
      <c r="BQI36" s="2795"/>
      <c r="BQJ36" s="2795"/>
      <c r="BQK36" s="2795"/>
      <c r="BQL36" s="2795"/>
      <c r="BQM36" s="2795"/>
      <c r="BQN36" s="2795"/>
      <c r="BQO36" s="2795"/>
      <c r="BQP36" s="2795"/>
      <c r="BQQ36" s="2795"/>
      <c r="BQR36" s="2795"/>
      <c r="BQS36" s="2795"/>
      <c r="BQT36" s="2795"/>
      <c r="BQU36" s="2795"/>
      <c r="BQV36" s="2795"/>
      <c r="BQW36" s="2795"/>
      <c r="BQX36" s="2795"/>
      <c r="BQY36" s="2795"/>
      <c r="BQZ36" s="2795"/>
      <c r="BRA36" s="2795"/>
      <c r="BRB36" s="2795"/>
      <c r="BRC36" s="2795"/>
      <c r="BRD36" s="2795"/>
      <c r="BRE36" s="2795"/>
      <c r="BRF36" s="2795"/>
      <c r="BRG36" s="2795"/>
      <c r="BRH36" s="2795"/>
      <c r="BRI36" s="2795"/>
      <c r="BRJ36" s="2795"/>
      <c r="BRK36" s="2795"/>
      <c r="BRL36" s="2795"/>
      <c r="BRM36" s="2795"/>
      <c r="BRN36" s="2795"/>
      <c r="BRO36" s="2795"/>
      <c r="BRP36" s="2795"/>
      <c r="BRQ36" s="2795"/>
      <c r="BRR36" s="2795"/>
      <c r="BRS36" s="2795"/>
      <c r="BRT36" s="2795"/>
      <c r="BRU36" s="2795"/>
      <c r="BRV36" s="2795"/>
      <c r="BRW36" s="2795"/>
      <c r="BRX36" s="2795"/>
      <c r="BRY36" s="2795"/>
      <c r="BRZ36" s="2795"/>
      <c r="BSA36" s="2795"/>
      <c r="BSB36" s="2795"/>
      <c r="BSC36" s="2795"/>
      <c r="BSD36" s="2795"/>
      <c r="BSE36" s="2795"/>
      <c r="BSF36" s="2795"/>
      <c r="BSG36" s="2795"/>
      <c r="BSH36" s="2795"/>
      <c r="BSI36" s="2795"/>
      <c r="BSJ36" s="2795"/>
      <c r="BSK36" s="2795"/>
      <c r="BSL36" s="2795"/>
      <c r="BSM36" s="2795"/>
      <c r="BSN36" s="2795"/>
      <c r="BSO36" s="2795"/>
      <c r="BSP36" s="2795"/>
      <c r="BSQ36" s="2795"/>
      <c r="BSR36" s="2795"/>
      <c r="BSS36" s="2795"/>
      <c r="BST36" s="2795"/>
      <c r="BSU36" s="2795"/>
      <c r="BSV36" s="2795"/>
      <c r="BSW36" s="2795"/>
      <c r="BSX36" s="2795"/>
      <c r="BSY36" s="2795"/>
      <c r="BSZ36" s="2795"/>
      <c r="BTA36" s="2795"/>
      <c r="BTB36" s="2795"/>
      <c r="BTC36" s="2795"/>
      <c r="BTD36" s="2795"/>
      <c r="BTE36" s="2795"/>
      <c r="BTF36" s="2795"/>
      <c r="BTG36" s="2795"/>
      <c r="BTH36" s="2795"/>
      <c r="BTI36" s="2795"/>
      <c r="BTJ36" s="2795"/>
      <c r="BTK36" s="2795"/>
      <c r="BTL36" s="2795"/>
      <c r="BTM36" s="2795"/>
      <c r="BTN36" s="2795"/>
      <c r="BTO36" s="2795"/>
      <c r="BTP36" s="2795"/>
      <c r="BTQ36" s="2795"/>
      <c r="BTR36" s="2795"/>
      <c r="BTS36" s="2795"/>
      <c r="BTT36" s="2795"/>
      <c r="BTU36" s="2795"/>
      <c r="BTV36" s="2795"/>
      <c r="BTW36" s="2795"/>
      <c r="BTX36" s="2795"/>
      <c r="BTY36" s="2795"/>
      <c r="BTZ36" s="2795"/>
      <c r="BUA36" s="2795"/>
      <c r="BUB36" s="2795"/>
      <c r="BUC36" s="2795"/>
      <c r="BUD36" s="2795"/>
      <c r="BUE36" s="2795"/>
      <c r="BUF36" s="2795"/>
      <c r="BUG36" s="2795"/>
      <c r="BUH36" s="2795"/>
      <c r="BUI36" s="2795"/>
      <c r="BUJ36" s="2795"/>
      <c r="BUK36" s="2795"/>
      <c r="BUL36" s="2795"/>
      <c r="BUM36" s="2795"/>
      <c r="BUN36" s="2795"/>
      <c r="BUO36" s="2795"/>
      <c r="BUP36" s="2795"/>
      <c r="BUQ36" s="2795"/>
      <c r="BUR36" s="2795"/>
      <c r="BUS36" s="2795"/>
      <c r="BUT36" s="2795"/>
      <c r="BUU36" s="2795"/>
      <c r="BUV36" s="2795"/>
      <c r="BUW36" s="2795"/>
      <c r="BUX36" s="2795"/>
      <c r="BUY36" s="2795"/>
      <c r="BUZ36" s="2795"/>
      <c r="BVA36" s="2795"/>
      <c r="BVB36" s="2795"/>
      <c r="BVC36" s="2795"/>
      <c r="BVD36" s="2795"/>
      <c r="BVE36" s="2795"/>
      <c r="BVF36" s="2795"/>
      <c r="BVG36" s="2795"/>
      <c r="BVH36" s="2795"/>
      <c r="BVI36" s="2795"/>
      <c r="BVJ36" s="2795"/>
      <c r="BVK36" s="2795"/>
      <c r="BVL36" s="2795"/>
      <c r="BVM36" s="2795"/>
      <c r="BVN36" s="2795"/>
      <c r="BVO36" s="2795"/>
      <c r="BVP36" s="2795"/>
      <c r="BVQ36" s="2795"/>
      <c r="BVR36" s="2795"/>
      <c r="BVS36" s="2795"/>
      <c r="BVT36" s="2795"/>
      <c r="BVU36" s="2795"/>
      <c r="BVV36" s="2795"/>
      <c r="BVW36" s="2795"/>
      <c r="BVX36" s="2795"/>
      <c r="BVY36" s="2795"/>
      <c r="BVZ36" s="2795"/>
      <c r="BWA36" s="2795"/>
      <c r="BWB36" s="2795"/>
      <c r="BWC36" s="2795"/>
      <c r="BWD36" s="2795"/>
      <c r="BWE36" s="2795"/>
      <c r="BWF36" s="2795"/>
      <c r="BWG36" s="2795"/>
      <c r="BWH36" s="2795"/>
      <c r="BWI36" s="2795"/>
      <c r="BWJ36" s="2795"/>
      <c r="BWK36" s="2795"/>
      <c r="BWL36" s="2795"/>
      <c r="BWM36" s="2795"/>
      <c r="BWN36" s="2795"/>
      <c r="BWO36" s="2795"/>
      <c r="BWP36" s="2795"/>
      <c r="BWQ36" s="2795"/>
      <c r="BWR36" s="2795"/>
      <c r="BWS36" s="2795"/>
      <c r="BWT36" s="2795"/>
      <c r="BWU36" s="2795"/>
      <c r="BWV36" s="2795"/>
      <c r="BWW36" s="2795"/>
      <c r="BWX36" s="2795"/>
      <c r="BWY36" s="2795"/>
      <c r="BWZ36" s="2795"/>
      <c r="BXA36" s="2795"/>
      <c r="BXB36" s="2795"/>
      <c r="BXC36" s="2795"/>
      <c r="BXD36" s="2795"/>
      <c r="BXE36" s="2795"/>
      <c r="BXF36" s="2795"/>
      <c r="BXG36" s="2795"/>
      <c r="BXH36" s="2795"/>
      <c r="BXI36" s="2795"/>
      <c r="BXJ36" s="2795"/>
      <c r="BXK36" s="2795"/>
      <c r="BXL36" s="2795"/>
      <c r="BXM36" s="2795"/>
      <c r="BXN36" s="2795"/>
      <c r="BXO36" s="2795"/>
      <c r="BXP36" s="2795"/>
      <c r="BXQ36" s="2795"/>
      <c r="BXR36" s="2795"/>
      <c r="BXS36" s="2795"/>
      <c r="BXT36" s="2795"/>
      <c r="BXU36" s="2795"/>
      <c r="BXV36" s="2795"/>
      <c r="BXW36" s="2795"/>
      <c r="BXX36" s="2795"/>
      <c r="BXY36" s="2795"/>
      <c r="BXZ36" s="2795"/>
      <c r="BYA36" s="2795"/>
      <c r="BYB36" s="2795"/>
      <c r="BYC36" s="2795"/>
      <c r="BYD36" s="2795"/>
      <c r="BYE36" s="2795"/>
      <c r="BYF36" s="2795"/>
      <c r="BYG36" s="2795"/>
      <c r="BYH36" s="2795"/>
      <c r="BYI36" s="2795"/>
      <c r="BYJ36" s="2795"/>
      <c r="BYK36" s="2795"/>
      <c r="BYL36" s="2795"/>
      <c r="BYM36" s="2795"/>
      <c r="BYN36" s="2795"/>
      <c r="BYO36" s="2795"/>
      <c r="BYP36" s="2795"/>
      <c r="BYQ36" s="2795"/>
      <c r="BYR36" s="2795"/>
      <c r="BYS36" s="2795"/>
      <c r="BYT36" s="2795"/>
      <c r="BYU36" s="2795"/>
      <c r="BYV36" s="2795"/>
      <c r="BYW36" s="2795"/>
      <c r="BYX36" s="2795"/>
      <c r="BYY36" s="2795"/>
      <c r="BYZ36" s="2795"/>
      <c r="BZA36" s="2795"/>
      <c r="BZB36" s="2795"/>
      <c r="BZC36" s="2795"/>
      <c r="BZD36" s="2795"/>
      <c r="BZE36" s="2795"/>
      <c r="BZF36" s="2795"/>
      <c r="BZG36" s="2795"/>
      <c r="BZH36" s="2795"/>
      <c r="BZI36" s="2795"/>
      <c r="BZJ36" s="2795"/>
      <c r="BZK36" s="2795"/>
      <c r="BZL36" s="2795"/>
      <c r="BZM36" s="2795"/>
      <c r="BZN36" s="2795"/>
      <c r="BZO36" s="2795"/>
      <c r="BZP36" s="2795"/>
      <c r="BZQ36" s="2795"/>
      <c r="BZR36" s="2795"/>
      <c r="BZS36" s="2795"/>
      <c r="BZT36" s="2795"/>
      <c r="BZU36" s="2795"/>
      <c r="BZV36" s="2795"/>
      <c r="BZW36" s="2795"/>
      <c r="BZX36" s="2795"/>
      <c r="BZY36" s="2795"/>
      <c r="BZZ36" s="2795"/>
      <c r="CAA36" s="2795"/>
      <c r="CAB36" s="2795"/>
      <c r="CAC36" s="2795"/>
      <c r="CAD36" s="2795"/>
      <c r="CAE36" s="2795"/>
      <c r="CAF36" s="2795"/>
      <c r="CAG36" s="2795"/>
      <c r="CAH36" s="2795"/>
      <c r="CAI36" s="2795"/>
      <c r="CAJ36" s="2795"/>
      <c r="CAK36" s="2795"/>
      <c r="CAL36" s="2795"/>
      <c r="CAM36" s="2795"/>
      <c r="CAN36" s="2795"/>
      <c r="CAO36" s="2795"/>
      <c r="CAP36" s="2795"/>
      <c r="CAQ36" s="2795"/>
      <c r="CAR36" s="2795"/>
      <c r="CAS36" s="2795"/>
      <c r="CAT36" s="2795"/>
      <c r="CAU36" s="2795"/>
      <c r="CAV36" s="2795"/>
      <c r="CAW36" s="2795"/>
      <c r="CAX36" s="2795"/>
      <c r="CAY36" s="2795"/>
      <c r="CAZ36" s="2795"/>
      <c r="CBA36" s="2795"/>
      <c r="CBB36" s="2795"/>
      <c r="CBC36" s="2795"/>
      <c r="CBD36" s="2795"/>
      <c r="CBE36" s="2795"/>
      <c r="CBF36" s="2795"/>
      <c r="CBG36" s="2795"/>
      <c r="CBH36" s="2795"/>
      <c r="CBI36" s="2795"/>
      <c r="CBJ36" s="2795"/>
      <c r="CBK36" s="2795"/>
      <c r="CBL36" s="2795"/>
      <c r="CBM36" s="2795"/>
      <c r="CBN36" s="2795"/>
      <c r="CBO36" s="2795"/>
      <c r="CBP36" s="2795"/>
      <c r="CBQ36" s="2795"/>
      <c r="CBR36" s="2795"/>
      <c r="CBS36" s="2795"/>
      <c r="CBT36" s="2795"/>
      <c r="CBU36" s="2795"/>
      <c r="CBV36" s="2795"/>
      <c r="CBW36" s="2795"/>
      <c r="CBX36" s="2795"/>
      <c r="CBY36" s="2795"/>
      <c r="CBZ36" s="2795"/>
      <c r="CCA36" s="2795"/>
      <c r="CCB36" s="2795"/>
      <c r="CCC36" s="2795"/>
      <c r="CCD36" s="2795"/>
      <c r="CCE36" s="2795"/>
      <c r="CCF36" s="2795"/>
      <c r="CCG36" s="2795"/>
      <c r="CCH36" s="2795"/>
      <c r="CCI36" s="2795"/>
      <c r="CCJ36" s="2795"/>
      <c r="CCK36" s="2795"/>
      <c r="CCL36" s="2795"/>
      <c r="CCM36" s="2795"/>
      <c r="CCN36" s="2795"/>
      <c r="CCO36" s="2795"/>
      <c r="CCP36" s="2795"/>
      <c r="CCQ36" s="2795"/>
      <c r="CCR36" s="2795"/>
      <c r="CCS36" s="2795"/>
      <c r="CCT36" s="2795"/>
      <c r="CCU36" s="2795"/>
      <c r="CCV36" s="2795"/>
      <c r="CCW36" s="2795"/>
      <c r="CCX36" s="2795"/>
      <c r="CCY36" s="2795"/>
      <c r="CCZ36" s="2795"/>
      <c r="CDA36" s="2795"/>
      <c r="CDB36" s="2795"/>
      <c r="CDC36" s="2795"/>
      <c r="CDD36" s="2795"/>
      <c r="CDE36" s="2795"/>
      <c r="CDF36" s="2795"/>
      <c r="CDG36" s="2795"/>
      <c r="CDH36" s="2795"/>
      <c r="CDI36" s="2795"/>
      <c r="CDJ36" s="2795"/>
      <c r="CDK36" s="2795"/>
      <c r="CDL36" s="2795"/>
      <c r="CDM36" s="2795"/>
      <c r="CDN36" s="2795"/>
      <c r="CDO36" s="2795"/>
      <c r="CDP36" s="2795"/>
      <c r="CDQ36" s="2795"/>
      <c r="CDR36" s="2795"/>
      <c r="CDS36" s="2795"/>
      <c r="CDT36" s="2795"/>
      <c r="CDU36" s="2795"/>
      <c r="CDV36" s="2795"/>
      <c r="CDW36" s="2795"/>
      <c r="CDX36" s="2795"/>
      <c r="CDY36" s="2795"/>
      <c r="CDZ36" s="2795"/>
      <c r="CEA36" s="2795"/>
      <c r="CEB36" s="2795"/>
      <c r="CEC36" s="2795"/>
      <c r="CED36" s="2795"/>
      <c r="CEE36" s="2795"/>
      <c r="CEF36" s="2795"/>
      <c r="CEG36" s="2795"/>
      <c r="CEH36" s="2795"/>
      <c r="CEI36" s="2795"/>
      <c r="CEJ36" s="2795"/>
      <c r="CEK36" s="2795"/>
      <c r="CEL36" s="2795"/>
      <c r="CEM36" s="2795"/>
      <c r="CEN36" s="2795"/>
      <c r="CEO36" s="2795"/>
      <c r="CEP36" s="2795"/>
      <c r="CEQ36" s="2795"/>
      <c r="CER36" s="2795"/>
      <c r="CES36" s="2795"/>
      <c r="CET36" s="2795"/>
      <c r="CEU36" s="2795"/>
      <c r="CEV36" s="2795"/>
      <c r="CEW36" s="2795"/>
      <c r="CEX36" s="2795"/>
      <c r="CEY36" s="2795"/>
      <c r="CEZ36" s="2795"/>
      <c r="CFA36" s="2795"/>
      <c r="CFB36" s="2795"/>
      <c r="CFC36" s="2795"/>
      <c r="CFD36" s="2795"/>
      <c r="CFE36" s="2795"/>
      <c r="CFF36" s="2795"/>
      <c r="CFG36" s="2795"/>
      <c r="CFH36" s="2795"/>
      <c r="CFI36" s="2795"/>
      <c r="CFJ36" s="2795"/>
      <c r="CFK36" s="2795"/>
      <c r="CFL36" s="2795"/>
      <c r="CFM36" s="2795"/>
      <c r="CFN36" s="2795"/>
      <c r="CFO36" s="2795"/>
      <c r="CFP36" s="2795"/>
      <c r="CFQ36" s="2795"/>
      <c r="CFR36" s="2795"/>
      <c r="CFS36" s="2795"/>
      <c r="CFT36" s="2795"/>
      <c r="CFU36" s="2795"/>
      <c r="CFV36" s="2795"/>
      <c r="CFW36" s="2795"/>
      <c r="CFX36" s="2795"/>
      <c r="CFY36" s="2795"/>
      <c r="CFZ36" s="2795"/>
      <c r="CGA36" s="2795"/>
      <c r="CGB36" s="2795"/>
      <c r="CGC36" s="2795"/>
      <c r="CGD36" s="2795"/>
      <c r="CGE36" s="2795"/>
      <c r="CGF36" s="2795"/>
      <c r="CGG36" s="2795"/>
      <c r="CGH36" s="2795"/>
      <c r="CGI36" s="2795"/>
      <c r="CGJ36" s="2795"/>
      <c r="CGK36" s="2795"/>
      <c r="CGL36" s="2795"/>
      <c r="CGM36" s="2795"/>
      <c r="CGN36" s="2795"/>
      <c r="CGO36" s="2795"/>
      <c r="CGP36" s="2795"/>
      <c r="CGQ36" s="2795"/>
      <c r="CGR36" s="2795"/>
      <c r="CGS36" s="2795"/>
      <c r="CGT36" s="2795"/>
      <c r="CGU36" s="2795"/>
      <c r="CGV36" s="2795"/>
      <c r="CGW36" s="2795"/>
      <c r="CGX36" s="2795"/>
      <c r="CGY36" s="2795"/>
      <c r="CGZ36" s="2795"/>
      <c r="CHA36" s="2795"/>
      <c r="CHB36" s="2795"/>
      <c r="CHC36" s="2795"/>
      <c r="CHD36" s="2795"/>
      <c r="CHE36" s="2795"/>
      <c r="CHF36" s="2795"/>
      <c r="CHG36" s="2795"/>
      <c r="CHH36" s="2795"/>
      <c r="CHI36" s="2795"/>
      <c r="CHJ36" s="2795"/>
      <c r="CHK36" s="2795"/>
      <c r="CHL36" s="2795"/>
      <c r="CHM36" s="2795"/>
      <c r="CHN36" s="2795"/>
      <c r="CHO36" s="2795"/>
      <c r="CHP36" s="2795"/>
      <c r="CHQ36" s="2795"/>
      <c r="CHR36" s="2795"/>
      <c r="CHS36" s="2795"/>
      <c r="CHT36" s="2795"/>
      <c r="CHU36" s="2795"/>
      <c r="CHV36" s="2795"/>
      <c r="CHW36" s="2795"/>
      <c r="CHX36" s="2795"/>
      <c r="CHY36" s="2795"/>
      <c r="CHZ36" s="2795"/>
      <c r="CIA36" s="2795"/>
      <c r="CIB36" s="2795"/>
      <c r="CIC36" s="2795"/>
      <c r="CID36" s="2795"/>
      <c r="CIE36" s="2795"/>
      <c r="CIF36" s="2795"/>
      <c r="CIG36" s="2795"/>
      <c r="CIH36" s="2795"/>
      <c r="CII36" s="2795"/>
      <c r="CIJ36" s="2795"/>
      <c r="CIK36" s="2795"/>
      <c r="CIL36" s="2795"/>
      <c r="CIM36" s="2795"/>
      <c r="CIN36" s="2795"/>
      <c r="CIO36" s="2795"/>
      <c r="CIP36" s="2795"/>
      <c r="CIQ36" s="2795"/>
      <c r="CIR36" s="2795"/>
      <c r="CIS36" s="2795"/>
      <c r="CIT36" s="2795"/>
      <c r="CIU36" s="2795"/>
      <c r="CIV36" s="2795"/>
      <c r="CIW36" s="2795"/>
      <c r="CIX36" s="2795"/>
      <c r="CIY36" s="2795"/>
      <c r="CIZ36" s="2795"/>
      <c r="CJA36" s="2795"/>
      <c r="CJB36" s="2795"/>
      <c r="CJC36" s="2795"/>
      <c r="CJD36" s="2795"/>
      <c r="CJE36" s="2795"/>
      <c r="CJF36" s="2795"/>
      <c r="CJG36" s="2795"/>
      <c r="CJH36" s="2795"/>
      <c r="CJI36" s="2795"/>
      <c r="CJJ36" s="2795"/>
      <c r="CJK36" s="2795"/>
      <c r="CJL36" s="2795"/>
      <c r="CJM36" s="2795"/>
      <c r="CJN36" s="2795"/>
      <c r="CJO36" s="2795"/>
      <c r="CJP36" s="2795"/>
      <c r="CJQ36" s="2795"/>
      <c r="CJR36" s="2795"/>
      <c r="CJS36" s="2795"/>
      <c r="CJT36" s="2795"/>
      <c r="CJU36" s="2795"/>
      <c r="CJV36" s="2795"/>
      <c r="CJW36" s="2795"/>
      <c r="CJX36" s="2795"/>
      <c r="CJY36" s="2795"/>
      <c r="CJZ36" s="2795"/>
      <c r="CKA36" s="2795"/>
      <c r="CKB36" s="2795"/>
      <c r="CKC36" s="2795"/>
      <c r="CKD36" s="2795"/>
      <c r="CKE36" s="2795"/>
      <c r="CKF36" s="2795"/>
      <c r="CKG36" s="2795"/>
      <c r="CKH36" s="2795"/>
      <c r="CKI36" s="2795"/>
      <c r="CKJ36" s="2795"/>
      <c r="CKK36" s="2795"/>
      <c r="CKL36" s="2795"/>
      <c r="CKM36" s="2795"/>
      <c r="CKN36" s="2795"/>
      <c r="CKO36" s="2795"/>
      <c r="CKP36" s="2795"/>
      <c r="CKQ36" s="2795"/>
      <c r="CKR36" s="2795"/>
      <c r="CKS36" s="2795"/>
      <c r="CKT36" s="2795"/>
      <c r="CKU36" s="2795"/>
      <c r="CKV36" s="2795"/>
      <c r="CKW36" s="2795"/>
      <c r="CKX36" s="2795"/>
      <c r="CKY36" s="2795"/>
      <c r="CKZ36" s="2795"/>
      <c r="CLA36" s="2795"/>
      <c r="CLB36" s="2795"/>
      <c r="CLC36" s="2795"/>
      <c r="CLD36" s="2795"/>
      <c r="CLE36" s="2795"/>
      <c r="CLF36" s="2795"/>
      <c r="CLG36" s="2795"/>
      <c r="CLH36" s="2795"/>
      <c r="CLI36" s="2795"/>
      <c r="CLJ36" s="2795"/>
      <c r="CLK36" s="2795"/>
      <c r="CLL36" s="2795"/>
      <c r="CLM36" s="2795"/>
      <c r="CLN36" s="2795"/>
      <c r="CLO36" s="2795"/>
      <c r="CLP36" s="2795"/>
      <c r="CLQ36" s="2795"/>
      <c r="CLR36" s="2795"/>
      <c r="CLS36" s="2795"/>
      <c r="CLT36" s="2795"/>
      <c r="CLU36" s="2795"/>
      <c r="CLV36" s="2795"/>
      <c r="CLW36" s="2795"/>
      <c r="CLX36" s="2795"/>
      <c r="CLY36" s="2795"/>
      <c r="CLZ36" s="2795"/>
      <c r="CMA36" s="2795"/>
      <c r="CMB36" s="2795"/>
      <c r="CMC36" s="2795"/>
      <c r="CMD36" s="2795"/>
      <c r="CME36" s="2795"/>
      <c r="CMF36" s="2795"/>
      <c r="CMG36" s="2795"/>
      <c r="CMH36" s="2795"/>
      <c r="CMI36" s="2795"/>
      <c r="CMJ36" s="2795"/>
      <c r="CMK36" s="2795"/>
      <c r="CML36" s="2795"/>
      <c r="CMM36" s="2795"/>
      <c r="CMN36" s="2795"/>
      <c r="CMO36" s="2795"/>
      <c r="CMP36" s="2795"/>
      <c r="CMQ36" s="2795"/>
      <c r="CMR36" s="2795"/>
      <c r="CMS36" s="2795"/>
      <c r="CMT36" s="2795"/>
      <c r="CMU36" s="2795"/>
      <c r="CMV36" s="2795"/>
      <c r="CMW36" s="2795"/>
      <c r="CMX36" s="2795"/>
      <c r="CMY36" s="2795"/>
      <c r="CMZ36" s="2795"/>
      <c r="CNA36" s="2795"/>
      <c r="CNB36" s="2795"/>
      <c r="CNC36" s="2795"/>
      <c r="CND36" s="2795"/>
      <c r="CNE36" s="2795"/>
      <c r="CNF36" s="2795"/>
      <c r="CNG36" s="2795"/>
      <c r="CNH36" s="2795"/>
      <c r="CNI36" s="2795"/>
      <c r="CNJ36" s="2795"/>
      <c r="CNK36" s="2795"/>
      <c r="CNL36" s="2795"/>
      <c r="CNM36" s="2795"/>
      <c r="CNN36" s="2795"/>
      <c r="CNO36" s="2795"/>
      <c r="CNP36" s="2795"/>
      <c r="CNQ36" s="2795"/>
      <c r="CNR36" s="2795"/>
      <c r="CNS36" s="2795"/>
      <c r="CNT36" s="2795"/>
      <c r="CNU36" s="2795"/>
      <c r="CNV36" s="2795"/>
      <c r="CNW36" s="2795"/>
      <c r="CNX36" s="2795"/>
      <c r="CNY36" s="2795"/>
      <c r="CNZ36" s="2795"/>
      <c r="COA36" s="2795"/>
      <c r="COB36" s="2795"/>
      <c r="COC36" s="2795"/>
      <c r="COD36" s="2795"/>
      <c r="COE36" s="2795"/>
      <c r="COF36" s="2795"/>
      <c r="COG36" s="2795"/>
      <c r="COH36" s="2795"/>
      <c r="COI36" s="2795"/>
      <c r="COJ36" s="2795"/>
      <c r="COK36" s="2795"/>
      <c r="COL36" s="2795"/>
      <c r="COM36" s="2795"/>
      <c r="CON36" s="2795"/>
      <c r="COO36" s="2795"/>
      <c r="COP36" s="2795"/>
      <c r="COQ36" s="2795"/>
      <c r="COR36" s="2795"/>
      <c r="COS36" s="2795"/>
      <c r="COT36" s="2795"/>
      <c r="COU36" s="2795"/>
      <c r="COV36" s="2795"/>
      <c r="COW36" s="2795"/>
      <c r="COX36" s="2795"/>
      <c r="COY36" s="2795"/>
      <c r="COZ36" s="2795"/>
      <c r="CPA36" s="2795"/>
      <c r="CPB36" s="2795"/>
      <c r="CPC36" s="2795"/>
      <c r="CPD36" s="2795"/>
      <c r="CPE36" s="2795"/>
      <c r="CPF36" s="2795"/>
      <c r="CPG36" s="2795"/>
      <c r="CPH36" s="2795"/>
      <c r="CPI36" s="2795"/>
      <c r="CPJ36" s="2795"/>
      <c r="CPK36" s="2795"/>
      <c r="CPL36" s="2795"/>
      <c r="CPM36" s="2795"/>
      <c r="CPN36" s="2795"/>
      <c r="CPO36" s="2795"/>
      <c r="CPP36" s="2795"/>
      <c r="CPQ36" s="2795"/>
      <c r="CPR36" s="2795"/>
      <c r="CPS36" s="2795"/>
      <c r="CPT36" s="2795"/>
      <c r="CPU36" s="2795"/>
      <c r="CPV36" s="2795"/>
      <c r="CPW36" s="2795"/>
      <c r="CPX36" s="2795"/>
      <c r="CPY36" s="2795"/>
      <c r="CPZ36" s="2795"/>
      <c r="CQA36" s="2795"/>
      <c r="CQB36" s="2795"/>
      <c r="CQC36" s="2795"/>
      <c r="CQD36" s="2795"/>
      <c r="CQE36" s="2795"/>
      <c r="CQF36" s="2795"/>
      <c r="CQG36" s="2795"/>
      <c r="CQH36" s="2795"/>
      <c r="CQI36" s="2795"/>
      <c r="CQJ36" s="2795"/>
      <c r="CQK36" s="2795"/>
      <c r="CQL36" s="2795"/>
      <c r="CQM36" s="2795"/>
      <c r="CQN36" s="2795"/>
      <c r="CQO36" s="2795"/>
      <c r="CQP36" s="2795"/>
      <c r="CQQ36" s="2795"/>
      <c r="CQR36" s="2795"/>
      <c r="CQS36" s="2795"/>
      <c r="CQT36" s="2795"/>
      <c r="CQU36" s="2795"/>
      <c r="CQV36" s="2795"/>
      <c r="CQW36" s="2795"/>
      <c r="CQX36" s="2795"/>
      <c r="CQY36" s="2795"/>
      <c r="CQZ36" s="2795"/>
      <c r="CRA36" s="2795"/>
      <c r="CRB36" s="2795"/>
      <c r="CRC36" s="2795"/>
      <c r="CRD36" s="2795"/>
      <c r="CRE36" s="2795"/>
      <c r="CRF36" s="2795"/>
      <c r="CRG36" s="2795"/>
      <c r="CRH36" s="2795"/>
      <c r="CRI36" s="2795"/>
      <c r="CRJ36" s="2795"/>
      <c r="CRK36" s="2795"/>
      <c r="CRL36" s="2795"/>
      <c r="CRM36" s="2795"/>
      <c r="CRN36" s="2795"/>
      <c r="CRO36" s="2795"/>
      <c r="CRP36" s="2795"/>
      <c r="CRQ36" s="2795"/>
      <c r="CRR36" s="2795"/>
      <c r="CRS36" s="2795"/>
      <c r="CRT36" s="2795"/>
      <c r="CRU36" s="2795"/>
      <c r="CRV36" s="2795"/>
      <c r="CRW36" s="2795"/>
      <c r="CRX36" s="2795"/>
      <c r="CRY36" s="2795"/>
      <c r="CRZ36" s="2795"/>
      <c r="CSA36" s="2795"/>
      <c r="CSB36" s="2795"/>
      <c r="CSC36" s="2795"/>
      <c r="CSD36" s="2795"/>
      <c r="CSE36" s="2795"/>
      <c r="CSF36" s="2795"/>
      <c r="CSG36" s="2795"/>
      <c r="CSH36" s="2795"/>
      <c r="CSI36" s="2795"/>
      <c r="CSJ36" s="2795"/>
      <c r="CSK36" s="2795"/>
      <c r="CSL36" s="2795"/>
      <c r="CSM36" s="2795"/>
      <c r="CSN36" s="2795"/>
      <c r="CSO36" s="2795"/>
      <c r="CSP36" s="2795"/>
      <c r="CSQ36" s="2795"/>
      <c r="CSR36" s="2795"/>
      <c r="CSS36" s="2795"/>
      <c r="CST36" s="2795"/>
      <c r="CSU36" s="2795"/>
      <c r="CSV36" s="2795"/>
      <c r="CSW36" s="2795"/>
      <c r="CSX36" s="2795"/>
      <c r="CSY36" s="2795"/>
      <c r="CSZ36" s="2795"/>
      <c r="CTA36" s="2795"/>
      <c r="CTB36" s="2795"/>
      <c r="CTC36" s="2795"/>
      <c r="CTD36" s="2795"/>
      <c r="CTE36" s="2795"/>
      <c r="CTF36" s="2795"/>
      <c r="CTG36" s="2795"/>
      <c r="CTH36" s="2795"/>
      <c r="CTI36" s="2795"/>
      <c r="CTJ36" s="2795"/>
      <c r="CTK36" s="2795"/>
      <c r="CTL36" s="2795"/>
      <c r="CTM36" s="2795"/>
      <c r="CTN36" s="2795"/>
      <c r="CTO36" s="2795"/>
      <c r="CTP36" s="2795"/>
      <c r="CTQ36" s="2795"/>
      <c r="CTR36" s="2795"/>
      <c r="CTS36" s="2795"/>
      <c r="CTT36" s="2795"/>
      <c r="CTU36" s="2795"/>
      <c r="CTV36" s="2795"/>
      <c r="CTW36" s="2795"/>
      <c r="CTX36" s="2795"/>
      <c r="CTY36" s="2795"/>
      <c r="CTZ36" s="2795"/>
      <c r="CUA36" s="2795"/>
      <c r="CUB36" s="2795"/>
      <c r="CUC36" s="2795"/>
      <c r="CUD36" s="2795"/>
      <c r="CUE36" s="2795"/>
      <c r="CUF36" s="2795"/>
      <c r="CUG36" s="2795"/>
      <c r="CUH36" s="2795"/>
      <c r="CUI36" s="2795"/>
      <c r="CUJ36" s="2795"/>
      <c r="CUK36" s="2795"/>
      <c r="CUL36" s="2795"/>
      <c r="CUM36" s="2795"/>
      <c r="CUN36" s="2795"/>
      <c r="CUO36" s="2795"/>
      <c r="CUP36" s="2795"/>
      <c r="CUQ36" s="2795"/>
      <c r="CUR36" s="2795"/>
      <c r="CUS36" s="2795"/>
      <c r="CUT36" s="2795"/>
      <c r="CUU36" s="2795"/>
      <c r="CUV36" s="2795"/>
      <c r="CUW36" s="2795"/>
      <c r="CUX36" s="2795"/>
      <c r="CUY36" s="2795"/>
      <c r="CUZ36" s="2795"/>
      <c r="CVA36" s="2795"/>
      <c r="CVB36" s="2795"/>
      <c r="CVC36" s="2795"/>
      <c r="CVD36" s="2795"/>
      <c r="CVE36" s="2795"/>
      <c r="CVF36" s="2795"/>
      <c r="CVG36" s="2795"/>
      <c r="CVH36" s="2795"/>
      <c r="CVI36" s="2795"/>
      <c r="CVJ36" s="2795"/>
      <c r="CVK36" s="2795"/>
      <c r="CVL36" s="2795"/>
      <c r="CVM36" s="2795"/>
      <c r="CVN36" s="2795"/>
      <c r="CVO36" s="2795"/>
      <c r="CVP36" s="2795"/>
      <c r="CVQ36" s="2795"/>
      <c r="CVR36" s="2795"/>
      <c r="CVS36" s="2795"/>
      <c r="CVT36" s="2795"/>
      <c r="CVU36" s="2795"/>
      <c r="CVV36" s="2795"/>
      <c r="CVW36" s="2795"/>
      <c r="CVX36" s="2795"/>
      <c r="CVY36" s="2795"/>
      <c r="CVZ36" s="2795"/>
      <c r="CWA36" s="2795"/>
      <c r="CWB36" s="2795"/>
      <c r="CWC36" s="2795"/>
      <c r="CWD36" s="2795"/>
      <c r="CWE36" s="2795"/>
      <c r="CWF36" s="2795"/>
      <c r="CWG36" s="2795"/>
      <c r="CWH36" s="2795"/>
      <c r="CWI36" s="2795"/>
      <c r="CWJ36" s="2795"/>
      <c r="CWK36" s="2795"/>
      <c r="CWL36" s="2795"/>
      <c r="CWM36" s="2795"/>
      <c r="CWN36" s="2795"/>
      <c r="CWO36" s="2795"/>
      <c r="CWP36" s="2795"/>
      <c r="CWQ36" s="2795"/>
      <c r="CWR36" s="2795"/>
      <c r="CWS36" s="2795"/>
      <c r="CWT36" s="2795"/>
      <c r="CWU36" s="2795"/>
      <c r="CWV36" s="2795"/>
      <c r="CWW36" s="2795"/>
      <c r="CWX36" s="2795"/>
      <c r="CWY36" s="2795"/>
      <c r="CWZ36" s="2795"/>
      <c r="CXA36" s="2795"/>
      <c r="CXB36" s="2795"/>
      <c r="CXC36" s="2795"/>
      <c r="CXD36" s="2795"/>
      <c r="CXE36" s="2795"/>
      <c r="CXF36" s="2795"/>
      <c r="CXG36" s="2795"/>
      <c r="CXH36" s="2795"/>
      <c r="CXI36" s="2795"/>
      <c r="CXJ36" s="2795"/>
      <c r="CXK36" s="2795"/>
      <c r="CXL36" s="2795"/>
      <c r="CXM36" s="2795"/>
      <c r="CXN36" s="2795"/>
      <c r="CXO36" s="2795"/>
      <c r="CXP36" s="2795"/>
      <c r="CXQ36" s="2795"/>
      <c r="CXR36" s="2795"/>
      <c r="CXS36" s="2795"/>
      <c r="CXT36" s="2795"/>
      <c r="CXU36" s="2795"/>
      <c r="CXV36" s="2795"/>
      <c r="CXW36" s="2795"/>
      <c r="CXX36" s="2795"/>
      <c r="CXY36" s="2795"/>
      <c r="CXZ36" s="2795"/>
      <c r="CYA36" s="2795"/>
      <c r="CYB36" s="2795"/>
      <c r="CYC36" s="2795"/>
      <c r="CYD36" s="2795"/>
      <c r="CYE36" s="2795"/>
      <c r="CYF36" s="2795"/>
      <c r="CYG36" s="2795"/>
      <c r="CYH36" s="2795"/>
      <c r="CYI36" s="2795"/>
      <c r="CYJ36" s="2795"/>
      <c r="CYK36" s="2795"/>
      <c r="CYL36" s="2795"/>
      <c r="CYM36" s="2795"/>
      <c r="CYN36" s="2795"/>
      <c r="CYO36" s="2795"/>
      <c r="CYP36" s="2795"/>
      <c r="CYQ36" s="2795"/>
      <c r="CYR36" s="2795"/>
      <c r="CYS36" s="2795"/>
      <c r="CYT36" s="2795"/>
      <c r="CYU36" s="2795"/>
      <c r="CYV36" s="2795"/>
      <c r="CYW36" s="2795"/>
      <c r="CYX36" s="2795"/>
      <c r="CYY36" s="2795"/>
      <c r="CYZ36" s="2795"/>
      <c r="CZA36" s="2795"/>
      <c r="CZB36" s="2795"/>
      <c r="CZC36" s="2795"/>
      <c r="CZD36" s="2795"/>
      <c r="CZE36" s="2795"/>
      <c r="CZF36" s="2795"/>
      <c r="CZG36" s="2795"/>
      <c r="CZH36" s="2795"/>
      <c r="CZI36" s="2795"/>
      <c r="CZJ36" s="2795"/>
      <c r="CZK36" s="2795"/>
      <c r="CZL36" s="2795"/>
      <c r="CZM36" s="2795"/>
      <c r="CZN36" s="2795"/>
      <c r="CZO36" s="2795"/>
      <c r="CZP36" s="2795"/>
      <c r="CZQ36" s="2795"/>
      <c r="CZR36" s="2795"/>
      <c r="CZS36" s="2795"/>
      <c r="CZT36" s="2795"/>
      <c r="CZU36" s="2795"/>
      <c r="CZV36" s="2795"/>
      <c r="CZW36" s="2795"/>
      <c r="CZX36" s="2795"/>
      <c r="CZY36" s="2795"/>
      <c r="CZZ36" s="2795"/>
      <c r="DAA36" s="2795"/>
      <c r="DAB36" s="2795"/>
      <c r="DAC36" s="2795"/>
      <c r="DAD36" s="2795"/>
      <c r="DAE36" s="2795"/>
      <c r="DAF36" s="2795"/>
      <c r="DAG36" s="2795"/>
      <c r="DAH36" s="2795"/>
      <c r="DAI36" s="2795"/>
      <c r="DAJ36" s="2795"/>
      <c r="DAK36" s="2795"/>
      <c r="DAL36" s="2795"/>
      <c r="DAM36" s="2795"/>
      <c r="DAN36" s="2795"/>
      <c r="DAO36" s="2795"/>
      <c r="DAP36" s="2795"/>
      <c r="DAQ36" s="2795"/>
      <c r="DAR36" s="2795"/>
      <c r="DAS36" s="2795"/>
      <c r="DAT36" s="2795"/>
      <c r="DAU36" s="2795"/>
      <c r="DAV36" s="2795"/>
      <c r="DAW36" s="2795"/>
      <c r="DAX36" s="2795"/>
      <c r="DAY36" s="2795"/>
      <c r="DAZ36" s="2795"/>
      <c r="DBA36" s="2795"/>
      <c r="DBB36" s="2795"/>
      <c r="DBC36" s="2795"/>
      <c r="DBD36" s="2795"/>
      <c r="DBE36" s="2795"/>
      <c r="DBF36" s="2795"/>
      <c r="DBG36" s="2795"/>
      <c r="DBH36" s="2795"/>
      <c r="DBI36" s="2795"/>
      <c r="DBJ36" s="2795"/>
      <c r="DBK36" s="2795"/>
      <c r="DBL36" s="2795"/>
      <c r="DBM36" s="2795"/>
      <c r="DBN36" s="2795"/>
      <c r="DBO36" s="2795"/>
      <c r="DBP36" s="2795"/>
      <c r="DBQ36" s="2795"/>
      <c r="DBR36" s="2795"/>
      <c r="DBS36" s="2795"/>
      <c r="DBT36" s="2795"/>
      <c r="DBU36" s="2795"/>
      <c r="DBV36" s="2795"/>
      <c r="DBW36" s="2795"/>
      <c r="DBX36" s="2795"/>
      <c r="DBY36" s="2795"/>
      <c r="DBZ36" s="2795"/>
      <c r="DCA36" s="2795"/>
      <c r="DCB36" s="2795"/>
      <c r="DCC36" s="2795"/>
      <c r="DCD36" s="2795"/>
      <c r="DCE36" s="2795"/>
      <c r="DCF36" s="2795"/>
      <c r="DCG36" s="2795"/>
      <c r="DCH36" s="2795"/>
      <c r="DCI36" s="2795"/>
      <c r="DCJ36" s="2795"/>
      <c r="DCK36" s="2795"/>
      <c r="DCL36" s="2795"/>
      <c r="DCM36" s="2795"/>
      <c r="DCN36" s="2795"/>
      <c r="DCO36" s="2795"/>
      <c r="DCP36" s="2795"/>
      <c r="DCQ36" s="2795"/>
      <c r="DCR36" s="2795"/>
      <c r="DCS36" s="2795"/>
      <c r="DCT36" s="2795"/>
      <c r="DCU36" s="2795"/>
      <c r="DCV36" s="2795"/>
      <c r="DCW36" s="2795"/>
      <c r="DCX36" s="2795"/>
      <c r="DCY36" s="2795"/>
      <c r="DCZ36" s="2795"/>
      <c r="DDA36" s="2795"/>
      <c r="DDB36" s="2795"/>
      <c r="DDC36" s="2795"/>
      <c r="DDD36" s="2795"/>
      <c r="DDE36" s="2795"/>
      <c r="DDF36" s="2795"/>
      <c r="DDG36" s="2795"/>
      <c r="DDH36" s="2795"/>
      <c r="DDI36" s="2795"/>
      <c r="DDJ36" s="2795"/>
      <c r="DDK36" s="2795"/>
      <c r="DDL36" s="2795"/>
      <c r="DDM36" s="2795"/>
      <c r="DDN36" s="2795"/>
      <c r="DDO36" s="2795"/>
      <c r="DDP36" s="2795"/>
      <c r="DDQ36" s="2795"/>
      <c r="DDR36" s="2795"/>
      <c r="DDS36" s="2795"/>
      <c r="DDT36" s="2795"/>
      <c r="DDU36" s="2795"/>
      <c r="DDV36" s="2795"/>
      <c r="DDW36" s="2795"/>
      <c r="DDX36" s="2795"/>
      <c r="DDY36" s="2795"/>
      <c r="DDZ36" s="2795"/>
      <c r="DEA36" s="2795"/>
      <c r="DEB36" s="2795"/>
      <c r="DEC36" s="2795"/>
      <c r="DED36" s="2795"/>
      <c r="DEE36" s="2795"/>
      <c r="DEF36" s="2795"/>
      <c r="DEG36" s="2795"/>
      <c r="DEH36" s="2795"/>
      <c r="DEI36" s="2795"/>
      <c r="DEJ36" s="2795"/>
      <c r="DEK36" s="2795"/>
      <c r="DEL36" s="2795"/>
      <c r="DEM36" s="2795"/>
      <c r="DEN36" s="2795"/>
      <c r="DEO36" s="2795"/>
      <c r="DEP36" s="2795"/>
      <c r="DEQ36" s="2795"/>
      <c r="DER36" s="2795"/>
      <c r="DES36" s="2795"/>
      <c r="DET36" s="2795"/>
      <c r="DEU36" s="2795"/>
      <c r="DEV36" s="2795"/>
      <c r="DEW36" s="2795"/>
      <c r="DEX36" s="2795"/>
      <c r="DEY36" s="2795"/>
      <c r="DEZ36" s="2795"/>
      <c r="DFA36" s="2795"/>
      <c r="DFB36" s="2795"/>
      <c r="DFC36" s="2795"/>
      <c r="DFD36" s="2795"/>
      <c r="DFE36" s="2795"/>
      <c r="DFF36" s="2795"/>
      <c r="DFG36" s="2795"/>
      <c r="DFH36" s="2795"/>
      <c r="DFI36" s="2795"/>
      <c r="DFJ36" s="2795"/>
      <c r="DFK36" s="2795"/>
      <c r="DFL36" s="2795"/>
      <c r="DFM36" s="2795"/>
      <c r="DFN36" s="2795"/>
      <c r="DFO36" s="2795"/>
      <c r="DFP36" s="2795"/>
      <c r="DFQ36" s="2795"/>
      <c r="DFR36" s="2795"/>
      <c r="DFS36" s="2795"/>
      <c r="DFT36" s="2795"/>
      <c r="DFU36" s="2795"/>
      <c r="DFV36" s="2795"/>
      <c r="DFW36" s="2795"/>
      <c r="DFX36" s="2795"/>
      <c r="DFY36" s="2795"/>
      <c r="DFZ36" s="2795"/>
      <c r="DGA36" s="2795"/>
      <c r="DGB36" s="2795"/>
      <c r="DGC36" s="2795"/>
      <c r="DGD36" s="2795"/>
      <c r="DGE36" s="2795"/>
      <c r="DGF36" s="2795"/>
      <c r="DGG36" s="2795"/>
      <c r="DGH36" s="2795"/>
      <c r="DGI36" s="2795"/>
      <c r="DGJ36" s="2795"/>
      <c r="DGK36" s="2795"/>
      <c r="DGL36" s="2795"/>
      <c r="DGM36" s="2795"/>
      <c r="DGN36" s="2795"/>
      <c r="DGO36" s="2795"/>
      <c r="DGP36" s="2795"/>
      <c r="DGQ36" s="2795"/>
      <c r="DGR36" s="2795"/>
      <c r="DGS36" s="2795"/>
      <c r="DGT36" s="2795"/>
      <c r="DGU36" s="2795"/>
      <c r="DGV36" s="2795"/>
      <c r="DGW36" s="2795"/>
      <c r="DGX36" s="2795"/>
      <c r="DGY36" s="2795"/>
      <c r="DGZ36" s="2795"/>
      <c r="DHA36" s="2795"/>
      <c r="DHB36" s="2795"/>
      <c r="DHC36" s="2795"/>
      <c r="DHD36" s="2795"/>
      <c r="DHE36" s="2795"/>
      <c r="DHF36" s="2795"/>
      <c r="DHG36" s="2795"/>
      <c r="DHH36" s="2795"/>
      <c r="DHI36" s="2795"/>
      <c r="DHJ36" s="2795"/>
      <c r="DHK36" s="2795"/>
      <c r="DHL36" s="2795"/>
      <c r="DHM36" s="2795"/>
      <c r="DHN36" s="2795"/>
      <c r="DHO36" s="2795"/>
      <c r="DHP36" s="2795"/>
      <c r="DHQ36" s="2795"/>
      <c r="DHR36" s="2795"/>
      <c r="DHS36" s="2795"/>
      <c r="DHT36" s="2795"/>
      <c r="DHU36" s="2795"/>
      <c r="DHV36" s="2795"/>
      <c r="DHW36" s="2795"/>
      <c r="DHX36" s="2795"/>
      <c r="DHY36" s="2795"/>
      <c r="DHZ36" s="2795"/>
      <c r="DIA36" s="2795"/>
      <c r="DIB36" s="2795"/>
      <c r="DIC36" s="2795"/>
      <c r="DID36" s="2795"/>
      <c r="DIE36" s="2795"/>
      <c r="DIF36" s="2795"/>
      <c r="DIG36" s="2795"/>
      <c r="DIH36" s="2795"/>
      <c r="DII36" s="2795"/>
      <c r="DIJ36" s="2795"/>
      <c r="DIK36" s="2795"/>
      <c r="DIL36" s="2795"/>
      <c r="DIM36" s="2795"/>
      <c r="DIN36" s="2795"/>
      <c r="DIO36" s="2795"/>
      <c r="DIP36" s="2795"/>
      <c r="DIQ36" s="2795"/>
      <c r="DIR36" s="2795"/>
      <c r="DIS36" s="2795"/>
      <c r="DIT36" s="2795"/>
      <c r="DIU36" s="2795"/>
      <c r="DIV36" s="2795"/>
      <c r="DIW36" s="2795"/>
      <c r="DIX36" s="2795"/>
      <c r="DIY36" s="2795"/>
      <c r="DIZ36" s="2795"/>
      <c r="DJA36" s="2795"/>
      <c r="DJB36" s="2795"/>
      <c r="DJC36" s="2795"/>
      <c r="DJD36" s="2795"/>
      <c r="DJE36" s="2795"/>
      <c r="DJF36" s="2795"/>
      <c r="DJG36" s="2795"/>
      <c r="DJH36" s="2795"/>
      <c r="DJI36" s="2795"/>
      <c r="DJJ36" s="2795"/>
      <c r="DJK36" s="2795"/>
      <c r="DJL36" s="2795"/>
      <c r="DJM36" s="2795"/>
      <c r="DJN36" s="2795"/>
      <c r="DJO36" s="2795"/>
      <c r="DJP36" s="2795"/>
      <c r="DJQ36" s="2795"/>
      <c r="DJR36" s="2795"/>
      <c r="DJS36" s="2795"/>
      <c r="DJT36" s="2795"/>
      <c r="DJU36" s="2795"/>
      <c r="DJV36" s="2795"/>
      <c r="DJW36" s="2795"/>
      <c r="DJX36" s="2795"/>
      <c r="DJY36" s="2795"/>
      <c r="DJZ36" s="2795"/>
      <c r="DKA36" s="2795"/>
      <c r="DKB36" s="2795"/>
      <c r="DKC36" s="2795"/>
      <c r="DKD36" s="2795"/>
      <c r="DKE36" s="2795"/>
      <c r="DKF36" s="2795"/>
      <c r="DKG36" s="2795"/>
      <c r="DKH36" s="2795"/>
      <c r="DKI36" s="2795"/>
      <c r="DKJ36" s="2795"/>
      <c r="DKK36" s="2795"/>
      <c r="DKL36" s="2795"/>
      <c r="DKM36" s="2795"/>
      <c r="DKN36" s="2795"/>
      <c r="DKO36" s="2795"/>
      <c r="DKP36" s="2795"/>
      <c r="DKQ36" s="2795"/>
      <c r="DKR36" s="2795"/>
      <c r="DKS36" s="2795"/>
      <c r="DKT36" s="2795"/>
      <c r="DKU36" s="2795"/>
      <c r="DKV36" s="2795"/>
      <c r="DKW36" s="2795"/>
      <c r="DKX36" s="2795"/>
      <c r="DKY36" s="2795"/>
      <c r="DKZ36" s="2795"/>
      <c r="DLA36" s="2795"/>
      <c r="DLB36" s="2795"/>
      <c r="DLC36" s="2795"/>
      <c r="DLD36" s="2795"/>
      <c r="DLE36" s="2795"/>
      <c r="DLF36" s="2795"/>
      <c r="DLG36" s="2795"/>
      <c r="DLH36" s="2795"/>
      <c r="DLI36" s="2795"/>
      <c r="DLJ36" s="2795"/>
      <c r="DLK36" s="2795"/>
      <c r="DLL36" s="2795"/>
      <c r="DLM36" s="2795"/>
      <c r="DLN36" s="2795"/>
      <c r="DLO36" s="2795"/>
      <c r="DLP36" s="2795"/>
      <c r="DLQ36" s="2795"/>
      <c r="DLR36" s="2795"/>
      <c r="DLS36" s="2795"/>
      <c r="DLT36" s="2795"/>
      <c r="DLU36" s="2795"/>
      <c r="DLV36" s="2795"/>
      <c r="DLW36" s="2795"/>
      <c r="DLX36" s="2795"/>
      <c r="DLY36" s="2795"/>
      <c r="DLZ36" s="2795"/>
      <c r="DMA36" s="2795"/>
      <c r="DMB36" s="2795"/>
      <c r="DMC36" s="2795"/>
      <c r="DMD36" s="2795"/>
      <c r="DME36" s="2795"/>
      <c r="DMF36" s="2795"/>
      <c r="DMG36" s="2795"/>
      <c r="DMH36" s="2795"/>
      <c r="DMI36" s="2795"/>
      <c r="DMJ36" s="2795"/>
      <c r="DMK36" s="2795"/>
      <c r="DML36" s="2795"/>
      <c r="DMM36" s="2795"/>
      <c r="DMN36" s="2795"/>
      <c r="DMO36" s="2795"/>
      <c r="DMP36" s="2795"/>
      <c r="DMQ36" s="2795"/>
      <c r="DMR36" s="2795"/>
      <c r="DMS36" s="2795"/>
      <c r="DMT36" s="2795"/>
      <c r="DMU36" s="2795"/>
      <c r="DMV36" s="2795"/>
      <c r="DMW36" s="2795"/>
      <c r="DMX36" s="2795"/>
      <c r="DMY36" s="2795"/>
      <c r="DMZ36" s="2795"/>
      <c r="DNA36" s="2795"/>
      <c r="DNB36" s="2795"/>
      <c r="DNC36" s="2795"/>
      <c r="DND36" s="2795"/>
      <c r="DNE36" s="2795"/>
      <c r="DNF36" s="2795"/>
      <c r="DNG36" s="2795"/>
      <c r="DNH36" s="2795"/>
      <c r="DNI36" s="2795"/>
      <c r="DNJ36" s="2795"/>
      <c r="DNK36" s="2795"/>
      <c r="DNL36" s="2795"/>
      <c r="DNM36" s="2795"/>
      <c r="DNN36" s="2795"/>
      <c r="DNO36" s="2795"/>
      <c r="DNP36" s="2795"/>
      <c r="DNQ36" s="2795"/>
      <c r="DNR36" s="2795"/>
      <c r="DNS36" s="2795"/>
      <c r="DNT36" s="2795"/>
      <c r="DNU36" s="2795"/>
      <c r="DNV36" s="2795"/>
      <c r="DNW36" s="2795"/>
      <c r="DNX36" s="2795"/>
      <c r="DNY36" s="2795"/>
      <c r="DNZ36" s="2795"/>
      <c r="DOA36" s="2795"/>
      <c r="DOB36" s="2795"/>
      <c r="DOC36" s="2795"/>
      <c r="DOD36" s="2795"/>
      <c r="DOE36" s="2795"/>
      <c r="DOF36" s="2795"/>
      <c r="DOG36" s="2795"/>
      <c r="DOH36" s="2795"/>
      <c r="DOI36" s="2795"/>
      <c r="DOJ36" s="2795"/>
      <c r="DOK36" s="2795"/>
      <c r="DOL36" s="2795"/>
      <c r="DOM36" s="2795"/>
      <c r="DON36" s="2795"/>
      <c r="DOO36" s="2795"/>
      <c r="DOP36" s="2795"/>
      <c r="DOQ36" s="2795"/>
      <c r="DOR36" s="2795"/>
      <c r="DOS36" s="2795"/>
      <c r="DOT36" s="2795"/>
      <c r="DOU36" s="2795"/>
      <c r="DOV36" s="2795"/>
      <c r="DOW36" s="2795"/>
      <c r="DOX36" s="2795"/>
      <c r="DOY36" s="2795"/>
      <c r="DOZ36" s="2795"/>
      <c r="DPA36" s="2795"/>
      <c r="DPB36" s="2795"/>
      <c r="DPC36" s="2795"/>
      <c r="DPD36" s="2795"/>
      <c r="DPE36" s="2795"/>
      <c r="DPF36" s="2795"/>
      <c r="DPG36" s="2795"/>
      <c r="DPH36" s="2795"/>
      <c r="DPI36" s="2795"/>
      <c r="DPJ36" s="2795"/>
      <c r="DPK36" s="2795"/>
      <c r="DPL36" s="2795"/>
      <c r="DPM36" s="2795"/>
      <c r="DPN36" s="2795"/>
      <c r="DPO36" s="2795"/>
      <c r="DPP36" s="2795"/>
      <c r="DPQ36" s="2795"/>
      <c r="DPR36" s="2795"/>
      <c r="DPS36" s="2795"/>
      <c r="DPT36" s="2795"/>
      <c r="DPU36" s="2795"/>
      <c r="DPV36" s="2795"/>
      <c r="DPW36" s="2795"/>
      <c r="DPX36" s="2795"/>
      <c r="DPY36" s="2795"/>
      <c r="DPZ36" s="2795"/>
      <c r="DQA36" s="2795"/>
      <c r="DQB36" s="2795"/>
      <c r="DQC36" s="2795"/>
      <c r="DQD36" s="2795"/>
      <c r="DQE36" s="2795"/>
      <c r="DQF36" s="2795"/>
      <c r="DQG36" s="2795"/>
      <c r="DQH36" s="2795"/>
      <c r="DQI36" s="2795"/>
      <c r="DQJ36" s="2795"/>
      <c r="DQK36" s="2795"/>
      <c r="DQL36" s="2795"/>
      <c r="DQM36" s="2795"/>
      <c r="DQN36" s="2795"/>
      <c r="DQO36" s="2795"/>
      <c r="DQP36" s="2795"/>
      <c r="DQQ36" s="2795"/>
      <c r="DQR36" s="2795"/>
      <c r="DQS36" s="2795"/>
      <c r="DQT36" s="2795"/>
      <c r="DQU36" s="2795"/>
      <c r="DQV36" s="2795"/>
      <c r="DQW36" s="2795"/>
      <c r="DQX36" s="2795"/>
      <c r="DQY36" s="2795"/>
      <c r="DQZ36" s="2795"/>
      <c r="DRA36" s="2795"/>
      <c r="DRB36" s="2795"/>
      <c r="DRC36" s="2795"/>
      <c r="DRD36" s="2795"/>
      <c r="DRE36" s="2795"/>
      <c r="DRF36" s="2795"/>
      <c r="DRG36" s="2795"/>
      <c r="DRH36" s="2795"/>
      <c r="DRI36" s="2795"/>
      <c r="DRJ36" s="2795"/>
      <c r="DRK36" s="2795"/>
      <c r="DRL36" s="2795"/>
      <c r="DRM36" s="2795"/>
      <c r="DRN36" s="2795"/>
      <c r="DRO36" s="2795"/>
      <c r="DRP36" s="2795"/>
      <c r="DRQ36" s="2795"/>
      <c r="DRR36" s="2795"/>
      <c r="DRS36" s="2795"/>
      <c r="DRT36" s="2795"/>
      <c r="DRU36" s="2795"/>
      <c r="DRV36" s="2795"/>
      <c r="DRW36" s="2795"/>
      <c r="DRX36" s="2795"/>
      <c r="DRY36" s="2795"/>
      <c r="DRZ36" s="2795"/>
      <c r="DSA36" s="2795"/>
      <c r="DSB36" s="2795"/>
      <c r="DSC36" s="2795"/>
      <c r="DSD36" s="2795"/>
      <c r="DSE36" s="2795"/>
      <c r="DSF36" s="2795"/>
      <c r="DSG36" s="2795"/>
      <c r="DSH36" s="2795"/>
      <c r="DSI36" s="2795"/>
      <c r="DSJ36" s="2795"/>
      <c r="DSK36" s="2795"/>
      <c r="DSL36" s="2795"/>
      <c r="DSM36" s="2795"/>
      <c r="DSN36" s="2795"/>
      <c r="DSO36" s="2795"/>
      <c r="DSP36" s="2795"/>
      <c r="DSQ36" s="2795"/>
      <c r="DSR36" s="2795"/>
      <c r="DSS36" s="2795"/>
      <c r="DST36" s="2795"/>
      <c r="DSU36" s="2795"/>
      <c r="DSV36" s="2795"/>
      <c r="DSW36" s="2795"/>
      <c r="DSX36" s="2795"/>
      <c r="DSY36" s="2795"/>
      <c r="DSZ36" s="2795"/>
      <c r="DTA36" s="2795"/>
      <c r="DTB36" s="2795"/>
      <c r="DTC36" s="2795"/>
      <c r="DTD36" s="2795"/>
      <c r="DTE36" s="2795"/>
      <c r="DTF36" s="2795"/>
      <c r="DTG36" s="2795"/>
      <c r="DTH36" s="2795"/>
      <c r="DTI36" s="2795"/>
      <c r="DTJ36" s="2795"/>
      <c r="DTK36" s="2795"/>
      <c r="DTL36" s="2795"/>
      <c r="DTM36" s="2795"/>
      <c r="DTN36" s="2795"/>
      <c r="DTO36" s="2795"/>
      <c r="DTP36" s="2795"/>
      <c r="DTQ36" s="2795"/>
      <c r="DTR36" s="2795"/>
      <c r="DTS36" s="2795"/>
      <c r="DTT36" s="2795"/>
      <c r="DTU36" s="2795"/>
      <c r="DTV36" s="2795"/>
      <c r="DTW36" s="2795"/>
      <c r="DTX36" s="2795"/>
      <c r="DTY36" s="2795"/>
      <c r="DTZ36" s="2795"/>
      <c r="DUA36" s="2795"/>
      <c r="DUB36" s="2795"/>
      <c r="DUC36" s="2795"/>
      <c r="DUD36" s="2795"/>
      <c r="DUE36" s="2795"/>
      <c r="DUF36" s="2795"/>
      <c r="DUG36" s="2795"/>
      <c r="DUH36" s="2795"/>
      <c r="DUI36" s="2795"/>
      <c r="DUJ36" s="2795"/>
      <c r="DUK36" s="2795"/>
      <c r="DUL36" s="2795"/>
      <c r="DUM36" s="2795"/>
      <c r="DUN36" s="2795"/>
      <c r="DUO36" s="2795"/>
      <c r="DUP36" s="2795"/>
      <c r="DUQ36" s="2795"/>
      <c r="DUR36" s="2795"/>
      <c r="DUS36" s="2795"/>
      <c r="DUT36" s="2795"/>
      <c r="DUU36" s="2795"/>
      <c r="DUV36" s="2795"/>
      <c r="DUW36" s="2795"/>
      <c r="DUX36" s="2795"/>
      <c r="DUY36" s="2795"/>
      <c r="DUZ36" s="2795"/>
      <c r="DVA36" s="2795"/>
      <c r="DVB36" s="2795"/>
      <c r="DVC36" s="2795"/>
      <c r="DVD36" s="2795"/>
      <c r="DVE36" s="2795"/>
      <c r="DVF36" s="2795"/>
      <c r="DVG36" s="2795"/>
      <c r="DVH36" s="2795"/>
      <c r="DVI36" s="2795"/>
      <c r="DVJ36" s="2795"/>
      <c r="DVK36" s="2795"/>
      <c r="DVL36" s="2795"/>
      <c r="DVM36" s="2795"/>
      <c r="DVN36" s="2795"/>
      <c r="DVO36" s="2795"/>
      <c r="DVP36" s="2795"/>
      <c r="DVQ36" s="2795"/>
      <c r="DVR36" s="2795"/>
      <c r="DVS36" s="2795"/>
      <c r="DVT36" s="2795"/>
      <c r="DVU36" s="2795"/>
      <c r="DVV36" s="2795"/>
      <c r="DVW36" s="2795"/>
      <c r="DVX36" s="2795"/>
      <c r="DVY36" s="2795"/>
      <c r="DVZ36" s="2795"/>
      <c r="DWA36" s="2795"/>
      <c r="DWB36" s="2795"/>
      <c r="DWC36" s="2795"/>
      <c r="DWD36" s="2795"/>
      <c r="DWE36" s="2795"/>
      <c r="DWF36" s="2795"/>
      <c r="DWG36" s="2795"/>
      <c r="DWH36" s="2795"/>
      <c r="DWI36" s="2795"/>
      <c r="DWJ36" s="2795"/>
      <c r="DWK36" s="2795"/>
      <c r="DWL36" s="2795"/>
      <c r="DWM36" s="2795"/>
      <c r="DWN36" s="2795"/>
      <c r="DWO36" s="2795"/>
      <c r="DWP36" s="2795"/>
      <c r="DWQ36" s="2795"/>
      <c r="DWR36" s="2795"/>
      <c r="DWS36" s="2795"/>
      <c r="DWT36" s="2795"/>
      <c r="DWU36" s="2795"/>
      <c r="DWV36" s="2795"/>
      <c r="DWW36" s="2795"/>
      <c r="DWX36" s="2795"/>
      <c r="DWY36" s="2795"/>
      <c r="DWZ36" s="2795"/>
      <c r="DXA36" s="2795"/>
      <c r="DXB36" s="2795"/>
      <c r="DXC36" s="2795"/>
      <c r="DXD36" s="2795"/>
      <c r="DXE36" s="2795"/>
      <c r="DXF36" s="2795"/>
      <c r="DXG36" s="2795"/>
      <c r="DXH36" s="2795"/>
      <c r="DXI36" s="2795"/>
      <c r="DXJ36" s="2795"/>
      <c r="DXK36" s="2795"/>
      <c r="DXL36" s="2795"/>
      <c r="DXM36" s="2795"/>
      <c r="DXN36" s="2795"/>
      <c r="DXO36" s="2795"/>
      <c r="DXP36" s="2795"/>
      <c r="DXQ36" s="2795"/>
      <c r="DXR36" s="2795"/>
      <c r="DXS36" s="2795"/>
      <c r="DXT36" s="2795"/>
      <c r="DXU36" s="2795"/>
      <c r="DXV36" s="2795"/>
      <c r="DXW36" s="2795"/>
      <c r="DXX36" s="2795"/>
      <c r="DXY36" s="2795"/>
      <c r="DXZ36" s="2795"/>
      <c r="DYA36" s="2795"/>
      <c r="DYB36" s="2795"/>
      <c r="DYC36" s="2795"/>
      <c r="DYD36" s="2795"/>
      <c r="DYE36" s="2795"/>
      <c r="DYF36" s="2795"/>
      <c r="DYG36" s="2795"/>
      <c r="DYH36" s="2795"/>
      <c r="DYI36" s="2795"/>
      <c r="DYJ36" s="2795"/>
      <c r="DYK36" s="2795"/>
      <c r="DYL36" s="2795"/>
      <c r="DYM36" s="2795"/>
      <c r="DYN36" s="2795"/>
      <c r="DYO36" s="2795"/>
      <c r="DYP36" s="2795"/>
      <c r="DYQ36" s="2795"/>
      <c r="DYR36" s="2795"/>
      <c r="DYS36" s="2795"/>
      <c r="DYT36" s="2795"/>
      <c r="DYU36" s="2795"/>
      <c r="DYV36" s="2795"/>
      <c r="DYW36" s="2795"/>
      <c r="DYX36" s="2795"/>
      <c r="DYY36" s="2795"/>
      <c r="DYZ36" s="2795"/>
      <c r="DZA36" s="2795"/>
      <c r="DZB36" s="2795"/>
      <c r="DZC36" s="2795"/>
      <c r="DZD36" s="2795"/>
      <c r="DZE36" s="2795"/>
      <c r="DZF36" s="2795"/>
      <c r="DZG36" s="2795"/>
      <c r="DZH36" s="2795"/>
      <c r="DZI36" s="2795"/>
      <c r="DZJ36" s="2795"/>
      <c r="DZK36" s="2795"/>
      <c r="DZL36" s="2795"/>
      <c r="DZM36" s="2795"/>
      <c r="DZN36" s="2795"/>
      <c r="DZO36" s="2795"/>
      <c r="DZP36" s="2795"/>
      <c r="DZQ36" s="2795"/>
      <c r="DZR36" s="2795"/>
      <c r="DZS36" s="2795"/>
      <c r="DZT36" s="2795"/>
      <c r="DZU36" s="2795"/>
      <c r="DZV36" s="2795"/>
      <c r="DZW36" s="2795"/>
      <c r="DZX36" s="2795"/>
      <c r="DZY36" s="2795"/>
      <c r="DZZ36" s="2795"/>
      <c r="EAA36" s="2795"/>
      <c r="EAB36" s="2795"/>
      <c r="EAC36" s="2795"/>
      <c r="EAD36" s="2795"/>
      <c r="EAE36" s="2795"/>
      <c r="EAF36" s="2795"/>
      <c r="EAG36" s="2795"/>
      <c r="EAH36" s="2795"/>
      <c r="EAI36" s="2795"/>
      <c r="EAJ36" s="2795"/>
      <c r="EAK36" s="2795"/>
      <c r="EAL36" s="2795"/>
      <c r="EAM36" s="2795"/>
      <c r="EAN36" s="2795"/>
      <c r="EAO36" s="2795"/>
      <c r="EAP36" s="2795"/>
      <c r="EAQ36" s="2795"/>
      <c r="EAR36" s="2795"/>
      <c r="EAS36" s="2795"/>
      <c r="EAT36" s="2795"/>
      <c r="EAU36" s="2795"/>
      <c r="EAV36" s="2795"/>
      <c r="EAW36" s="2795"/>
      <c r="EAX36" s="2795"/>
      <c r="EAY36" s="2795"/>
      <c r="EAZ36" s="2795"/>
      <c r="EBA36" s="2795"/>
      <c r="EBB36" s="2795"/>
      <c r="EBC36" s="2795"/>
      <c r="EBD36" s="2795"/>
      <c r="EBE36" s="2795"/>
      <c r="EBF36" s="2795"/>
      <c r="EBG36" s="2795"/>
      <c r="EBH36" s="2795"/>
      <c r="EBI36" s="2795"/>
      <c r="EBJ36" s="2795"/>
      <c r="EBK36" s="2795"/>
      <c r="EBL36" s="2795"/>
      <c r="EBM36" s="2795"/>
      <c r="EBN36" s="2795"/>
      <c r="EBO36" s="2795"/>
      <c r="EBP36" s="2795"/>
      <c r="EBQ36" s="2795"/>
      <c r="EBR36" s="2795"/>
      <c r="EBS36" s="2795"/>
      <c r="EBT36" s="2795"/>
      <c r="EBU36" s="2795"/>
      <c r="EBV36" s="2795"/>
      <c r="EBW36" s="2795"/>
      <c r="EBX36" s="2795"/>
      <c r="EBY36" s="2795"/>
      <c r="EBZ36" s="2795"/>
      <c r="ECA36" s="2795"/>
      <c r="ECB36" s="2795"/>
      <c r="ECC36" s="2795"/>
      <c r="ECD36" s="2795"/>
      <c r="ECE36" s="2795"/>
      <c r="ECF36" s="2795"/>
      <c r="ECG36" s="2795"/>
      <c r="ECH36" s="2795"/>
      <c r="ECI36" s="2795"/>
      <c r="ECJ36" s="2795"/>
      <c r="ECK36" s="2795"/>
      <c r="ECL36" s="2795"/>
      <c r="ECM36" s="2795"/>
      <c r="ECN36" s="2795"/>
      <c r="ECO36" s="2795"/>
      <c r="ECP36" s="2795"/>
      <c r="ECQ36" s="2795"/>
      <c r="ECR36" s="2795"/>
      <c r="ECS36" s="2795"/>
      <c r="ECT36" s="2795"/>
      <c r="ECU36" s="2795"/>
      <c r="ECV36" s="2795"/>
      <c r="ECW36" s="2795"/>
      <c r="ECX36" s="2795"/>
      <c r="ECY36" s="2795"/>
      <c r="ECZ36" s="2795"/>
      <c r="EDA36" s="2795"/>
      <c r="EDB36" s="2795"/>
      <c r="EDC36" s="2795"/>
      <c r="EDD36" s="2795"/>
      <c r="EDE36" s="2795"/>
      <c r="EDF36" s="2795"/>
      <c r="EDG36" s="2795"/>
      <c r="EDH36" s="2795"/>
      <c r="EDI36" s="2795"/>
      <c r="EDJ36" s="2795"/>
      <c r="EDK36" s="2795"/>
      <c r="EDL36" s="2795"/>
      <c r="EDM36" s="2795"/>
      <c r="EDN36" s="2795"/>
      <c r="EDO36" s="2795"/>
      <c r="EDP36" s="2795"/>
      <c r="EDQ36" s="2795"/>
      <c r="EDR36" s="2795"/>
      <c r="EDS36" s="2795"/>
      <c r="EDT36" s="2795"/>
      <c r="EDU36" s="2795"/>
      <c r="EDV36" s="2795"/>
      <c r="EDW36" s="2795"/>
      <c r="EDX36" s="2795"/>
      <c r="EDY36" s="2795"/>
      <c r="EDZ36" s="2795"/>
      <c r="EEA36" s="2795"/>
      <c r="EEB36" s="2795"/>
      <c r="EEC36" s="2795"/>
      <c r="EED36" s="2795"/>
      <c r="EEE36" s="2795"/>
      <c r="EEF36" s="2795"/>
      <c r="EEG36" s="2795"/>
      <c r="EEH36" s="2795"/>
      <c r="EEI36" s="2795"/>
      <c r="EEJ36" s="2795"/>
      <c r="EEK36" s="2795"/>
      <c r="EEL36" s="2795"/>
      <c r="EEM36" s="2795"/>
      <c r="EEN36" s="2795"/>
      <c r="EEO36" s="2795"/>
      <c r="EEP36" s="2795"/>
      <c r="EEQ36" s="2795"/>
      <c r="EER36" s="2795"/>
      <c r="EES36" s="2795"/>
      <c r="EET36" s="2795"/>
      <c r="EEU36" s="2795"/>
      <c r="EEV36" s="2795"/>
      <c r="EEW36" s="2795"/>
      <c r="EEX36" s="2795"/>
      <c r="EEY36" s="2795"/>
      <c r="EEZ36" s="2795"/>
      <c r="EFA36" s="2795"/>
      <c r="EFB36" s="2795"/>
      <c r="EFC36" s="2795"/>
      <c r="EFD36" s="2795"/>
      <c r="EFE36" s="2795"/>
      <c r="EFF36" s="2795"/>
      <c r="EFG36" s="2795"/>
      <c r="EFH36" s="2795"/>
      <c r="EFI36" s="2795"/>
      <c r="EFJ36" s="2795"/>
      <c r="EFK36" s="2795"/>
      <c r="EFL36" s="2795"/>
      <c r="EFM36" s="2795"/>
      <c r="EFN36" s="2795"/>
      <c r="EFO36" s="2795"/>
      <c r="EFP36" s="2795"/>
      <c r="EFQ36" s="2795"/>
      <c r="EFR36" s="2795"/>
      <c r="EFS36" s="2795"/>
      <c r="EFT36" s="2795"/>
      <c r="EFU36" s="2795"/>
      <c r="EFV36" s="2795"/>
      <c r="EFW36" s="2795"/>
      <c r="EFX36" s="2795"/>
      <c r="EFY36" s="2795"/>
      <c r="EFZ36" s="2795"/>
      <c r="EGA36" s="2795"/>
      <c r="EGB36" s="2795"/>
      <c r="EGC36" s="2795"/>
      <c r="EGD36" s="2795"/>
      <c r="EGE36" s="2795"/>
      <c r="EGF36" s="2795"/>
      <c r="EGG36" s="2795"/>
      <c r="EGH36" s="2795"/>
      <c r="EGI36" s="2795"/>
      <c r="EGJ36" s="2795"/>
      <c r="EGK36" s="2795"/>
      <c r="EGL36" s="2795"/>
      <c r="EGM36" s="2795"/>
      <c r="EGN36" s="2795"/>
      <c r="EGO36" s="2795"/>
      <c r="EGP36" s="2795"/>
      <c r="EGQ36" s="2795"/>
      <c r="EGR36" s="2795"/>
      <c r="EGS36" s="2795"/>
      <c r="EGT36" s="2795"/>
      <c r="EGU36" s="2795"/>
      <c r="EGV36" s="2795"/>
      <c r="EGW36" s="2795"/>
      <c r="EGX36" s="2795"/>
      <c r="EGY36" s="2795"/>
      <c r="EGZ36" s="2795"/>
      <c r="EHA36" s="2795"/>
      <c r="EHB36" s="2795"/>
      <c r="EHC36" s="2795"/>
      <c r="EHD36" s="2795"/>
      <c r="EHE36" s="2795"/>
      <c r="EHF36" s="2795"/>
      <c r="EHG36" s="2795"/>
      <c r="EHH36" s="2795"/>
      <c r="EHI36" s="2795"/>
      <c r="EHJ36" s="2795"/>
      <c r="EHK36" s="2795"/>
      <c r="EHL36" s="2795"/>
      <c r="EHM36" s="2795"/>
      <c r="EHN36" s="2795"/>
      <c r="EHO36" s="2795"/>
      <c r="EHP36" s="2795"/>
      <c r="EHQ36" s="2795"/>
      <c r="EHR36" s="2795"/>
      <c r="EHS36" s="2795"/>
      <c r="EHT36" s="2795"/>
      <c r="EHU36" s="2795"/>
      <c r="EHV36" s="2795"/>
      <c r="EHW36" s="2795"/>
      <c r="EHX36" s="2795"/>
      <c r="EHY36" s="2795"/>
      <c r="EHZ36" s="2795"/>
      <c r="EIA36" s="2795"/>
      <c r="EIB36" s="2795"/>
      <c r="EIC36" s="2795"/>
      <c r="EID36" s="2795"/>
      <c r="EIE36" s="2795"/>
      <c r="EIF36" s="2795"/>
      <c r="EIG36" s="2795"/>
      <c r="EIH36" s="2795"/>
      <c r="EII36" s="2795"/>
      <c r="EIJ36" s="2795"/>
      <c r="EIK36" s="2795"/>
      <c r="EIL36" s="2795"/>
      <c r="EIM36" s="2795"/>
      <c r="EIN36" s="2795"/>
      <c r="EIO36" s="2795"/>
      <c r="EIP36" s="2795"/>
      <c r="EIQ36" s="2795"/>
      <c r="EIR36" s="2795"/>
      <c r="EIS36" s="2795"/>
      <c r="EIT36" s="2795"/>
      <c r="EIU36" s="2795"/>
      <c r="EIV36" s="2795"/>
      <c r="EIW36" s="2795"/>
      <c r="EIX36" s="2795"/>
      <c r="EIY36" s="2795"/>
      <c r="EIZ36" s="2795"/>
      <c r="EJA36" s="2795"/>
      <c r="EJB36" s="2795"/>
      <c r="EJC36" s="2795"/>
      <c r="EJD36" s="2795"/>
      <c r="EJE36" s="2795"/>
      <c r="EJF36" s="2795"/>
      <c r="EJG36" s="2795"/>
      <c r="EJH36" s="2795"/>
      <c r="EJI36" s="2795"/>
      <c r="EJJ36" s="2795"/>
      <c r="EJK36" s="2795"/>
      <c r="EJL36" s="2795"/>
      <c r="EJM36" s="2795"/>
      <c r="EJN36" s="2795"/>
      <c r="EJO36" s="2795"/>
      <c r="EJP36" s="2795"/>
      <c r="EJQ36" s="2795"/>
      <c r="EJR36" s="2795"/>
      <c r="EJS36" s="2795"/>
      <c r="EJT36" s="2795"/>
      <c r="EJU36" s="2795"/>
      <c r="EJV36" s="2795"/>
      <c r="EJW36" s="2795"/>
      <c r="EJX36" s="2795"/>
      <c r="EJY36" s="2795"/>
      <c r="EJZ36" s="2795"/>
      <c r="EKA36" s="2795"/>
      <c r="EKB36" s="2795"/>
      <c r="EKC36" s="2795"/>
      <c r="EKD36" s="2795"/>
      <c r="EKE36" s="2795"/>
      <c r="EKF36" s="2795"/>
      <c r="EKG36" s="2795"/>
      <c r="EKH36" s="2795"/>
      <c r="EKI36" s="2795"/>
      <c r="EKJ36" s="2795"/>
      <c r="EKK36" s="2795"/>
      <c r="EKL36" s="2795"/>
      <c r="EKM36" s="2795"/>
      <c r="EKN36" s="2795"/>
      <c r="EKO36" s="2795"/>
      <c r="EKP36" s="2795"/>
      <c r="EKQ36" s="2795"/>
      <c r="EKR36" s="2795"/>
      <c r="EKS36" s="2795"/>
      <c r="EKT36" s="2795"/>
      <c r="EKU36" s="2795"/>
      <c r="EKV36" s="2795"/>
      <c r="EKW36" s="2795"/>
      <c r="EKX36" s="2795"/>
      <c r="EKY36" s="2795"/>
      <c r="EKZ36" s="2795"/>
      <c r="ELA36" s="2795"/>
      <c r="ELB36" s="2795"/>
      <c r="ELC36" s="2795"/>
      <c r="ELD36" s="2795"/>
      <c r="ELE36" s="2795"/>
      <c r="ELF36" s="2795"/>
      <c r="ELG36" s="2795"/>
      <c r="ELH36" s="2795"/>
      <c r="ELI36" s="2795"/>
      <c r="ELJ36" s="2795"/>
      <c r="ELK36" s="2795"/>
      <c r="ELL36" s="2795"/>
      <c r="ELM36" s="2795"/>
      <c r="ELN36" s="2795"/>
      <c r="ELO36" s="2795"/>
      <c r="ELP36" s="2795"/>
      <c r="ELQ36" s="2795"/>
      <c r="ELR36" s="2795"/>
      <c r="ELS36" s="2795"/>
      <c r="ELT36" s="2795"/>
      <c r="ELU36" s="2795"/>
      <c r="ELV36" s="2795"/>
      <c r="ELW36" s="2795"/>
      <c r="ELX36" s="2795"/>
      <c r="ELY36" s="2795"/>
      <c r="ELZ36" s="2795"/>
      <c r="EMA36" s="2795"/>
      <c r="EMB36" s="2795"/>
      <c r="EMC36" s="2795"/>
      <c r="EMD36" s="2795"/>
      <c r="EME36" s="2795"/>
      <c r="EMF36" s="2795"/>
      <c r="EMG36" s="2795"/>
      <c r="EMH36" s="2795"/>
      <c r="EMI36" s="2795"/>
      <c r="EMJ36" s="2795"/>
      <c r="EMK36" s="2795"/>
      <c r="EML36" s="2795"/>
      <c r="EMM36" s="2795"/>
      <c r="EMN36" s="2795"/>
      <c r="EMO36" s="2795"/>
      <c r="EMP36" s="2795"/>
      <c r="EMQ36" s="2795"/>
      <c r="EMR36" s="2795"/>
      <c r="EMS36" s="2795"/>
      <c r="EMT36" s="2795"/>
      <c r="EMU36" s="2795"/>
      <c r="EMV36" s="2795"/>
      <c r="EMW36" s="2795"/>
      <c r="EMX36" s="2795"/>
      <c r="EMY36" s="2795"/>
      <c r="EMZ36" s="2795"/>
      <c r="ENA36" s="2795"/>
      <c r="ENB36" s="2795"/>
      <c r="ENC36" s="2795"/>
      <c r="END36" s="2795"/>
      <c r="ENE36" s="2795"/>
      <c r="ENF36" s="2795"/>
      <c r="ENG36" s="2795"/>
      <c r="ENH36" s="2795"/>
      <c r="ENI36" s="2795"/>
      <c r="ENJ36" s="2795"/>
      <c r="ENK36" s="2795"/>
      <c r="ENL36" s="2795"/>
      <c r="ENM36" s="2795"/>
      <c r="ENN36" s="2795"/>
      <c r="ENO36" s="2795"/>
      <c r="ENP36" s="2795"/>
      <c r="ENQ36" s="2795"/>
      <c r="ENR36" s="2795"/>
      <c r="ENS36" s="2795"/>
      <c r="ENT36" s="2795"/>
      <c r="ENU36" s="2795"/>
      <c r="ENV36" s="2795"/>
      <c r="ENW36" s="2795"/>
      <c r="ENX36" s="2795"/>
      <c r="ENY36" s="2795"/>
      <c r="ENZ36" s="2795"/>
      <c r="EOA36" s="2795"/>
      <c r="EOB36" s="2795"/>
      <c r="EOC36" s="2795"/>
      <c r="EOD36" s="2795"/>
      <c r="EOE36" s="2795"/>
      <c r="EOF36" s="2795"/>
      <c r="EOG36" s="2795"/>
      <c r="EOH36" s="2795"/>
      <c r="EOI36" s="2795"/>
      <c r="EOJ36" s="2795"/>
      <c r="EOK36" s="2795"/>
      <c r="EOL36" s="2795"/>
      <c r="EOM36" s="2795"/>
      <c r="EON36" s="2795"/>
      <c r="EOO36" s="2795"/>
      <c r="EOP36" s="2795"/>
      <c r="EOQ36" s="2795"/>
      <c r="EOR36" s="2795"/>
      <c r="EOS36" s="2795"/>
      <c r="EOT36" s="2795"/>
      <c r="EOU36" s="2795"/>
      <c r="EOV36" s="2795"/>
      <c r="EOW36" s="2795"/>
      <c r="EOX36" s="2795"/>
      <c r="EOY36" s="2795"/>
      <c r="EOZ36" s="2795"/>
      <c r="EPA36" s="2795"/>
      <c r="EPB36" s="2795"/>
      <c r="EPC36" s="2795"/>
      <c r="EPD36" s="2795"/>
      <c r="EPE36" s="2795"/>
      <c r="EPF36" s="2795"/>
      <c r="EPG36" s="2795"/>
      <c r="EPH36" s="2795"/>
      <c r="EPI36" s="2795"/>
      <c r="EPJ36" s="2795"/>
      <c r="EPK36" s="2795"/>
      <c r="EPL36" s="2795"/>
      <c r="EPM36" s="2795"/>
      <c r="EPN36" s="2795"/>
      <c r="EPO36" s="2795"/>
      <c r="EPP36" s="2795"/>
      <c r="EPQ36" s="2795"/>
      <c r="EPR36" s="2795"/>
      <c r="EPS36" s="2795"/>
      <c r="EPT36" s="2795"/>
      <c r="EPU36" s="2795"/>
      <c r="EPV36" s="2795"/>
      <c r="EPW36" s="2795"/>
      <c r="EPX36" s="2795"/>
      <c r="EPY36" s="2795"/>
      <c r="EPZ36" s="2795"/>
      <c r="EQA36" s="2795"/>
      <c r="EQB36" s="2795"/>
      <c r="EQC36" s="2795"/>
      <c r="EQD36" s="2795"/>
      <c r="EQE36" s="2795"/>
      <c r="EQF36" s="2795"/>
      <c r="EQG36" s="2795"/>
      <c r="EQH36" s="2795"/>
      <c r="EQI36" s="2795"/>
      <c r="EQJ36" s="2795"/>
      <c r="EQK36" s="2795"/>
      <c r="EQL36" s="2795"/>
      <c r="EQM36" s="2795"/>
      <c r="EQN36" s="2795"/>
      <c r="EQO36" s="2795"/>
      <c r="EQP36" s="2795"/>
      <c r="EQQ36" s="2795"/>
      <c r="EQR36" s="2795"/>
      <c r="EQS36" s="2795"/>
      <c r="EQT36" s="2795"/>
      <c r="EQU36" s="2795"/>
      <c r="EQV36" s="2795"/>
      <c r="EQW36" s="2795"/>
      <c r="EQX36" s="2795"/>
      <c r="EQY36" s="2795"/>
      <c r="EQZ36" s="2795"/>
      <c r="ERA36" s="2795"/>
      <c r="ERB36" s="2795"/>
      <c r="ERC36" s="2795"/>
      <c r="ERD36" s="2795"/>
      <c r="ERE36" s="2795"/>
      <c r="ERF36" s="2795"/>
      <c r="ERG36" s="2795"/>
      <c r="ERH36" s="2795"/>
      <c r="ERI36" s="2795"/>
      <c r="ERJ36" s="2795"/>
      <c r="ERK36" s="2795"/>
      <c r="ERL36" s="2795"/>
      <c r="ERM36" s="2795"/>
      <c r="ERN36" s="2795"/>
      <c r="ERO36" s="2795"/>
      <c r="ERP36" s="2795"/>
      <c r="ERQ36" s="2795"/>
      <c r="ERR36" s="2795"/>
      <c r="ERS36" s="2795"/>
      <c r="ERT36" s="2795"/>
      <c r="ERU36" s="2795"/>
      <c r="ERV36" s="2795"/>
      <c r="ERW36" s="2795"/>
      <c r="ERX36" s="2795"/>
      <c r="ERY36" s="2795"/>
      <c r="ERZ36" s="2795"/>
      <c r="ESA36" s="2795"/>
      <c r="ESB36" s="2795"/>
      <c r="ESC36" s="2795"/>
      <c r="ESD36" s="2795"/>
      <c r="ESE36" s="2795"/>
      <c r="ESF36" s="2795"/>
      <c r="ESG36" s="2795"/>
      <c r="ESH36" s="2795"/>
      <c r="ESI36" s="2795"/>
      <c r="ESJ36" s="2795"/>
      <c r="ESK36" s="2795"/>
      <c r="ESL36" s="2795"/>
      <c r="ESM36" s="2795"/>
      <c r="ESN36" s="2795"/>
      <c r="ESO36" s="2795"/>
      <c r="ESP36" s="2795"/>
      <c r="ESQ36" s="2795"/>
      <c r="ESR36" s="2795"/>
      <c r="ESS36" s="2795"/>
      <c r="EST36" s="2795"/>
      <c r="ESU36" s="2795"/>
      <c r="ESV36" s="2795"/>
      <c r="ESW36" s="2795"/>
      <c r="ESX36" s="2795"/>
      <c r="ESY36" s="2795"/>
      <c r="ESZ36" s="2795"/>
      <c r="ETA36" s="2795"/>
      <c r="ETB36" s="2795"/>
      <c r="ETC36" s="2795"/>
      <c r="ETD36" s="2795"/>
      <c r="ETE36" s="2795"/>
      <c r="ETF36" s="2795"/>
      <c r="ETG36" s="2795"/>
      <c r="ETH36" s="2795"/>
      <c r="ETI36" s="2795"/>
      <c r="ETJ36" s="2795"/>
      <c r="ETK36" s="2795"/>
      <c r="ETL36" s="2795"/>
      <c r="ETM36" s="2795"/>
      <c r="ETN36" s="2795"/>
      <c r="ETO36" s="2795"/>
      <c r="ETP36" s="2795"/>
      <c r="ETQ36" s="2795"/>
      <c r="ETR36" s="2795"/>
      <c r="ETS36" s="2795"/>
      <c r="ETT36" s="2795"/>
      <c r="ETU36" s="2795"/>
      <c r="ETV36" s="2795"/>
      <c r="ETW36" s="2795"/>
      <c r="ETX36" s="2795"/>
      <c r="ETY36" s="2795"/>
      <c r="ETZ36" s="2795"/>
      <c r="EUA36" s="2795"/>
      <c r="EUB36" s="2795"/>
      <c r="EUC36" s="2795"/>
      <c r="EUD36" s="2795"/>
      <c r="EUE36" s="2795"/>
      <c r="EUF36" s="2795"/>
      <c r="EUG36" s="2795"/>
      <c r="EUH36" s="2795"/>
      <c r="EUI36" s="2795"/>
      <c r="EUJ36" s="2795"/>
      <c r="EUK36" s="2795"/>
      <c r="EUL36" s="2795"/>
      <c r="EUM36" s="2795"/>
      <c r="EUN36" s="2795"/>
      <c r="EUO36" s="2795"/>
      <c r="EUP36" s="2795"/>
      <c r="EUQ36" s="2795"/>
      <c r="EUR36" s="2795"/>
      <c r="EUS36" s="2795"/>
      <c r="EUT36" s="2795"/>
      <c r="EUU36" s="2795"/>
      <c r="EUV36" s="2795"/>
      <c r="EUW36" s="2795"/>
      <c r="EUX36" s="2795"/>
      <c r="EUY36" s="2795"/>
      <c r="EUZ36" s="2795"/>
      <c r="EVA36" s="2795"/>
      <c r="EVB36" s="2795"/>
      <c r="EVC36" s="2795"/>
      <c r="EVD36" s="2795"/>
      <c r="EVE36" s="2795"/>
      <c r="EVF36" s="2795"/>
      <c r="EVG36" s="2795"/>
      <c r="EVH36" s="2795"/>
      <c r="EVI36" s="2795"/>
      <c r="EVJ36" s="2795"/>
      <c r="EVK36" s="2795"/>
      <c r="EVL36" s="2795"/>
      <c r="EVM36" s="2795"/>
      <c r="EVN36" s="2795"/>
      <c r="EVO36" s="2795"/>
      <c r="EVP36" s="2795"/>
      <c r="EVQ36" s="2795"/>
      <c r="EVR36" s="2795"/>
      <c r="EVS36" s="2795"/>
      <c r="EVT36" s="2795"/>
      <c r="EVU36" s="2795"/>
      <c r="EVV36" s="2795"/>
      <c r="EVW36" s="2795"/>
      <c r="EVX36" s="2795"/>
      <c r="EVY36" s="2795"/>
      <c r="EVZ36" s="2795"/>
      <c r="EWA36" s="2795"/>
      <c r="EWB36" s="2795"/>
      <c r="EWC36" s="2795"/>
      <c r="EWD36" s="2795"/>
      <c r="EWE36" s="2795"/>
      <c r="EWF36" s="2795"/>
      <c r="EWG36" s="2795"/>
      <c r="EWH36" s="2795"/>
      <c r="EWI36" s="2795"/>
      <c r="EWJ36" s="2795"/>
      <c r="EWK36" s="2795"/>
      <c r="EWL36" s="2795"/>
      <c r="EWM36" s="2795"/>
      <c r="EWN36" s="2795"/>
      <c r="EWO36" s="2795"/>
      <c r="EWP36" s="2795"/>
      <c r="EWQ36" s="2795"/>
      <c r="EWR36" s="2795"/>
      <c r="EWS36" s="2795"/>
      <c r="EWT36" s="2795"/>
      <c r="EWU36" s="2795"/>
      <c r="EWV36" s="2795"/>
      <c r="EWW36" s="2795"/>
      <c r="EWX36" s="2795"/>
      <c r="EWY36" s="2795"/>
      <c r="EWZ36" s="2795"/>
      <c r="EXA36" s="2795"/>
      <c r="EXB36" s="2795"/>
      <c r="EXC36" s="2795"/>
      <c r="EXD36" s="2795"/>
      <c r="EXE36" s="2795"/>
      <c r="EXF36" s="2795"/>
      <c r="EXG36" s="2795"/>
      <c r="EXH36" s="2795"/>
      <c r="EXI36" s="2795"/>
      <c r="EXJ36" s="2795"/>
      <c r="EXK36" s="2795"/>
      <c r="EXL36" s="2795"/>
      <c r="EXM36" s="2795"/>
      <c r="EXN36" s="2795"/>
      <c r="EXO36" s="2795"/>
      <c r="EXP36" s="2795"/>
      <c r="EXQ36" s="2795"/>
      <c r="EXR36" s="2795"/>
      <c r="EXS36" s="2795"/>
      <c r="EXT36" s="2795"/>
      <c r="EXU36" s="2795"/>
      <c r="EXV36" s="2795"/>
      <c r="EXW36" s="2795"/>
      <c r="EXX36" s="2795"/>
      <c r="EXY36" s="2795"/>
      <c r="EXZ36" s="2795"/>
      <c r="EYA36" s="2795"/>
      <c r="EYB36" s="2795"/>
      <c r="EYC36" s="2795"/>
      <c r="EYD36" s="2795"/>
      <c r="EYE36" s="2795"/>
      <c r="EYF36" s="2795"/>
      <c r="EYG36" s="2795"/>
      <c r="EYH36" s="2795"/>
      <c r="EYI36" s="2795"/>
      <c r="EYJ36" s="2795"/>
      <c r="EYK36" s="2795"/>
      <c r="EYL36" s="2795"/>
      <c r="EYM36" s="2795"/>
      <c r="EYN36" s="2795"/>
      <c r="EYO36" s="2795"/>
      <c r="EYP36" s="2795"/>
      <c r="EYQ36" s="2795"/>
      <c r="EYR36" s="2795"/>
      <c r="EYS36" s="2795"/>
      <c r="EYT36" s="2795"/>
      <c r="EYU36" s="2795"/>
      <c r="EYV36" s="2795"/>
      <c r="EYW36" s="2795"/>
      <c r="EYX36" s="2795"/>
      <c r="EYY36" s="2795"/>
      <c r="EYZ36" s="2795"/>
      <c r="EZA36" s="2795"/>
      <c r="EZB36" s="2795"/>
      <c r="EZC36" s="2795"/>
      <c r="EZD36" s="2795"/>
      <c r="EZE36" s="2795"/>
      <c r="EZF36" s="2795"/>
      <c r="EZG36" s="2795"/>
      <c r="EZH36" s="2795"/>
      <c r="EZI36" s="2795"/>
      <c r="EZJ36" s="2795"/>
      <c r="EZK36" s="2795"/>
      <c r="EZL36" s="2795"/>
      <c r="EZM36" s="2795"/>
      <c r="EZN36" s="2795"/>
      <c r="EZO36" s="2795"/>
      <c r="EZP36" s="2795"/>
      <c r="EZQ36" s="2795"/>
      <c r="EZR36" s="2795"/>
      <c r="EZS36" s="2795"/>
      <c r="EZT36" s="2795"/>
      <c r="EZU36" s="2795"/>
      <c r="EZV36" s="2795"/>
      <c r="EZW36" s="2795"/>
      <c r="EZX36" s="2795"/>
      <c r="EZY36" s="2795"/>
      <c r="EZZ36" s="2795"/>
      <c r="FAA36" s="2795"/>
      <c r="FAB36" s="2795"/>
      <c r="FAC36" s="2795"/>
      <c r="FAD36" s="2795"/>
      <c r="FAE36" s="2795"/>
      <c r="FAF36" s="2795"/>
      <c r="FAG36" s="2795"/>
      <c r="FAH36" s="2795"/>
      <c r="FAI36" s="2795"/>
      <c r="FAJ36" s="2795"/>
      <c r="FAK36" s="2795"/>
      <c r="FAL36" s="2795"/>
      <c r="FAM36" s="2795"/>
      <c r="FAN36" s="2795"/>
      <c r="FAO36" s="2795"/>
      <c r="FAP36" s="2795"/>
      <c r="FAQ36" s="2795"/>
      <c r="FAR36" s="2795"/>
      <c r="FAS36" s="2795"/>
      <c r="FAT36" s="2795"/>
      <c r="FAU36" s="2795"/>
      <c r="FAV36" s="2795"/>
      <c r="FAW36" s="2795"/>
      <c r="FAX36" s="2795"/>
      <c r="FAY36" s="2795"/>
      <c r="FAZ36" s="2795"/>
      <c r="FBA36" s="2795"/>
      <c r="FBB36" s="2795"/>
      <c r="FBC36" s="2795"/>
      <c r="FBD36" s="2795"/>
      <c r="FBE36" s="2795"/>
      <c r="FBF36" s="2795"/>
      <c r="FBG36" s="2795"/>
      <c r="FBH36" s="2795"/>
      <c r="FBI36" s="2795"/>
      <c r="FBJ36" s="2795"/>
      <c r="FBK36" s="2795"/>
      <c r="FBL36" s="2795"/>
      <c r="FBM36" s="2795"/>
      <c r="FBN36" s="2795"/>
      <c r="FBO36" s="2795"/>
      <c r="FBP36" s="2795"/>
      <c r="FBQ36" s="2795"/>
      <c r="FBR36" s="2795"/>
      <c r="FBS36" s="2795"/>
      <c r="FBT36" s="2795"/>
      <c r="FBU36" s="2795"/>
      <c r="FBV36" s="2795"/>
      <c r="FBW36" s="2795"/>
      <c r="FBX36" s="2795"/>
      <c r="FBY36" s="2795"/>
      <c r="FBZ36" s="2795"/>
      <c r="FCA36" s="2795"/>
      <c r="FCB36" s="2795"/>
      <c r="FCC36" s="2795"/>
      <c r="FCD36" s="2795"/>
      <c r="FCE36" s="2795"/>
      <c r="FCF36" s="2795"/>
      <c r="FCG36" s="2795"/>
      <c r="FCH36" s="2795"/>
      <c r="FCI36" s="2795"/>
      <c r="FCJ36" s="2795"/>
      <c r="FCK36" s="2795"/>
      <c r="FCL36" s="2795"/>
      <c r="FCM36" s="2795"/>
      <c r="FCN36" s="2795"/>
      <c r="FCO36" s="2795"/>
      <c r="FCP36" s="2795"/>
      <c r="FCQ36" s="2795"/>
      <c r="FCR36" s="2795"/>
      <c r="FCS36" s="2795"/>
      <c r="FCT36" s="2795"/>
      <c r="FCU36" s="2795"/>
      <c r="FCV36" s="2795"/>
      <c r="FCW36" s="2795"/>
      <c r="FCX36" s="2795"/>
      <c r="FCY36" s="2795"/>
      <c r="FCZ36" s="2795"/>
      <c r="FDA36" s="2795"/>
      <c r="FDB36" s="2795"/>
      <c r="FDC36" s="2795"/>
      <c r="FDD36" s="2795"/>
      <c r="FDE36" s="2795"/>
      <c r="FDF36" s="2795"/>
      <c r="FDG36" s="2795"/>
      <c r="FDH36" s="2795"/>
      <c r="FDI36" s="2795"/>
      <c r="FDJ36" s="2795"/>
      <c r="FDK36" s="2795"/>
      <c r="FDL36" s="2795"/>
      <c r="FDM36" s="2795"/>
      <c r="FDN36" s="2795"/>
      <c r="FDO36" s="2795"/>
      <c r="FDP36" s="2795"/>
      <c r="FDQ36" s="2795"/>
      <c r="FDR36" s="2795"/>
      <c r="FDS36" s="2795"/>
      <c r="FDT36" s="2795"/>
      <c r="FDU36" s="2795"/>
      <c r="FDV36" s="2795"/>
      <c r="FDW36" s="2795"/>
      <c r="FDX36" s="2795"/>
      <c r="FDY36" s="2795"/>
      <c r="FDZ36" s="2795"/>
      <c r="FEA36" s="2795"/>
      <c r="FEB36" s="2795"/>
      <c r="FEC36" s="2795"/>
      <c r="FED36" s="2795"/>
      <c r="FEE36" s="2795"/>
      <c r="FEF36" s="2795"/>
      <c r="FEG36" s="2795"/>
      <c r="FEH36" s="2795"/>
      <c r="FEI36" s="2795"/>
      <c r="FEJ36" s="2795"/>
      <c r="FEK36" s="2795"/>
      <c r="FEL36" s="2795"/>
      <c r="FEM36" s="2795"/>
      <c r="FEN36" s="2795"/>
      <c r="FEO36" s="2795"/>
      <c r="FEP36" s="2795"/>
      <c r="FEQ36" s="2795"/>
      <c r="FER36" s="2795"/>
      <c r="FES36" s="2795"/>
      <c r="FET36" s="2795"/>
      <c r="FEU36" s="2795"/>
      <c r="FEV36" s="2795"/>
      <c r="FEW36" s="2795"/>
      <c r="FEX36" s="2795"/>
      <c r="FEY36" s="2795"/>
      <c r="FEZ36" s="2795"/>
      <c r="FFA36" s="2795"/>
      <c r="FFB36" s="2795"/>
      <c r="FFC36" s="2795"/>
      <c r="FFD36" s="2795"/>
      <c r="FFE36" s="2795"/>
      <c r="FFF36" s="2795"/>
      <c r="FFG36" s="2795"/>
      <c r="FFH36" s="2795"/>
      <c r="FFI36" s="2795"/>
      <c r="FFJ36" s="2795"/>
      <c r="FFK36" s="2795"/>
      <c r="FFL36" s="2795"/>
      <c r="FFM36" s="2795"/>
      <c r="FFN36" s="2795"/>
      <c r="FFO36" s="2795"/>
      <c r="FFP36" s="2795"/>
      <c r="FFQ36" s="2795"/>
      <c r="FFR36" s="2795"/>
      <c r="FFS36" s="2795"/>
      <c r="FFT36" s="2795"/>
      <c r="FFU36" s="2795"/>
      <c r="FFV36" s="2795"/>
      <c r="FFW36" s="2795"/>
      <c r="FFX36" s="2795"/>
      <c r="FFY36" s="2795"/>
      <c r="FFZ36" s="2795"/>
      <c r="FGA36" s="2795"/>
      <c r="FGB36" s="2795"/>
      <c r="FGC36" s="2795"/>
      <c r="FGD36" s="2795"/>
      <c r="FGE36" s="2795"/>
      <c r="FGF36" s="2795"/>
      <c r="FGG36" s="2795"/>
      <c r="FGH36" s="2795"/>
      <c r="FGI36" s="2795"/>
      <c r="FGJ36" s="2795"/>
      <c r="FGK36" s="2795"/>
      <c r="FGL36" s="2795"/>
      <c r="FGM36" s="2795"/>
      <c r="FGN36" s="2795"/>
      <c r="FGO36" s="2795"/>
      <c r="FGP36" s="2795"/>
      <c r="FGQ36" s="2795"/>
      <c r="FGR36" s="2795"/>
      <c r="FGS36" s="2795"/>
      <c r="FGT36" s="2795"/>
      <c r="FGU36" s="2795"/>
      <c r="FGV36" s="2795"/>
      <c r="FGW36" s="2795"/>
      <c r="FGX36" s="2795"/>
      <c r="FGY36" s="2795"/>
      <c r="FGZ36" s="2795"/>
      <c r="FHA36" s="2795"/>
      <c r="FHB36" s="2795"/>
      <c r="FHC36" s="2795"/>
      <c r="FHD36" s="2795"/>
      <c r="FHE36" s="2795"/>
      <c r="FHF36" s="2795"/>
      <c r="FHG36" s="2795"/>
      <c r="FHH36" s="2795"/>
      <c r="FHI36" s="2795"/>
      <c r="FHJ36" s="2795"/>
      <c r="FHK36" s="2795"/>
      <c r="FHL36" s="2795"/>
      <c r="FHM36" s="2795"/>
      <c r="FHN36" s="2795"/>
      <c r="FHO36" s="2795"/>
      <c r="FHP36" s="2795"/>
      <c r="FHQ36" s="2795"/>
      <c r="FHR36" s="2795"/>
      <c r="FHS36" s="2795"/>
      <c r="FHT36" s="2795"/>
      <c r="FHU36" s="2795"/>
      <c r="FHV36" s="2795"/>
      <c r="FHW36" s="2795"/>
      <c r="FHX36" s="2795"/>
      <c r="FHY36" s="2795"/>
      <c r="FHZ36" s="2795"/>
      <c r="FIA36" s="2795"/>
      <c r="FIB36" s="2795"/>
      <c r="FIC36" s="2795"/>
      <c r="FID36" s="2795"/>
      <c r="FIE36" s="2795"/>
      <c r="FIF36" s="2795"/>
      <c r="FIG36" s="2795"/>
      <c r="FIH36" s="2795"/>
      <c r="FII36" s="2795"/>
      <c r="FIJ36" s="2795"/>
      <c r="FIK36" s="2795"/>
      <c r="FIL36" s="2795"/>
      <c r="FIM36" s="2795"/>
      <c r="FIN36" s="2795"/>
      <c r="FIO36" s="2795"/>
      <c r="FIP36" s="2795"/>
      <c r="FIQ36" s="2795"/>
      <c r="FIR36" s="2795"/>
      <c r="FIS36" s="2795"/>
      <c r="FIT36" s="2795"/>
      <c r="FIU36" s="2795"/>
      <c r="FIV36" s="2795"/>
      <c r="FIW36" s="2795"/>
      <c r="FIX36" s="2795"/>
      <c r="FIY36" s="2795"/>
      <c r="FIZ36" s="2795"/>
      <c r="FJA36" s="2795"/>
      <c r="FJB36" s="2795"/>
      <c r="FJC36" s="2795"/>
      <c r="FJD36" s="2795"/>
      <c r="FJE36" s="2795"/>
      <c r="FJF36" s="2795"/>
      <c r="FJG36" s="2795"/>
      <c r="FJH36" s="2795"/>
      <c r="FJI36" s="2795"/>
      <c r="FJJ36" s="2795"/>
      <c r="FJK36" s="2795"/>
      <c r="FJL36" s="2795"/>
      <c r="FJM36" s="2795"/>
      <c r="FJN36" s="2795"/>
      <c r="FJO36" s="2795"/>
      <c r="FJP36" s="2795"/>
      <c r="FJQ36" s="2795"/>
      <c r="FJR36" s="2795"/>
      <c r="FJS36" s="2795"/>
      <c r="FJT36" s="2795"/>
      <c r="FJU36" s="2795"/>
      <c r="FJV36" s="2795"/>
      <c r="FJW36" s="2795"/>
      <c r="FJX36" s="2795"/>
      <c r="FJY36" s="2795"/>
      <c r="FJZ36" s="2795"/>
      <c r="FKA36" s="2795"/>
      <c r="FKB36" s="2795"/>
      <c r="FKC36" s="2795"/>
      <c r="FKD36" s="2795"/>
      <c r="FKE36" s="2795"/>
      <c r="FKF36" s="2795"/>
      <c r="FKG36" s="2795"/>
      <c r="FKH36" s="2795"/>
      <c r="FKI36" s="2795"/>
      <c r="FKJ36" s="2795"/>
      <c r="FKK36" s="2795"/>
      <c r="FKL36" s="2795"/>
      <c r="FKM36" s="2795"/>
      <c r="FKN36" s="2795"/>
      <c r="FKO36" s="2795"/>
      <c r="FKP36" s="2795"/>
      <c r="FKQ36" s="2795"/>
      <c r="FKR36" s="2795"/>
      <c r="FKS36" s="2795"/>
      <c r="FKT36" s="2795"/>
      <c r="FKU36" s="2795"/>
      <c r="FKV36" s="2795"/>
      <c r="FKW36" s="2795"/>
      <c r="FKX36" s="2795"/>
      <c r="FKY36" s="2795"/>
      <c r="FKZ36" s="2795"/>
      <c r="FLA36" s="2795"/>
      <c r="FLB36" s="2795"/>
      <c r="FLC36" s="2795"/>
      <c r="FLD36" s="2795"/>
      <c r="FLE36" s="2795"/>
      <c r="FLF36" s="2795"/>
      <c r="FLG36" s="2795"/>
      <c r="FLH36" s="2795"/>
      <c r="FLI36" s="2795"/>
      <c r="FLJ36" s="2795"/>
      <c r="FLK36" s="2795"/>
      <c r="FLL36" s="2795"/>
      <c r="FLM36" s="2795"/>
      <c r="FLN36" s="2795"/>
      <c r="FLO36" s="2795"/>
      <c r="FLP36" s="2795"/>
      <c r="FLQ36" s="2795"/>
      <c r="FLR36" s="2795"/>
      <c r="FLS36" s="2795"/>
      <c r="FLT36" s="2795"/>
      <c r="FLU36" s="2795"/>
      <c r="FLV36" s="2795"/>
      <c r="FLW36" s="2795"/>
      <c r="FLX36" s="2795"/>
      <c r="FLY36" s="2795"/>
      <c r="FLZ36" s="2795"/>
      <c r="FMA36" s="2795"/>
      <c r="FMB36" s="2795"/>
      <c r="FMC36" s="2795"/>
      <c r="FMD36" s="2795"/>
      <c r="FME36" s="2795"/>
      <c r="FMF36" s="2795"/>
      <c r="FMG36" s="2795"/>
      <c r="FMH36" s="2795"/>
      <c r="FMI36" s="2795"/>
      <c r="FMJ36" s="2795"/>
      <c r="FMK36" s="2795"/>
      <c r="FML36" s="2795"/>
      <c r="FMM36" s="2795"/>
      <c r="FMN36" s="2795"/>
      <c r="FMO36" s="2795"/>
      <c r="FMP36" s="2795"/>
      <c r="FMQ36" s="2795"/>
      <c r="FMR36" s="2795"/>
      <c r="FMS36" s="2795"/>
      <c r="FMT36" s="2795"/>
      <c r="FMU36" s="2795"/>
      <c r="FMV36" s="2795"/>
      <c r="FMW36" s="2795"/>
      <c r="FMX36" s="2795"/>
      <c r="FMY36" s="2795"/>
      <c r="FMZ36" s="2795"/>
      <c r="FNA36" s="2795"/>
      <c r="FNB36" s="2795"/>
      <c r="FNC36" s="2795"/>
      <c r="FND36" s="2795"/>
      <c r="FNE36" s="2795"/>
      <c r="FNF36" s="2795"/>
      <c r="FNG36" s="2795"/>
      <c r="FNH36" s="2795"/>
      <c r="FNI36" s="2795"/>
      <c r="FNJ36" s="2795"/>
      <c r="FNK36" s="2795"/>
      <c r="FNL36" s="2795"/>
      <c r="FNM36" s="2795"/>
      <c r="FNN36" s="2795"/>
      <c r="FNO36" s="2795"/>
      <c r="FNP36" s="2795"/>
      <c r="FNQ36" s="2795"/>
      <c r="FNR36" s="2795"/>
      <c r="FNS36" s="2795"/>
      <c r="FNT36" s="2795"/>
      <c r="FNU36" s="2795"/>
      <c r="FNV36" s="2795"/>
      <c r="FNW36" s="2795"/>
      <c r="FNX36" s="2795"/>
      <c r="FNY36" s="2795"/>
      <c r="FNZ36" s="2795"/>
      <c r="FOA36" s="2795"/>
      <c r="FOB36" s="2795"/>
      <c r="FOC36" s="2795"/>
      <c r="FOD36" s="2795"/>
      <c r="FOE36" s="2795"/>
      <c r="FOF36" s="2795"/>
      <c r="FOG36" s="2795"/>
      <c r="FOH36" s="2795"/>
      <c r="FOI36" s="2795"/>
      <c r="FOJ36" s="2795"/>
      <c r="FOK36" s="2795"/>
      <c r="FOL36" s="2795"/>
      <c r="FOM36" s="2795"/>
      <c r="FON36" s="2795"/>
      <c r="FOO36" s="2795"/>
      <c r="FOP36" s="2795"/>
      <c r="FOQ36" s="2795"/>
      <c r="FOR36" s="2795"/>
      <c r="FOS36" s="2795"/>
      <c r="FOT36" s="2795"/>
      <c r="FOU36" s="2795"/>
      <c r="FOV36" s="2795"/>
      <c r="FOW36" s="2795"/>
      <c r="FOX36" s="2795"/>
      <c r="FOY36" s="2795"/>
      <c r="FOZ36" s="2795"/>
      <c r="FPA36" s="2795"/>
      <c r="FPB36" s="2795"/>
      <c r="FPC36" s="2795"/>
      <c r="FPD36" s="2795"/>
      <c r="FPE36" s="2795"/>
      <c r="FPF36" s="2795"/>
      <c r="FPG36" s="2795"/>
      <c r="FPH36" s="2795"/>
      <c r="FPI36" s="2795"/>
      <c r="FPJ36" s="2795"/>
      <c r="FPK36" s="2795"/>
      <c r="FPL36" s="2795"/>
      <c r="FPM36" s="2795"/>
      <c r="FPN36" s="2795"/>
      <c r="FPO36" s="2795"/>
      <c r="FPP36" s="2795"/>
      <c r="FPQ36" s="2795"/>
      <c r="FPR36" s="2795"/>
      <c r="FPS36" s="2795"/>
      <c r="FPT36" s="2795"/>
      <c r="FPU36" s="2795"/>
      <c r="FPV36" s="2795"/>
      <c r="FPW36" s="2795"/>
      <c r="FPX36" s="2795"/>
      <c r="FPY36" s="2795"/>
      <c r="FPZ36" s="2795"/>
      <c r="FQA36" s="2795"/>
      <c r="FQB36" s="2795"/>
      <c r="FQC36" s="2795"/>
      <c r="FQD36" s="2795"/>
      <c r="FQE36" s="2795"/>
      <c r="FQF36" s="2795"/>
      <c r="FQG36" s="2795"/>
      <c r="FQH36" s="2795"/>
      <c r="FQI36" s="2795"/>
      <c r="FQJ36" s="2795"/>
      <c r="FQK36" s="2795"/>
      <c r="FQL36" s="2795"/>
      <c r="FQM36" s="2795"/>
      <c r="FQN36" s="2795"/>
      <c r="FQO36" s="2795"/>
      <c r="FQP36" s="2795"/>
      <c r="FQQ36" s="2795"/>
      <c r="FQR36" s="2795"/>
      <c r="FQS36" s="2795"/>
      <c r="FQT36" s="2795"/>
      <c r="FQU36" s="2795"/>
      <c r="FQV36" s="2795"/>
      <c r="FQW36" s="2795"/>
      <c r="FQX36" s="2795"/>
      <c r="FQY36" s="2795"/>
      <c r="FQZ36" s="2795"/>
      <c r="FRA36" s="2795"/>
      <c r="FRB36" s="2795"/>
      <c r="FRC36" s="2795"/>
      <c r="FRD36" s="2795"/>
      <c r="FRE36" s="2795"/>
      <c r="FRF36" s="2795"/>
      <c r="FRG36" s="2795"/>
      <c r="FRH36" s="2795"/>
      <c r="FRI36" s="2795"/>
      <c r="FRJ36" s="2795"/>
      <c r="FRK36" s="2795"/>
      <c r="FRL36" s="2795"/>
      <c r="FRM36" s="2795"/>
      <c r="FRN36" s="2795"/>
      <c r="FRO36" s="2795"/>
      <c r="FRP36" s="2795"/>
      <c r="FRQ36" s="2795"/>
      <c r="FRR36" s="2795"/>
      <c r="FRS36" s="2795"/>
      <c r="FRT36" s="2795"/>
      <c r="FRU36" s="2795"/>
      <c r="FRV36" s="2795"/>
      <c r="FRW36" s="2795"/>
      <c r="FRX36" s="2795"/>
      <c r="FRY36" s="2795"/>
      <c r="FRZ36" s="2795"/>
      <c r="FSA36" s="2795"/>
      <c r="FSB36" s="2795"/>
      <c r="FSC36" s="2795"/>
      <c r="FSD36" s="2795"/>
      <c r="FSE36" s="2795"/>
      <c r="FSF36" s="2795"/>
      <c r="FSG36" s="2795"/>
      <c r="FSH36" s="2795"/>
      <c r="FSI36" s="2795"/>
      <c r="FSJ36" s="2795"/>
      <c r="FSK36" s="2795"/>
      <c r="FSL36" s="2795"/>
      <c r="FSM36" s="2795"/>
      <c r="FSN36" s="2795"/>
      <c r="FSO36" s="2795"/>
      <c r="FSP36" s="2795"/>
      <c r="FSQ36" s="2795"/>
      <c r="FSR36" s="2795"/>
      <c r="FSS36" s="2795"/>
      <c r="FST36" s="2795"/>
      <c r="FSU36" s="2795"/>
      <c r="FSV36" s="2795"/>
      <c r="FSW36" s="2795"/>
      <c r="FSX36" s="2795"/>
      <c r="FSY36" s="2795"/>
      <c r="FSZ36" s="2795"/>
      <c r="FTA36" s="2795"/>
      <c r="FTB36" s="2795"/>
      <c r="FTC36" s="2795"/>
      <c r="FTD36" s="2795"/>
      <c r="FTE36" s="2795"/>
      <c r="FTF36" s="2795"/>
      <c r="FTG36" s="2795"/>
      <c r="FTH36" s="2795"/>
      <c r="FTI36" s="2795"/>
      <c r="FTJ36" s="2795"/>
      <c r="FTK36" s="2795"/>
      <c r="FTL36" s="2795"/>
      <c r="FTM36" s="2795"/>
      <c r="FTN36" s="2795"/>
      <c r="FTO36" s="2795"/>
      <c r="FTP36" s="2795"/>
      <c r="FTQ36" s="2795"/>
      <c r="FTR36" s="2795"/>
      <c r="FTS36" s="2795"/>
      <c r="FTT36" s="2795"/>
      <c r="FTU36" s="2795"/>
      <c r="FTV36" s="2795"/>
      <c r="FTW36" s="2795"/>
      <c r="FTX36" s="2795"/>
      <c r="FTY36" s="2795"/>
      <c r="FTZ36" s="2795"/>
      <c r="FUA36" s="2795"/>
      <c r="FUB36" s="2795"/>
      <c r="FUC36" s="2795"/>
      <c r="FUD36" s="2795"/>
      <c r="FUE36" s="2795"/>
      <c r="FUF36" s="2795"/>
      <c r="FUG36" s="2795"/>
      <c r="FUH36" s="2795"/>
      <c r="FUI36" s="2795"/>
      <c r="FUJ36" s="2795"/>
      <c r="FUK36" s="2795"/>
      <c r="FUL36" s="2795"/>
      <c r="FUM36" s="2795"/>
      <c r="FUN36" s="2795"/>
      <c r="FUO36" s="2795"/>
      <c r="FUP36" s="2795"/>
      <c r="FUQ36" s="2795"/>
      <c r="FUR36" s="2795"/>
      <c r="FUS36" s="2795"/>
      <c r="FUT36" s="2795"/>
      <c r="FUU36" s="2795"/>
      <c r="FUV36" s="2795"/>
      <c r="FUW36" s="2795"/>
      <c r="FUX36" s="2795"/>
      <c r="FUY36" s="2795"/>
      <c r="FUZ36" s="2795"/>
      <c r="FVA36" s="2795"/>
      <c r="FVB36" s="2795"/>
      <c r="FVC36" s="2795"/>
      <c r="FVD36" s="2795"/>
      <c r="FVE36" s="2795"/>
      <c r="FVF36" s="2795"/>
      <c r="FVG36" s="2795"/>
      <c r="FVH36" s="2795"/>
      <c r="FVI36" s="2795"/>
      <c r="FVJ36" s="2795"/>
      <c r="FVK36" s="2795"/>
      <c r="FVL36" s="2795"/>
      <c r="FVM36" s="2795"/>
      <c r="FVN36" s="2795"/>
      <c r="FVO36" s="2795"/>
      <c r="FVP36" s="2795"/>
      <c r="FVQ36" s="2795"/>
      <c r="FVR36" s="2795"/>
      <c r="FVS36" s="2795"/>
      <c r="FVT36" s="2795"/>
      <c r="FVU36" s="2795"/>
      <c r="FVV36" s="2795"/>
      <c r="FVW36" s="2795"/>
      <c r="FVX36" s="2795"/>
      <c r="FVY36" s="2795"/>
      <c r="FVZ36" s="2795"/>
      <c r="FWA36" s="2795"/>
      <c r="FWB36" s="2795"/>
      <c r="FWC36" s="2795"/>
      <c r="FWD36" s="2795"/>
      <c r="FWE36" s="2795"/>
      <c r="FWF36" s="2795"/>
      <c r="FWG36" s="2795"/>
      <c r="FWH36" s="2795"/>
      <c r="FWI36" s="2795"/>
      <c r="FWJ36" s="2795"/>
      <c r="FWK36" s="2795"/>
      <c r="FWL36" s="2795"/>
      <c r="FWM36" s="2795"/>
      <c r="FWN36" s="2795"/>
      <c r="FWO36" s="2795"/>
      <c r="FWP36" s="2795"/>
      <c r="FWQ36" s="2795"/>
      <c r="FWR36" s="2795"/>
      <c r="FWS36" s="2795"/>
      <c r="FWT36" s="2795"/>
      <c r="FWU36" s="2795"/>
      <c r="FWV36" s="2795"/>
      <c r="FWW36" s="2795"/>
      <c r="FWX36" s="2795"/>
      <c r="FWY36" s="2795"/>
      <c r="FWZ36" s="2795"/>
      <c r="FXA36" s="2795"/>
      <c r="FXB36" s="2795"/>
      <c r="FXC36" s="2795"/>
      <c r="FXD36" s="2795"/>
      <c r="FXE36" s="2795"/>
      <c r="FXF36" s="2795"/>
      <c r="FXG36" s="2795"/>
      <c r="FXH36" s="2795"/>
      <c r="FXI36" s="2795"/>
      <c r="FXJ36" s="2795"/>
      <c r="FXK36" s="2795"/>
      <c r="FXL36" s="2795"/>
      <c r="FXM36" s="2795"/>
      <c r="FXN36" s="2795"/>
      <c r="FXO36" s="2795"/>
      <c r="FXP36" s="2795"/>
      <c r="FXQ36" s="2795"/>
      <c r="FXR36" s="2795"/>
      <c r="FXS36" s="2795"/>
      <c r="FXT36" s="2795"/>
      <c r="FXU36" s="2795"/>
      <c r="FXV36" s="2795"/>
      <c r="FXW36" s="2795"/>
      <c r="FXX36" s="2795"/>
      <c r="FXY36" s="2795"/>
      <c r="FXZ36" s="2795"/>
      <c r="FYA36" s="2795"/>
      <c r="FYB36" s="2795"/>
      <c r="FYC36" s="2795"/>
      <c r="FYD36" s="2795"/>
      <c r="FYE36" s="2795"/>
      <c r="FYF36" s="2795"/>
      <c r="FYG36" s="2795"/>
      <c r="FYH36" s="2795"/>
      <c r="FYI36" s="2795"/>
      <c r="FYJ36" s="2795"/>
      <c r="FYK36" s="2795"/>
      <c r="FYL36" s="2795"/>
      <c r="FYM36" s="2795"/>
      <c r="FYN36" s="2795"/>
      <c r="FYO36" s="2795"/>
      <c r="FYP36" s="2795"/>
      <c r="FYQ36" s="2795"/>
      <c r="FYR36" s="2795"/>
      <c r="FYS36" s="2795"/>
      <c r="FYT36" s="2795"/>
      <c r="FYU36" s="2795"/>
      <c r="FYV36" s="2795"/>
      <c r="FYW36" s="2795"/>
      <c r="FYX36" s="2795"/>
      <c r="FYY36" s="2795"/>
      <c r="FYZ36" s="2795"/>
      <c r="FZA36" s="2795"/>
      <c r="FZB36" s="2795"/>
      <c r="FZC36" s="2795"/>
      <c r="FZD36" s="2795"/>
      <c r="FZE36" s="2795"/>
      <c r="FZF36" s="2795"/>
      <c r="FZG36" s="2795"/>
      <c r="FZH36" s="2795"/>
      <c r="FZI36" s="2795"/>
      <c r="FZJ36" s="2795"/>
      <c r="FZK36" s="2795"/>
      <c r="FZL36" s="2795"/>
      <c r="FZM36" s="2795"/>
      <c r="FZN36" s="2795"/>
      <c r="FZO36" s="2795"/>
      <c r="FZP36" s="2795"/>
      <c r="FZQ36" s="2795"/>
      <c r="FZR36" s="2795"/>
      <c r="FZS36" s="2795"/>
      <c r="FZT36" s="2795"/>
      <c r="FZU36" s="2795"/>
      <c r="FZV36" s="2795"/>
      <c r="FZW36" s="2795"/>
      <c r="FZX36" s="2795"/>
      <c r="FZY36" s="2795"/>
      <c r="FZZ36" s="2795"/>
      <c r="GAA36" s="2795"/>
      <c r="GAB36" s="2795"/>
      <c r="GAC36" s="2795"/>
      <c r="GAD36" s="2795"/>
      <c r="GAE36" s="2795"/>
      <c r="GAF36" s="2795"/>
      <c r="GAG36" s="2795"/>
      <c r="GAH36" s="2795"/>
      <c r="GAI36" s="2795"/>
      <c r="GAJ36" s="2795"/>
      <c r="GAK36" s="2795"/>
      <c r="GAL36" s="2795"/>
      <c r="GAM36" s="2795"/>
      <c r="GAN36" s="2795"/>
      <c r="GAO36" s="2795"/>
      <c r="GAP36" s="2795"/>
      <c r="GAQ36" s="2795"/>
      <c r="GAR36" s="2795"/>
      <c r="GAS36" s="2795"/>
      <c r="GAT36" s="2795"/>
      <c r="GAU36" s="2795"/>
      <c r="GAV36" s="2795"/>
      <c r="GAW36" s="2795"/>
      <c r="GAX36" s="2795"/>
      <c r="GAY36" s="2795"/>
      <c r="GAZ36" s="2795"/>
      <c r="GBA36" s="2795"/>
      <c r="GBB36" s="2795"/>
      <c r="GBC36" s="2795"/>
      <c r="GBD36" s="2795"/>
      <c r="GBE36" s="2795"/>
      <c r="GBF36" s="2795"/>
      <c r="GBG36" s="2795"/>
      <c r="GBH36" s="2795"/>
      <c r="GBI36" s="2795"/>
      <c r="GBJ36" s="2795"/>
      <c r="GBK36" s="2795"/>
      <c r="GBL36" s="2795"/>
      <c r="GBM36" s="2795"/>
      <c r="GBN36" s="2795"/>
      <c r="GBO36" s="2795"/>
      <c r="GBP36" s="2795"/>
      <c r="GBQ36" s="2795"/>
      <c r="GBR36" s="2795"/>
      <c r="GBS36" s="2795"/>
      <c r="GBT36" s="2795"/>
      <c r="GBU36" s="2795"/>
      <c r="GBV36" s="2795"/>
      <c r="GBW36" s="2795"/>
      <c r="GBX36" s="2795"/>
      <c r="GBY36" s="2795"/>
      <c r="GBZ36" s="2795"/>
      <c r="GCA36" s="2795"/>
      <c r="GCB36" s="2795"/>
      <c r="GCC36" s="2795"/>
      <c r="GCD36" s="2795"/>
      <c r="GCE36" s="2795"/>
      <c r="GCF36" s="2795"/>
      <c r="GCG36" s="2795"/>
      <c r="GCH36" s="2795"/>
      <c r="GCI36" s="2795"/>
      <c r="GCJ36" s="2795"/>
      <c r="GCK36" s="2795"/>
      <c r="GCL36" s="2795"/>
      <c r="GCM36" s="2795"/>
      <c r="GCN36" s="2795"/>
      <c r="GCO36" s="2795"/>
      <c r="GCP36" s="2795"/>
      <c r="GCQ36" s="2795"/>
      <c r="GCR36" s="2795"/>
      <c r="GCS36" s="2795"/>
      <c r="GCT36" s="2795"/>
      <c r="GCU36" s="2795"/>
      <c r="GCV36" s="2795"/>
      <c r="GCW36" s="2795"/>
      <c r="GCX36" s="2795"/>
      <c r="GCY36" s="2795"/>
      <c r="GCZ36" s="2795"/>
      <c r="GDA36" s="2795"/>
      <c r="GDB36" s="2795"/>
      <c r="GDC36" s="2795"/>
      <c r="GDD36" s="2795"/>
      <c r="GDE36" s="2795"/>
      <c r="GDF36" s="2795"/>
      <c r="GDG36" s="2795"/>
      <c r="GDH36" s="2795"/>
      <c r="GDI36" s="2795"/>
      <c r="GDJ36" s="2795"/>
      <c r="GDK36" s="2795"/>
      <c r="GDL36" s="2795"/>
      <c r="GDM36" s="2795"/>
      <c r="GDN36" s="2795"/>
      <c r="GDO36" s="2795"/>
      <c r="GDP36" s="2795"/>
      <c r="GDQ36" s="2795"/>
      <c r="GDR36" s="2795"/>
      <c r="GDS36" s="2795"/>
      <c r="GDT36" s="2795"/>
      <c r="GDU36" s="2795"/>
      <c r="GDV36" s="2795"/>
      <c r="GDW36" s="2795"/>
      <c r="GDX36" s="2795"/>
      <c r="GDY36" s="2795"/>
      <c r="GDZ36" s="2795"/>
      <c r="GEA36" s="2795"/>
      <c r="GEB36" s="2795"/>
      <c r="GEC36" s="2795"/>
      <c r="GED36" s="2795"/>
      <c r="GEE36" s="2795"/>
      <c r="GEF36" s="2795"/>
      <c r="GEG36" s="2795"/>
      <c r="GEH36" s="2795"/>
      <c r="GEI36" s="2795"/>
      <c r="GEJ36" s="2795"/>
      <c r="GEK36" s="2795"/>
      <c r="GEL36" s="2795"/>
      <c r="GEM36" s="2795"/>
      <c r="GEN36" s="2795"/>
      <c r="GEO36" s="2795"/>
      <c r="GEP36" s="2795"/>
      <c r="GEQ36" s="2795"/>
      <c r="GER36" s="2795"/>
      <c r="GES36" s="2795"/>
      <c r="GET36" s="2795"/>
      <c r="GEU36" s="2795"/>
      <c r="GEV36" s="2795"/>
      <c r="GEW36" s="2795"/>
      <c r="GEX36" s="2795"/>
      <c r="GEY36" s="2795"/>
      <c r="GEZ36" s="2795"/>
      <c r="GFA36" s="2795"/>
      <c r="GFB36" s="2795"/>
      <c r="GFC36" s="2795"/>
      <c r="GFD36" s="2795"/>
      <c r="GFE36" s="2795"/>
      <c r="GFF36" s="2795"/>
      <c r="GFG36" s="2795"/>
      <c r="GFH36" s="2795"/>
      <c r="GFI36" s="2795"/>
      <c r="GFJ36" s="2795"/>
      <c r="GFK36" s="2795"/>
      <c r="GFL36" s="2795"/>
      <c r="GFM36" s="2795"/>
      <c r="GFN36" s="2795"/>
      <c r="GFO36" s="2795"/>
      <c r="GFP36" s="2795"/>
      <c r="GFQ36" s="2795"/>
      <c r="GFR36" s="2795"/>
      <c r="GFS36" s="2795"/>
      <c r="GFT36" s="2795"/>
      <c r="GFU36" s="2795"/>
      <c r="GFV36" s="2795"/>
      <c r="GFW36" s="2795"/>
      <c r="GFX36" s="2795"/>
      <c r="GFY36" s="2795"/>
      <c r="GFZ36" s="2795"/>
      <c r="GGA36" s="2795"/>
      <c r="GGB36" s="2795"/>
      <c r="GGC36" s="2795"/>
      <c r="GGD36" s="2795"/>
      <c r="GGE36" s="2795"/>
      <c r="GGF36" s="2795"/>
      <c r="GGG36" s="2795"/>
      <c r="GGH36" s="2795"/>
      <c r="GGI36" s="2795"/>
      <c r="GGJ36" s="2795"/>
      <c r="GGK36" s="2795"/>
      <c r="GGL36" s="2795"/>
      <c r="GGM36" s="2795"/>
      <c r="GGN36" s="2795"/>
      <c r="GGO36" s="2795"/>
      <c r="GGP36" s="2795"/>
      <c r="GGQ36" s="2795"/>
      <c r="GGR36" s="2795"/>
      <c r="GGS36" s="2795"/>
      <c r="GGT36" s="2795"/>
      <c r="GGU36" s="2795"/>
      <c r="GGV36" s="2795"/>
      <c r="GGW36" s="2795"/>
      <c r="GGX36" s="2795"/>
      <c r="GGY36" s="2795"/>
      <c r="GGZ36" s="2795"/>
      <c r="GHA36" s="2795"/>
      <c r="GHB36" s="2795"/>
      <c r="GHC36" s="2795"/>
      <c r="GHD36" s="2795"/>
      <c r="GHE36" s="2795"/>
      <c r="GHF36" s="2795"/>
      <c r="GHG36" s="2795"/>
      <c r="GHH36" s="2795"/>
      <c r="GHI36" s="2795"/>
      <c r="GHJ36" s="2795"/>
      <c r="GHK36" s="2795"/>
      <c r="GHL36" s="2795"/>
      <c r="GHM36" s="2795"/>
      <c r="GHN36" s="2795"/>
      <c r="GHO36" s="2795"/>
      <c r="GHP36" s="2795"/>
      <c r="GHQ36" s="2795"/>
      <c r="GHR36" s="2795"/>
      <c r="GHS36" s="2795"/>
      <c r="GHT36" s="2795"/>
      <c r="GHU36" s="2795"/>
      <c r="GHV36" s="2795"/>
      <c r="GHW36" s="2795"/>
      <c r="GHX36" s="2795"/>
      <c r="GHY36" s="2795"/>
      <c r="GHZ36" s="2795"/>
      <c r="GIA36" s="2795"/>
      <c r="GIB36" s="2795"/>
      <c r="GIC36" s="2795"/>
      <c r="GID36" s="2795"/>
      <c r="GIE36" s="2795"/>
      <c r="GIF36" s="2795"/>
      <c r="GIG36" s="2795"/>
      <c r="GIH36" s="2795"/>
      <c r="GII36" s="2795"/>
      <c r="GIJ36" s="2795"/>
      <c r="GIK36" s="2795"/>
      <c r="GIL36" s="2795"/>
      <c r="GIM36" s="2795"/>
      <c r="GIN36" s="2795"/>
      <c r="GIO36" s="2795"/>
      <c r="GIP36" s="2795"/>
      <c r="GIQ36" s="2795"/>
      <c r="GIR36" s="2795"/>
      <c r="GIS36" s="2795"/>
      <c r="GIT36" s="2795"/>
      <c r="GIU36" s="2795"/>
      <c r="GIV36" s="2795"/>
      <c r="GIW36" s="2795"/>
      <c r="GIX36" s="2795"/>
      <c r="GIY36" s="2795"/>
      <c r="GIZ36" s="2795"/>
      <c r="GJA36" s="2795"/>
      <c r="GJB36" s="2795"/>
      <c r="GJC36" s="2795"/>
      <c r="GJD36" s="2795"/>
      <c r="GJE36" s="2795"/>
      <c r="GJF36" s="2795"/>
      <c r="GJG36" s="2795"/>
      <c r="GJH36" s="2795"/>
      <c r="GJI36" s="2795"/>
      <c r="GJJ36" s="2795"/>
      <c r="GJK36" s="2795"/>
      <c r="GJL36" s="2795"/>
      <c r="GJM36" s="2795"/>
      <c r="GJN36" s="2795"/>
      <c r="GJO36" s="2795"/>
      <c r="GJP36" s="2795"/>
      <c r="GJQ36" s="2795"/>
      <c r="GJR36" s="2795"/>
      <c r="GJS36" s="2795"/>
      <c r="GJT36" s="2795"/>
      <c r="GJU36" s="2795"/>
      <c r="GJV36" s="2795"/>
      <c r="GJW36" s="2795"/>
      <c r="GJX36" s="2795"/>
      <c r="GJY36" s="2795"/>
      <c r="GJZ36" s="2795"/>
      <c r="GKA36" s="2795"/>
      <c r="GKB36" s="2795"/>
      <c r="GKC36" s="2795"/>
      <c r="GKD36" s="2795"/>
      <c r="GKE36" s="2795"/>
      <c r="GKF36" s="2795"/>
      <c r="GKG36" s="2795"/>
      <c r="GKH36" s="2795"/>
      <c r="GKI36" s="2795"/>
      <c r="GKJ36" s="2795"/>
      <c r="GKK36" s="2795"/>
      <c r="GKL36" s="2795"/>
      <c r="GKM36" s="2795"/>
      <c r="GKN36" s="2795"/>
      <c r="GKO36" s="2795"/>
      <c r="GKP36" s="2795"/>
      <c r="GKQ36" s="2795"/>
      <c r="GKR36" s="2795"/>
      <c r="GKS36" s="2795"/>
      <c r="GKT36" s="2795"/>
      <c r="GKU36" s="2795"/>
      <c r="GKV36" s="2795"/>
      <c r="GKW36" s="2795"/>
      <c r="GKX36" s="2795"/>
      <c r="GKY36" s="2795"/>
      <c r="GKZ36" s="2795"/>
      <c r="GLA36" s="2795"/>
      <c r="GLB36" s="2795"/>
      <c r="GLC36" s="2795"/>
      <c r="GLD36" s="2795"/>
      <c r="GLE36" s="2795"/>
      <c r="GLF36" s="2795"/>
      <c r="GLG36" s="2795"/>
      <c r="GLH36" s="2795"/>
      <c r="GLI36" s="2795"/>
      <c r="GLJ36" s="2795"/>
      <c r="GLK36" s="2795"/>
      <c r="GLL36" s="2795"/>
      <c r="GLM36" s="2795"/>
      <c r="GLN36" s="2795"/>
      <c r="GLO36" s="2795"/>
      <c r="GLP36" s="2795"/>
      <c r="GLQ36" s="2795"/>
      <c r="GLR36" s="2795"/>
      <c r="GLS36" s="2795"/>
      <c r="GLT36" s="2795"/>
      <c r="GLU36" s="2795"/>
      <c r="GLV36" s="2795"/>
      <c r="GLW36" s="2795"/>
      <c r="GLX36" s="2795"/>
      <c r="GLY36" s="2795"/>
      <c r="GLZ36" s="2795"/>
      <c r="GMA36" s="2795"/>
      <c r="GMB36" s="2795"/>
      <c r="GMC36" s="2795"/>
      <c r="GMD36" s="2795"/>
      <c r="GME36" s="2795"/>
      <c r="GMF36" s="2795"/>
      <c r="GMG36" s="2795"/>
      <c r="GMH36" s="2795"/>
      <c r="GMI36" s="2795"/>
      <c r="GMJ36" s="2795"/>
      <c r="GMK36" s="2795"/>
      <c r="GML36" s="2795"/>
      <c r="GMM36" s="2795"/>
      <c r="GMN36" s="2795"/>
      <c r="GMO36" s="2795"/>
      <c r="GMP36" s="2795"/>
      <c r="GMQ36" s="2795"/>
      <c r="GMR36" s="2795"/>
      <c r="GMS36" s="2795"/>
      <c r="GMT36" s="2795"/>
      <c r="GMU36" s="2795"/>
      <c r="GMV36" s="2795"/>
      <c r="GMW36" s="2795"/>
      <c r="GMX36" s="2795"/>
      <c r="GMY36" s="2795"/>
      <c r="GMZ36" s="2795"/>
      <c r="GNA36" s="2795"/>
      <c r="GNB36" s="2795"/>
      <c r="GNC36" s="2795"/>
      <c r="GND36" s="2795"/>
      <c r="GNE36" s="2795"/>
      <c r="GNF36" s="2795"/>
      <c r="GNG36" s="2795"/>
      <c r="GNH36" s="2795"/>
      <c r="GNI36" s="2795"/>
      <c r="GNJ36" s="2795"/>
      <c r="GNK36" s="2795"/>
      <c r="GNL36" s="2795"/>
      <c r="GNM36" s="2795"/>
      <c r="GNN36" s="2795"/>
      <c r="GNO36" s="2795"/>
      <c r="GNP36" s="2795"/>
      <c r="GNQ36" s="2795"/>
      <c r="GNR36" s="2795"/>
      <c r="GNS36" s="2795"/>
      <c r="GNT36" s="2795"/>
      <c r="GNU36" s="2795"/>
      <c r="GNV36" s="2795"/>
      <c r="GNW36" s="2795"/>
      <c r="GNX36" s="2795"/>
      <c r="GNY36" s="2795"/>
      <c r="GNZ36" s="2795"/>
      <c r="GOA36" s="2795"/>
      <c r="GOB36" s="2795"/>
      <c r="GOC36" s="2795"/>
      <c r="GOD36" s="2795"/>
      <c r="GOE36" s="2795"/>
      <c r="GOF36" s="2795"/>
      <c r="GOG36" s="2795"/>
      <c r="GOH36" s="2795"/>
      <c r="GOI36" s="2795"/>
      <c r="GOJ36" s="2795"/>
      <c r="GOK36" s="2795"/>
      <c r="GOL36" s="2795"/>
      <c r="GOM36" s="2795"/>
      <c r="GON36" s="2795"/>
      <c r="GOO36" s="2795"/>
      <c r="GOP36" s="2795"/>
      <c r="GOQ36" s="2795"/>
      <c r="GOR36" s="2795"/>
      <c r="GOS36" s="2795"/>
      <c r="GOT36" s="2795"/>
      <c r="GOU36" s="2795"/>
      <c r="GOV36" s="2795"/>
      <c r="GOW36" s="2795"/>
      <c r="GOX36" s="2795"/>
      <c r="GOY36" s="2795"/>
      <c r="GOZ36" s="2795"/>
      <c r="GPA36" s="2795"/>
      <c r="GPB36" s="2795"/>
      <c r="GPC36" s="2795"/>
      <c r="GPD36" s="2795"/>
      <c r="GPE36" s="2795"/>
      <c r="GPF36" s="2795"/>
      <c r="GPG36" s="2795"/>
      <c r="GPH36" s="2795"/>
      <c r="GPI36" s="2795"/>
      <c r="GPJ36" s="2795"/>
      <c r="GPK36" s="2795"/>
      <c r="GPL36" s="2795"/>
      <c r="GPM36" s="2795"/>
      <c r="GPN36" s="2795"/>
      <c r="GPO36" s="2795"/>
      <c r="GPP36" s="2795"/>
      <c r="GPQ36" s="2795"/>
      <c r="GPR36" s="2795"/>
      <c r="GPS36" s="2795"/>
      <c r="GPT36" s="2795"/>
      <c r="GPU36" s="2795"/>
      <c r="GPV36" s="2795"/>
      <c r="GPW36" s="2795"/>
      <c r="GPX36" s="2795"/>
      <c r="GPY36" s="2795"/>
      <c r="GPZ36" s="2795"/>
      <c r="GQA36" s="2795"/>
      <c r="GQB36" s="2795"/>
      <c r="GQC36" s="2795"/>
      <c r="GQD36" s="2795"/>
      <c r="GQE36" s="2795"/>
      <c r="GQF36" s="2795"/>
      <c r="GQG36" s="2795"/>
      <c r="GQH36" s="2795"/>
      <c r="GQI36" s="2795"/>
      <c r="GQJ36" s="2795"/>
      <c r="GQK36" s="2795"/>
      <c r="GQL36" s="2795"/>
      <c r="GQM36" s="2795"/>
      <c r="GQN36" s="2795"/>
      <c r="GQO36" s="2795"/>
      <c r="GQP36" s="2795"/>
      <c r="GQQ36" s="2795"/>
      <c r="GQR36" s="2795"/>
      <c r="GQS36" s="2795"/>
      <c r="GQT36" s="2795"/>
      <c r="GQU36" s="2795"/>
      <c r="GQV36" s="2795"/>
      <c r="GQW36" s="2795"/>
      <c r="GQX36" s="2795"/>
      <c r="GQY36" s="2795"/>
      <c r="GQZ36" s="2795"/>
      <c r="GRA36" s="2795"/>
      <c r="GRB36" s="2795"/>
      <c r="GRC36" s="2795"/>
      <c r="GRD36" s="2795"/>
      <c r="GRE36" s="2795"/>
      <c r="GRF36" s="2795"/>
      <c r="GRG36" s="2795"/>
      <c r="GRH36" s="2795"/>
      <c r="GRI36" s="2795"/>
      <c r="GRJ36" s="2795"/>
      <c r="GRK36" s="2795"/>
      <c r="GRL36" s="2795"/>
      <c r="GRM36" s="2795"/>
      <c r="GRN36" s="2795"/>
      <c r="GRO36" s="2795"/>
      <c r="GRP36" s="2795"/>
      <c r="GRQ36" s="2795"/>
      <c r="GRR36" s="2795"/>
      <c r="GRS36" s="2795"/>
      <c r="GRT36" s="2795"/>
      <c r="GRU36" s="2795"/>
      <c r="GRV36" s="2795"/>
      <c r="GRW36" s="2795"/>
      <c r="GRX36" s="2795"/>
      <c r="GRY36" s="2795"/>
      <c r="GRZ36" s="2795"/>
      <c r="GSA36" s="2795"/>
      <c r="GSB36" s="2795"/>
      <c r="GSC36" s="2795"/>
      <c r="GSD36" s="2795"/>
      <c r="GSE36" s="2795"/>
      <c r="GSF36" s="2795"/>
      <c r="GSG36" s="2795"/>
      <c r="GSH36" s="2795"/>
      <c r="GSI36" s="2795"/>
      <c r="GSJ36" s="2795"/>
      <c r="GSK36" s="2795"/>
      <c r="GSL36" s="2795"/>
      <c r="GSM36" s="2795"/>
      <c r="GSN36" s="2795"/>
      <c r="GSO36" s="2795"/>
      <c r="GSP36" s="2795"/>
      <c r="GSQ36" s="2795"/>
      <c r="GSR36" s="2795"/>
      <c r="GSS36" s="2795"/>
      <c r="GST36" s="2795"/>
      <c r="GSU36" s="2795"/>
      <c r="GSV36" s="2795"/>
      <c r="GSW36" s="2795"/>
      <c r="GSX36" s="2795"/>
      <c r="GSY36" s="2795"/>
      <c r="GSZ36" s="2795"/>
      <c r="GTA36" s="2795"/>
      <c r="GTB36" s="2795"/>
      <c r="GTC36" s="2795"/>
      <c r="GTD36" s="2795"/>
      <c r="GTE36" s="2795"/>
      <c r="GTF36" s="2795"/>
      <c r="GTG36" s="2795"/>
      <c r="GTH36" s="2795"/>
      <c r="GTI36" s="2795"/>
      <c r="GTJ36" s="2795"/>
      <c r="GTK36" s="2795"/>
      <c r="GTL36" s="2795"/>
      <c r="GTM36" s="2795"/>
      <c r="GTN36" s="2795"/>
      <c r="GTO36" s="2795"/>
      <c r="GTP36" s="2795"/>
      <c r="GTQ36" s="2795"/>
      <c r="GTR36" s="2795"/>
      <c r="GTS36" s="2795"/>
      <c r="GTT36" s="2795"/>
      <c r="GTU36" s="2795"/>
      <c r="GTV36" s="2795"/>
      <c r="GTW36" s="2795"/>
      <c r="GTX36" s="2795"/>
      <c r="GTY36" s="2795"/>
      <c r="GTZ36" s="2795"/>
      <c r="GUA36" s="2795"/>
      <c r="GUB36" s="2795"/>
      <c r="GUC36" s="2795"/>
      <c r="GUD36" s="2795"/>
      <c r="GUE36" s="2795"/>
      <c r="GUF36" s="2795"/>
      <c r="GUG36" s="2795"/>
      <c r="GUH36" s="2795"/>
      <c r="GUI36" s="2795"/>
      <c r="GUJ36" s="2795"/>
      <c r="GUK36" s="2795"/>
      <c r="GUL36" s="2795"/>
      <c r="GUM36" s="2795"/>
      <c r="GUN36" s="2795"/>
      <c r="GUO36" s="2795"/>
      <c r="GUP36" s="2795"/>
      <c r="GUQ36" s="2795"/>
      <c r="GUR36" s="2795"/>
      <c r="GUS36" s="2795"/>
      <c r="GUT36" s="2795"/>
      <c r="GUU36" s="2795"/>
      <c r="GUV36" s="2795"/>
      <c r="GUW36" s="2795"/>
      <c r="GUX36" s="2795"/>
      <c r="GUY36" s="2795"/>
      <c r="GUZ36" s="2795"/>
      <c r="GVA36" s="2795"/>
      <c r="GVB36" s="2795"/>
      <c r="GVC36" s="2795"/>
      <c r="GVD36" s="2795"/>
      <c r="GVE36" s="2795"/>
      <c r="GVF36" s="2795"/>
      <c r="GVG36" s="2795"/>
      <c r="GVH36" s="2795"/>
      <c r="GVI36" s="2795"/>
      <c r="GVJ36" s="2795"/>
      <c r="GVK36" s="2795"/>
      <c r="GVL36" s="2795"/>
      <c r="GVM36" s="2795"/>
      <c r="GVN36" s="2795"/>
      <c r="GVO36" s="2795"/>
      <c r="GVP36" s="2795"/>
      <c r="GVQ36" s="2795"/>
      <c r="GVR36" s="2795"/>
      <c r="GVS36" s="2795"/>
      <c r="GVT36" s="2795"/>
      <c r="GVU36" s="2795"/>
      <c r="GVV36" s="2795"/>
      <c r="GVW36" s="2795"/>
      <c r="GVX36" s="2795"/>
      <c r="GVY36" s="2795"/>
      <c r="GVZ36" s="2795"/>
      <c r="GWA36" s="2795"/>
      <c r="GWB36" s="2795"/>
      <c r="GWC36" s="2795"/>
      <c r="GWD36" s="2795"/>
      <c r="GWE36" s="2795"/>
      <c r="GWF36" s="2795"/>
      <c r="GWG36" s="2795"/>
      <c r="GWH36" s="2795"/>
      <c r="GWI36" s="2795"/>
      <c r="GWJ36" s="2795"/>
      <c r="GWK36" s="2795"/>
      <c r="GWL36" s="2795"/>
      <c r="GWM36" s="2795"/>
      <c r="GWN36" s="2795"/>
      <c r="GWO36" s="2795"/>
      <c r="GWP36" s="2795"/>
      <c r="GWQ36" s="2795"/>
      <c r="GWR36" s="2795"/>
      <c r="GWS36" s="2795"/>
      <c r="GWT36" s="2795"/>
      <c r="GWU36" s="2795"/>
      <c r="GWV36" s="2795"/>
      <c r="GWW36" s="2795"/>
      <c r="GWX36" s="2795"/>
      <c r="GWY36" s="2795"/>
      <c r="GWZ36" s="2795"/>
      <c r="GXA36" s="2795"/>
      <c r="GXB36" s="2795"/>
      <c r="GXC36" s="2795"/>
      <c r="GXD36" s="2795"/>
      <c r="GXE36" s="2795"/>
      <c r="GXF36" s="2795"/>
      <c r="GXG36" s="2795"/>
      <c r="GXH36" s="2795"/>
      <c r="GXI36" s="2795"/>
      <c r="GXJ36" s="2795"/>
      <c r="GXK36" s="2795"/>
      <c r="GXL36" s="2795"/>
      <c r="GXM36" s="2795"/>
      <c r="GXN36" s="2795"/>
      <c r="GXO36" s="2795"/>
      <c r="GXP36" s="2795"/>
      <c r="GXQ36" s="2795"/>
      <c r="GXR36" s="2795"/>
      <c r="GXS36" s="2795"/>
      <c r="GXT36" s="2795"/>
      <c r="GXU36" s="2795"/>
      <c r="GXV36" s="2795"/>
      <c r="GXW36" s="2795"/>
      <c r="GXX36" s="2795"/>
      <c r="GXY36" s="2795"/>
      <c r="GXZ36" s="2795"/>
      <c r="GYA36" s="2795"/>
      <c r="GYB36" s="2795"/>
      <c r="GYC36" s="2795"/>
      <c r="GYD36" s="2795"/>
      <c r="GYE36" s="2795"/>
      <c r="GYF36" s="2795"/>
      <c r="GYG36" s="2795"/>
      <c r="GYH36" s="2795"/>
      <c r="GYI36" s="2795"/>
      <c r="GYJ36" s="2795"/>
      <c r="GYK36" s="2795"/>
      <c r="GYL36" s="2795"/>
      <c r="GYM36" s="2795"/>
      <c r="GYN36" s="2795"/>
      <c r="GYO36" s="2795"/>
      <c r="GYP36" s="2795"/>
      <c r="GYQ36" s="2795"/>
      <c r="GYR36" s="2795"/>
      <c r="GYS36" s="2795"/>
      <c r="GYT36" s="2795"/>
      <c r="GYU36" s="2795"/>
      <c r="GYV36" s="2795"/>
      <c r="GYW36" s="2795"/>
      <c r="GYX36" s="2795"/>
      <c r="GYY36" s="2795"/>
      <c r="GYZ36" s="2795"/>
      <c r="GZA36" s="2795"/>
      <c r="GZB36" s="2795"/>
      <c r="GZC36" s="2795"/>
      <c r="GZD36" s="2795"/>
      <c r="GZE36" s="2795"/>
      <c r="GZF36" s="2795"/>
      <c r="GZG36" s="2795"/>
      <c r="GZH36" s="2795"/>
      <c r="GZI36" s="2795"/>
      <c r="GZJ36" s="2795"/>
      <c r="GZK36" s="2795"/>
      <c r="GZL36" s="2795"/>
      <c r="GZM36" s="2795"/>
      <c r="GZN36" s="2795"/>
      <c r="GZO36" s="2795"/>
      <c r="GZP36" s="2795"/>
      <c r="GZQ36" s="2795"/>
      <c r="GZR36" s="2795"/>
      <c r="GZS36" s="2795"/>
      <c r="GZT36" s="2795"/>
      <c r="GZU36" s="2795"/>
      <c r="GZV36" s="2795"/>
      <c r="GZW36" s="2795"/>
      <c r="GZX36" s="2795"/>
      <c r="GZY36" s="2795"/>
      <c r="GZZ36" s="2795"/>
      <c r="HAA36" s="2795"/>
      <c r="HAB36" s="2795"/>
      <c r="HAC36" s="2795"/>
      <c r="HAD36" s="2795"/>
      <c r="HAE36" s="2795"/>
      <c r="HAF36" s="2795"/>
      <c r="HAG36" s="2795"/>
      <c r="HAH36" s="2795"/>
      <c r="HAI36" s="2795"/>
      <c r="HAJ36" s="2795"/>
      <c r="HAK36" s="2795"/>
      <c r="HAL36" s="2795"/>
      <c r="HAM36" s="2795"/>
      <c r="HAN36" s="2795"/>
      <c r="HAO36" s="2795"/>
      <c r="HAP36" s="2795"/>
      <c r="HAQ36" s="2795"/>
      <c r="HAR36" s="2795"/>
      <c r="HAS36" s="2795"/>
      <c r="HAT36" s="2795"/>
      <c r="HAU36" s="2795"/>
      <c r="HAV36" s="2795"/>
      <c r="HAW36" s="2795"/>
      <c r="HAX36" s="2795"/>
      <c r="HAY36" s="2795"/>
      <c r="HAZ36" s="2795"/>
      <c r="HBA36" s="2795"/>
      <c r="HBB36" s="2795"/>
      <c r="HBC36" s="2795"/>
      <c r="HBD36" s="2795"/>
      <c r="HBE36" s="2795"/>
      <c r="HBF36" s="2795"/>
      <c r="HBG36" s="2795"/>
      <c r="HBH36" s="2795"/>
      <c r="HBI36" s="2795"/>
      <c r="HBJ36" s="2795"/>
      <c r="HBK36" s="2795"/>
      <c r="HBL36" s="2795"/>
      <c r="HBM36" s="2795"/>
      <c r="HBN36" s="2795"/>
      <c r="HBO36" s="2795"/>
      <c r="HBP36" s="2795"/>
      <c r="HBQ36" s="2795"/>
      <c r="HBR36" s="2795"/>
      <c r="HBS36" s="2795"/>
      <c r="HBT36" s="2795"/>
      <c r="HBU36" s="2795"/>
      <c r="HBV36" s="2795"/>
      <c r="HBW36" s="2795"/>
      <c r="HBX36" s="2795"/>
      <c r="HBY36" s="2795"/>
      <c r="HBZ36" s="2795"/>
      <c r="HCA36" s="2795"/>
      <c r="HCB36" s="2795"/>
      <c r="HCC36" s="2795"/>
      <c r="HCD36" s="2795"/>
      <c r="HCE36" s="2795"/>
      <c r="HCF36" s="2795"/>
      <c r="HCG36" s="2795"/>
      <c r="HCH36" s="2795"/>
      <c r="HCI36" s="2795"/>
      <c r="HCJ36" s="2795"/>
      <c r="HCK36" s="2795"/>
      <c r="HCL36" s="2795"/>
      <c r="HCM36" s="2795"/>
      <c r="HCN36" s="2795"/>
      <c r="HCO36" s="2795"/>
      <c r="HCP36" s="2795"/>
      <c r="HCQ36" s="2795"/>
      <c r="HCR36" s="2795"/>
      <c r="HCS36" s="2795"/>
      <c r="HCT36" s="2795"/>
      <c r="HCU36" s="2795"/>
      <c r="HCV36" s="2795"/>
      <c r="HCW36" s="2795"/>
      <c r="HCX36" s="2795"/>
      <c r="HCY36" s="2795"/>
      <c r="HCZ36" s="2795"/>
      <c r="HDA36" s="2795"/>
      <c r="HDB36" s="2795"/>
      <c r="HDC36" s="2795"/>
      <c r="HDD36" s="2795"/>
      <c r="HDE36" s="2795"/>
      <c r="HDF36" s="2795"/>
      <c r="HDG36" s="2795"/>
      <c r="HDH36" s="2795"/>
      <c r="HDI36" s="2795"/>
      <c r="HDJ36" s="2795"/>
      <c r="HDK36" s="2795"/>
      <c r="HDL36" s="2795"/>
      <c r="HDM36" s="2795"/>
      <c r="HDN36" s="2795"/>
      <c r="HDO36" s="2795"/>
      <c r="HDP36" s="2795"/>
      <c r="HDQ36" s="2795"/>
      <c r="HDR36" s="2795"/>
      <c r="HDS36" s="2795"/>
      <c r="HDT36" s="2795"/>
      <c r="HDU36" s="2795"/>
      <c r="HDV36" s="2795"/>
      <c r="HDW36" s="2795"/>
      <c r="HDX36" s="2795"/>
      <c r="HDY36" s="2795"/>
      <c r="HDZ36" s="2795"/>
      <c r="HEA36" s="2795"/>
      <c r="HEB36" s="2795"/>
      <c r="HEC36" s="2795"/>
      <c r="HED36" s="2795"/>
      <c r="HEE36" s="2795"/>
      <c r="HEF36" s="2795"/>
      <c r="HEG36" s="2795"/>
      <c r="HEH36" s="2795"/>
      <c r="HEI36" s="2795"/>
      <c r="HEJ36" s="2795"/>
      <c r="HEK36" s="2795"/>
      <c r="HEL36" s="2795"/>
      <c r="HEM36" s="2795"/>
      <c r="HEN36" s="2795"/>
      <c r="HEO36" s="2795"/>
      <c r="HEP36" s="2795"/>
      <c r="HEQ36" s="2795"/>
      <c r="HER36" s="2795"/>
      <c r="HES36" s="2795"/>
      <c r="HET36" s="2795"/>
      <c r="HEU36" s="2795"/>
      <c r="HEV36" s="2795"/>
      <c r="HEW36" s="2795"/>
      <c r="HEX36" s="2795"/>
      <c r="HEY36" s="2795"/>
      <c r="HEZ36" s="2795"/>
      <c r="HFA36" s="2795"/>
      <c r="HFB36" s="2795"/>
      <c r="HFC36" s="2795"/>
      <c r="HFD36" s="2795"/>
      <c r="HFE36" s="2795"/>
      <c r="HFF36" s="2795"/>
      <c r="HFG36" s="2795"/>
      <c r="HFH36" s="2795"/>
      <c r="HFI36" s="2795"/>
      <c r="HFJ36" s="2795"/>
      <c r="HFK36" s="2795"/>
      <c r="HFL36" s="2795"/>
      <c r="HFM36" s="2795"/>
      <c r="HFN36" s="2795"/>
      <c r="HFO36" s="2795"/>
      <c r="HFP36" s="2795"/>
      <c r="HFQ36" s="2795"/>
      <c r="HFR36" s="2795"/>
      <c r="HFS36" s="2795"/>
      <c r="HFT36" s="2795"/>
      <c r="HFU36" s="2795"/>
      <c r="HFV36" s="2795"/>
      <c r="HFW36" s="2795"/>
      <c r="HFX36" s="2795"/>
      <c r="HFY36" s="2795"/>
      <c r="HFZ36" s="2795"/>
      <c r="HGA36" s="2795"/>
      <c r="HGB36" s="2795"/>
      <c r="HGC36" s="2795"/>
      <c r="HGD36" s="2795"/>
      <c r="HGE36" s="2795"/>
      <c r="HGF36" s="2795"/>
      <c r="HGG36" s="2795"/>
      <c r="HGH36" s="2795"/>
      <c r="HGI36" s="2795"/>
      <c r="HGJ36" s="2795"/>
      <c r="HGK36" s="2795"/>
      <c r="HGL36" s="2795"/>
      <c r="HGM36" s="2795"/>
      <c r="HGN36" s="2795"/>
      <c r="HGO36" s="2795"/>
      <c r="HGP36" s="2795"/>
      <c r="HGQ36" s="2795"/>
      <c r="HGR36" s="2795"/>
      <c r="HGS36" s="2795"/>
      <c r="HGT36" s="2795"/>
      <c r="HGU36" s="2795"/>
      <c r="HGV36" s="2795"/>
      <c r="HGW36" s="2795"/>
      <c r="HGX36" s="2795"/>
      <c r="HGY36" s="2795"/>
      <c r="HGZ36" s="2795"/>
      <c r="HHA36" s="2795"/>
      <c r="HHB36" s="2795"/>
      <c r="HHC36" s="2795"/>
      <c r="HHD36" s="2795"/>
      <c r="HHE36" s="2795"/>
      <c r="HHF36" s="2795"/>
      <c r="HHG36" s="2795"/>
      <c r="HHH36" s="2795"/>
      <c r="HHI36" s="2795"/>
      <c r="HHJ36" s="2795"/>
      <c r="HHK36" s="2795"/>
      <c r="HHL36" s="2795"/>
      <c r="HHM36" s="2795"/>
      <c r="HHN36" s="2795"/>
      <c r="HHO36" s="2795"/>
      <c r="HHP36" s="2795"/>
      <c r="HHQ36" s="2795"/>
      <c r="HHR36" s="2795"/>
      <c r="HHS36" s="2795"/>
      <c r="HHT36" s="2795"/>
      <c r="HHU36" s="2795"/>
      <c r="HHV36" s="2795"/>
      <c r="HHW36" s="2795"/>
      <c r="HHX36" s="2795"/>
      <c r="HHY36" s="2795"/>
      <c r="HHZ36" s="2795"/>
      <c r="HIA36" s="2795"/>
      <c r="HIB36" s="2795"/>
      <c r="HIC36" s="2795"/>
      <c r="HID36" s="2795"/>
      <c r="HIE36" s="2795"/>
      <c r="HIF36" s="2795"/>
      <c r="HIG36" s="2795"/>
      <c r="HIH36" s="2795"/>
      <c r="HII36" s="2795"/>
      <c r="HIJ36" s="2795"/>
      <c r="HIK36" s="2795"/>
      <c r="HIL36" s="2795"/>
      <c r="HIM36" s="2795"/>
      <c r="HIN36" s="2795"/>
      <c r="HIO36" s="2795"/>
      <c r="HIP36" s="2795"/>
      <c r="HIQ36" s="2795"/>
      <c r="HIR36" s="2795"/>
      <c r="HIS36" s="2795"/>
      <c r="HIT36" s="2795"/>
      <c r="HIU36" s="2795"/>
      <c r="HIV36" s="2795"/>
      <c r="HIW36" s="2795"/>
      <c r="HIX36" s="2795"/>
      <c r="HIY36" s="2795"/>
      <c r="HIZ36" s="2795"/>
      <c r="HJA36" s="2795"/>
      <c r="HJB36" s="2795"/>
      <c r="HJC36" s="2795"/>
      <c r="HJD36" s="2795"/>
      <c r="HJE36" s="2795"/>
      <c r="HJF36" s="2795"/>
      <c r="HJG36" s="2795"/>
      <c r="HJH36" s="2795"/>
      <c r="HJI36" s="2795"/>
      <c r="HJJ36" s="2795"/>
      <c r="HJK36" s="2795"/>
      <c r="HJL36" s="2795"/>
      <c r="HJM36" s="2795"/>
      <c r="HJN36" s="2795"/>
      <c r="HJO36" s="2795"/>
      <c r="HJP36" s="2795"/>
      <c r="HJQ36" s="2795"/>
      <c r="HJR36" s="2795"/>
      <c r="HJS36" s="2795"/>
      <c r="HJT36" s="2795"/>
      <c r="HJU36" s="2795"/>
      <c r="HJV36" s="2795"/>
      <c r="HJW36" s="2795"/>
      <c r="HJX36" s="2795"/>
      <c r="HJY36" s="2795"/>
      <c r="HJZ36" s="2795"/>
      <c r="HKA36" s="2795"/>
      <c r="HKB36" s="2795"/>
      <c r="HKC36" s="2795"/>
      <c r="HKD36" s="2795"/>
      <c r="HKE36" s="2795"/>
      <c r="HKF36" s="2795"/>
      <c r="HKG36" s="2795"/>
      <c r="HKH36" s="2795"/>
      <c r="HKI36" s="2795"/>
      <c r="HKJ36" s="2795"/>
      <c r="HKK36" s="2795"/>
      <c r="HKL36" s="2795"/>
      <c r="HKM36" s="2795"/>
      <c r="HKN36" s="2795"/>
      <c r="HKO36" s="2795"/>
      <c r="HKP36" s="2795"/>
      <c r="HKQ36" s="2795"/>
      <c r="HKR36" s="2795"/>
      <c r="HKS36" s="2795"/>
      <c r="HKT36" s="2795"/>
      <c r="HKU36" s="2795"/>
      <c r="HKV36" s="2795"/>
      <c r="HKW36" s="2795"/>
      <c r="HKX36" s="2795"/>
      <c r="HKY36" s="2795"/>
      <c r="HKZ36" s="2795"/>
      <c r="HLA36" s="2795"/>
      <c r="HLB36" s="2795"/>
      <c r="HLC36" s="2795"/>
      <c r="HLD36" s="2795"/>
      <c r="HLE36" s="2795"/>
      <c r="HLF36" s="2795"/>
      <c r="HLG36" s="2795"/>
      <c r="HLH36" s="2795"/>
      <c r="HLI36" s="2795"/>
      <c r="HLJ36" s="2795"/>
      <c r="HLK36" s="2795"/>
      <c r="HLL36" s="2795"/>
      <c r="HLM36" s="2795"/>
      <c r="HLN36" s="2795"/>
      <c r="HLO36" s="2795"/>
      <c r="HLP36" s="2795"/>
      <c r="HLQ36" s="2795"/>
      <c r="HLR36" s="2795"/>
      <c r="HLS36" s="2795"/>
      <c r="HLT36" s="2795"/>
      <c r="HLU36" s="2795"/>
      <c r="HLV36" s="2795"/>
      <c r="HLW36" s="2795"/>
      <c r="HLX36" s="2795"/>
      <c r="HLY36" s="2795"/>
      <c r="HLZ36" s="2795"/>
      <c r="HMA36" s="2795"/>
      <c r="HMB36" s="2795"/>
      <c r="HMC36" s="2795"/>
      <c r="HMD36" s="2795"/>
      <c r="HME36" s="2795"/>
      <c r="HMF36" s="2795"/>
      <c r="HMG36" s="2795"/>
      <c r="HMH36" s="2795"/>
      <c r="HMI36" s="2795"/>
      <c r="HMJ36" s="2795"/>
      <c r="HMK36" s="2795"/>
      <c r="HML36" s="2795"/>
      <c r="HMM36" s="2795"/>
      <c r="HMN36" s="2795"/>
      <c r="HMO36" s="2795"/>
      <c r="HMP36" s="2795"/>
      <c r="HMQ36" s="2795"/>
      <c r="HMR36" s="2795"/>
      <c r="HMS36" s="2795"/>
      <c r="HMT36" s="2795"/>
      <c r="HMU36" s="2795"/>
      <c r="HMV36" s="2795"/>
      <c r="HMW36" s="2795"/>
      <c r="HMX36" s="2795"/>
      <c r="HMY36" s="2795"/>
      <c r="HMZ36" s="2795"/>
      <c r="HNA36" s="2795"/>
      <c r="HNB36" s="2795"/>
      <c r="HNC36" s="2795"/>
      <c r="HND36" s="2795"/>
      <c r="HNE36" s="2795"/>
      <c r="HNF36" s="2795"/>
      <c r="HNG36" s="2795"/>
      <c r="HNH36" s="2795"/>
      <c r="HNI36" s="2795"/>
      <c r="HNJ36" s="2795"/>
      <c r="HNK36" s="2795"/>
      <c r="HNL36" s="2795"/>
      <c r="HNM36" s="2795"/>
      <c r="HNN36" s="2795"/>
      <c r="HNO36" s="2795"/>
      <c r="HNP36" s="2795"/>
      <c r="HNQ36" s="2795"/>
      <c r="HNR36" s="2795"/>
      <c r="HNS36" s="2795"/>
      <c r="HNT36" s="2795"/>
      <c r="HNU36" s="2795"/>
      <c r="HNV36" s="2795"/>
      <c r="HNW36" s="2795"/>
      <c r="HNX36" s="2795"/>
      <c r="HNY36" s="2795"/>
      <c r="HNZ36" s="2795"/>
      <c r="HOA36" s="2795"/>
      <c r="HOB36" s="2795"/>
      <c r="HOC36" s="2795"/>
      <c r="HOD36" s="2795"/>
      <c r="HOE36" s="2795"/>
      <c r="HOF36" s="2795"/>
      <c r="HOG36" s="2795"/>
      <c r="HOH36" s="2795"/>
      <c r="HOI36" s="2795"/>
      <c r="HOJ36" s="2795"/>
      <c r="HOK36" s="2795"/>
      <c r="HOL36" s="2795"/>
      <c r="HOM36" s="2795"/>
      <c r="HON36" s="2795"/>
      <c r="HOO36" s="2795"/>
      <c r="HOP36" s="2795"/>
      <c r="HOQ36" s="2795"/>
      <c r="HOR36" s="2795"/>
      <c r="HOS36" s="2795"/>
      <c r="HOT36" s="2795"/>
      <c r="HOU36" s="2795"/>
      <c r="HOV36" s="2795"/>
      <c r="HOW36" s="2795"/>
      <c r="HOX36" s="2795"/>
      <c r="HOY36" s="2795"/>
      <c r="HOZ36" s="2795"/>
      <c r="HPA36" s="2795"/>
      <c r="HPB36" s="2795"/>
      <c r="HPC36" s="2795"/>
      <c r="HPD36" s="2795"/>
      <c r="HPE36" s="2795"/>
      <c r="HPF36" s="2795"/>
      <c r="HPG36" s="2795"/>
      <c r="HPH36" s="2795"/>
      <c r="HPI36" s="2795"/>
      <c r="HPJ36" s="2795"/>
      <c r="HPK36" s="2795"/>
      <c r="HPL36" s="2795"/>
      <c r="HPM36" s="2795"/>
      <c r="HPN36" s="2795"/>
      <c r="HPO36" s="2795"/>
      <c r="HPP36" s="2795"/>
      <c r="HPQ36" s="2795"/>
      <c r="HPR36" s="2795"/>
      <c r="HPS36" s="2795"/>
      <c r="HPT36" s="2795"/>
      <c r="HPU36" s="2795"/>
      <c r="HPV36" s="2795"/>
      <c r="HPW36" s="2795"/>
      <c r="HPX36" s="2795"/>
      <c r="HPY36" s="2795"/>
      <c r="HPZ36" s="2795"/>
      <c r="HQA36" s="2795"/>
      <c r="HQB36" s="2795"/>
      <c r="HQC36" s="2795"/>
      <c r="HQD36" s="2795"/>
      <c r="HQE36" s="2795"/>
      <c r="HQF36" s="2795"/>
      <c r="HQG36" s="2795"/>
      <c r="HQH36" s="2795"/>
      <c r="HQI36" s="2795"/>
      <c r="HQJ36" s="2795"/>
      <c r="HQK36" s="2795"/>
      <c r="HQL36" s="2795"/>
      <c r="HQM36" s="2795"/>
      <c r="HQN36" s="2795"/>
      <c r="HQO36" s="2795"/>
      <c r="HQP36" s="2795"/>
      <c r="HQQ36" s="2795"/>
      <c r="HQR36" s="2795"/>
      <c r="HQS36" s="2795"/>
      <c r="HQT36" s="2795"/>
      <c r="HQU36" s="2795"/>
      <c r="HQV36" s="2795"/>
      <c r="HQW36" s="2795"/>
      <c r="HQX36" s="2795"/>
      <c r="HQY36" s="2795"/>
      <c r="HQZ36" s="2795"/>
      <c r="HRA36" s="2795"/>
      <c r="HRB36" s="2795"/>
      <c r="HRC36" s="2795"/>
      <c r="HRD36" s="2795"/>
      <c r="HRE36" s="2795"/>
      <c r="HRF36" s="2795"/>
      <c r="HRG36" s="2795"/>
      <c r="HRH36" s="2795"/>
      <c r="HRI36" s="2795"/>
      <c r="HRJ36" s="2795"/>
      <c r="HRK36" s="2795"/>
      <c r="HRL36" s="2795"/>
      <c r="HRM36" s="2795"/>
      <c r="HRN36" s="2795"/>
      <c r="HRO36" s="2795"/>
      <c r="HRP36" s="2795"/>
      <c r="HRQ36" s="2795"/>
      <c r="HRR36" s="2795"/>
      <c r="HRS36" s="2795"/>
      <c r="HRT36" s="2795"/>
      <c r="HRU36" s="2795"/>
      <c r="HRV36" s="2795"/>
      <c r="HRW36" s="2795"/>
      <c r="HRX36" s="2795"/>
      <c r="HRY36" s="2795"/>
      <c r="HRZ36" s="2795"/>
      <c r="HSA36" s="2795"/>
      <c r="HSB36" s="2795"/>
      <c r="HSC36" s="2795"/>
      <c r="HSD36" s="2795"/>
      <c r="HSE36" s="2795"/>
      <c r="HSF36" s="2795"/>
      <c r="HSG36" s="2795"/>
      <c r="HSH36" s="2795"/>
      <c r="HSI36" s="2795"/>
      <c r="HSJ36" s="2795"/>
      <c r="HSK36" s="2795"/>
      <c r="HSL36" s="2795"/>
      <c r="HSM36" s="2795"/>
      <c r="HSN36" s="2795"/>
      <c r="HSO36" s="2795"/>
      <c r="HSP36" s="2795"/>
      <c r="HSQ36" s="2795"/>
      <c r="HSR36" s="2795"/>
      <c r="HSS36" s="2795"/>
      <c r="HST36" s="2795"/>
      <c r="HSU36" s="2795"/>
      <c r="HSV36" s="2795"/>
      <c r="HSW36" s="2795"/>
      <c r="HSX36" s="2795"/>
      <c r="HSY36" s="2795"/>
      <c r="HSZ36" s="2795"/>
      <c r="HTA36" s="2795"/>
      <c r="HTB36" s="2795"/>
      <c r="HTC36" s="2795"/>
      <c r="HTD36" s="2795"/>
      <c r="HTE36" s="2795"/>
      <c r="HTF36" s="2795"/>
      <c r="HTG36" s="2795"/>
      <c r="HTH36" s="2795"/>
      <c r="HTI36" s="2795"/>
      <c r="HTJ36" s="2795"/>
      <c r="HTK36" s="2795"/>
      <c r="HTL36" s="2795"/>
      <c r="HTM36" s="2795"/>
      <c r="HTN36" s="2795"/>
      <c r="HTO36" s="2795"/>
      <c r="HTP36" s="2795"/>
      <c r="HTQ36" s="2795"/>
      <c r="HTR36" s="2795"/>
      <c r="HTS36" s="2795"/>
      <c r="HTT36" s="2795"/>
      <c r="HTU36" s="2795"/>
      <c r="HTV36" s="2795"/>
      <c r="HTW36" s="2795"/>
      <c r="HTX36" s="2795"/>
      <c r="HTY36" s="2795"/>
      <c r="HTZ36" s="2795"/>
      <c r="HUA36" s="2795"/>
      <c r="HUB36" s="2795"/>
      <c r="HUC36" s="2795"/>
      <c r="HUD36" s="2795"/>
      <c r="HUE36" s="2795"/>
      <c r="HUF36" s="2795"/>
      <c r="HUG36" s="2795"/>
      <c r="HUH36" s="2795"/>
      <c r="HUI36" s="2795"/>
      <c r="HUJ36" s="2795"/>
      <c r="HUK36" s="2795"/>
      <c r="HUL36" s="2795"/>
      <c r="HUM36" s="2795"/>
      <c r="HUN36" s="2795"/>
      <c r="HUO36" s="2795"/>
      <c r="HUP36" s="2795"/>
      <c r="HUQ36" s="2795"/>
      <c r="HUR36" s="2795"/>
      <c r="HUS36" s="2795"/>
      <c r="HUT36" s="2795"/>
      <c r="HUU36" s="2795"/>
      <c r="HUV36" s="2795"/>
      <c r="HUW36" s="2795"/>
      <c r="HUX36" s="2795"/>
      <c r="HUY36" s="2795"/>
      <c r="HUZ36" s="2795"/>
      <c r="HVA36" s="2795"/>
      <c r="HVB36" s="2795"/>
      <c r="HVC36" s="2795"/>
      <c r="HVD36" s="2795"/>
      <c r="HVE36" s="2795"/>
      <c r="HVF36" s="2795"/>
      <c r="HVG36" s="2795"/>
      <c r="HVH36" s="2795"/>
      <c r="HVI36" s="2795"/>
      <c r="HVJ36" s="2795"/>
      <c r="HVK36" s="2795"/>
      <c r="HVL36" s="2795"/>
      <c r="HVM36" s="2795"/>
      <c r="HVN36" s="2795"/>
      <c r="HVO36" s="2795"/>
      <c r="HVP36" s="2795"/>
      <c r="HVQ36" s="2795"/>
      <c r="HVR36" s="2795"/>
      <c r="HVS36" s="2795"/>
      <c r="HVT36" s="2795"/>
      <c r="HVU36" s="2795"/>
      <c r="HVV36" s="2795"/>
      <c r="HVW36" s="2795"/>
      <c r="HVX36" s="2795"/>
      <c r="HVY36" s="2795"/>
      <c r="HVZ36" s="2795"/>
      <c r="HWA36" s="2795"/>
      <c r="HWB36" s="2795"/>
      <c r="HWC36" s="2795"/>
      <c r="HWD36" s="2795"/>
      <c r="HWE36" s="2795"/>
      <c r="HWF36" s="2795"/>
      <c r="HWG36" s="2795"/>
      <c r="HWH36" s="2795"/>
      <c r="HWI36" s="2795"/>
      <c r="HWJ36" s="2795"/>
      <c r="HWK36" s="2795"/>
      <c r="HWL36" s="2795"/>
      <c r="HWM36" s="2795"/>
      <c r="HWN36" s="2795"/>
      <c r="HWO36" s="2795"/>
      <c r="HWP36" s="2795"/>
      <c r="HWQ36" s="2795"/>
      <c r="HWR36" s="2795"/>
      <c r="HWS36" s="2795"/>
      <c r="HWT36" s="2795"/>
      <c r="HWU36" s="2795"/>
      <c r="HWV36" s="2795"/>
      <c r="HWW36" s="2795"/>
      <c r="HWX36" s="2795"/>
      <c r="HWY36" s="2795"/>
      <c r="HWZ36" s="2795"/>
      <c r="HXA36" s="2795"/>
      <c r="HXB36" s="2795"/>
      <c r="HXC36" s="2795"/>
      <c r="HXD36" s="2795"/>
      <c r="HXE36" s="2795"/>
      <c r="HXF36" s="2795"/>
      <c r="HXG36" s="2795"/>
      <c r="HXH36" s="2795"/>
      <c r="HXI36" s="2795"/>
      <c r="HXJ36" s="2795"/>
      <c r="HXK36" s="2795"/>
      <c r="HXL36" s="2795"/>
      <c r="HXM36" s="2795"/>
      <c r="HXN36" s="2795"/>
      <c r="HXO36" s="2795"/>
      <c r="HXP36" s="2795"/>
      <c r="HXQ36" s="2795"/>
      <c r="HXR36" s="2795"/>
      <c r="HXS36" s="2795"/>
      <c r="HXT36" s="2795"/>
      <c r="HXU36" s="2795"/>
      <c r="HXV36" s="2795"/>
      <c r="HXW36" s="2795"/>
      <c r="HXX36" s="2795"/>
      <c r="HXY36" s="2795"/>
      <c r="HXZ36" s="2795"/>
      <c r="HYA36" s="2795"/>
      <c r="HYB36" s="2795"/>
      <c r="HYC36" s="2795"/>
      <c r="HYD36" s="2795"/>
      <c r="HYE36" s="2795"/>
      <c r="HYF36" s="2795"/>
      <c r="HYG36" s="2795"/>
      <c r="HYH36" s="2795"/>
      <c r="HYI36" s="2795"/>
      <c r="HYJ36" s="2795"/>
      <c r="HYK36" s="2795"/>
      <c r="HYL36" s="2795"/>
      <c r="HYM36" s="2795"/>
      <c r="HYN36" s="2795"/>
      <c r="HYO36" s="2795"/>
      <c r="HYP36" s="2795"/>
      <c r="HYQ36" s="2795"/>
      <c r="HYR36" s="2795"/>
      <c r="HYS36" s="2795"/>
      <c r="HYT36" s="2795"/>
      <c r="HYU36" s="2795"/>
      <c r="HYV36" s="2795"/>
      <c r="HYW36" s="2795"/>
      <c r="HYX36" s="2795"/>
      <c r="HYY36" s="2795"/>
      <c r="HYZ36" s="2795"/>
      <c r="HZA36" s="2795"/>
      <c r="HZB36" s="2795"/>
      <c r="HZC36" s="2795"/>
      <c r="HZD36" s="2795"/>
      <c r="HZE36" s="2795"/>
      <c r="HZF36" s="2795"/>
      <c r="HZG36" s="2795"/>
      <c r="HZH36" s="2795"/>
      <c r="HZI36" s="2795"/>
      <c r="HZJ36" s="2795"/>
      <c r="HZK36" s="2795"/>
      <c r="HZL36" s="2795"/>
      <c r="HZM36" s="2795"/>
      <c r="HZN36" s="2795"/>
      <c r="HZO36" s="2795"/>
      <c r="HZP36" s="2795"/>
      <c r="HZQ36" s="2795"/>
      <c r="HZR36" s="2795"/>
      <c r="HZS36" s="2795"/>
      <c r="HZT36" s="2795"/>
      <c r="HZU36" s="2795"/>
      <c r="HZV36" s="2795"/>
      <c r="HZW36" s="2795"/>
      <c r="HZX36" s="2795"/>
      <c r="HZY36" s="2795"/>
      <c r="HZZ36" s="2795"/>
      <c r="IAA36" s="2795"/>
      <c r="IAB36" s="2795"/>
      <c r="IAC36" s="2795"/>
      <c r="IAD36" s="2795"/>
      <c r="IAE36" s="2795"/>
      <c r="IAF36" s="2795"/>
      <c r="IAG36" s="2795"/>
      <c r="IAH36" s="2795"/>
      <c r="IAI36" s="2795"/>
      <c r="IAJ36" s="2795"/>
      <c r="IAK36" s="2795"/>
      <c r="IAL36" s="2795"/>
      <c r="IAM36" s="2795"/>
      <c r="IAN36" s="2795"/>
      <c r="IAO36" s="2795"/>
      <c r="IAP36" s="2795"/>
      <c r="IAQ36" s="2795"/>
      <c r="IAR36" s="2795"/>
      <c r="IAS36" s="2795"/>
      <c r="IAT36" s="2795"/>
      <c r="IAU36" s="2795"/>
      <c r="IAV36" s="2795"/>
      <c r="IAW36" s="2795"/>
      <c r="IAX36" s="2795"/>
      <c r="IAY36" s="2795"/>
      <c r="IAZ36" s="2795"/>
      <c r="IBA36" s="2795"/>
      <c r="IBB36" s="2795"/>
      <c r="IBC36" s="2795"/>
      <c r="IBD36" s="2795"/>
      <c r="IBE36" s="2795"/>
      <c r="IBF36" s="2795"/>
      <c r="IBG36" s="2795"/>
      <c r="IBH36" s="2795"/>
      <c r="IBI36" s="2795"/>
      <c r="IBJ36" s="2795"/>
      <c r="IBK36" s="2795"/>
      <c r="IBL36" s="2795"/>
      <c r="IBM36" s="2795"/>
      <c r="IBN36" s="2795"/>
      <c r="IBO36" s="2795"/>
      <c r="IBP36" s="2795"/>
      <c r="IBQ36" s="2795"/>
      <c r="IBR36" s="2795"/>
      <c r="IBS36" s="2795"/>
      <c r="IBT36" s="2795"/>
      <c r="IBU36" s="2795"/>
      <c r="IBV36" s="2795"/>
      <c r="IBW36" s="2795"/>
      <c r="IBX36" s="2795"/>
      <c r="IBY36" s="2795"/>
      <c r="IBZ36" s="2795"/>
      <c r="ICA36" s="2795"/>
      <c r="ICB36" s="2795"/>
      <c r="ICC36" s="2795"/>
      <c r="ICD36" s="2795"/>
      <c r="ICE36" s="2795"/>
      <c r="ICF36" s="2795"/>
      <c r="ICG36" s="2795"/>
      <c r="ICH36" s="2795"/>
      <c r="ICI36" s="2795"/>
      <c r="ICJ36" s="2795"/>
      <c r="ICK36" s="2795"/>
      <c r="ICL36" s="2795"/>
      <c r="ICM36" s="2795"/>
      <c r="ICN36" s="2795"/>
      <c r="ICO36" s="2795"/>
      <c r="ICP36" s="2795"/>
      <c r="ICQ36" s="2795"/>
      <c r="ICR36" s="2795"/>
      <c r="ICS36" s="2795"/>
      <c r="ICT36" s="2795"/>
      <c r="ICU36" s="2795"/>
      <c r="ICV36" s="2795"/>
      <c r="ICW36" s="2795"/>
      <c r="ICX36" s="2795"/>
      <c r="ICY36" s="2795"/>
      <c r="ICZ36" s="2795"/>
      <c r="IDA36" s="2795"/>
      <c r="IDB36" s="2795"/>
      <c r="IDC36" s="2795"/>
      <c r="IDD36" s="2795"/>
      <c r="IDE36" s="2795"/>
      <c r="IDF36" s="2795"/>
      <c r="IDG36" s="2795"/>
      <c r="IDH36" s="2795"/>
      <c r="IDI36" s="2795"/>
      <c r="IDJ36" s="2795"/>
      <c r="IDK36" s="2795"/>
      <c r="IDL36" s="2795"/>
      <c r="IDM36" s="2795"/>
      <c r="IDN36" s="2795"/>
      <c r="IDO36" s="2795"/>
      <c r="IDP36" s="2795"/>
      <c r="IDQ36" s="2795"/>
      <c r="IDR36" s="2795"/>
      <c r="IDS36" s="2795"/>
      <c r="IDT36" s="2795"/>
      <c r="IDU36" s="2795"/>
      <c r="IDV36" s="2795"/>
      <c r="IDW36" s="2795"/>
      <c r="IDX36" s="2795"/>
      <c r="IDY36" s="2795"/>
      <c r="IDZ36" s="2795"/>
      <c r="IEA36" s="2795"/>
      <c r="IEB36" s="2795"/>
      <c r="IEC36" s="2795"/>
      <c r="IED36" s="2795"/>
      <c r="IEE36" s="2795"/>
      <c r="IEF36" s="2795"/>
      <c r="IEG36" s="2795"/>
      <c r="IEH36" s="2795"/>
      <c r="IEI36" s="2795"/>
      <c r="IEJ36" s="2795"/>
      <c r="IEK36" s="2795"/>
      <c r="IEL36" s="2795"/>
      <c r="IEM36" s="2795"/>
      <c r="IEN36" s="2795"/>
      <c r="IEO36" s="2795"/>
      <c r="IEP36" s="2795"/>
      <c r="IEQ36" s="2795"/>
      <c r="IER36" s="2795"/>
      <c r="IES36" s="2795"/>
      <c r="IET36" s="2795"/>
      <c r="IEU36" s="2795"/>
      <c r="IEV36" s="2795"/>
      <c r="IEW36" s="2795"/>
      <c r="IEX36" s="2795"/>
      <c r="IEY36" s="2795"/>
      <c r="IEZ36" s="2795"/>
      <c r="IFA36" s="2795"/>
      <c r="IFB36" s="2795"/>
      <c r="IFC36" s="2795"/>
      <c r="IFD36" s="2795"/>
      <c r="IFE36" s="2795"/>
      <c r="IFF36" s="2795"/>
      <c r="IFG36" s="2795"/>
      <c r="IFH36" s="2795"/>
      <c r="IFI36" s="2795"/>
      <c r="IFJ36" s="2795"/>
      <c r="IFK36" s="2795"/>
      <c r="IFL36" s="2795"/>
      <c r="IFM36" s="2795"/>
      <c r="IFN36" s="2795"/>
      <c r="IFO36" s="2795"/>
      <c r="IFP36" s="2795"/>
      <c r="IFQ36" s="2795"/>
      <c r="IFR36" s="2795"/>
      <c r="IFS36" s="2795"/>
      <c r="IFT36" s="2795"/>
      <c r="IFU36" s="2795"/>
      <c r="IFV36" s="2795"/>
      <c r="IFW36" s="2795"/>
      <c r="IFX36" s="2795"/>
      <c r="IFY36" s="2795"/>
      <c r="IFZ36" s="2795"/>
      <c r="IGA36" s="2795"/>
      <c r="IGB36" s="2795"/>
      <c r="IGC36" s="2795"/>
      <c r="IGD36" s="2795"/>
      <c r="IGE36" s="2795"/>
      <c r="IGF36" s="2795"/>
      <c r="IGG36" s="2795"/>
      <c r="IGH36" s="2795"/>
      <c r="IGI36" s="2795"/>
      <c r="IGJ36" s="2795"/>
      <c r="IGK36" s="2795"/>
      <c r="IGL36" s="2795"/>
      <c r="IGM36" s="2795"/>
      <c r="IGN36" s="2795"/>
      <c r="IGO36" s="2795"/>
      <c r="IGP36" s="2795"/>
      <c r="IGQ36" s="2795"/>
      <c r="IGR36" s="2795"/>
      <c r="IGS36" s="2795"/>
      <c r="IGT36" s="2795"/>
      <c r="IGU36" s="2795"/>
      <c r="IGV36" s="2795"/>
      <c r="IGW36" s="2795"/>
      <c r="IGX36" s="2795"/>
      <c r="IGY36" s="2795"/>
      <c r="IGZ36" s="2795"/>
      <c r="IHA36" s="2795"/>
      <c r="IHB36" s="2795"/>
      <c r="IHC36" s="2795"/>
      <c r="IHD36" s="2795"/>
      <c r="IHE36" s="2795"/>
      <c r="IHF36" s="2795"/>
      <c r="IHG36" s="2795"/>
      <c r="IHH36" s="2795"/>
      <c r="IHI36" s="2795"/>
      <c r="IHJ36" s="2795"/>
      <c r="IHK36" s="2795"/>
      <c r="IHL36" s="2795"/>
      <c r="IHM36" s="2795"/>
      <c r="IHN36" s="2795"/>
      <c r="IHO36" s="2795"/>
      <c r="IHP36" s="2795"/>
      <c r="IHQ36" s="2795"/>
      <c r="IHR36" s="2795"/>
      <c r="IHS36" s="2795"/>
      <c r="IHT36" s="2795"/>
      <c r="IHU36" s="2795"/>
      <c r="IHV36" s="2795"/>
      <c r="IHW36" s="2795"/>
      <c r="IHX36" s="2795"/>
      <c r="IHY36" s="2795"/>
      <c r="IHZ36" s="2795"/>
      <c r="IIA36" s="2795"/>
      <c r="IIB36" s="2795"/>
      <c r="IIC36" s="2795"/>
      <c r="IID36" s="2795"/>
      <c r="IIE36" s="2795"/>
      <c r="IIF36" s="2795"/>
      <c r="IIG36" s="2795"/>
      <c r="IIH36" s="2795"/>
      <c r="III36" s="2795"/>
      <c r="IIJ36" s="2795"/>
      <c r="IIK36" s="2795"/>
      <c r="IIL36" s="2795"/>
      <c r="IIM36" s="2795"/>
      <c r="IIN36" s="2795"/>
      <c r="IIO36" s="2795"/>
      <c r="IIP36" s="2795"/>
      <c r="IIQ36" s="2795"/>
      <c r="IIR36" s="2795"/>
      <c r="IIS36" s="2795"/>
      <c r="IIT36" s="2795"/>
      <c r="IIU36" s="2795"/>
      <c r="IIV36" s="2795"/>
      <c r="IIW36" s="2795"/>
      <c r="IIX36" s="2795"/>
      <c r="IIY36" s="2795"/>
      <c r="IIZ36" s="2795"/>
      <c r="IJA36" s="2795"/>
      <c r="IJB36" s="2795"/>
      <c r="IJC36" s="2795"/>
      <c r="IJD36" s="2795"/>
      <c r="IJE36" s="2795"/>
      <c r="IJF36" s="2795"/>
      <c r="IJG36" s="2795"/>
      <c r="IJH36" s="2795"/>
      <c r="IJI36" s="2795"/>
      <c r="IJJ36" s="2795"/>
      <c r="IJK36" s="2795"/>
      <c r="IJL36" s="2795"/>
      <c r="IJM36" s="2795"/>
      <c r="IJN36" s="2795"/>
      <c r="IJO36" s="2795"/>
      <c r="IJP36" s="2795"/>
      <c r="IJQ36" s="2795"/>
      <c r="IJR36" s="2795"/>
      <c r="IJS36" s="2795"/>
      <c r="IJT36" s="2795"/>
      <c r="IJU36" s="2795"/>
      <c r="IJV36" s="2795"/>
      <c r="IJW36" s="2795"/>
      <c r="IJX36" s="2795"/>
      <c r="IJY36" s="2795"/>
      <c r="IJZ36" s="2795"/>
      <c r="IKA36" s="2795"/>
      <c r="IKB36" s="2795"/>
      <c r="IKC36" s="2795"/>
      <c r="IKD36" s="2795"/>
      <c r="IKE36" s="2795"/>
      <c r="IKF36" s="2795"/>
      <c r="IKG36" s="2795"/>
      <c r="IKH36" s="2795"/>
      <c r="IKI36" s="2795"/>
      <c r="IKJ36" s="2795"/>
      <c r="IKK36" s="2795"/>
      <c r="IKL36" s="2795"/>
      <c r="IKM36" s="2795"/>
      <c r="IKN36" s="2795"/>
      <c r="IKO36" s="2795"/>
      <c r="IKP36" s="2795"/>
      <c r="IKQ36" s="2795"/>
      <c r="IKR36" s="2795"/>
      <c r="IKS36" s="2795"/>
      <c r="IKT36" s="2795"/>
      <c r="IKU36" s="2795"/>
      <c r="IKV36" s="2795"/>
      <c r="IKW36" s="2795"/>
      <c r="IKX36" s="2795"/>
      <c r="IKY36" s="2795"/>
      <c r="IKZ36" s="2795"/>
      <c r="ILA36" s="2795"/>
      <c r="ILB36" s="2795"/>
      <c r="ILC36" s="2795"/>
      <c r="ILD36" s="2795"/>
      <c r="ILE36" s="2795"/>
      <c r="ILF36" s="2795"/>
      <c r="ILG36" s="2795"/>
      <c r="ILH36" s="2795"/>
      <c r="ILI36" s="2795"/>
      <c r="ILJ36" s="2795"/>
      <c r="ILK36" s="2795"/>
      <c r="ILL36" s="2795"/>
      <c r="ILM36" s="2795"/>
      <c r="ILN36" s="2795"/>
      <c r="ILO36" s="2795"/>
      <c r="ILP36" s="2795"/>
      <c r="ILQ36" s="2795"/>
      <c r="ILR36" s="2795"/>
      <c r="ILS36" s="2795"/>
      <c r="ILT36" s="2795"/>
      <c r="ILU36" s="2795"/>
      <c r="ILV36" s="2795"/>
      <c r="ILW36" s="2795"/>
      <c r="ILX36" s="2795"/>
      <c r="ILY36" s="2795"/>
      <c r="ILZ36" s="2795"/>
      <c r="IMA36" s="2795"/>
      <c r="IMB36" s="2795"/>
      <c r="IMC36" s="2795"/>
      <c r="IMD36" s="2795"/>
      <c r="IME36" s="2795"/>
      <c r="IMF36" s="2795"/>
      <c r="IMG36" s="2795"/>
      <c r="IMH36" s="2795"/>
      <c r="IMI36" s="2795"/>
      <c r="IMJ36" s="2795"/>
      <c r="IMK36" s="2795"/>
      <c r="IML36" s="2795"/>
      <c r="IMM36" s="2795"/>
      <c r="IMN36" s="2795"/>
      <c r="IMO36" s="2795"/>
      <c r="IMP36" s="2795"/>
      <c r="IMQ36" s="2795"/>
      <c r="IMR36" s="2795"/>
      <c r="IMS36" s="2795"/>
      <c r="IMT36" s="2795"/>
      <c r="IMU36" s="2795"/>
      <c r="IMV36" s="2795"/>
      <c r="IMW36" s="2795"/>
      <c r="IMX36" s="2795"/>
      <c r="IMY36" s="2795"/>
      <c r="IMZ36" s="2795"/>
      <c r="INA36" s="2795"/>
      <c r="INB36" s="2795"/>
      <c r="INC36" s="2795"/>
      <c r="IND36" s="2795"/>
      <c r="INE36" s="2795"/>
      <c r="INF36" s="2795"/>
      <c r="ING36" s="2795"/>
      <c r="INH36" s="2795"/>
      <c r="INI36" s="2795"/>
      <c r="INJ36" s="2795"/>
      <c r="INK36" s="2795"/>
      <c r="INL36" s="2795"/>
      <c r="INM36" s="2795"/>
      <c r="INN36" s="2795"/>
      <c r="INO36" s="2795"/>
      <c r="INP36" s="2795"/>
      <c r="INQ36" s="2795"/>
      <c r="INR36" s="2795"/>
      <c r="INS36" s="2795"/>
      <c r="INT36" s="2795"/>
      <c r="INU36" s="2795"/>
      <c r="INV36" s="2795"/>
      <c r="INW36" s="2795"/>
      <c r="INX36" s="2795"/>
      <c r="INY36" s="2795"/>
      <c r="INZ36" s="2795"/>
      <c r="IOA36" s="2795"/>
      <c r="IOB36" s="2795"/>
      <c r="IOC36" s="2795"/>
      <c r="IOD36" s="2795"/>
      <c r="IOE36" s="2795"/>
      <c r="IOF36" s="2795"/>
      <c r="IOG36" s="2795"/>
      <c r="IOH36" s="2795"/>
      <c r="IOI36" s="2795"/>
      <c r="IOJ36" s="2795"/>
      <c r="IOK36" s="2795"/>
      <c r="IOL36" s="2795"/>
      <c r="IOM36" s="2795"/>
      <c r="ION36" s="2795"/>
      <c r="IOO36" s="2795"/>
      <c r="IOP36" s="2795"/>
      <c r="IOQ36" s="2795"/>
      <c r="IOR36" s="2795"/>
      <c r="IOS36" s="2795"/>
      <c r="IOT36" s="2795"/>
      <c r="IOU36" s="2795"/>
      <c r="IOV36" s="2795"/>
      <c r="IOW36" s="2795"/>
      <c r="IOX36" s="2795"/>
      <c r="IOY36" s="2795"/>
      <c r="IOZ36" s="2795"/>
      <c r="IPA36" s="2795"/>
      <c r="IPB36" s="2795"/>
      <c r="IPC36" s="2795"/>
      <c r="IPD36" s="2795"/>
      <c r="IPE36" s="2795"/>
      <c r="IPF36" s="2795"/>
      <c r="IPG36" s="2795"/>
      <c r="IPH36" s="2795"/>
      <c r="IPI36" s="2795"/>
      <c r="IPJ36" s="2795"/>
      <c r="IPK36" s="2795"/>
      <c r="IPL36" s="2795"/>
      <c r="IPM36" s="2795"/>
      <c r="IPN36" s="2795"/>
      <c r="IPO36" s="2795"/>
      <c r="IPP36" s="2795"/>
      <c r="IPQ36" s="2795"/>
      <c r="IPR36" s="2795"/>
      <c r="IPS36" s="2795"/>
      <c r="IPT36" s="2795"/>
      <c r="IPU36" s="2795"/>
      <c r="IPV36" s="2795"/>
      <c r="IPW36" s="2795"/>
      <c r="IPX36" s="2795"/>
      <c r="IPY36" s="2795"/>
      <c r="IPZ36" s="2795"/>
      <c r="IQA36" s="2795"/>
      <c r="IQB36" s="2795"/>
      <c r="IQC36" s="2795"/>
      <c r="IQD36" s="2795"/>
      <c r="IQE36" s="2795"/>
      <c r="IQF36" s="2795"/>
      <c r="IQG36" s="2795"/>
      <c r="IQH36" s="2795"/>
      <c r="IQI36" s="2795"/>
      <c r="IQJ36" s="2795"/>
      <c r="IQK36" s="2795"/>
      <c r="IQL36" s="2795"/>
      <c r="IQM36" s="2795"/>
      <c r="IQN36" s="2795"/>
      <c r="IQO36" s="2795"/>
      <c r="IQP36" s="2795"/>
      <c r="IQQ36" s="2795"/>
      <c r="IQR36" s="2795"/>
      <c r="IQS36" s="2795"/>
      <c r="IQT36" s="2795"/>
      <c r="IQU36" s="2795"/>
      <c r="IQV36" s="2795"/>
      <c r="IQW36" s="2795"/>
      <c r="IQX36" s="2795"/>
      <c r="IQY36" s="2795"/>
      <c r="IQZ36" s="2795"/>
      <c r="IRA36" s="2795"/>
      <c r="IRB36" s="2795"/>
      <c r="IRC36" s="2795"/>
      <c r="IRD36" s="2795"/>
      <c r="IRE36" s="2795"/>
      <c r="IRF36" s="2795"/>
      <c r="IRG36" s="2795"/>
      <c r="IRH36" s="2795"/>
      <c r="IRI36" s="2795"/>
      <c r="IRJ36" s="2795"/>
      <c r="IRK36" s="2795"/>
      <c r="IRL36" s="2795"/>
      <c r="IRM36" s="2795"/>
      <c r="IRN36" s="2795"/>
      <c r="IRO36" s="2795"/>
      <c r="IRP36" s="2795"/>
      <c r="IRQ36" s="2795"/>
      <c r="IRR36" s="2795"/>
      <c r="IRS36" s="2795"/>
      <c r="IRT36" s="2795"/>
      <c r="IRU36" s="2795"/>
      <c r="IRV36" s="2795"/>
      <c r="IRW36" s="2795"/>
      <c r="IRX36" s="2795"/>
      <c r="IRY36" s="2795"/>
      <c r="IRZ36" s="2795"/>
      <c r="ISA36" s="2795"/>
      <c r="ISB36" s="2795"/>
      <c r="ISC36" s="2795"/>
      <c r="ISD36" s="2795"/>
      <c r="ISE36" s="2795"/>
      <c r="ISF36" s="2795"/>
      <c r="ISG36" s="2795"/>
      <c r="ISH36" s="2795"/>
      <c r="ISI36" s="2795"/>
      <c r="ISJ36" s="2795"/>
      <c r="ISK36" s="2795"/>
      <c r="ISL36" s="2795"/>
      <c r="ISM36" s="2795"/>
      <c r="ISN36" s="2795"/>
      <c r="ISO36" s="2795"/>
      <c r="ISP36" s="2795"/>
      <c r="ISQ36" s="2795"/>
      <c r="ISR36" s="2795"/>
      <c r="ISS36" s="2795"/>
      <c r="IST36" s="2795"/>
      <c r="ISU36" s="2795"/>
      <c r="ISV36" s="2795"/>
      <c r="ISW36" s="2795"/>
      <c r="ISX36" s="2795"/>
      <c r="ISY36" s="2795"/>
      <c r="ISZ36" s="2795"/>
      <c r="ITA36" s="2795"/>
      <c r="ITB36" s="2795"/>
      <c r="ITC36" s="2795"/>
      <c r="ITD36" s="2795"/>
      <c r="ITE36" s="2795"/>
      <c r="ITF36" s="2795"/>
      <c r="ITG36" s="2795"/>
      <c r="ITH36" s="2795"/>
      <c r="ITI36" s="2795"/>
      <c r="ITJ36" s="2795"/>
      <c r="ITK36" s="2795"/>
      <c r="ITL36" s="2795"/>
      <c r="ITM36" s="2795"/>
      <c r="ITN36" s="2795"/>
      <c r="ITO36" s="2795"/>
      <c r="ITP36" s="2795"/>
      <c r="ITQ36" s="2795"/>
      <c r="ITR36" s="2795"/>
      <c r="ITS36" s="2795"/>
      <c r="ITT36" s="2795"/>
      <c r="ITU36" s="2795"/>
      <c r="ITV36" s="2795"/>
      <c r="ITW36" s="2795"/>
      <c r="ITX36" s="2795"/>
      <c r="ITY36" s="2795"/>
      <c r="ITZ36" s="2795"/>
      <c r="IUA36" s="2795"/>
      <c r="IUB36" s="2795"/>
      <c r="IUC36" s="2795"/>
      <c r="IUD36" s="2795"/>
      <c r="IUE36" s="2795"/>
      <c r="IUF36" s="2795"/>
      <c r="IUG36" s="2795"/>
      <c r="IUH36" s="2795"/>
      <c r="IUI36" s="2795"/>
      <c r="IUJ36" s="2795"/>
      <c r="IUK36" s="2795"/>
      <c r="IUL36" s="2795"/>
      <c r="IUM36" s="2795"/>
      <c r="IUN36" s="2795"/>
      <c r="IUO36" s="2795"/>
      <c r="IUP36" s="2795"/>
      <c r="IUQ36" s="2795"/>
      <c r="IUR36" s="2795"/>
      <c r="IUS36" s="2795"/>
      <c r="IUT36" s="2795"/>
      <c r="IUU36" s="2795"/>
      <c r="IUV36" s="2795"/>
      <c r="IUW36" s="2795"/>
      <c r="IUX36" s="2795"/>
      <c r="IUY36" s="2795"/>
      <c r="IUZ36" s="2795"/>
      <c r="IVA36" s="2795"/>
      <c r="IVB36" s="2795"/>
      <c r="IVC36" s="2795"/>
      <c r="IVD36" s="2795"/>
      <c r="IVE36" s="2795"/>
      <c r="IVF36" s="2795"/>
      <c r="IVG36" s="2795"/>
      <c r="IVH36" s="2795"/>
      <c r="IVI36" s="2795"/>
      <c r="IVJ36" s="2795"/>
      <c r="IVK36" s="2795"/>
      <c r="IVL36" s="2795"/>
      <c r="IVM36" s="2795"/>
      <c r="IVN36" s="2795"/>
      <c r="IVO36" s="2795"/>
      <c r="IVP36" s="2795"/>
      <c r="IVQ36" s="2795"/>
      <c r="IVR36" s="2795"/>
      <c r="IVS36" s="2795"/>
      <c r="IVT36" s="2795"/>
      <c r="IVU36" s="2795"/>
      <c r="IVV36" s="2795"/>
      <c r="IVW36" s="2795"/>
      <c r="IVX36" s="2795"/>
      <c r="IVY36" s="2795"/>
      <c r="IVZ36" s="2795"/>
      <c r="IWA36" s="2795"/>
      <c r="IWB36" s="2795"/>
      <c r="IWC36" s="2795"/>
      <c r="IWD36" s="2795"/>
      <c r="IWE36" s="2795"/>
      <c r="IWF36" s="2795"/>
      <c r="IWG36" s="2795"/>
      <c r="IWH36" s="2795"/>
      <c r="IWI36" s="2795"/>
      <c r="IWJ36" s="2795"/>
      <c r="IWK36" s="2795"/>
      <c r="IWL36" s="2795"/>
      <c r="IWM36" s="2795"/>
      <c r="IWN36" s="2795"/>
      <c r="IWO36" s="2795"/>
      <c r="IWP36" s="2795"/>
      <c r="IWQ36" s="2795"/>
      <c r="IWR36" s="2795"/>
      <c r="IWS36" s="2795"/>
      <c r="IWT36" s="2795"/>
      <c r="IWU36" s="2795"/>
      <c r="IWV36" s="2795"/>
      <c r="IWW36" s="2795"/>
      <c r="IWX36" s="2795"/>
      <c r="IWY36" s="2795"/>
      <c r="IWZ36" s="2795"/>
      <c r="IXA36" s="2795"/>
      <c r="IXB36" s="2795"/>
      <c r="IXC36" s="2795"/>
      <c r="IXD36" s="2795"/>
      <c r="IXE36" s="2795"/>
      <c r="IXF36" s="2795"/>
      <c r="IXG36" s="2795"/>
      <c r="IXH36" s="2795"/>
      <c r="IXI36" s="2795"/>
      <c r="IXJ36" s="2795"/>
      <c r="IXK36" s="2795"/>
      <c r="IXL36" s="2795"/>
      <c r="IXM36" s="2795"/>
      <c r="IXN36" s="2795"/>
      <c r="IXO36" s="2795"/>
      <c r="IXP36" s="2795"/>
      <c r="IXQ36" s="2795"/>
      <c r="IXR36" s="2795"/>
      <c r="IXS36" s="2795"/>
      <c r="IXT36" s="2795"/>
      <c r="IXU36" s="2795"/>
      <c r="IXV36" s="2795"/>
      <c r="IXW36" s="2795"/>
      <c r="IXX36" s="2795"/>
      <c r="IXY36" s="2795"/>
      <c r="IXZ36" s="2795"/>
      <c r="IYA36" s="2795"/>
      <c r="IYB36" s="2795"/>
      <c r="IYC36" s="2795"/>
      <c r="IYD36" s="2795"/>
      <c r="IYE36" s="2795"/>
      <c r="IYF36" s="2795"/>
      <c r="IYG36" s="2795"/>
      <c r="IYH36" s="2795"/>
      <c r="IYI36" s="2795"/>
      <c r="IYJ36" s="2795"/>
      <c r="IYK36" s="2795"/>
      <c r="IYL36" s="2795"/>
      <c r="IYM36" s="2795"/>
      <c r="IYN36" s="2795"/>
      <c r="IYO36" s="2795"/>
      <c r="IYP36" s="2795"/>
      <c r="IYQ36" s="2795"/>
      <c r="IYR36" s="2795"/>
      <c r="IYS36" s="2795"/>
      <c r="IYT36" s="2795"/>
      <c r="IYU36" s="2795"/>
      <c r="IYV36" s="2795"/>
      <c r="IYW36" s="2795"/>
      <c r="IYX36" s="2795"/>
      <c r="IYY36" s="2795"/>
      <c r="IYZ36" s="2795"/>
      <c r="IZA36" s="2795"/>
      <c r="IZB36" s="2795"/>
      <c r="IZC36" s="2795"/>
      <c r="IZD36" s="2795"/>
      <c r="IZE36" s="2795"/>
      <c r="IZF36" s="2795"/>
      <c r="IZG36" s="2795"/>
      <c r="IZH36" s="2795"/>
      <c r="IZI36" s="2795"/>
      <c r="IZJ36" s="2795"/>
      <c r="IZK36" s="2795"/>
      <c r="IZL36" s="2795"/>
      <c r="IZM36" s="2795"/>
      <c r="IZN36" s="2795"/>
      <c r="IZO36" s="2795"/>
      <c r="IZP36" s="2795"/>
      <c r="IZQ36" s="2795"/>
      <c r="IZR36" s="2795"/>
      <c r="IZS36" s="2795"/>
      <c r="IZT36" s="2795"/>
      <c r="IZU36" s="2795"/>
      <c r="IZV36" s="2795"/>
      <c r="IZW36" s="2795"/>
      <c r="IZX36" s="2795"/>
      <c r="IZY36" s="2795"/>
      <c r="IZZ36" s="2795"/>
      <c r="JAA36" s="2795"/>
      <c r="JAB36" s="2795"/>
      <c r="JAC36" s="2795"/>
      <c r="JAD36" s="2795"/>
      <c r="JAE36" s="2795"/>
      <c r="JAF36" s="2795"/>
      <c r="JAG36" s="2795"/>
      <c r="JAH36" s="2795"/>
      <c r="JAI36" s="2795"/>
      <c r="JAJ36" s="2795"/>
      <c r="JAK36" s="2795"/>
      <c r="JAL36" s="2795"/>
      <c r="JAM36" s="2795"/>
      <c r="JAN36" s="2795"/>
      <c r="JAO36" s="2795"/>
      <c r="JAP36" s="2795"/>
      <c r="JAQ36" s="2795"/>
      <c r="JAR36" s="2795"/>
      <c r="JAS36" s="2795"/>
      <c r="JAT36" s="2795"/>
      <c r="JAU36" s="2795"/>
      <c r="JAV36" s="2795"/>
      <c r="JAW36" s="2795"/>
      <c r="JAX36" s="2795"/>
      <c r="JAY36" s="2795"/>
      <c r="JAZ36" s="2795"/>
      <c r="JBA36" s="2795"/>
      <c r="JBB36" s="2795"/>
      <c r="JBC36" s="2795"/>
      <c r="JBD36" s="2795"/>
      <c r="JBE36" s="2795"/>
      <c r="JBF36" s="2795"/>
      <c r="JBG36" s="2795"/>
      <c r="JBH36" s="2795"/>
      <c r="JBI36" s="2795"/>
      <c r="JBJ36" s="2795"/>
      <c r="JBK36" s="2795"/>
      <c r="JBL36" s="2795"/>
      <c r="JBM36" s="2795"/>
      <c r="JBN36" s="2795"/>
      <c r="JBO36" s="2795"/>
      <c r="JBP36" s="2795"/>
      <c r="JBQ36" s="2795"/>
      <c r="JBR36" s="2795"/>
      <c r="JBS36" s="2795"/>
      <c r="JBT36" s="2795"/>
      <c r="JBU36" s="2795"/>
      <c r="JBV36" s="2795"/>
      <c r="JBW36" s="2795"/>
      <c r="JBX36" s="2795"/>
      <c r="JBY36" s="2795"/>
      <c r="JBZ36" s="2795"/>
      <c r="JCA36" s="2795"/>
      <c r="JCB36" s="2795"/>
      <c r="JCC36" s="2795"/>
      <c r="JCD36" s="2795"/>
      <c r="JCE36" s="2795"/>
      <c r="JCF36" s="2795"/>
      <c r="JCG36" s="2795"/>
      <c r="JCH36" s="2795"/>
      <c r="JCI36" s="2795"/>
      <c r="JCJ36" s="2795"/>
      <c r="JCK36" s="2795"/>
      <c r="JCL36" s="2795"/>
      <c r="JCM36" s="2795"/>
      <c r="JCN36" s="2795"/>
      <c r="JCO36" s="2795"/>
      <c r="JCP36" s="2795"/>
      <c r="JCQ36" s="2795"/>
      <c r="JCR36" s="2795"/>
      <c r="JCS36" s="2795"/>
      <c r="JCT36" s="2795"/>
      <c r="JCU36" s="2795"/>
      <c r="JCV36" s="2795"/>
      <c r="JCW36" s="2795"/>
      <c r="JCX36" s="2795"/>
      <c r="JCY36" s="2795"/>
      <c r="JCZ36" s="2795"/>
      <c r="JDA36" s="2795"/>
      <c r="JDB36" s="2795"/>
      <c r="JDC36" s="2795"/>
      <c r="JDD36" s="2795"/>
      <c r="JDE36" s="2795"/>
      <c r="JDF36" s="2795"/>
      <c r="JDG36" s="2795"/>
      <c r="JDH36" s="2795"/>
      <c r="JDI36" s="2795"/>
      <c r="JDJ36" s="2795"/>
      <c r="JDK36" s="2795"/>
      <c r="JDL36" s="2795"/>
      <c r="JDM36" s="2795"/>
      <c r="JDN36" s="2795"/>
      <c r="JDO36" s="2795"/>
      <c r="JDP36" s="2795"/>
      <c r="JDQ36" s="2795"/>
      <c r="JDR36" s="2795"/>
      <c r="JDS36" s="2795"/>
      <c r="JDT36" s="2795"/>
      <c r="JDU36" s="2795"/>
      <c r="JDV36" s="2795"/>
      <c r="JDW36" s="2795"/>
      <c r="JDX36" s="2795"/>
      <c r="JDY36" s="2795"/>
      <c r="JDZ36" s="2795"/>
      <c r="JEA36" s="2795"/>
      <c r="JEB36" s="2795"/>
      <c r="JEC36" s="2795"/>
      <c r="JED36" s="2795"/>
      <c r="JEE36" s="2795"/>
      <c r="JEF36" s="2795"/>
      <c r="JEG36" s="2795"/>
      <c r="JEH36" s="2795"/>
      <c r="JEI36" s="2795"/>
      <c r="JEJ36" s="2795"/>
      <c r="JEK36" s="2795"/>
      <c r="JEL36" s="2795"/>
      <c r="JEM36" s="2795"/>
      <c r="JEN36" s="2795"/>
      <c r="JEO36" s="2795"/>
      <c r="JEP36" s="2795"/>
      <c r="JEQ36" s="2795"/>
      <c r="JER36" s="2795"/>
      <c r="JES36" s="2795"/>
      <c r="JET36" s="2795"/>
      <c r="JEU36" s="2795"/>
      <c r="JEV36" s="2795"/>
      <c r="JEW36" s="2795"/>
      <c r="JEX36" s="2795"/>
      <c r="JEY36" s="2795"/>
      <c r="JEZ36" s="2795"/>
      <c r="JFA36" s="2795"/>
      <c r="JFB36" s="2795"/>
      <c r="JFC36" s="2795"/>
      <c r="JFD36" s="2795"/>
      <c r="JFE36" s="2795"/>
      <c r="JFF36" s="2795"/>
      <c r="JFG36" s="2795"/>
      <c r="JFH36" s="2795"/>
      <c r="JFI36" s="2795"/>
      <c r="JFJ36" s="2795"/>
      <c r="JFK36" s="2795"/>
      <c r="JFL36" s="2795"/>
      <c r="JFM36" s="2795"/>
      <c r="JFN36" s="2795"/>
      <c r="JFO36" s="2795"/>
      <c r="JFP36" s="2795"/>
      <c r="JFQ36" s="2795"/>
      <c r="JFR36" s="2795"/>
      <c r="JFS36" s="2795"/>
      <c r="JFT36" s="2795"/>
      <c r="JFU36" s="2795"/>
      <c r="JFV36" s="2795"/>
      <c r="JFW36" s="2795"/>
      <c r="JFX36" s="2795"/>
      <c r="JFY36" s="2795"/>
      <c r="JFZ36" s="2795"/>
      <c r="JGA36" s="2795"/>
      <c r="JGB36" s="2795"/>
      <c r="JGC36" s="2795"/>
      <c r="JGD36" s="2795"/>
      <c r="JGE36" s="2795"/>
      <c r="JGF36" s="2795"/>
      <c r="JGG36" s="2795"/>
      <c r="JGH36" s="2795"/>
      <c r="JGI36" s="2795"/>
      <c r="JGJ36" s="2795"/>
      <c r="JGK36" s="2795"/>
      <c r="JGL36" s="2795"/>
      <c r="JGM36" s="2795"/>
      <c r="JGN36" s="2795"/>
      <c r="JGO36" s="2795"/>
      <c r="JGP36" s="2795"/>
      <c r="JGQ36" s="2795"/>
      <c r="JGR36" s="2795"/>
      <c r="JGS36" s="2795"/>
      <c r="JGT36" s="2795"/>
      <c r="JGU36" s="2795"/>
      <c r="JGV36" s="2795"/>
      <c r="JGW36" s="2795"/>
      <c r="JGX36" s="2795"/>
      <c r="JGY36" s="2795"/>
      <c r="JGZ36" s="2795"/>
      <c r="JHA36" s="2795"/>
      <c r="JHB36" s="2795"/>
      <c r="JHC36" s="2795"/>
      <c r="JHD36" s="2795"/>
      <c r="JHE36" s="2795"/>
      <c r="JHF36" s="2795"/>
      <c r="JHG36" s="2795"/>
      <c r="JHH36" s="2795"/>
      <c r="JHI36" s="2795"/>
      <c r="JHJ36" s="2795"/>
      <c r="JHK36" s="2795"/>
      <c r="JHL36" s="2795"/>
      <c r="JHM36" s="2795"/>
      <c r="JHN36" s="2795"/>
      <c r="JHO36" s="2795"/>
      <c r="JHP36" s="2795"/>
      <c r="JHQ36" s="2795"/>
      <c r="JHR36" s="2795"/>
      <c r="JHS36" s="2795"/>
      <c r="JHT36" s="2795"/>
      <c r="JHU36" s="2795"/>
      <c r="JHV36" s="2795"/>
      <c r="JHW36" s="2795"/>
      <c r="JHX36" s="2795"/>
      <c r="JHY36" s="2795"/>
      <c r="JHZ36" s="2795"/>
      <c r="JIA36" s="2795"/>
      <c r="JIB36" s="2795"/>
      <c r="JIC36" s="2795"/>
      <c r="JID36" s="2795"/>
      <c r="JIE36" s="2795"/>
      <c r="JIF36" s="2795"/>
      <c r="JIG36" s="2795"/>
      <c r="JIH36" s="2795"/>
      <c r="JII36" s="2795"/>
      <c r="JIJ36" s="2795"/>
      <c r="JIK36" s="2795"/>
      <c r="JIL36" s="2795"/>
      <c r="JIM36" s="2795"/>
      <c r="JIN36" s="2795"/>
      <c r="JIO36" s="2795"/>
      <c r="JIP36" s="2795"/>
      <c r="JIQ36" s="2795"/>
      <c r="JIR36" s="2795"/>
      <c r="JIS36" s="2795"/>
      <c r="JIT36" s="2795"/>
      <c r="JIU36" s="2795"/>
      <c r="JIV36" s="2795"/>
      <c r="JIW36" s="2795"/>
      <c r="JIX36" s="2795"/>
      <c r="JIY36" s="2795"/>
      <c r="JIZ36" s="2795"/>
      <c r="JJA36" s="2795"/>
      <c r="JJB36" s="2795"/>
      <c r="JJC36" s="2795"/>
      <c r="JJD36" s="2795"/>
      <c r="JJE36" s="2795"/>
      <c r="JJF36" s="2795"/>
      <c r="JJG36" s="2795"/>
      <c r="JJH36" s="2795"/>
      <c r="JJI36" s="2795"/>
      <c r="JJJ36" s="2795"/>
      <c r="JJK36" s="2795"/>
      <c r="JJL36" s="2795"/>
      <c r="JJM36" s="2795"/>
      <c r="JJN36" s="2795"/>
      <c r="JJO36" s="2795"/>
      <c r="JJP36" s="2795"/>
      <c r="JJQ36" s="2795"/>
      <c r="JJR36" s="2795"/>
      <c r="JJS36" s="2795"/>
      <c r="JJT36" s="2795"/>
      <c r="JJU36" s="2795"/>
      <c r="JJV36" s="2795"/>
      <c r="JJW36" s="2795"/>
      <c r="JJX36" s="2795"/>
      <c r="JJY36" s="2795"/>
      <c r="JJZ36" s="2795"/>
      <c r="JKA36" s="2795"/>
      <c r="JKB36" s="2795"/>
      <c r="JKC36" s="2795"/>
      <c r="JKD36" s="2795"/>
      <c r="JKE36" s="2795"/>
      <c r="JKF36" s="2795"/>
      <c r="JKG36" s="2795"/>
      <c r="JKH36" s="2795"/>
      <c r="JKI36" s="2795"/>
      <c r="JKJ36" s="2795"/>
      <c r="JKK36" s="2795"/>
      <c r="JKL36" s="2795"/>
      <c r="JKM36" s="2795"/>
      <c r="JKN36" s="2795"/>
      <c r="JKO36" s="2795"/>
      <c r="JKP36" s="2795"/>
      <c r="JKQ36" s="2795"/>
      <c r="JKR36" s="2795"/>
      <c r="JKS36" s="2795"/>
      <c r="JKT36" s="2795"/>
      <c r="JKU36" s="2795"/>
      <c r="JKV36" s="2795"/>
      <c r="JKW36" s="2795"/>
      <c r="JKX36" s="2795"/>
      <c r="JKY36" s="2795"/>
      <c r="JKZ36" s="2795"/>
      <c r="JLA36" s="2795"/>
      <c r="JLB36" s="2795"/>
      <c r="JLC36" s="2795"/>
      <c r="JLD36" s="2795"/>
      <c r="JLE36" s="2795"/>
      <c r="JLF36" s="2795"/>
      <c r="JLG36" s="2795"/>
      <c r="JLH36" s="2795"/>
      <c r="JLI36" s="2795"/>
      <c r="JLJ36" s="2795"/>
      <c r="JLK36" s="2795"/>
      <c r="JLL36" s="2795"/>
      <c r="JLM36" s="2795"/>
      <c r="JLN36" s="2795"/>
      <c r="JLO36" s="2795"/>
      <c r="JLP36" s="2795"/>
      <c r="JLQ36" s="2795"/>
      <c r="JLR36" s="2795"/>
      <c r="JLS36" s="2795"/>
      <c r="JLT36" s="2795"/>
      <c r="JLU36" s="2795"/>
      <c r="JLV36" s="2795"/>
      <c r="JLW36" s="2795"/>
      <c r="JLX36" s="2795"/>
      <c r="JLY36" s="2795"/>
      <c r="JLZ36" s="2795"/>
      <c r="JMA36" s="2795"/>
      <c r="JMB36" s="2795"/>
      <c r="JMC36" s="2795"/>
      <c r="JMD36" s="2795"/>
      <c r="JME36" s="2795"/>
      <c r="JMF36" s="2795"/>
      <c r="JMG36" s="2795"/>
      <c r="JMH36" s="2795"/>
      <c r="JMI36" s="2795"/>
      <c r="JMJ36" s="2795"/>
      <c r="JMK36" s="2795"/>
      <c r="JML36" s="2795"/>
      <c r="JMM36" s="2795"/>
      <c r="JMN36" s="2795"/>
      <c r="JMO36" s="2795"/>
      <c r="JMP36" s="2795"/>
      <c r="JMQ36" s="2795"/>
      <c r="JMR36" s="2795"/>
      <c r="JMS36" s="2795"/>
      <c r="JMT36" s="2795"/>
      <c r="JMU36" s="2795"/>
      <c r="JMV36" s="2795"/>
      <c r="JMW36" s="2795"/>
      <c r="JMX36" s="2795"/>
      <c r="JMY36" s="2795"/>
      <c r="JMZ36" s="2795"/>
      <c r="JNA36" s="2795"/>
      <c r="JNB36" s="2795"/>
      <c r="JNC36" s="2795"/>
      <c r="JND36" s="2795"/>
      <c r="JNE36" s="2795"/>
      <c r="JNF36" s="2795"/>
      <c r="JNG36" s="2795"/>
      <c r="JNH36" s="2795"/>
      <c r="JNI36" s="2795"/>
      <c r="JNJ36" s="2795"/>
      <c r="JNK36" s="2795"/>
      <c r="JNL36" s="2795"/>
      <c r="JNM36" s="2795"/>
      <c r="JNN36" s="2795"/>
      <c r="JNO36" s="2795"/>
      <c r="JNP36" s="2795"/>
      <c r="JNQ36" s="2795"/>
      <c r="JNR36" s="2795"/>
      <c r="JNS36" s="2795"/>
      <c r="JNT36" s="2795"/>
      <c r="JNU36" s="2795"/>
      <c r="JNV36" s="2795"/>
      <c r="JNW36" s="2795"/>
      <c r="JNX36" s="2795"/>
      <c r="JNY36" s="2795"/>
      <c r="JNZ36" s="2795"/>
      <c r="JOA36" s="2795"/>
      <c r="JOB36" s="2795"/>
      <c r="JOC36" s="2795"/>
      <c r="JOD36" s="2795"/>
      <c r="JOE36" s="2795"/>
      <c r="JOF36" s="2795"/>
      <c r="JOG36" s="2795"/>
      <c r="JOH36" s="2795"/>
      <c r="JOI36" s="2795"/>
      <c r="JOJ36" s="2795"/>
      <c r="JOK36" s="2795"/>
      <c r="JOL36" s="2795"/>
      <c r="JOM36" s="2795"/>
      <c r="JON36" s="2795"/>
      <c r="JOO36" s="2795"/>
      <c r="JOP36" s="2795"/>
      <c r="JOQ36" s="2795"/>
      <c r="JOR36" s="2795"/>
      <c r="JOS36" s="2795"/>
      <c r="JOT36" s="2795"/>
      <c r="JOU36" s="2795"/>
      <c r="JOV36" s="2795"/>
      <c r="JOW36" s="2795"/>
      <c r="JOX36" s="2795"/>
      <c r="JOY36" s="2795"/>
      <c r="JOZ36" s="2795"/>
      <c r="JPA36" s="2795"/>
      <c r="JPB36" s="2795"/>
      <c r="JPC36" s="2795"/>
      <c r="JPD36" s="2795"/>
      <c r="JPE36" s="2795"/>
      <c r="JPF36" s="2795"/>
      <c r="JPG36" s="2795"/>
      <c r="JPH36" s="2795"/>
      <c r="JPI36" s="2795"/>
      <c r="JPJ36" s="2795"/>
      <c r="JPK36" s="2795"/>
      <c r="JPL36" s="2795"/>
      <c r="JPM36" s="2795"/>
      <c r="JPN36" s="2795"/>
      <c r="JPO36" s="2795"/>
      <c r="JPP36" s="2795"/>
      <c r="JPQ36" s="2795"/>
      <c r="JPR36" s="2795"/>
      <c r="JPS36" s="2795"/>
      <c r="JPT36" s="2795"/>
      <c r="JPU36" s="2795"/>
      <c r="JPV36" s="2795"/>
      <c r="JPW36" s="2795"/>
      <c r="JPX36" s="2795"/>
      <c r="JPY36" s="2795"/>
      <c r="JPZ36" s="2795"/>
      <c r="JQA36" s="2795"/>
      <c r="JQB36" s="2795"/>
      <c r="JQC36" s="2795"/>
      <c r="JQD36" s="2795"/>
      <c r="JQE36" s="2795"/>
      <c r="JQF36" s="2795"/>
      <c r="JQG36" s="2795"/>
      <c r="JQH36" s="2795"/>
      <c r="JQI36" s="2795"/>
      <c r="JQJ36" s="2795"/>
      <c r="JQK36" s="2795"/>
      <c r="JQL36" s="2795"/>
      <c r="JQM36" s="2795"/>
      <c r="JQN36" s="2795"/>
      <c r="JQO36" s="2795"/>
      <c r="JQP36" s="2795"/>
      <c r="JQQ36" s="2795"/>
      <c r="JQR36" s="2795"/>
      <c r="JQS36" s="2795"/>
      <c r="JQT36" s="2795"/>
      <c r="JQU36" s="2795"/>
      <c r="JQV36" s="2795"/>
      <c r="JQW36" s="2795"/>
      <c r="JQX36" s="2795"/>
      <c r="JQY36" s="2795"/>
      <c r="JQZ36" s="2795"/>
      <c r="JRA36" s="2795"/>
      <c r="JRB36" s="2795"/>
      <c r="JRC36" s="2795"/>
      <c r="JRD36" s="2795"/>
      <c r="JRE36" s="2795"/>
      <c r="JRF36" s="2795"/>
      <c r="JRG36" s="2795"/>
      <c r="JRH36" s="2795"/>
      <c r="JRI36" s="2795"/>
      <c r="JRJ36" s="2795"/>
      <c r="JRK36" s="2795"/>
      <c r="JRL36" s="2795"/>
      <c r="JRM36" s="2795"/>
      <c r="JRN36" s="2795"/>
      <c r="JRO36" s="2795"/>
      <c r="JRP36" s="2795"/>
      <c r="JRQ36" s="2795"/>
      <c r="JRR36" s="2795"/>
      <c r="JRS36" s="2795"/>
      <c r="JRT36" s="2795"/>
      <c r="JRU36" s="2795"/>
      <c r="JRV36" s="2795"/>
      <c r="JRW36" s="2795"/>
      <c r="JRX36" s="2795"/>
      <c r="JRY36" s="2795"/>
      <c r="JRZ36" s="2795"/>
      <c r="JSA36" s="2795"/>
      <c r="JSB36" s="2795"/>
      <c r="JSC36" s="2795"/>
      <c r="JSD36" s="2795"/>
      <c r="JSE36" s="2795"/>
      <c r="JSF36" s="2795"/>
      <c r="JSG36" s="2795"/>
      <c r="JSH36" s="2795"/>
      <c r="JSI36" s="2795"/>
      <c r="JSJ36" s="2795"/>
      <c r="JSK36" s="2795"/>
      <c r="JSL36" s="2795"/>
      <c r="JSM36" s="2795"/>
      <c r="JSN36" s="2795"/>
      <c r="JSO36" s="2795"/>
      <c r="JSP36" s="2795"/>
      <c r="JSQ36" s="2795"/>
      <c r="JSR36" s="2795"/>
      <c r="JSS36" s="2795"/>
      <c r="JST36" s="2795"/>
      <c r="JSU36" s="2795"/>
      <c r="JSV36" s="2795"/>
      <c r="JSW36" s="2795"/>
      <c r="JSX36" s="2795"/>
      <c r="JSY36" s="2795"/>
      <c r="JSZ36" s="2795"/>
      <c r="JTA36" s="2795"/>
      <c r="JTB36" s="2795"/>
      <c r="JTC36" s="2795"/>
      <c r="JTD36" s="2795"/>
      <c r="JTE36" s="2795"/>
      <c r="JTF36" s="2795"/>
      <c r="JTG36" s="2795"/>
      <c r="JTH36" s="2795"/>
      <c r="JTI36" s="2795"/>
      <c r="JTJ36" s="2795"/>
      <c r="JTK36" s="2795"/>
      <c r="JTL36" s="2795"/>
      <c r="JTM36" s="2795"/>
      <c r="JTN36" s="2795"/>
      <c r="JTO36" s="2795"/>
      <c r="JTP36" s="2795"/>
      <c r="JTQ36" s="2795"/>
      <c r="JTR36" s="2795"/>
      <c r="JTS36" s="2795"/>
      <c r="JTT36" s="2795"/>
      <c r="JTU36" s="2795"/>
      <c r="JTV36" s="2795"/>
      <c r="JTW36" s="2795"/>
      <c r="JTX36" s="2795"/>
      <c r="JTY36" s="2795"/>
      <c r="JTZ36" s="2795"/>
      <c r="JUA36" s="2795"/>
      <c r="JUB36" s="2795"/>
      <c r="JUC36" s="2795"/>
      <c r="JUD36" s="2795"/>
      <c r="JUE36" s="2795"/>
      <c r="JUF36" s="2795"/>
      <c r="JUG36" s="2795"/>
      <c r="JUH36" s="2795"/>
      <c r="JUI36" s="2795"/>
      <c r="JUJ36" s="2795"/>
      <c r="JUK36" s="2795"/>
      <c r="JUL36" s="2795"/>
      <c r="JUM36" s="2795"/>
      <c r="JUN36" s="2795"/>
      <c r="JUO36" s="2795"/>
      <c r="JUP36" s="2795"/>
      <c r="JUQ36" s="2795"/>
      <c r="JUR36" s="2795"/>
      <c r="JUS36" s="2795"/>
      <c r="JUT36" s="2795"/>
      <c r="JUU36" s="2795"/>
      <c r="JUV36" s="2795"/>
      <c r="JUW36" s="2795"/>
      <c r="JUX36" s="2795"/>
      <c r="JUY36" s="2795"/>
      <c r="JUZ36" s="2795"/>
      <c r="JVA36" s="2795"/>
      <c r="JVB36" s="2795"/>
      <c r="JVC36" s="2795"/>
      <c r="JVD36" s="2795"/>
      <c r="JVE36" s="2795"/>
      <c r="JVF36" s="2795"/>
      <c r="JVG36" s="2795"/>
      <c r="JVH36" s="2795"/>
      <c r="JVI36" s="2795"/>
      <c r="JVJ36" s="2795"/>
      <c r="JVK36" s="2795"/>
      <c r="JVL36" s="2795"/>
      <c r="JVM36" s="2795"/>
      <c r="JVN36" s="2795"/>
      <c r="JVO36" s="2795"/>
      <c r="JVP36" s="2795"/>
      <c r="JVQ36" s="2795"/>
      <c r="JVR36" s="2795"/>
      <c r="JVS36" s="2795"/>
      <c r="JVT36" s="2795"/>
      <c r="JVU36" s="2795"/>
      <c r="JVV36" s="2795"/>
      <c r="JVW36" s="2795"/>
      <c r="JVX36" s="2795"/>
      <c r="JVY36" s="2795"/>
      <c r="JVZ36" s="2795"/>
      <c r="JWA36" s="2795"/>
      <c r="JWB36" s="2795"/>
      <c r="JWC36" s="2795"/>
      <c r="JWD36" s="2795"/>
      <c r="JWE36" s="2795"/>
      <c r="JWF36" s="2795"/>
      <c r="JWG36" s="2795"/>
      <c r="JWH36" s="2795"/>
      <c r="JWI36" s="2795"/>
      <c r="JWJ36" s="2795"/>
      <c r="JWK36" s="2795"/>
      <c r="JWL36" s="2795"/>
      <c r="JWM36" s="2795"/>
      <c r="JWN36" s="2795"/>
      <c r="JWO36" s="2795"/>
      <c r="JWP36" s="2795"/>
      <c r="JWQ36" s="2795"/>
      <c r="JWR36" s="2795"/>
      <c r="JWS36" s="2795"/>
      <c r="JWT36" s="2795"/>
      <c r="JWU36" s="2795"/>
      <c r="JWV36" s="2795"/>
      <c r="JWW36" s="2795"/>
      <c r="JWX36" s="2795"/>
      <c r="JWY36" s="2795"/>
      <c r="JWZ36" s="2795"/>
      <c r="JXA36" s="2795"/>
      <c r="JXB36" s="2795"/>
      <c r="JXC36" s="2795"/>
      <c r="JXD36" s="2795"/>
      <c r="JXE36" s="2795"/>
      <c r="JXF36" s="2795"/>
      <c r="JXG36" s="2795"/>
      <c r="JXH36" s="2795"/>
      <c r="JXI36" s="2795"/>
      <c r="JXJ36" s="2795"/>
      <c r="JXK36" s="2795"/>
      <c r="JXL36" s="2795"/>
      <c r="JXM36" s="2795"/>
      <c r="JXN36" s="2795"/>
      <c r="JXO36" s="2795"/>
      <c r="JXP36" s="2795"/>
      <c r="JXQ36" s="2795"/>
      <c r="JXR36" s="2795"/>
      <c r="JXS36" s="2795"/>
      <c r="JXT36" s="2795"/>
      <c r="JXU36" s="2795"/>
      <c r="JXV36" s="2795"/>
      <c r="JXW36" s="2795"/>
      <c r="JXX36" s="2795"/>
      <c r="JXY36" s="2795"/>
      <c r="JXZ36" s="2795"/>
      <c r="JYA36" s="2795"/>
      <c r="JYB36" s="2795"/>
      <c r="JYC36" s="2795"/>
      <c r="JYD36" s="2795"/>
      <c r="JYE36" s="2795"/>
      <c r="JYF36" s="2795"/>
      <c r="JYG36" s="2795"/>
      <c r="JYH36" s="2795"/>
      <c r="JYI36" s="2795"/>
      <c r="JYJ36" s="2795"/>
      <c r="JYK36" s="2795"/>
      <c r="JYL36" s="2795"/>
      <c r="JYM36" s="2795"/>
      <c r="JYN36" s="2795"/>
      <c r="JYO36" s="2795"/>
      <c r="JYP36" s="2795"/>
      <c r="JYQ36" s="2795"/>
      <c r="JYR36" s="2795"/>
      <c r="JYS36" s="2795"/>
      <c r="JYT36" s="2795"/>
      <c r="JYU36" s="2795"/>
      <c r="JYV36" s="2795"/>
      <c r="JYW36" s="2795"/>
      <c r="JYX36" s="2795"/>
      <c r="JYY36" s="2795"/>
      <c r="JYZ36" s="2795"/>
      <c r="JZA36" s="2795"/>
      <c r="JZB36" s="2795"/>
      <c r="JZC36" s="2795"/>
      <c r="JZD36" s="2795"/>
      <c r="JZE36" s="2795"/>
      <c r="JZF36" s="2795"/>
      <c r="JZG36" s="2795"/>
      <c r="JZH36" s="2795"/>
      <c r="JZI36" s="2795"/>
      <c r="JZJ36" s="2795"/>
      <c r="JZK36" s="2795"/>
      <c r="JZL36" s="2795"/>
      <c r="JZM36" s="2795"/>
      <c r="JZN36" s="2795"/>
      <c r="JZO36" s="2795"/>
      <c r="JZP36" s="2795"/>
      <c r="JZQ36" s="2795"/>
      <c r="JZR36" s="2795"/>
      <c r="JZS36" s="2795"/>
      <c r="JZT36" s="2795"/>
      <c r="JZU36" s="2795"/>
      <c r="JZV36" s="2795"/>
      <c r="JZW36" s="2795"/>
      <c r="JZX36" s="2795"/>
      <c r="JZY36" s="2795"/>
      <c r="JZZ36" s="2795"/>
      <c r="KAA36" s="2795"/>
      <c r="KAB36" s="2795"/>
      <c r="KAC36" s="2795"/>
      <c r="KAD36" s="2795"/>
      <c r="KAE36" s="2795"/>
      <c r="KAF36" s="2795"/>
      <c r="KAG36" s="2795"/>
      <c r="KAH36" s="2795"/>
      <c r="KAI36" s="2795"/>
      <c r="KAJ36" s="2795"/>
      <c r="KAK36" s="2795"/>
      <c r="KAL36" s="2795"/>
      <c r="KAM36" s="2795"/>
      <c r="KAN36" s="2795"/>
      <c r="KAO36" s="2795"/>
      <c r="KAP36" s="2795"/>
      <c r="KAQ36" s="2795"/>
      <c r="KAR36" s="2795"/>
      <c r="KAS36" s="2795"/>
      <c r="KAT36" s="2795"/>
      <c r="KAU36" s="2795"/>
      <c r="KAV36" s="2795"/>
      <c r="KAW36" s="2795"/>
      <c r="KAX36" s="2795"/>
      <c r="KAY36" s="2795"/>
      <c r="KAZ36" s="2795"/>
      <c r="KBA36" s="2795"/>
      <c r="KBB36" s="2795"/>
      <c r="KBC36" s="2795"/>
      <c r="KBD36" s="2795"/>
      <c r="KBE36" s="2795"/>
      <c r="KBF36" s="2795"/>
      <c r="KBG36" s="2795"/>
      <c r="KBH36" s="2795"/>
      <c r="KBI36" s="2795"/>
      <c r="KBJ36" s="2795"/>
      <c r="KBK36" s="2795"/>
      <c r="KBL36" s="2795"/>
      <c r="KBM36" s="2795"/>
      <c r="KBN36" s="2795"/>
      <c r="KBO36" s="2795"/>
      <c r="KBP36" s="2795"/>
      <c r="KBQ36" s="2795"/>
      <c r="KBR36" s="2795"/>
      <c r="KBS36" s="2795"/>
      <c r="KBT36" s="2795"/>
      <c r="KBU36" s="2795"/>
      <c r="KBV36" s="2795"/>
      <c r="KBW36" s="2795"/>
      <c r="KBX36" s="2795"/>
      <c r="KBY36" s="2795"/>
      <c r="KBZ36" s="2795"/>
      <c r="KCA36" s="2795"/>
      <c r="KCB36" s="2795"/>
      <c r="KCC36" s="2795"/>
      <c r="KCD36" s="2795"/>
      <c r="KCE36" s="2795"/>
      <c r="KCF36" s="2795"/>
      <c r="KCG36" s="2795"/>
      <c r="KCH36" s="2795"/>
      <c r="KCI36" s="2795"/>
      <c r="KCJ36" s="2795"/>
      <c r="KCK36" s="2795"/>
      <c r="KCL36" s="2795"/>
      <c r="KCM36" s="2795"/>
      <c r="KCN36" s="2795"/>
      <c r="KCO36" s="2795"/>
      <c r="KCP36" s="2795"/>
      <c r="KCQ36" s="2795"/>
      <c r="KCR36" s="2795"/>
      <c r="KCS36" s="2795"/>
      <c r="KCT36" s="2795"/>
      <c r="KCU36" s="2795"/>
      <c r="KCV36" s="2795"/>
      <c r="KCW36" s="2795"/>
      <c r="KCX36" s="2795"/>
      <c r="KCY36" s="2795"/>
      <c r="KCZ36" s="2795"/>
      <c r="KDA36" s="2795"/>
      <c r="KDB36" s="2795"/>
      <c r="KDC36" s="2795"/>
      <c r="KDD36" s="2795"/>
      <c r="KDE36" s="2795"/>
      <c r="KDF36" s="2795"/>
      <c r="KDG36" s="2795"/>
      <c r="KDH36" s="2795"/>
      <c r="KDI36" s="2795"/>
      <c r="KDJ36" s="2795"/>
      <c r="KDK36" s="2795"/>
      <c r="KDL36" s="2795"/>
      <c r="KDM36" s="2795"/>
      <c r="KDN36" s="2795"/>
      <c r="KDO36" s="2795"/>
      <c r="KDP36" s="2795"/>
      <c r="KDQ36" s="2795"/>
      <c r="KDR36" s="2795"/>
      <c r="KDS36" s="2795"/>
      <c r="KDT36" s="2795"/>
      <c r="KDU36" s="2795"/>
      <c r="KDV36" s="2795"/>
      <c r="KDW36" s="2795"/>
      <c r="KDX36" s="2795"/>
      <c r="KDY36" s="2795"/>
      <c r="KDZ36" s="2795"/>
      <c r="KEA36" s="2795"/>
      <c r="KEB36" s="2795"/>
      <c r="KEC36" s="2795"/>
      <c r="KED36" s="2795"/>
      <c r="KEE36" s="2795"/>
      <c r="KEF36" s="2795"/>
      <c r="KEG36" s="2795"/>
      <c r="KEH36" s="2795"/>
      <c r="KEI36" s="2795"/>
      <c r="KEJ36" s="2795"/>
      <c r="KEK36" s="2795"/>
      <c r="KEL36" s="2795"/>
      <c r="KEM36" s="2795"/>
      <c r="KEN36" s="2795"/>
      <c r="KEO36" s="2795"/>
      <c r="KEP36" s="2795"/>
      <c r="KEQ36" s="2795"/>
      <c r="KER36" s="2795"/>
      <c r="KES36" s="2795"/>
      <c r="KET36" s="2795"/>
      <c r="KEU36" s="2795"/>
      <c r="KEV36" s="2795"/>
      <c r="KEW36" s="2795"/>
      <c r="KEX36" s="2795"/>
      <c r="KEY36" s="2795"/>
      <c r="KEZ36" s="2795"/>
      <c r="KFA36" s="2795"/>
      <c r="KFB36" s="2795"/>
      <c r="KFC36" s="2795"/>
      <c r="KFD36" s="2795"/>
      <c r="KFE36" s="2795"/>
      <c r="KFF36" s="2795"/>
      <c r="KFG36" s="2795"/>
      <c r="KFH36" s="2795"/>
      <c r="KFI36" s="2795"/>
      <c r="KFJ36" s="2795"/>
      <c r="KFK36" s="2795"/>
      <c r="KFL36" s="2795"/>
      <c r="KFM36" s="2795"/>
      <c r="KFN36" s="2795"/>
      <c r="KFO36" s="2795"/>
      <c r="KFP36" s="2795"/>
      <c r="KFQ36" s="2795"/>
      <c r="KFR36" s="2795"/>
      <c r="KFS36" s="2795"/>
      <c r="KFT36" s="2795"/>
      <c r="KFU36" s="2795"/>
      <c r="KFV36" s="2795"/>
      <c r="KFW36" s="2795"/>
      <c r="KFX36" s="2795"/>
      <c r="KFY36" s="2795"/>
      <c r="KFZ36" s="2795"/>
      <c r="KGA36" s="2795"/>
      <c r="KGB36" s="2795"/>
      <c r="KGC36" s="2795"/>
      <c r="KGD36" s="2795"/>
      <c r="KGE36" s="2795"/>
      <c r="KGF36" s="2795"/>
      <c r="KGG36" s="2795"/>
      <c r="KGH36" s="2795"/>
      <c r="KGI36" s="2795"/>
      <c r="KGJ36" s="2795"/>
      <c r="KGK36" s="2795"/>
      <c r="KGL36" s="2795"/>
      <c r="KGM36" s="2795"/>
      <c r="KGN36" s="2795"/>
      <c r="KGO36" s="2795"/>
      <c r="KGP36" s="2795"/>
      <c r="KGQ36" s="2795"/>
      <c r="KGR36" s="2795"/>
      <c r="KGS36" s="2795"/>
      <c r="KGT36" s="2795"/>
      <c r="KGU36" s="2795"/>
      <c r="KGV36" s="2795"/>
      <c r="KGW36" s="2795"/>
      <c r="KGX36" s="2795"/>
      <c r="KGY36" s="2795"/>
      <c r="KGZ36" s="2795"/>
      <c r="KHA36" s="2795"/>
      <c r="KHB36" s="2795"/>
      <c r="KHC36" s="2795"/>
      <c r="KHD36" s="2795"/>
      <c r="KHE36" s="2795"/>
      <c r="KHF36" s="2795"/>
      <c r="KHG36" s="2795"/>
      <c r="KHH36" s="2795"/>
      <c r="KHI36" s="2795"/>
      <c r="KHJ36" s="2795"/>
      <c r="KHK36" s="2795"/>
      <c r="KHL36" s="2795"/>
      <c r="KHM36" s="2795"/>
      <c r="KHN36" s="2795"/>
      <c r="KHO36" s="2795"/>
      <c r="KHP36" s="2795"/>
      <c r="KHQ36" s="2795"/>
      <c r="KHR36" s="2795"/>
      <c r="KHS36" s="2795"/>
      <c r="KHT36" s="2795"/>
      <c r="KHU36" s="2795"/>
      <c r="KHV36" s="2795"/>
      <c r="KHW36" s="2795"/>
      <c r="KHX36" s="2795"/>
      <c r="KHY36" s="2795"/>
      <c r="KHZ36" s="2795"/>
      <c r="KIA36" s="2795"/>
      <c r="KIB36" s="2795"/>
      <c r="KIC36" s="2795"/>
      <c r="KID36" s="2795"/>
      <c r="KIE36" s="2795"/>
      <c r="KIF36" s="2795"/>
      <c r="KIG36" s="2795"/>
      <c r="KIH36" s="2795"/>
      <c r="KII36" s="2795"/>
      <c r="KIJ36" s="2795"/>
      <c r="KIK36" s="2795"/>
      <c r="KIL36" s="2795"/>
      <c r="KIM36" s="2795"/>
      <c r="KIN36" s="2795"/>
      <c r="KIO36" s="2795"/>
      <c r="KIP36" s="2795"/>
      <c r="KIQ36" s="2795"/>
      <c r="KIR36" s="2795"/>
      <c r="KIS36" s="2795"/>
      <c r="KIT36" s="2795"/>
      <c r="KIU36" s="2795"/>
      <c r="KIV36" s="2795"/>
      <c r="KIW36" s="2795"/>
      <c r="KIX36" s="2795"/>
      <c r="KIY36" s="2795"/>
      <c r="KIZ36" s="2795"/>
      <c r="KJA36" s="2795"/>
      <c r="KJB36" s="2795"/>
      <c r="KJC36" s="2795"/>
      <c r="KJD36" s="2795"/>
      <c r="KJE36" s="2795"/>
      <c r="KJF36" s="2795"/>
      <c r="KJG36" s="2795"/>
      <c r="KJH36" s="2795"/>
      <c r="KJI36" s="2795"/>
      <c r="KJJ36" s="2795"/>
      <c r="KJK36" s="2795"/>
      <c r="KJL36" s="2795"/>
      <c r="KJM36" s="2795"/>
      <c r="KJN36" s="2795"/>
      <c r="KJO36" s="2795"/>
      <c r="KJP36" s="2795"/>
      <c r="KJQ36" s="2795"/>
      <c r="KJR36" s="2795"/>
      <c r="KJS36" s="2795"/>
      <c r="KJT36" s="2795"/>
      <c r="KJU36" s="2795"/>
      <c r="KJV36" s="2795"/>
      <c r="KJW36" s="2795"/>
      <c r="KJX36" s="2795"/>
      <c r="KJY36" s="2795"/>
      <c r="KJZ36" s="2795"/>
      <c r="KKA36" s="2795"/>
      <c r="KKB36" s="2795"/>
      <c r="KKC36" s="2795"/>
      <c r="KKD36" s="2795"/>
      <c r="KKE36" s="2795"/>
      <c r="KKF36" s="2795"/>
      <c r="KKG36" s="2795"/>
      <c r="KKH36" s="2795"/>
      <c r="KKI36" s="2795"/>
      <c r="KKJ36" s="2795"/>
      <c r="KKK36" s="2795"/>
      <c r="KKL36" s="2795"/>
      <c r="KKM36" s="2795"/>
      <c r="KKN36" s="2795"/>
      <c r="KKO36" s="2795"/>
      <c r="KKP36" s="2795"/>
      <c r="KKQ36" s="2795"/>
      <c r="KKR36" s="2795"/>
      <c r="KKS36" s="2795"/>
      <c r="KKT36" s="2795"/>
      <c r="KKU36" s="2795"/>
      <c r="KKV36" s="2795"/>
      <c r="KKW36" s="2795"/>
      <c r="KKX36" s="2795"/>
      <c r="KKY36" s="2795"/>
      <c r="KKZ36" s="2795"/>
      <c r="KLA36" s="2795"/>
      <c r="KLB36" s="2795"/>
      <c r="KLC36" s="2795"/>
      <c r="KLD36" s="2795"/>
      <c r="KLE36" s="2795"/>
      <c r="KLF36" s="2795"/>
      <c r="KLG36" s="2795"/>
      <c r="KLH36" s="2795"/>
      <c r="KLI36" s="2795"/>
      <c r="KLJ36" s="2795"/>
      <c r="KLK36" s="2795"/>
      <c r="KLL36" s="2795"/>
      <c r="KLM36" s="2795"/>
      <c r="KLN36" s="2795"/>
      <c r="KLO36" s="2795"/>
      <c r="KLP36" s="2795"/>
      <c r="KLQ36" s="2795"/>
      <c r="KLR36" s="2795"/>
      <c r="KLS36" s="2795"/>
      <c r="KLT36" s="2795"/>
      <c r="KLU36" s="2795"/>
      <c r="KLV36" s="2795"/>
      <c r="KLW36" s="2795"/>
      <c r="KLX36" s="2795"/>
      <c r="KLY36" s="2795"/>
      <c r="KLZ36" s="2795"/>
      <c r="KMA36" s="2795"/>
      <c r="KMB36" s="2795"/>
      <c r="KMC36" s="2795"/>
      <c r="KMD36" s="2795"/>
      <c r="KME36" s="2795"/>
      <c r="KMF36" s="2795"/>
      <c r="KMG36" s="2795"/>
      <c r="KMH36" s="2795"/>
      <c r="KMI36" s="2795"/>
      <c r="KMJ36" s="2795"/>
      <c r="KMK36" s="2795"/>
      <c r="KML36" s="2795"/>
      <c r="KMM36" s="2795"/>
      <c r="KMN36" s="2795"/>
      <c r="KMO36" s="2795"/>
      <c r="KMP36" s="2795"/>
      <c r="KMQ36" s="2795"/>
      <c r="KMR36" s="2795"/>
      <c r="KMS36" s="2795"/>
      <c r="KMT36" s="2795"/>
      <c r="KMU36" s="2795"/>
      <c r="KMV36" s="2795"/>
      <c r="KMW36" s="2795"/>
      <c r="KMX36" s="2795"/>
      <c r="KMY36" s="2795"/>
      <c r="KMZ36" s="2795"/>
      <c r="KNA36" s="2795"/>
      <c r="KNB36" s="2795"/>
      <c r="KNC36" s="2795"/>
      <c r="KND36" s="2795"/>
      <c r="KNE36" s="2795"/>
      <c r="KNF36" s="2795"/>
      <c r="KNG36" s="2795"/>
      <c r="KNH36" s="2795"/>
      <c r="KNI36" s="2795"/>
      <c r="KNJ36" s="2795"/>
      <c r="KNK36" s="2795"/>
      <c r="KNL36" s="2795"/>
      <c r="KNM36" s="2795"/>
      <c r="KNN36" s="2795"/>
      <c r="KNO36" s="2795"/>
      <c r="KNP36" s="2795"/>
      <c r="KNQ36" s="2795"/>
      <c r="KNR36" s="2795"/>
      <c r="KNS36" s="2795"/>
      <c r="KNT36" s="2795"/>
      <c r="KNU36" s="2795"/>
      <c r="KNV36" s="2795"/>
      <c r="KNW36" s="2795"/>
      <c r="KNX36" s="2795"/>
      <c r="KNY36" s="2795"/>
      <c r="KNZ36" s="2795"/>
      <c r="KOA36" s="2795"/>
      <c r="KOB36" s="2795"/>
      <c r="KOC36" s="2795"/>
      <c r="KOD36" s="2795"/>
      <c r="KOE36" s="2795"/>
      <c r="KOF36" s="2795"/>
      <c r="KOG36" s="2795"/>
      <c r="KOH36" s="2795"/>
      <c r="KOI36" s="2795"/>
      <c r="KOJ36" s="2795"/>
      <c r="KOK36" s="2795"/>
      <c r="KOL36" s="2795"/>
      <c r="KOM36" s="2795"/>
      <c r="KON36" s="2795"/>
      <c r="KOO36" s="2795"/>
      <c r="KOP36" s="2795"/>
      <c r="KOQ36" s="2795"/>
      <c r="KOR36" s="2795"/>
      <c r="KOS36" s="2795"/>
      <c r="KOT36" s="2795"/>
      <c r="KOU36" s="2795"/>
      <c r="KOV36" s="2795"/>
      <c r="KOW36" s="2795"/>
      <c r="KOX36" s="2795"/>
      <c r="KOY36" s="2795"/>
      <c r="KOZ36" s="2795"/>
      <c r="KPA36" s="2795"/>
      <c r="KPB36" s="2795"/>
      <c r="KPC36" s="2795"/>
      <c r="KPD36" s="2795"/>
      <c r="KPE36" s="2795"/>
      <c r="KPF36" s="2795"/>
      <c r="KPG36" s="2795"/>
      <c r="KPH36" s="2795"/>
      <c r="KPI36" s="2795"/>
      <c r="KPJ36" s="2795"/>
      <c r="KPK36" s="2795"/>
      <c r="KPL36" s="2795"/>
      <c r="KPM36" s="2795"/>
      <c r="KPN36" s="2795"/>
      <c r="KPO36" s="2795"/>
      <c r="KPP36" s="2795"/>
      <c r="KPQ36" s="2795"/>
      <c r="KPR36" s="2795"/>
      <c r="KPS36" s="2795"/>
      <c r="KPT36" s="2795"/>
      <c r="KPU36" s="2795"/>
      <c r="KPV36" s="2795"/>
      <c r="KPW36" s="2795"/>
      <c r="KPX36" s="2795"/>
      <c r="KPY36" s="2795"/>
      <c r="KPZ36" s="2795"/>
      <c r="KQA36" s="2795"/>
      <c r="KQB36" s="2795"/>
      <c r="KQC36" s="2795"/>
      <c r="KQD36" s="2795"/>
      <c r="KQE36" s="2795"/>
      <c r="KQF36" s="2795"/>
      <c r="KQG36" s="2795"/>
      <c r="KQH36" s="2795"/>
      <c r="KQI36" s="2795"/>
      <c r="KQJ36" s="2795"/>
      <c r="KQK36" s="2795"/>
      <c r="KQL36" s="2795"/>
      <c r="KQM36" s="2795"/>
      <c r="KQN36" s="2795"/>
      <c r="KQO36" s="2795"/>
      <c r="KQP36" s="2795"/>
      <c r="KQQ36" s="2795"/>
      <c r="KQR36" s="2795"/>
      <c r="KQS36" s="2795"/>
      <c r="KQT36" s="2795"/>
      <c r="KQU36" s="2795"/>
      <c r="KQV36" s="2795"/>
      <c r="KQW36" s="2795"/>
      <c r="KQX36" s="2795"/>
      <c r="KQY36" s="2795"/>
      <c r="KQZ36" s="2795"/>
      <c r="KRA36" s="2795"/>
      <c r="KRB36" s="2795"/>
      <c r="KRC36" s="2795"/>
      <c r="KRD36" s="2795"/>
      <c r="KRE36" s="2795"/>
      <c r="KRF36" s="2795"/>
      <c r="KRG36" s="2795"/>
      <c r="KRH36" s="2795"/>
      <c r="KRI36" s="2795"/>
      <c r="KRJ36" s="2795"/>
      <c r="KRK36" s="2795"/>
      <c r="KRL36" s="2795"/>
      <c r="KRM36" s="2795"/>
      <c r="KRN36" s="2795"/>
      <c r="KRO36" s="2795"/>
      <c r="KRP36" s="2795"/>
      <c r="KRQ36" s="2795"/>
      <c r="KRR36" s="2795"/>
      <c r="KRS36" s="2795"/>
      <c r="KRT36" s="2795"/>
      <c r="KRU36" s="2795"/>
      <c r="KRV36" s="2795"/>
      <c r="KRW36" s="2795"/>
      <c r="KRX36" s="2795"/>
      <c r="KRY36" s="2795"/>
      <c r="KRZ36" s="2795"/>
      <c r="KSA36" s="2795"/>
      <c r="KSB36" s="2795"/>
      <c r="KSC36" s="2795"/>
      <c r="KSD36" s="2795"/>
      <c r="KSE36" s="2795"/>
      <c r="KSF36" s="2795"/>
      <c r="KSG36" s="2795"/>
      <c r="KSH36" s="2795"/>
      <c r="KSI36" s="2795"/>
      <c r="KSJ36" s="2795"/>
      <c r="KSK36" s="2795"/>
      <c r="KSL36" s="2795"/>
      <c r="KSM36" s="2795"/>
      <c r="KSN36" s="2795"/>
      <c r="KSO36" s="2795"/>
      <c r="KSP36" s="2795"/>
      <c r="KSQ36" s="2795"/>
      <c r="KSR36" s="2795"/>
      <c r="KSS36" s="2795"/>
      <c r="KST36" s="2795"/>
      <c r="KSU36" s="2795"/>
      <c r="KSV36" s="2795"/>
      <c r="KSW36" s="2795"/>
      <c r="KSX36" s="2795"/>
      <c r="KSY36" s="2795"/>
      <c r="KSZ36" s="2795"/>
      <c r="KTA36" s="2795"/>
      <c r="KTB36" s="2795"/>
      <c r="KTC36" s="2795"/>
      <c r="KTD36" s="2795"/>
      <c r="KTE36" s="2795"/>
      <c r="KTF36" s="2795"/>
      <c r="KTG36" s="2795"/>
      <c r="KTH36" s="2795"/>
      <c r="KTI36" s="2795"/>
      <c r="KTJ36" s="2795"/>
      <c r="KTK36" s="2795"/>
      <c r="KTL36" s="2795"/>
      <c r="KTM36" s="2795"/>
      <c r="KTN36" s="2795"/>
      <c r="KTO36" s="2795"/>
      <c r="KTP36" s="2795"/>
      <c r="KTQ36" s="2795"/>
      <c r="KTR36" s="2795"/>
      <c r="KTS36" s="2795"/>
      <c r="KTT36" s="2795"/>
      <c r="KTU36" s="2795"/>
      <c r="KTV36" s="2795"/>
      <c r="KTW36" s="2795"/>
      <c r="KTX36" s="2795"/>
      <c r="KTY36" s="2795"/>
      <c r="KTZ36" s="2795"/>
      <c r="KUA36" s="2795"/>
      <c r="KUB36" s="2795"/>
      <c r="KUC36" s="2795"/>
      <c r="KUD36" s="2795"/>
      <c r="KUE36" s="2795"/>
      <c r="KUF36" s="2795"/>
      <c r="KUG36" s="2795"/>
      <c r="KUH36" s="2795"/>
      <c r="KUI36" s="2795"/>
      <c r="KUJ36" s="2795"/>
      <c r="KUK36" s="2795"/>
      <c r="KUL36" s="2795"/>
      <c r="KUM36" s="2795"/>
      <c r="KUN36" s="2795"/>
      <c r="KUO36" s="2795"/>
      <c r="KUP36" s="2795"/>
      <c r="KUQ36" s="2795"/>
      <c r="KUR36" s="2795"/>
      <c r="KUS36" s="2795"/>
      <c r="KUT36" s="2795"/>
      <c r="KUU36" s="2795"/>
      <c r="KUV36" s="2795"/>
      <c r="KUW36" s="2795"/>
      <c r="KUX36" s="2795"/>
      <c r="KUY36" s="2795"/>
      <c r="KUZ36" s="2795"/>
      <c r="KVA36" s="2795"/>
      <c r="KVB36" s="2795"/>
      <c r="KVC36" s="2795"/>
      <c r="KVD36" s="2795"/>
      <c r="KVE36" s="2795"/>
      <c r="KVF36" s="2795"/>
      <c r="KVG36" s="2795"/>
      <c r="KVH36" s="2795"/>
      <c r="KVI36" s="2795"/>
      <c r="KVJ36" s="2795"/>
      <c r="KVK36" s="2795"/>
      <c r="KVL36" s="2795"/>
      <c r="KVM36" s="2795"/>
      <c r="KVN36" s="2795"/>
      <c r="KVO36" s="2795"/>
      <c r="KVP36" s="2795"/>
      <c r="KVQ36" s="2795"/>
      <c r="KVR36" s="2795"/>
      <c r="KVS36" s="2795"/>
      <c r="KVT36" s="2795"/>
      <c r="KVU36" s="2795"/>
      <c r="KVV36" s="2795"/>
      <c r="KVW36" s="2795"/>
      <c r="KVX36" s="2795"/>
      <c r="KVY36" s="2795"/>
      <c r="KVZ36" s="2795"/>
      <c r="KWA36" s="2795"/>
      <c r="KWB36" s="2795"/>
      <c r="KWC36" s="2795"/>
      <c r="KWD36" s="2795"/>
      <c r="KWE36" s="2795"/>
      <c r="KWF36" s="2795"/>
      <c r="KWG36" s="2795"/>
      <c r="KWH36" s="2795"/>
      <c r="KWI36" s="2795"/>
      <c r="KWJ36" s="2795"/>
      <c r="KWK36" s="2795"/>
      <c r="KWL36" s="2795"/>
      <c r="KWM36" s="2795"/>
      <c r="KWN36" s="2795"/>
      <c r="KWO36" s="2795"/>
      <c r="KWP36" s="2795"/>
      <c r="KWQ36" s="2795"/>
      <c r="KWR36" s="2795"/>
      <c r="KWS36" s="2795"/>
      <c r="KWT36" s="2795"/>
      <c r="KWU36" s="2795"/>
      <c r="KWV36" s="2795"/>
      <c r="KWW36" s="2795"/>
      <c r="KWX36" s="2795"/>
      <c r="KWY36" s="2795"/>
      <c r="KWZ36" s="2795"/>
      <c r="KXA36" s="2795"/>
      <c r="KXB36" s="2795"/>
      <c r="KXC36" s="2795"/>
      <c r="KXD36" s="2795"/>
      <c r="KXE36" s="2795"/>
      <c r="KXF36" s="2795"/>
      <c r="KXG36" s="2795"/>
      <c r="KXH36" s="2795"/>
      <c r="KXI36" s="2795"/>
      <c r="KXJ36" s="2795"/>
      <c r="KXK36" s="2795"/>
      <c r="KXL36" s="2795"/>
      <c r="KXM36" s="2795"/>
      <c r="KXN36" s="2795"/>
      <c r="KXO36" s="2795"/>
      <c r="KXP36" s="2795"/>
      <c r="KXQ36" s="2795"/>
      <c r="KXR36" s="2795"/>
      <c r="KXS36" s="2795"/>
      <c r="KXT36" s="2795"/>
      <c r="KXU36" s="2795"/>
      <c r="KXV36" s="2795"/>
      <c r="KXW36" s="2795"/>
      <c r="KXX36" s="2795"/>
      <c r="KXY36" s="2795"/>
      <c r="KXZ36" s="2795"/>
      <c r="KYA36" s="2795"/>
      <c r="KYB36" s="2795"/>
      <c r="KYC36" s="2795"/>
      <c r="KYD36" s="2795"/>
      <c r="KYE36" s="2795"/>
      <c r="KYF36" s="2795"/>
      <c r="KYG36" s="2795"/>
      <c r="KYH36" s="2795"/>
      <c r="KYI36" s="2795"/>
      <c r="KYJ36" s="2795"/>
      <c r="KYK36" s="2795"/>
      <c r="KYL36" s="2795"/>
      <c r="KYM36" s="2795"/>
      <c r="KYN36" s="2795"/>
      <c r="KYO36" s="2795"/>
      <c r="KYP36" s="2795"/>
      <c r="KYQ36" s="2795"/>
      <c r="KYR36" s="2795"/>
      <c r="KYS36" s="2795"/>
      <c r="KYT36" s="2795"/>
      <c r="KYU36" s="2795"/>
      <c r="KYV36" s="2795"/>
      <c r="KYW36" s="2795"/>
      <c r="KYX36" s="2795"/>
      <c r="KYY36" s="2795"/>
      <c r="KYZ36" s="2795"/>
      <c r="KZA36" s="2795"/>
      <c r="KZB36" s="2795"/>
      <c r="KZC36" s="2795"/>
      <c r="KZD36" s="2795"/>
      <c r="KZE36" s="2795"/>
      <c r="KZF36" s="2795"/>
      <c r="KZG36" s="2795"/>
      <c r="KZH36" s="2795"/>
      <c r="KZI36" s="2795"/>
      <c r="KZJ36" s="2795"/>
      <c r="KZK36" s="2795"/>
      <c r="KZL36" s="2795"/>
      <c r="KZM36" s="2795"/>
      <c r="KZN36" s="2795"/>
      <c r="KZO36" s="2795"/>
      <c r="KZP36" s="2795"/>
      <c r="KZQ36" s="2795"/>
      <c r="KZR36" s="2795"/>
      <c r="KZS36" s="2795"/>
      <c r="KZT36" s="2795"/>
      <c r="KZU36" s="2795"/>
      <c r="KZV36" s="2795"/>
      <c r="KZW36" s="2795"/>
      <c r="KZX36" s="2795"/>
      <c r="KZY36" s="2795"/>
      <c r="KZZ36" s="2795"/>
      <c r="LAA36" s="2795"/>
      <c r="LAB36" s="2795"/>
      <c r="LAC36" s="2795"/>
      <c r="LAD36" s="2795"/>
      <c r="LAE36" s="2795"/>
      <c r="LAF36" s="2795"/>
      <c r="LAG36" s="2795"/>
      <c r="LAH36" s="2795"/>
      <c r="LAI36" s="2795"/>
      <c r="LAJ36" s="2795"/>
      <c r="LAK36" s="2795"/>
      <c r="LAL36" s="2795"/>
      <c r="LAM36" s="2795"/>
      <c r="LAN36" s="2795"/>
      <c r="LAO36" s="2795"/>
      <c r="LAP36" s="2795"/>
      <c r="LAQ36" s="2795"/>
      <c r="LAR36" s="2795"/>
      <c r="LAS36" s="2795"/>
      <c r="LAT36" s="2795"/>
      <c r="LAU36" s="2795"/>
      <c r="LAV36" s="2795"/>
      <c r="LAW36" s="2795"/>
      <c r="LAX36" s="2795"/>
      <c r="LAY36" s="2795"/>
      <c r="LAZ36" s="2795"/>
      <c r="LBA36" s="2795"/>
      <c r="LBB36" s="2795"/>
      <c r="LBC36" s="2795"/>
      <c r="LBD36" s="2795"/>
      <c r="LBE36" s="2795"/>
      <c r="LBF36" s="2795"/>
      <c r="LBG36" s="2795"/>
      <c r="LBH36" s="2795"/>
      <c r="LBI36" s="2795"/>
      <c r="LBJ36" s="2795"/>
      <c r="LBK36" s="2795"/>
      <c r="LBL36" s="2795"/>
      <c r="LBM36" s="2795"/>
      <c r="LBN36" s="2795"/>
      <c r="LBO36" s="2795"/>
      <c r="LBP36" s="2795"/>
      <c r="LBQ36" s="2795"/>
      <c r="LBR36" s="2795"/>
      <c r="LBS36" s="2795"/>
      <c r="LBT36" s="2795"/>
      <c r="LBU36" s="2795"/>
      <c r="LBV36" s="2795"/>
      <c r="LBW36" s="2795"/>
      <c r="LBX36" s="2795"/>
      <c r="LBY36" s="2795"/>
      <c r="LBZ36" s="2795"/>
      <c r="LCA36" s="2795"/>
      <c r="LCB36" s="2795"/>
      <c r="LCC36" s="2795"/>
      <c r="LCD36" s="2795"/>
      <c r="LCE36" s="2795"/>
      <c r="LCF36" s="2795"/>
      <c r="LCG36" s="2795"/>
      <c r="LCH36" s="2795"/>
      <c r="LCI36" s="2795"/>
      <c r="LCJ36" s="2795"/>
      <c r="LCK36" s="2795"/>
      <c r="LCL36" s="2795"/>
      <c r="LCM36" s="2795"/>
      <c r="LCN36" s="2795"/>
      <c r="LCO36" s="2795"/>
      <c r="LCP36" s="2795"/>
      <c r="LCQ36" s="2795"/>
      <c r="LCR36" s="2795"/>
      <c r="LCS36" s="2795"/>
      <c r="LCT36" s="2795"/>
      <c r="LCU36" s="2795"/>
      <c r="LCV36" s="2795"/>
      <c r="LCW36" s="2795"/>
      <c r="LCX36" s="2795"/>
      <c r="LCY36" s="2795"/>
      <c r="LCZ36" s="2795"/>
      <c r="LDA36" s="2795"/>
      <c r="LDB36" s="2795"/>
      <c r="LDC36" s="2795"/>
      <c r="LDD36" s="2795"/>
      <c r="LDE36" s="2795"/>
      <c r="LDF36" s="2795"/>
      <c r="LDG36" s="2795"/>
      <c r="LDH36" s="2795"/>
      <c r="LDI36" s="2795"/>
      <c r="LDJ36" s="2795"/>
      <c r="LDK36" s="2795"/>
      <c r="LDL36" s="2795"/>
      <c r="LDM36" s="2795"/>
      <c r="LDN36" s="2795"/>
      <c r="LDO36" s="2795"/>
      <c r="LDP36" s="2795"/>
      <c r="LDQ36" s="2795"/>
      <c r="LDR36" s="2795"/>
      <c r="LDS36" s="2795"/>
      <c r="LDT36" s="2795"/>
      <c r="LDU36" s="2795"/>
      <c r="LDV36" s="2795"/>
      <c r="LDW36" s="2795"/>
      <c r="LDX36" s="2795"/>
      <c r="LDY36" s="2795"/>
      <c r="LDZ36" s="2795"/>
      <c r="LEA36" s="2795"/>
      <c r="LEB36" s="2795"/>
      <c r="LEC36" s="2795"/>
      <c r="LED36" s="2795"/>
      <c r="LEE36" s="2795"/>
      <c r="LEF36" s="2795"/>
      <c r="LEG36" s="2795"/>
      <c r="LEH36" s="2795"/>
      <c r="LEI36" s="2795"/>
      <c r="LEJ36" s="2795"/>
      <c r="LEK36" s="2795"/>
      <c r="LEL36" s="2795"/>
      <c r="LEM36" s="2795"/>
      <c r="LEN36" s="2795"/>
      <c r="LEO36" s="2795"/>
      <c r="LEP36" s="2795"/>
      <c r="LEQ36" s="2795"/>
      <c r="LER36" s="2795"/>
      <c r="LES36" s="2795"/>
      <c r="LET36" s="2795"/>
      <c r="LEU36" s="2795"/>
      <c r="LEV36" s="2795"/>
      <c r="LEW36" s="2795"/>
      <c r="LEX36" s="2795"/>
      <c r="LEY36" s="2795"/>
      <c r="LEZ36" s="2795"/>
      <c r="LFA36" s="2795"/>
      <c r="LFB36" s="2795"/>
      <c r="LFC36" s="2795"/>
      <c r="LFD36" s="2795"/>
      <c r="LFE36" s="2795"/>
      <c r="LFF36" s="2795"/>
      <c r="LFG36" s="2795"/>
      <c r="LFH36" s="2795"/>
      <c r="LFI36" s="2795"/>
      <c r="LFJ36" s="2795"/>
      <c r="LFK36" s="2795"/>
      <c r="LFL36" s="2795"/>
      <c r="LFM36" s="2795"/>
      <c r="LFN36" s="2795"/>
      <c r="LFO36" s="2795"/>
      <c r="LFP36" s="2795"/>
      <c r="LFQ36" s="2795"/>
      <c r="LFR36" s="2795"/>
      <c r="LFS36" s="2795"/>
      <c r="LFT36" s="2795"/>
      <c r="LFU36" s="2795"/>
      <c r="LFV36" s="2795"/>
      <c r="LFW36" s="2795"/>
      <c r="LFX36" s="2795"/>
      <c r="LFY36" s="2795"/>
      <c r="LFZ36" s="2795"/>
      <c r="LGA36" s="2795"/>
      <c r="LGB36" s="2795"/>
      <c r="LGC36" s="2795"/>
      <c r="LGD36" s="2795"/>
      <c r="LGE36" s="2795"/>
      <c r="LGF36" s="2795"/>
      <c r="LGG36" s="2795"/>
      <c r="LGH36" s="2795"/>
      <c r="LGI36" s="2795"/>
      <c r="LGJ36" s="2795"/>
      <c r="LGK36" s="2795"/>
      <c r="LGL36" s="2795"/>
      <c r="LGM36" s="2795"/>
      <c r="LGN36" s="2795"/>
      <c r="LGO36" s="2795"/>
      <c r="LGP36" s="2795"/>
      <c r="LGQ36" s="2795"/>
      <c r="LGR36" s="2795"/>
      <c r="LGS36" s="2795"/>
      <c r="LGT36" s="2795"/>
      <c r="LGU36" s="2795"/>
      <c r="LGV36" s="2795"/>
      <c r="LGW36" s="2795"/>
      <c r="LGX36" s="2795"/>
      <c r="LGY36" s="2795"/>
      <c r="LGZ36" s="2795"/>
      <c r="LHA36" s="2795"/>
      <c r="LHB36" s="2795"/>
      <c r="LHC36" s="2795"/>
      <c r="LHD36" s="2795"/>
      <c r="LHE36" s="2795"/>
      <c r="LHF36" s="2795"/>
      <c r="LHG36" s="2795"/>
      <c r="LHH36" s="2795"/>
      <c r="LHI36" s="2795"/>
      <c r="LHJ36" s="2795"/>
      <c r="LHK36" s="2795"/>
      <c r="LHL36" s="2795"/>
      <c r="LHM36" s="2795"/>
      <c r="LHN36" s="2795"/>
      <c r="LHO36" s="2795"/>
      <c r="LHP36" s="2795"/>
      <c r="LHQ36" s="2795"/>
      <c r="LHR36" s="2795"/>
      <c r="LHS36" s="2795"/>
      <c r="LHT36" s="2795"/>
      <c r="LHU36" s="2795"/>
      <c r="LHV36" s="2795"/>
      <c r="LHW36" s="2795"/>
      <c r="LHX36" s="2795"/>
      <c r="LHY36" s="2795"/>
      <c r="LHZ36" s="2795"/>
      <c r="LIA36" s="2795"/>
      <c r="LIB36" s="2795"/>
      <c r="LIC36" s="2795"/>
      <c r="LID36" s="2795"/>
      <c r="LIE36" s="2795"/>
      <c r="LIF36" s="2795"/>
      <c r="LIG36" s="2795"/>
      <c r="LIH36" s="2795"/>
      <c r="LII36" s="2795"/>
      <c r="LIJ36" s="2795"/>
      <c r="LIK36" s="2795"/>
      <c r="LIL36" s="2795"/>
      <c r="LIM36" s="2795"/>
      <c r="LIN36" s="2795"/>
      <c r="LIO36" s="2795"/>
      <c r="LIP36" s="2795"/>
      <c r="LIQ36" s="2795"/>
      <c r="LIR36" s="2795"/>
      <c r="LIS36" s="2795"/>
      <c r="LIT36" s="2795"/>
      <c r="LIU36" s="2795"/>
      <c r="LIV36" s="2795"/>
      <c r="LIW36" s="2795"/>
      <c r="LIX36" s="2795"/>
      <c r="LIY36" s="2795"/>
      <c r="LIZ36" s="2795"/>
      <c r="LJA36" s="2795"/>
      <c r="LJB36" s="2795"/>
      <c r="LJC36" s="2795"/>
      <c r="LJD36" s="2795"/>
      <c r="LJE36" s="2795"/>
      <c r="LJF36" s="2795"/>
      <c r="LJG36" s="2795"/>
      <c r="LJH36" s="2795"/>
      <c r="LJI36" s="2795"/>
      <c r="LJJ36" s="2795"/>
      <c r="LJK36" s="2795"/>
      <c r="LJL36" s="2795"/>
      <c r="LJM36" s="2795"/>
      <c r="LJN36" s="2795"/>
      <c r="LJO36" s="2795"/>
      <c r="LJP36" s="2795"/>
      <c r="LJQ36" s="2795"/>
      <c r="LJR36" s="2795"/>
      <c r="LJS36" s="2795"/>
      <c r="LJT36" s="2795"/>
      <c r="LJU36" s="2795"/>
      <c r="LJV36" s="2795"/>
      <c r="LJW36" s="2795"/>
      <c r="LJX36" s="2795"/>
      <c r="LJY36" s="2795"/>
      <c r="LJZ36" s="2795"/>
      <c r="LKA36" s="2795"/>
      <c r="LKB36" s="2795"/>
      <c r="LKC36" s="2795"/>
      <c r="LKD36" s="2795"/>
      <c r="LKE36" s="2795"/>
      <c r="LKF36" s="2795"/>
      <c r="LKG36" s="2795"/>
      <c r="LKH36" s="2795"/>
      <c r="LKI36" s="2795"/>
      <c r="LKJ36" s="2795"/>
      <c r="LKK36" s="2795"/>
      <c r="LKL36" s="2795"/>
      <c r="LKM36" s="2795"/>
      <c r="LKN36" s="2795"/>
      <c r="LKO36" s="2795"/>
      <c r="LKP36" s="2795"/>
      <c r="LKQ36" s="2795"/>
      <c r="LKR36" s="2795"/>
      <c r="LKS36" s="2795"/>
      <c r="LKT36" s="2795"/>
      <c r="LKU36" s="2795"/>
      <c r="LKV36" s="2795"/>
      <c r="LKW36" s="2795"/>
      <c r="LKX36" s="2795"/>
      <c r="LKY36" s="2795"/>
      <c r="LKZ36" s="2795"/>
      <c r="LLA36" s="2795"/>
      <c r="LLB36" s="2795"/>
      <c r="LLC36" s="2795"/>
      <c r="LLD36" s="2795"/>
      <c r="LLE36" s="2795"/>
      <c r="LLF36" s="2795"/>
      <c r="LLG36" s="2795"/>
      <c r="LLH36" s="2795"/>
      <c r="LLI36" s="2795"/>
      <c r="LLJ36" s="2795"/>
      <c r="LLK36" s="2795"/>
      <c r="LLL36" s="2795"/>
      <c r="LLM36" s="2795"/>
      <c r="LLN36" s="2795"/>
      <c r="LLO36" s="2795"/>
      <c r="LLP36" s="2795"/>
      <c r="LLQ36" s="2795"/>
      <c r="LLR36" s="2795"/>
      <c r="LLS36" s="2795"/>
      <c r="LLT36" s="2795"/>
      <c r="LLU36" s="2795"/>
      <c r="LLV36" s="2795"/>
      <c r="LLW36" s="2795"/>
      <c r="LLX36" s="2795"/>
      <c r="LLY36" s="2795"/>
      <c r="LLZ36" s="2795"/>
      <c r="LMA36" s="2795"/>
      <c r="LMB36" s="2795"/>
      <c r="LMC36" s="2795"/>
      <c r="LMD36" s="2795"/>
      <c r="LME36" s="2795"/>
      <c r="LMF36" s="2795"/>
      <c r="LMG36" s="2795"/>
      <c r="LMH36" s="2795"/>
      <c r="LMI36" s="2795"/>
      <c r="LMJ36" s="2795"/>
      <c r="LMK36" s="2795"/>
      <c r="LML36" s="2795"/>
      <c r="LMM36" s="2795"/>
      <c r="LMN36" s="2795"/>
      <c r="LMO36" s="2795"/>
      <c r="LMP36" s="2795"/>
      <c r="LMQ36" s="2795"/>
      <c r="LMR36" s="2795"/>
      <c r="LMS36" s="2795"/>
      <c r="LMT36" s="2795"/>
      <c r="LMU36" s="2795"/>
      <c r="LMV36" s="2795"/>
      <c r="LMW36" s="2795"/>
      <c r="LMX36" s="2795"/>
      <c r="LMY36" s="2795"/>
      <c r="LMZ36" s="2795"/>
      <c r="LNA36" s="2795"/>
      <c r="LNB36" s="2795"/>
      <c r="LNC36" s="2795"/>
      <c r="LND36" s="2795"/>
      <c r="LNE36" s="2795"/>
      <c r="LNF36" s="2795"/>
      <c r="LNG36" s="2795"/>
      <c r="LNH36" s="2795"/>
      <c r="LNI36" s="2795"/>
      <c r="LNJ36" s="2795"/>
      <c r="LNK36" s="2795"/>
      <c r="LNL36" s="2795"/>
      <c r="LNM36" s="2795"/>
      <c r="LNN36" s="2795"/>
      <c r="LNO36" s="2795"/>
      <c r="LNP36" s="2795"/>
      <c r="LNQ36" s="2795"/>
      <c r="LNR36" s="2795"/>
      <c r="LNS36" s="2795"/>
      <c r="LNT36" s="2795"/>
      <c r="LNU36" s="2795"/>
      <c r="LNV36" s="2795"/>
      <c r="LNW36" s="2795"/>
      <c r="LNX36" s="2795"/>
      <c r="LNY36" s="2795"/>
      <c r="LNZ36" s="2795"/>
      <c r="LOA36" s="2795"/>
      <c r="LOB36" s="2795"/>
      <c r="LOC36" s="2795"/>
      <c r="LOD36" s="2795"/>
      <c r="LOE36" s="2795"/>
      <c r="LOF36" s="2795"/>
      <c r="LOG36" s="2795"/>
      <c r="LOH36" s="2795"/>
      <c r="LOI36" s="2795"/>
      <c r="LOJ36" s="2795"/>
      <c r="LOK36" s="2795"/>
      <c r="LOL36" s="2795"/>
      <c r="LOM36" s="2795"/>
      <c r="LON36" s="2795"/>
      <c r="LOO36" s="2795"/>
      <c r="LOP36" s="2795"/>
      <c r="LOQ36" s="2795"/>
      <c r="LOR36" s="2795"/>
      <c r="LOS36" s="2795"/>
      <c r="LOT36" s="2795"/>
      <c r="LOU36" s="2795"/>
      <c r="LOV36" s="2795"/>
      <c r="LOW36" s="2795"/>
      <c r="LOX36" s="2795"/>
      <c r="LOY36" s="2795"/>
      <c r="LOZ36" s="2795"/>
      <c r="LPA36" s="2795"/>
      <c r="LPB36" s="2795"/>
      <c r="LPC36" s="2795"/>
      <c r="LPD36" s="2795"/>
      <c r="LPE36" s="2795"/>
      <c r="LPF36" s="2795"/>
      <c r="LPG36" s="2795"/>
      <c r="LPH36" s="2795"/>
      <c r="LPI36" s="2795"/>
      <c r="LPJ36" s="2795"/>
      <c r="LPK36" s="2795"/>
      <c r="LPL36" s="2795"/>
      <c r="LPM36" s="2795"/>
      <c r="LPN36" s="2795"/>
      <c r="LPO36" s="2795"/>
      <c r="LPP36" s="2795"/>
      <c r="LPQ36" s="2795"/>
      <c r="LPR36" s="2795"/>
      <c r="LPS36" s="2795"/>
      <c r="LPT36" s="2795"/>
      <c r="LPU36" s="2795"/>
      <c r="LPV36" s="2795"/>
      <c r="LPW36" s="2795"/>
      <c r="LPX36" s="2795"/>
      <c r="LPY36" s="2795"/>
      <c r="LPZ36" s="2795"/>
      <c r="LQA36" s="2795"/>
      <c r="LQB36" s="2795"/>
      <c r="LQC36" s="2795"/>
      <c r="LQD36" s="2795"/>
      <c r="LQE36" s="2795"/>
      <c r="LQF36" s="2795"/>
      <c r="LQG36" s="2795"/>
      <c r="LQH36" s="2795"/>
      <c r="LQI36" s="2795"/>
      <c r="LQJ36" s="2795"/>
      <c r="LQK36" s="2795"/>
      <c r="LQL36" s="2795"/>
      <c r="LQM36" s="2795"/>
      <c r="LQN36" s="2795"/>
      <c r="LQO36" s="2795"/>
      <c r="LQP36" s="2795"/>
      <c r="LQQ36" s="2795"/>
      <c r="LQR36" s="2795"/>
      <c r="LQS36" s="2795"/>
      <c r="LQT36" s="2795"/>
      <c r="LQU36" s="2795"/>
      <c r="LQV36" s="2795"/>
      <c r="LQW36" s="2795"/>
      <c r="LQX36" s="2795"/>
      <c r="LQY36" s="2795"/>
      <c r="LQZ36" s="2795"/>
      <c r="LRA36" s="2795"/>
      <c r="LRB36" s="2795"/>
      <c r="LRC36" s="2795"/>
      <c r="LRD36" s="2795"/>
      <c r="LRE36" s="2795"/>
      <c r="LRF36" s="2795"/>
      <c r="LRG36" s="2795"/>
      <c r="LRH36" s="2795"/>
      <c r="LRI36" s="2795"/>
      <c r="LRJ36" s="2795"/>
      <c r="LRK36" s="2795"/>
      <c r="LRL36" s="2795"/>
      <c r="LRM36" s="2795"/>
      <c r="LRN36" s="2795"/>
      <c r="LRO36" s="2795"/>
      <c r="LRP36" s="2795"/>
      <c r="LRQ36" s="2795"/>
      <c r="LRR36" s="2795"/>
      <c r="LRS36" s="2795"/>
      <c r="LRT36" s="2795"/>
      <c r="LRU36" s="2795"/>
      <c r="LRV36" s="2795"/>
      <c r="LRW36" s="2795"/>
      <c r="LRX36" s="2795"/>
      <c r="LRY36" s="2795"/>
      <c r="LRZ36" s="2795"/>
      <c r="LSA36" s="2795"/>
      <c r="LSB36" s="2795"/>
      <c r="LSC36" s="2795"/>
      <c r="LSD36" s="2795"/>
      <c r="LSE36" s="2795"/>
      <c r="LSF36" s="2795"/>
      <c r="LSG36" s="2795"/>
      <c r="LSH36" s="2795"/>
      <c r="LSI36" s="2795"/>
      <c r="LSJ36" s="2795"/>
      <c r="LSK36" s="2795"/>
      <c r="LSL36" s="2795"/>
      <c r="LSM36" s="2795"/>
      <c r="LSN36" s="2795"/>
      <c r="LSO36" s="2795"/>
      <c r="LSP36" s="2795"/>
      <c r="LSQ36" s="2795"/>
      <c r="LSR36" s="2795"/>
      <c r="LSS36" s="2795"/>
      <c r="LST36" s="2795"/>
      <c r="LSU36" s="2795"/>
      <c r="LSV36" s="2795"/>
      <c r="LSW36" s="2795"/>
      <c r="LSX36" s="2795"/>
      <c r="LSY36" s="2795"/>
      <c r="LSZ36" s="2795"/>
      <c r="LTA36" s="2795"/>
      <c r="LTB36" s="2795"/>
      <c r="LTC36" s="2795"/>
      <c r="LTD36" s="2795"/>
      <c r="LTE36" s="2795"/>
      <c r="LTF36" s="2795"/>
      <c r="LTG36" s="2795"/>
      <c r="LTH36" s="2795"/>
      <c r="LTI36" s="2795"/>
      <c r="LTJ36" s="2795"/>
      <c r="LTK36" s="2795"/>
      <c r="LTL36" s="2795"/>
      <c r="LTM36" s="2795"/>
      <c r="LTN36" s="2795"/>
      <c r="LTO36" s="2795"/>
      <c r="LTP36" s="2795"/>
      <c r="LTQ36" s="2795"/>
      <c r="LTR36" s="2795"/>
      <c r="LTS36" s="2795"/>
      <c r="LTT36" s="2795"/>
      <c r="LTU36" s="2795"/>
      <c r="LTV36" s="2795"/>
      <c r="LTW36" s="2795"/>
      <c r="LTX36" s="2795"/>
      <c r="LTY36" s="2795"/>
      <c r="LTZ36" s="2795"/>
      <c r="LUA36" s="2795"/>
      <c r="LUB36" s="2795"/>
      <c r="LUC36" s="2795"/>
      <c r="LUD36" s="2795"/>
      <c r="LUE36" s="2795"/>
      <c r="LUF36" s="2795"/>
      <c r="LUG36" s="2795"/>
      <c r="LUH36" s="2795"/>
      <c r="LUI36" s="2795"/>
      <c r="LUJ36" s="2795"/>
      <c r="LUK36" s="2795"/>
      <c r="LUL36" s="2795"/>
      <c r="LUM36" s="2795"/>
      <c r="LUN36" s="2795"/>
      <c r="LUO36" s="2795"/>
      <c r="LUP36" s="2795"/>
      <c r="LUQ36" s="2795"/>
      <c r="LUR36" s="2795"/>
      <c r="LUS36" s="2795"/>
      <c r="LUT36" s="2795"/>
      <c r="LUU36" s="2795"/>
      <c r="LUV36" s="2795"/>
      <c r="LUW36" s="2795"/>
      <c r="LUX36" s="2795"/>
      <c r="LUY36" s="2795"/>
      <c r="LUZ36" s="2795"/>
      <c r="LVA36" s="2795"/>
      <c r="LVB36" s="2795"/>
      <c r="LVC36" s="2795"/>
      <c r="LVD36" s="2795"/>
      <c r="LVE36" s="2795"/>
      <c r="LVF36" s="2795"/>
      <c r="LVG36" s="2795"/>
      <c r="LVH36" s="2795"/>
      <c r="LVI36" s="2795"/>
      <c r="LVJ36" s="2795"/>
      <c r="LVK36" s="2795"/>
      <c r="LVL36" s="2795"/>
      <c r="LVM36" s="2795"/>
      <c r="LVN36" s="2795"/>
      <c r="LVO36" s="2795"/>
      <c r="LVP36" s="2795"/>
      <c r="LVQ36" s="2795"/>
      <c r="LVR36" s="2795"/>
      <c r="LVS36" s="2795"/>
      <c r="LVT36" s="2795"/>
      <c r="LVU36" s="2795"/>
      <c r="LVV36" s="2795"/>
      <c r="LVW36" s="2795"/>
      <c r="LVX36" s="2795"/>
      <c r="LVY36" s="2795"/>
      <c r="LVZ36" s="2795"/>
      <c r="LWA36" s="2795"/>
      <c r="LWB36" s="2795"/>
      <c r="LWC36" s="2795"/>
      <c r="LWD36" s="2795"/>
      <c r="LWE36" s="2795"/>
      <c r="LWF36" s="2795"/>
      <c r="LWG36" s="2795"/>
      <c r="LWH36" s="2795"/>
      <c r="LWI36" s="2795"/>
      <c r="LWJ36" s="2795"/>
      <c r="LWK36" s="2795"/>
      <c r="LWL36" s="2795"/>
      <c r="LWM36" s="2795"/>
      <c r="LWN36" s="2795"/>
      <c r="LWO36" s="2795"/>
      <c r="LWP36" s="2795"/>
      <c r="LWQ36" s="2795"/>
      <c r="LWR36" s="2795"/>
      <c r="LWS36" s="2795"/>
      <c r="LWT36" s="2795"/>
      <c r="LWU36" s="2795"/>
      <c r="LWV36" s="2795"/>
      <c r="LWW36" s="2795"/>
      <c r="LWX36" s="2795"/>
      <c r="LWY36" s="2795"/>
      <c r="LWZ36" s="2795"/>
      <c r="LXA36" s="2795"/>
      <c r="LXB36" s="2795"/>
      <c r="LXC36" s="2795"/>
      <c r="LXD36" s="2795"/>
      <c r="LXE36" s="2795"/>
      <c r="LXF36" s="2795"/>
      <c r="LXG36" s="2795"/>
      <c r="LXH36" s="2795"/>
      <c r="LXI36" s="2795"/>
      <c r="LXJ36" s="2795"/>
      <c r="LXK36" s="2795"/>
      <c r="LXL36" s="2795"/>
      <c r="LXM36" s="2795"/>
      <c r="LXN36" s="2795"/>
      <c r="LXO36" s="2795"/>
      <c r="LXP36" s="2795"/>
      <c r="LXQ36" s="2795"/>
      <c r="LXR36" s="2795"/>
      <c r="LXS36" s="2795"/>
      <c r="LXT36" s="2795"/>
      <c r="LXU36" s="2795"/>
      <c r="LXV36" s="2795"/>
      <c r="LXW36" s="2795"/>
      <c r="LXX36" s="2795"/>
      <c r="LXY36" s="2795"/>
      <c r="LXZ36" s="2795"/>
      <c r="LYA36" s="2795"/>
      <c r="LYB36" s="2795"/>
      <c r="LYC36" s="2795"/>
      <c r="LYD36" s="2795"/>
      <c r="LYE36" s="2795"/>
      <c r="LYF36" s="2795"/>
      <c r="LYG36" s="2795"/>
      <c r="LYH36" s="2795"/>
      <c r="LYI36" s="2795"/>
      <c r="LYJ36" s="2795"/>
      <c r="LYK36" s="2795"/>
      <c r="LYL36" s="2795"/>
      <c r="LYM36" s="2795"/>
      <c r="LYN36" s="2795"/>
      <c r="LYO36" s="2795"/>
      <c r="LYP36" s="2795"/>
      <c r="LYQ36" s="2795"/>
      <c r="LYR36" s="2795"/>
      <c r="LYS36" s="2795"/>
      <c r="LYT36" s="2795"/>
      <c r="LYU36" s="2795"/>
      <c r="LYV36" s="2795"/>
      <c r="LYW36" s="2795"/>
      <c r="LYX36" s="2795"/>
      <c r="LYY36" s="2795"/>
      <c r="LYZ36" s="2795"/>
      <c r="LZA36" s="2795"/>
      <c r="LZB36" s="2795"/>
      <c r="LZC36" s="2795"/>
      <c r="LZD36" s="2795"/>
      <c r="LZE36" s="2795"/>
      <c r="LZF36" s="2795"/>
      <c r="LZG36" s="2795"/>
      <c r="LZH36" s="2795"/>
      <c r="LZI36" s="2795"/>
      <c r="LZJ36" s="2795"/>
      <c r="LZK36" s="2795"/>
      <c r="LZL36" s="2795"/>
      <c r="LZM36" s="2795"/>
      <c r="LZN36" s="2795"/>
      <c r="LZO36" s="2795"/>
      <c r="LZP36" s="2795"/>
      <c r="LZQ36" s="2795"/>
      <c r="LZR36" s="2795"/>
      <c r="LZS36" s="2795"/>
      <c r="LZT36" s="2795"/>
      <c r="LZU36" s="2795"/>
      <c r="LZV36" s="2795"/>
      <c r="LZW36" s="2795"/>
      <c r="LZX36" s="2795"/>
      <c r="LZY36" s="2795"/>
      <c r="LZZ36" s="2795"/>
      <c r="MAA36" s="2795"/>
      <c r="MAB36" s="2795"/>
      <c r="MAC36" s="2795"/>
      <c r="MAD36" s="2795"/>
      <c r="MAE36" s="2795"/>
      <c r="MAF36" s="2795"/>
      <c r="MAG36" s="2795"/>
      <c r="MAH36" s="2795"/>
      <c r="MAI36" s="2795"/>
      <c r="MAJ36" s="2795"/>
      <c r="MAK36" s="2795"/>
      <c r="MAL36" s="2795"/>
      <c r="MAM36" s="2795"/>
      <c r="MAN36" s="2795"/>
      <c r="MAO36" s="2795"/>
      <c r="MAP36" s="2795"/>
      <c r="MAQ36" s="2795"/>
      <c r="MAR36" s="2795"/>
      <c r="MAS36" s="2795"/>
      <c r="MAT36" s="2795"/>
      <c r="MAU36" s="2795"/>
      <c r="MAV36" s="2795"/>
      <c r="MAW36" s="2795"/>
      <c r="MAX36" s="2795"/>
      <c r="MAY36" s="2795"/>
      <c r="MAZ36" s="2795"/>
      <c r="MBA36" s="2795"/>
      <c r="MBB36" s="2795"/>
      <c r="MBC36" s="2795"/>
      <c r="MBD36" s="2795"/>
      <c r="MBE36" s="2795"/>
      <c r="MBF36" s="2795"/>
      <c r="MBG36" s="2795"/>
      <c r="MBH36" s="2795"/>
      <c r="MBI36" s="2795"/>
      <c r="MBJ36" s="2795"/>
      <c r="MBK36" s="2795"/>
      <c r="MBL36" s="2795"/>
      <c r="MBM36" s="2795"/>
      <c r="MBN36" s="2795"/>
      <c r="MBO36" s="2795"/>
      <c r="MBP36" s="2795"/>
      <c r="MBQ36" s="2795"/>
      <c r="MBR36" s="2795"/>
      <c r="MBS36" s="2795"/>
      <c r="MBT36" s="2795"/>
      <c r="MBU36" s="2795"/>
      <c r="MBV36" s="2795"/>
      <c r="MBW36" s="2795"/>
      <c r="MBX36" s="2795"/>
      <c r="MBY36" s="2795"/>
      <c r="MBZ36" s="2795"/>
      <c r="MCA36" s="2795"/>
      <c r="MCB36" s="2795"/>
      <c r="MCC36" s="2795"/>
      <c r="MCD36" s="2795"/>
      <c r="MCE36" s="2795"/>
      <c r="MCF36" s="2795"/>
      <c r="MCG36" s="2795"/>
      <c r="MCH36" s="2795"/>
      <c r="MCI36" s="2795"/>
      <c r="MCJ36" s="2795"/>
      <c r="MCK36" s="2795"/>
      <c r="MCL36" s="2795"/>
      <c r="MCM36" s="2795"/>
      <c r="MCN36" s="2795"/>
      <c r="MCO36" s="2795"/>
      <c r="MCP36" s="2795"/>
      <c r="MCQ36" s="2795"/>
      <c r="MCR36" s="2795"/>
      <c r="MCS36" s="2795"/>
      <c r="MCT36" s="2795"/>
      <c r="MCU36" s="2795"/>
      <c r="MCV36" s="2795"/>
      <c r="MCW36" s="2795"/>
      <c r="MCX36" s="2795"/>
      <c r="MCY36" s="2795"/>
      <c r="MCZ36" s="2795"/>
      <c r="MDA36" s="2795"/>
      <c r="MDB36" s="2795"/>
      <c r="MDC36" s="2795"/>
      <c r="MDD36" s="2795"/>
      <c r="MDE36" s="2795"/>
      <c r="MDF36" s="2795"/>
      <c r="MDG36" s="2795"/>
      <c r="MDH36" s="2795"/>
      <c r="MDI36" s="2795"/>
      <c r="MDJ36" s="2795"/>
      <c r="MDK36" s="2795"/>
      <c r="MDL36" s="2795"/>
      <c r="MDM36" s="2795"/>
      <c r="MDN36" s="2795"/>
      <c r="MDO36" s="2795"/>
      <c r="MDP36" s="2795"/>
      <c r="MDQ36" s="2795"/>
      <c r="MDR36" s="2795"/>
      <c r="MDS36" s="2795"/>
      <c r="MDT36" s="2795"/>
      <c r="MDU36" s="2795"/>
      <c r="MDV36" s="2795"/>
      <c r="MDW36" s="2795"/>
      <c r="MDX36" s="2795"/>
      <c r="MDY36" s="2795"/>
      <c r="MDZ36" s="2795"/>
      <c r="MEA36" s="2795"/>
      <c r="MEB36" s="2795"/>
      <c r="MEC36" s="2795"/>
      <c r="MED36" s="2795"/>
      <c r="MEE36" s="2795"/>
      <c r="MEF36" s="2795"/>
      <c r="MEG36" s="2795"/>
      <c r="MEH36" s="2795"/>
      <c r="MEI36" s="2795"/>
      <c r="MEJ36" s="2795"/>
      <c r="MEK36" s="2795"/>
      <c r="MEL36" s="2795"/>
      <c r="MEM36" s="2795"/>
      <c r="MEN36" s="2795"/>
      <c r="MEO36" s="2795"/>
      <c r="MEP36" s="2795"/>
      <c r="MEQ36" s="2795"/>
      <c r="MER36" s="2795"/>
      <c r="MES36" s="2795"/>
      <c r="MET36" s="2795"/>
      <c r="MEU36" s="2795"/>
      <c r="MEV36" s="2795"/>
      <c r="MEW36" s="2795"/>
      <c r="MEX36" s="2795"/>
      <c r="MEY36" s="2795"/>
      <c r="MEZ36" s="2795"/>
      <c r="MFA36" s="2795"/>
      <c r="MFB36" s="2795"/>
      <c r="MFC36" s="2795"/>
      <c r="MFD36" s="2795"/>
      <c r="MFE36" s="2795"/>
      <c r="MFF36" s="2795"/>
      <c r="MFG36" s="2795"/>
      <c r="MFH36" s="2795"/>
      <c r="MFI36" s="2795"/>
      <c r="MFJ36" s="2795"/>
      <c r="MFK36" s="2795"/>
      <c r="MFL36" s="2795"/>
      <c r="MFM36" s="2795"/>
      <c r="MFN36" s="2795"/>
      <c r="MFO36" s="2795"/>
      <c r="MFP36" s="2795"/>
      <c r="MFQ36" s="2795"/>
      <c r="MFR36" s="2795"/>
      <c r="MFS36" s="2795"/>
      <c r="MFT36" s="2795"/>
      <c r="MFU36" s="2795"/>
      <c r="MFV36" s="2795"/>
      <c r="MFW36" s="2795"/>
      <c r="MFX36" s="2795"/>
      <c r="MFY36" s="2795"/>
      <c r="MFZ36" s="2795"/>
      <c r="MGA36" s="2795"/>
      <c r="MGB36" s="2795"/>
      <c r="MGC36" s="2795"/>
      <c r="MGD36" s="2795"/>
      <c r="MGE36" s="2795"/>
      <c r="MGF36" s="2795"/>
      <c r="MGG36" s="2795"/>
      <c r="MGH36" s="2795"/>
      <c r="MGI36" s="2795"/>
      <c r="MGJ36" s="2795"/>
      <c r="MGK36" s="2795"/>
      <c r="MGL36" s="2795"/>
      <c r="MGM36" s="2795"/>
      <c r="MGN36" s="2795"/>
      <c r="MGO36" s="2795"/>
      <c r="MGP36" s="2795"/>
      <c r="MGQ36" s="2795"/>
      <c r="MGR36" s="2795"/>
      <c r="MGS36" s="2795"/>
      <c r="MGT36" s="2795"/>
      <c r="MGU36" s="2795"/>
      <c r="MGV36" s="2795"/>
      <c r="MGW36" s="2795"/>
      <c r="MGX36" s="2795"/>
      <c r="MGY36" s="2795"/>
      <c r="MGZ36" s="2795"/>
      <c r="MHA36" s="2795"/>
      <c r="MHB36" s="2795"/>
      <c r="MHC36" s="2795"/>
      <c r="MHD36" s="2795"/>
      <c r="MHE36" s="2795"/>
      <c r="MHF36" s="2795"/>
      <c r="MHG36" s="2795"/>
      <c r="MHH36" s="2795"/>
      <c r="MHI36" s="2795"/>
      <c r="MHJ36" s="2795"/>
      <c r="MHK36" s="2795"/>
      <c r="MHL36" s="2795"/>
      <c r="MHM36" s="2795"/>
      <c r="MHN36" s="2795"/>
      <c r="MHO36" s="2795"/>
      <c r="MHP36" s="2795"/>
      <c r="MHQ36" s="2795"/>
      <c r="MHR36" s="2795"/>
      <c r="MHS36" s="2795"/>
      <c r="MHT36" s="2795"/>
      <c r="MHU36" s="2795"/>
      <c r="MHV36" s="2795"/>
      <c r="MHW36" s="2795"/>
      <c r="MHX36" s="2795"/>
      <c r="MHY36" s="2795"/>
      <c r="MHZ36" s="2795"/>
      <c r="MIA36" s="2795"/>
      <c r="MIB36" s="2795"/>
      <c r="MIC36" s="2795"/>
      <c r="MID36" s="2795"/>
      <c r="MIE36" s="2795"/>
      <c r="MIF36" s="2795"/>
      <c r="MIG36" s="2795"/>
      <c r="MIH36" s="2795"/>
      <c r="MII36" s="2795"/>
      <c r="MIJ36" s="2795"/>
      <c r="MIK36" s="2795"/>
      <c r="MIL36" s="2795"/>
      <c r="MIM36" s="2795"/>
      <c r="MIN36" s="2795"/>
      <c r="MIO36" s="2795"/>
      <c r="MIP36" s="2795"/>
      <c r="MIQ36" s="2795"/>
      <c r="MIR36" s="2795"/>
      <c r="MIS36" s="2795"/>
      <c r="MIT36" s="2795"/>
      <c r="MIU36" s="2795"/>
      <c r="MIV36" s="2795"/>
      <c r="MIW36" s="2795"/>
      <c r="MIX36" s="2795"/>
      <c r="MIY36" s="2795"/>
      <c r="MIZ36" s="2795"/>
      <c r="MJA36" s="2795"/>
      <c r="MJB36" s="2795"/>
      <c r="MJC36" s="2795"/>
      <c r="MJD36" s="2795"/>
      <c r="MJE36" s="2795"/>
      <c r="MJF36" s="2795"/>
      <c r="MJG36" s="2795"/>
      <c r="MJH36" s="2795"/>
      <c r="MJI36" s="2795"/>
      <c r="MJJ36" s="2795"/>
      <c r="MJK36" s="2795"/>
      <c r="MJL36" s="2795"/>
      <c r="MJM36" s="2795"/>
      <c r="MJN36" s="2795"/>
      <c r="MJO36" s="2795"/>
      <c r="MJP36" s="2795"/>
      <c r="MJQ36" s="2795"/>
      <c r="MJR36" s="2795"/>
      <c r="MJS36" s="2795"/>
      <c r="MJT36" s="2795"/>
      <c r="MJU36" s="2795"/>
      <c r="MJV36" s="2795"/>
      <c r="MJW36" s="2795"/>
      <c r="MJX36" s="2795"/>
      <c r="MJY36" s="2795"/>
      <c r="MJZ36" s="2795"/>
      <c r="MKA36" s="2795"/>
      <c r="MKB36" s="2795"/>
      <c r="MKC36" s="2795"/>
      <c r="MKD36" s="2795"/>
      <c r="MKE36" s="2795"/>
      <c r="MKF36" s="2795"/>
      <c r="MKG36" s="2795"/>
      <c r="MKH36" s="2795"/>
      <c r="MKI36" s="2795"/>
      <c r="MKJ36" s="2795"/>
      <c r="MKK36" s="2795"/>
      <c r="MKL36" s="2795"/>
      <c r="MKM36" s="2795"/>
      <c r="MKN36" s="2795"/>
      <c r="MKO36" s="2795"/>
      <c r="MKP36" s="2795"/>
      <c r="MKQ36" s="2795"/>
      <c r="MKR36" s="2795"/>
      <c r="MKS36" s="2795"/>
      <c r="MKT36" s="2795"/>
      <c r="MKU36" s="2795"/>
      <c r="MKV36" s="2795"/>
      <c r="MKW36" s="2795"/>
      <c r="MKX36" s="2795"/>
      <c r="MKY36" s="2795"/>
      <c r="MKZ36" s="2795"/>
      <c r="MLA36" s="2795"/>
      <c r="MLB36" s="2795"/>
      <c r="MLC36" s="2795"/>
      <c r="MLD36" s="2795"/>
      <c r="MLE36" s="2795"/>
      <c r="MLF36" s="2795"/>
      <c r="MLG36" s="2795"/>
      <c r="MLH36" s="2795"/>
      <c r="MLI36" s="2795"/>
      <c r="MLJ36" s="2795"/>
      <c r="MLK36" s="2795"/>
      <c r="MLL36" s="2795"/>
      <c r="MLM36" s="2795"/>
      <c r="MLN36" s="2795"/>
      <c r="MLO36" s="2795"/>
      <c r="MLP36" s="2795"/>
      <c r="MLQ36" s="2795"/>
      <c r="MLR36" s="2795"/>
      <c r="MLS36" s="2795"/>
      <c r="MLT36" s="2795"/>
      <c r="MLU36" s="2795"/>
      <c r="MLV36" s="2795"/>
      <c r="MLW36" s="2795"/>
      <c r="MLX36" s="2795"/>
      <c r="MLY36" s="2795"/>
      <c r="MLZ36" s="2795"/>
      <c r="MMA36" s="2795"/>
      <c r="MMB36" s="2795"/>
      <c r="MMC36" s="2795"/>
      <c r="MMD36" s="2795"/>
      <c r="MME36" s="2795"/>
      <c r="MMF36" s="2795"/>
      <c r="MMG36" s="2795"/>
      <c r="MMH36" s="2795"/>
      <c r="MMI36" s="2795"/>
      <c r="MMJ36" s="2795"/>
      <c r="MMK36" s="2795"/>
      <c r="MML36" s="2795"/>
      <c r="MMM36" s="2795"/>
      <c r="MMN36" s="2795"/>
      <c r="MMO36" s="2795"/>
      <c r="MMP36" s="2795"/>
      <c r="MMQ36" s="2795"/>
      <c r="MMR36" s="2795"/>
      <c r="MMS36" s="2795"/>
      <c r="MMT36" s="2795"/>
      <c r="MMU36" s="2795"/>
      <c r="MMV36" s="2795"/>
      <c r="MMW36" s="2795"/>
      <c r="MMX36" s="2795"/>
      <c r="MMY36" s="2795"/>
      <c r="MMZ36" s="2795"/>
      <c r="MNA36" s="2795"/>
      <c r="MNB36" s="2795"/>
      <c r="MNC36" s="2795"/>
      <c r="MND36" s="2795"/>
      <c r="MNE36" s="2795"/>
      <c r="MNF36" s="2795"/>
      <c r="MNG36" s="2795"/>
      <c r="MNH36" s="2795"/>
      <c r="MNI36" s="2795"/>
      <c r="MNJ36" s="2795"/>
      <c r="MNK36" s="2795"/>
      <c r="MNL36" s="2795"/>
      <c r="MNM36" s="2795"/>
      <c r="MNN36" s="2795"/>
      <c r="MNO36" s="2795"/>
      <c r="MNP36" s="2795"/>
      <c r="MNQ36" s="2795"/>
      <c r="MNR36" s="2795"/>
      <c r="MNS36" s="2795"/>
      <c r="MNT36" s="2795"/>
      <c r="MNU36" s="2795"/>
      <c r="MNV36" s="2795"/>
      <c r="MNW36" s="2795"/>
      <c r="MNX36" s="2795"/>
      <c r="MNY36" s="2795"/>
      <c r="MNZ36" s="2795"/>
      <c r="MOA36" s="2795"/>
      <c r="MOB36" s="2795"/>
      <c r="MOC36" s="2795"/>
      <c r="MOD36" s="2795"/>
      <c r="MOE36" s="2795"/>
      <c r="MOF36" s="2795"/>
      <c r="MOG36" s="2795"/>
      <c r="MOH36" s="2795"/>
      <c r="MOI36" s="2795"/>
      <c r="MOJ36" s="2795"/>
      <c r="MOK36" s="2795"/>
      <c r="MOL36" s="2795"/>
      <c r="MOM36" s="2795"/>
      <c r="MON36" s="2795"/>
      <c r="MOO36" s="2795"/>
      <c r="MOP36" s="2795"/>
      <c r="MOQ36" s="2795"/>
      <c r="MOR36" s="2795"/>
      <c r="MOS36" s="2795"/>
      <c r="MOT36" s="2795"/>
      <c r="MOU36" s="2795"/>
      <c r="MOV36" s="2795"/>
      <c r="MOW36" s="2795"/>
      <c r="MOX36" s="2795"/>
      <c r="MOY36" s="2795"/>
      <c r="MOZ36" s="2795"/>
      <c r="MPA36" s="2795"/>
      <c r="MPB36" s="2795"/>
      <c r="MPC36" s="2795"/>
      <c r="MPD36" s="2795"/>
      <c r="MPE36" s="2795"/>
      <c r="MPF36" s="2795"/>
      <c r="MPG36" s="2795"/>
      <c r="MPH36" s="2795"/>
      <c r="MPI36" s="2795"/>
      <c r="MPJ36" s="2795"/>
      <c r="MPK36" s="2795"/>
      <c r="MPL36" s="2795"/>
      <c r="MPM36" s="2795"/>
      <c r="MPN36" s="2795"/>
      <c r="MPO36" s="2795"/>
      <c r="MPP36" s="2795"/>
      <c r="MPQ36" s="2795"/>
      <c r="MPR36" s="2795"/>
      <c r="MPS36" s="2795"/>
      <c r="MPT36" s="2795"/>
      <c r="MPU36" s="2795"/>
      <c r="MPV36" s="2795"/>
      <c r="MPW36" s="2795"/>
      <c r="MPX36" s="2795"/>
      <c r="MPY36" s="2795"/>
      <c r="MPZ36" s="2795"/>
      <c r="MQA36" s="2795"/>
      <c r="MQB36" s="2795"/>
      <c r="MQC36" s="2795"/>
      <c r="MQD36" s="2795"/>
      <c r="MQE36" s="2795"/>
      <c r="MQF36" s="2795"/>
      <c r="MQG36" s="2795"/>
      <c r="MQH36" s="2795"/>
      <c r="MQI36" s="2795"/>
      <c r="MQJ36" s="2795"/>
      <c r="MQK36" s="2795"/>
      <c r="MQL36" s="2795"/>
      <c r="MQM36" s="2795"/>
      <c r="MQN36" s="2795"/>
      <c r="MQO36" s="2795"/>
      <c r="MQP36" s="2795"/>
      <c r="MQQ36" s="2795"/>
      <c r="MQR36" s="2795"/>
      <c r="MQS36" s="2795"/>
      <c r="MQT36" s="2795"/>
      <c r="MQU36" s="2795"/>
      <c r="MQV36" s="2795"/>
      <c r="MQW36" s="2795"/>
      <c r="MQX36" s="2795"/>
      <c r="MQY36" s="2795"/>
      <c r="MQZ36" s="2795"/>
      <c r="MRA36" s="2795"/>
      <c r="MRB36" s="2795"/>
      <c r="MRC36" s="2795"/>
      <c r="MRD36" s="2795"/>
      <c r="MRE36" s="2795"/>
      <c r="MRF36" s="2795"/>
      <c r="MRG36" s="2795"/>
      <c r="MRH36" s="2795"/>
      <c r="MRI36" s="2795"/>
      <c r="MRJ36" s="2795"/>
      <c r="MRK36" s="2795"/>
      <c r="MRL36" s="2795"/>
      <c r="MRM36" s="2795"/>
      <c r="MRN36" s="2795"/>
      <c r="MRO36" s="2795"/>
      <c r="MRP36" s="2795"/>
      <c r="MRQ36" s="2795"/>
      <c r="MRR36" s="2795"/>
      <c r="MRS36" s="2795"/>
      <c r="MRT36" s="2795"/>
      <c r="MRU36" s="2795"/>
      <c r="MRV36" s="2795"/>
      <c r="MRW36" s="2795"/>
      <c r="MRX36" s="2795"/>
      <c r="MRY36" s="2795"/>
      <c r="MRZ36" s="2795"/>
      <c r="MSA36" s="2795"/>
      <c r="MSB36" s="2795"/>
      <c r="MSC36" s="2795"/>
      <c r="MSD36" s="2795"/>
      <c r="MSE36" s="2795"/>
      <c r="MSF36" s="2795"/>
      <c r="MSG36" s="2795"/>
      <c r="MSH36" s="2795"/>
      <c r="MSI36" s="2795"/>
      <c r="MSJ36" s="2795"/>
      <c r="MSK36" s="2795"/>
      <c r="MSL36" s="2795"/>
      <c r="MSM36" s="2795"/>
      <c r="MSN36" s="2795"/>
      <c r="MSO36" s="2795"/>
      <c r="MSP36" s="2795"/>
      <c r="MSQ36" s="2795"/>
      <c r="MSR36" s="2795"/>
      <c r="MSS36" s="2795"/>
      <c r="MST36" s="2795"/>
      <c r="MSU36" s="2795"/>
      <c r="MSV36" s="2795"/>
      <c r="MSW36" s="2795"/>
      <c r="MSX36" s="2795"/>
      <c r="MSY36" s="2795"/>
      <c r="MSZ36" s="2795"/>
      <c r="MTA36" s="2795"/>
      <c r="MTB36" s="2795"/>
      <c r="MTC36" s="2795"/>
      <c r="MTD36" s="2795"/>
      <c r="MTE36" s="2795"/>
      <c r="MTF36" s="2795"/>
      <c r="MTG36" s="2795"/>
      <c r="MTH36" s="2795"/>
      <c r="MTI36" s="2795"/>
      <c r="MTJ36" s="2795"/>
      <c r="MTK36" s="2795"/>
      <c r="MTL36" s="2795"/>
      <c r="MTM36" s="2795"/>
      <c r="MTN36" s="2795"/>
      <c r="MTO36" s="2795"/>
      <c r="MTP36" s="2795"/>
      <c r="MTQ36" s="2795"/>
      <c r="MTR36" s="2795"/>
      <c r="MTS36" s="2795"/>
      <c r="MTT36" s="2795"/>
      <c r="MTU36" s="2795"/>
      <c r="MTV36" s="2795"/>
      <c r="MTW36" s="2795"/>
      <c r="MTX36" s="2795"/>
      <c r="MTY36" s="2795"/>
      <c r="MTZ36" s="2795"/>
      <c r="MUA36" s="2795"/>
      <c r="MUB36" s="2795"/>
      <c r="MUC36" s="2795"/>
      <c r="MUD36" s="2795"/>
      <c r="MUE36" s="2795"/>
      <c r="MUF36" s="2795"/>
      <c r="MUG36" s="2795"/>
      <c r="MUH36" s="2795"/>
      <c r="MUI36" s="2795"/>
      <c r="MUJ36" s="2795"/>
      <c r="MUK36" s="2795"/>
      <c r="MUL36" s="2795"/>
      <c r="MUM36" s="2795"/>
      <c r="MUN36" s="2795"/>
      <c r="MUO36" s="2795"/>
      <c r="MUP36" s="2795"/>
      <c r="MUQ36" s="2795"/>
      <c r="MUR36" s="2795"/>
      <c r="MUS36" s="2795"/>
      <c r="MUT36" s="2795"/>
      <c r="MUU36" s="2795"/>
      <c r="MUV36" s="2795"/>
      <c r="MUW36" s="2795"/>
      <c r="MUX36" s="2795"/>
      <c r="MUY36" s="2795"/>
      <c r="MUZ36" s="2795"/>
      <c r="MVA36" s="2795"/>
      <c r="MVB36" s="2795"/>
      <c r="MVC36" s="2795"/>
      <c r="MVD36" s="2795"/>
      <c r="MVE36" s="2795"/>
      <c r="MVF36" s="2795"/>
      <c r="MVG36" s="2795"/>
      <c r="MVH36" s="2795"/>
      <c r="MVI36" s="2795"/>
      <c r="MVJ36" s="2795"/>
      <c r="MVK36" s="2795"/>
      <c r="MVL36" s="2795"/>
      <c r="MVM36" s="2795"/>
      <c r="MVN36" s="2795"/>
      <c r="MVO36" s="2795"/>
      <c r="MVP36" s="2795"/>
      <c r="MVQ36" s="2795"/>
      <c r="MVR36" s="2795"/>
      <c r="MVS36" s="2795"/>
      <c r="MVT36" s="2795"/>
      <c r="MVU36" s="2795"/>
      <c r="MVV36" s="2795"/>
      <c r="MVW36" s="2795"/>
      <c r="MVX36" s="2795"/>
      <c r="MVY36" s="2795"/>
      <c r="MVZ36" s="2795"/>
      <c r="MWA36" s="2795"/>
      <c r="MWB36" s="2795"/>
      <c r="MWC36" s="2795"/>
      <c r="MWD36" s="2795"/>
      <c r="MWE36" s="2795"/>
      <c r="MWF36" s="2795"/>
      <c r="MWG36" s="2795"/>
      <c r="MWH36" s="2795"/>
      <c r="MWI36" s="2795"/>
      <c r="MWJ36" s="2795"/>
      <c r="MWK36" s="2795"/>
      <c r="MWL36" s="2795"/>
      <c r="MWM36" s="2795"/>
      <c r="MWN36" s="2795"/>
      <c r="MWO36" s="2795"/>
      <c r="MWP36" s="2795"/>
      <c r="MWQ36" s="2795"/>
      <c r="MWR36" s="2795"/>
      <c r="MWS36" s="2795"/>
      <c r="MWT36" s="2795"/>
      <c r="MWU36" s="2795"/>
      <c r="MWV36" s="2795"/>
      <c r="MWW36" s="2795"/>
      <c r="MWX36" s="2795"/>
      <c r="MWY36" s="2795"/>
      <c r="MWZ36" s="2795"/>
      <c r="MXA36" s="2795"/>
      <c r="MXB36" s="2795"/>
      <c r="MXC36" s="2795"/>
      <c r="MXD36" s="2795"/>
      <c r="MXE36" s="2795"/>
      <c r="MXF36" s="2795"/>
      <c r="MXG36" s="2795"/>
      <c r="MXH36" s="2795"/>
      <c r="MXI36" s="2795"/>
      <c r="MXJ36" s="2795"/>
      <c r="MXK36" s="2795"/>
      <c r="MXL36" s="2795"/>
      <c r="MXM36" s="2795"/>
      <c r="MXN36" s="2795"/>
      <c r="MXO36" s="2795"/>
      <c r="MXP36" s="2795"/>
      <c r="MXQ36" s="2795"/>
      <c r="MXR36" s="2795"/>
      <c r="MXS36" s="2795"/>
      <c r="MXT36" s="2795"/>
      <c r="MXU36" s="2795"/>
      <c r="MXV36" s="2795"/>
      <c r="MXW36" s="2795"/>
      <c r="MXX36" s="2795"/>
      <c r="MXY36" s="2795"/>
      <c r="MXZ36" s="2795"/>
      <c r="MYA36" s="2795"/>
      <c r="MYB36" s="2795"/>
      <c r="MYC36" s="2795"/>
      <c r="MYD36" s="2795"/>
      <c r="MYE36" s="2795"/>
      <c r="MYF36" s="2795"/>
      <c r="MYG36" s="2795"/>
      <c r="MYH36" s="2795"/>
      <c r="MYI36" s="2795"/>
      <c r="MYJ36" s="2795"/>
      <c r="MYK36" s="2795"/>
      <c r="MYL36" s="2795"/>
      <c r="MYM36" s="2795"/>
      <c r="MYN36" s="2795"/>
      <c r="MYO36" s="2795"/>
      <c r="MYP36" s="2795"/>
      <c r="MYQ36" s="2795"/>
      <c r="MYR36" s="2795"/>
      <c r="MYS36" s="2795"/>
      <c r="MYT36" s="2795"/>
      <c r="MYU36" s="2795"/>
      <c r="MYV36" s="2795"/>
      <c r="MYW36" s="2795"/>
      <c r="MYX36" s="2795"/>
      <c r="MYY36" s="2795"/>
      <c r="MYZ36" s="2795"/>
      <c r="MZA36" s="2795"/>
      <c r="MZB36" s="2795"/>
      <c r="MZC36" s="2795"/>
      <c r="MZD36" s="2795"/>
      <c r="MZE36" s="2795"/>
      <c r="MZF36" s="2795"/>
      <c r="MZG36" s="2795"/>
      <c r="MZH36" s="2795"/>
      <c r="MZI36" s="2795"/>
      <c r="MZJ36" s="2795"/>
      <c r="MZK36" s="2795"/>
      <c r="MZL36" s="2795"/>
      <c r="MZM36" s="2795"/>
      <c r="MZN36" s="2795"/>
      <c r="MZO36" s="2795"/>
      <c r="MZP36" s="2795"/>
      <c r="MZQ36" s="2795"/>
      <c r="MZR36" s="2795"/>
      <c r="MZS36" s="2795"/>
      <c r="MZT36" s="2795"/>
      <c r="MZU36" s="2795"/>
      <c r="MZV36" s="2795"/>
      <c r="MZW36" s="2795"/>
      <c r="MZX36" s="2795"/>
      <c r="MZY36" s="2795"/>
      <c r="MZZ36" s="2795"/>
      <c r="NAA36" s="2795"/>
      <c r="NAB36" s="2795"/>
      <c r="NAC36" s="2795"/>
      <c r="NAD36" s="2795"/>
      <c r="NAE36" s="2795"/>
      <c r="NAF36" s="2795"/>
      <c r="NAG36" s="2795"/>
      <c r="NAH36" s="2795"/>
      <c r="NAI36" s="2795"/>
      <c r="NAJ36" s="2795"/>
      <c r="NAK36" s="2795"/>
      <c r="NAL36" s="2795"/>
      <c r="NAM36" s="2795"/>
      <c r="NAN36" s="2795"/>
      <c r="NAO36" s="2795"/>
      <c r="NAP36" s="2795"/>
      <c r="NAQ36" s="2795"/>
      <c r="NAR36" s="2795"/>
      <c r="NAS36" s="2795"/>
      <c r="NAT36" s="2795"/>
      <c r="NAU36" s="2795"/>
      <c r="NAV36" s="2795"/>
      <c r="NAW36" s="2795"/>
      <c r="NAX36" s="2795"/>
      <c r="NAY36" s="2795"/>
      <c r="NAZ36" s="2795"/>
      <c r="NBA36" s="2795"/>
      <c r="NBB36" s="2795"/>
      <c r="NBC36" s="2795"/>
      <c r="NBD36" s="2795"/>
      <c r="NBE36" s="2795"/>
      <c r="NBF36" s="2795"/>
      <c r="NBG36" s="2795"/>
      <c r="NBH36" s="2795"/>
      <c r="NBI36" s="2795"/>
      <c r="NBJ36" s="2795"/>
      <c r="NBK36" s="2795"/>
      <c r="NBL36" s="2795"/>
      <c r="NBM36" s="2795"/>
      <c r="NBN36" s="2795"/>
      <c r="NBO36" s="2795"/>
      <c r="NBP36" s="2795"/>
      <c r="NBQ36" s="2795"/>
      <c r="NBR36" s="2795"/>
      <c r="NBS36" s="2795"/>
      <c r="NBT36" s="2795"/>
      <c r="NBU36" s="2795"/>
      <c r="NBV36" s="2795"/>
      <c r="NBW36" s="2795"/>
      <c r="NBX36" s="2795"/>
      <c r="NBY36" s="2795"/>
      <c r="NBZ36" s="2795"/>
      <c r="NCA36" s="2795"/>
      <c r="NCB36" s="2795"/>
      <c r="NCC36" s="2795"/>
      <c r="NCD36" s="2795"/>
      <c r="NCE36" s="2795"/>
      <c r="NCF36" s="2795"/>
      <c r="NCG36" s="2795"/>
      <c r="NCH36" s="2795"/>
      <c r="NCI36" s="2795"/>
      <c r="NCJ36" s="2795"/>
      <c r="NCK36" s="2795"/>
      <c r="NCL36" s="2795"/>
      <c r="NCM36" s="2795"/>
      <c r="NCN36" s="2795"/>
      <c r="NCO36" s="2795"/>
      <c r="NCP36" s="2795"/>
      <c r="NCQ36" s="2795"/>
      <c r="NCR36" s="2795"/>
      <c r="NCS36" s="2795"/>
      <c r="NCT36" s="2795"/>
      <c r="NCU36" s="2795"/>
      <c r="NCV36" s="2795"/>
      <c r="NCW36" s="2795"/>
      <c r="NCX36" s="2795"/>
      <c r="NCY36" s="2795"/>
      <c r="NCZ36" s="2795"/>
      <c r="NDA36" s="2795"/>
      <c r="NDB36" s="2795"/>
      <c r="NDC36" s="2795"/>
      <c r="NDD36" s="2795"/>
      <c r="NDE36" s="2795"/>
      <c r="NDF36" s="2795"/>
      <c r="NDG36" s="2795"/>
      <c r="NDH36" s="2795"/>
      <c r="NDI36" s="2795"/>
      <c r="NDJ36" s="2795"/>
      <c r="NDK36" s="2795"/>
      <c r="NDL36" s="2795"/>
      <c r="NDM36" s="2795"/>
      <c r="NDN36" s="2795"/>
      <c r="NDO36" s="2795"/>
      <c r="NDP36" s="2795"/>
      <c r="NDQ36" s="2795"/>
      <c r="NDR36" s="2795"/>
      <c r="NDS36" s="2795"/>
      <c r="NDT36" s="2795"/>
      <c r="NDU36" s="2795"/>
      <c r="NDV36" s="2795"/>
      <c r="NDW36" s="2795"/>
      <c r="NDX36" s="2795"/>
      <c r="NDY36" s="2795"/>
      <c r="NDZ36" s="2795"/>
      <c r="NEA36" s="2795"/>
      <c r="NEB36" s="2795"/>
      <c r="NEC36" s="2795"/>
      <c r="NED36" s="2795"/>
      <c r="NEE36" s="2795"/>
      <c r="NEF36" s="2795"/>
      <c r="NEG36" s="2795"/>
      <c r="NEH36" s="2795"/>
      <c r="NEI36" s="2795"/>
      <c r="NEJ36" s="2795"/>
      <c r="NEK36" s="2795"/>
      <c r="NEL36" s="2795"/>
      <c r="NEM36" s="2795"/>
      <c r="NEN36" s="2795"/>
      <c r="NEO36" s="2795"/>
      <c r="NEP36" s="2795"/>
      <c r="NEQ36" s="2795"/>
      <c r="NER36" s="2795"/>
      <c r="NES36" s="2795"/>
      <c r="NET36" s="2795"/>
      <c r="NEU36" s="2795"/>
      <c r="NEV36" s="2795"/>
      <c r="NEW36" s="2795"/>
      <c r="NEX36" s="2795"/>
      <c r="NEY36" s="2795"/>
      <c r="NEZ36" s="2795"/>
      <c r="NFA36" s="2795"/>
      <c r="NFB36" s="2795"/>
      <c r="NFC36" s="2795"/>
      <c r="NFD36" s="2795"/>
      <c r="NFE36" s="2795"/>
      <c r="NFF36" s="2795"/>
      <c r="NFG36" s="2795"/>
      <c r="NFH36" s="2795"/>
      <c r="NFI36" s="2795"/>
      <c r="NFJ36" s="2795"/>
      <c r="NFK36" s="2795"/>
      <c r="NFL36" s="2795"/>
      <c r="NFM36" s="2795"/>
      <c r="NFN36" s="2795"/>
      <c r="NFO36" s="2795"/>
      <c r="NFP36" s="2795"/>
      <c r="NFQ36" s="2795"/>
      <c r="NFR36" s="2795"/>
      <c r="NFS36" s="2795"/>
      <c r="NFT36" s="2795"/>
      <c r="NFU36" s="2795"/>
      <c r="NFV36" s="2795"/>
      <c r="NFW36" s="2795"/>
      <c r="NFX36" s="2795"/>
      <c r="NFY36" s="2795"/>
      <c r="NFZ36" s="2795"/>
      <c r="NGA36" s="2795"/>
      <c r="NGB36" s="2795"/>
      <c r="NGC36" s="2795"/>
      <c r="NGD36" s="2795"/>
      <c r="NGE36" s="2795"/>
      <c r="NGF36" s="2795"/>
      <c r="NGG36" s="2795"/>
      <c r="NGH36" s="2795"/>
      <c r="NGI36" s="2795"/>
      <c r="NGJ36" s="2795"/>
      <c r="NGK36" s="2795"/>
      <c r="NGL36" s="2795"/>
      <c r="NGM36" s="2795"/>
      <c r="NGN36" s="2795"/>
      <c r="NGO36" s="2795"/>
      <c r="NGP36" s="2795"/>
      <c r="NGQ36" s="2795"/>
      <c r="NGR36" s="2795"/>
      <c r="NGS36" s="2795"/>
      <c r="NGT36" s="2795"/>
      <c r="NGU36" s="2795"/>
      <c r="NGV36" s="2795"/>
      <c r="NGW36" s="2795"/>
      <c r="NGX36" s="2795"/>
      <c r="NGY36" s="2795"/>
      <c r="NGZ36" s="2795"/>
      <c r="NHA36" s="2795"/>
      <c r="NHB36" s="2795"/>
      <c r="NHC36" s="2795"/>
      <c r="NHD36" s="2795"/>
      <c r="NHE36" s="2795"/>
      <c r="NHF36" s="2795"/>
      <c r="NHG36" s="2795"/>
      <c r="NHH36" s="2795"/>
      <c r="NHI36" s="2795"/>
      <c r="NHJ36" s="2795"/>
      <c r="NHK36" s="2795"/>
      <c r="NHL36" s="2795"/>
      <c r="NHM36" s="2795"/>
      <c r="NHN36" s="2795"/>
      <c r="NHO36" s="2795"/>
      <c r="NHP36" s="2795"/>
      <c r="NHQ36" s="2795"/>
      <c r="NHR36" s="2795"/>
      <c r="NHS36" s="2795"/>
      <c r="NHT36" s="2795"/>
      <c r="NHU36" s="2795"/>
      <c r="NHV36" s="2795"/>
      <c r="NHW36" s="2795"/>
      <c r="NHX36" s="2795"/>
      <c r="NHY36" s="2795"/>
      <c r="NHZ36" s="2795"/>
      <c r="NIA36" s="2795"/>
      <c r="NIB36" s="2795"/>
      <c r="NIC36" s="2795"/>
      <c r="NID36" s="2795"/>
      <c r="NIE36" s="2795"/>
      <c r="NIF36" s="2795"/>
      <c r="NIG36" s="2795"/>
      <c r="NIH36" s="2795"/>
      <c r="NII36" s="2795"/>
      <c r="NIJ36" s="2795"/>
      <c r="NIK36" s="2795"/>
      <c r="NIL36" s="2795"/>
      <c r="NIM36" s="2795"/>
      <c r="NIN36" s="2795"/>
      <c r="NIO36" s="2795"/>
      <c r="NIP36" s="2795"/>
      <c r="NIQ36" s="2795"/>
      <c r="NIR36" s="2795"/>
      <c r="NIS36" s="2795"/>
      <c r="NIT36" s="2795"/>
      <c r="NIU36" s="2795"/>
      <c r="NIV36" s="2795"/>
      <c r="NIW36" s="2795"/>
      <c r="NIX36" s="2795"/>
      <c r="NIY36" s="2795"/>
      <c r="NIZ36" s="2795"/>
      <c r="NJA36" s="2795"/>
      <c r="NJB36" s="2795"/>
      <c r="NJC36" s="2795"/>
      <c r="NJD36" s="2795"/>
      <c r="NJE36" s="2795"/>
      <c r="NJF36" s="2795"/>
      <c r="NJG36" s="2795"/>
      <c r="NJH36" s="2795"/>
      <c r="NJI36" s="2795"/>
      <c r="NJJ36" s="2795"/>
      <c r="NJK36" s="2795"/>
      <c r="NJL36" s="2795"/>
      <c r="NJM36" s="2795"/>
      <c r="NJN36" s="2795"/>
      <c r="NJO36" s="2795"/>
      <c r="NJP36" s="2795"/>
      <c r="NJQ36" s="2795"/>
      <c r="NJR36" s="2795"/>
      <c r="NJS36" s="2795"/>
      <c r="NJT36" s="2795"/>
      <c r="NJU36" s="2795"/>
      <c r="NJV36" s="2795"/>
      <c r="NJW36" s="2795"/>
      <c r="NJX36" s="2795"/>
      <c r="NJY36" s="2795"/>
      <c r="NJZ36" s="2795"/>
      <c r="NKA36" s="2795"/>
      <c r="NKB36" s="2795"/>
      <c r="NKC36" s="2795"/>
      <c r="NKD36" s="2795"/>
      <c r="NKE36" s="2795"/>
      <c r="NKF36" s="2795"/>
      <c r="NKG36" s="2795"/>
      <c r="NKH36" s="2795"/>
      <c r="NKI36" s="2795"/>
      <c r="NKJ36" s="2795"/>
      <c r="NKK36" s="2795"/>
      <c r="NKL36" s="2795"/>
      <c r="NKM36" s="2795"/>
      <c r="NKN36" s="2795"/>
      <c r="NKO36" s="2795"/>
      <c r="NKP36" s="2795"/>
      <c r="NKQ36" s="2795"/>
      <c r="NKR36" s="2795"/>
      <c r="NKS36" s="2795"/>
      <c r="NKT36" s="2795"/>
      <c r="NKU36" s="2795"/>
      <c r="NKV36" s="2795"/>
      <c r="NKW36" s="2795"/>
      <c r="NKX36" s="2795"/>
      <c r="NKY36" s="2795"/>
      <c r="NKZ36" s="2795"/>
      <c r="NLA36" s="2795"/>
      <c r="NLB36" s="2795"/>
      <c r="NLC36" s="2795"/>
      <c r="NLD36" s="2795"/>
      <c r="NLE36" s="2795"/>
      <c r="NLF36" s="2795"/>
      <c r="NLG36" s="2795"/>
      <c r="NLH36" s="2795"/>
      <c r="NLI36" s="2795"/>
      <c r="NLJ36" s="2795"/>
      <c r="NLK36" s="2795"/>
      <c r="NLL36" s="2795"/>
      <c r="NLM36" s="2795"/>
      <c r="NLN36" s="2795"/>
      <c r="NLO36" s="2795"/>
      <c r="NLP36" s="2795"/>
      <c r="NLQ36" s="2795"/>
      <c r="NLR36" s="2795"/>
      <c r="NLS36" s="2795"/>
      <c r="NLT36" s="2795"/>
      <c r="NLU36" s="2795"/>
      <c r="NLV36" s="2795"/>
      <c r="NLW36" s="2795"/>
      <c r="NLX36" s="2795"/>
      <c r="NLY36" s="2795"/>
      <c r="NLZ36" s="2795"/>
      <c r="NMA36" s="2795"/>
      <c r="NMB36" s="2795"/>
      <c r="NMC36" s="2795"/>
      <c r="NMD36" s="2795"/>
      <c r="NME36" s="2795"/>
      <c r="NMF36" s="2795"/>
      <c r="NMG36" s="2795"/>
      <c r="NMH36" s="2795"/>
      <c r="NMI36" s="2795"/>
      <c r="NMJ36" s="2795"/>
      <c r="NMK36" s="2795"/>
      <c r="NML36" s="2795"/>
      <c r="NMM36" s="2795"/>
      <c r="NMN36" s="2795"/>
      <c r="NMO36" s="2795"/>
      <c r="NMP36" s="2795"/>
      <c r="NMQ36" s="2795"/>
      <c r="NMR36" s="2795"/>
      <c r="NMS36" s="2795"/>
      <c r="NMT36" s="2795"/>
      <c r="NMU36" s="2795"/>
      <c r="NMV36" s="2795"/>
      <c r="NMW36" s="2795"/>
      <c r="NMX36" s="2795"/>
      <c r="NMY36" s="2795"/>
      <c r="NMZ36" s="2795"/>
      <c r="NNA36" s="2795"/>
      <c r="NNB36" s="2795"/>
      <c r="NNC36" s="2795"/>
      <c r="NND36" s="2795"/>
      <c r="NNE36" s="2795"/>
      <c r="NNF36" s="2795"/>
      <c r="NNG36" s="2795"/>
      <c r="NNH36" s="2795"/>
      <c r="NNI36" s="2795"/>
      <c r="NNJ36" s="2795"/>
      <c r="NNK36" s="2795"/>
      <c r="NNL36" s="2795"/>
      <c r="NNM36" s="2795"/>
      <c r="NNN36" s="2795"/>
      <c r="NNO36" s="2795"/>
      <c r="NNP36" s="2795"/>
      <c r="NNQ36" s="2795"/>
      <c r="NNR36" s="2795"/>
      <c r="NNS36" s="2795"/>
      <c r="NNT36" s="2795"/>
      <c r="NNU36" s="2795"/>
      <c r="NNV36" s="2795"/>
      <c r="NNW36" s="2795"/>
      <c r="NNX36" s="2795"/>
      <c r="NNY36" s="2795"/>
      <c r="NNZ36" s="2795"/>
      <c r="NOA36" s="2795"/>
      <c r="NOB36" s="2795"/>
      <c r="NOC36" s="2795"/>
      <c r="NOD36" s="2795"/>
      <c r="NOE36" s="2795"/>
      <c r="NOF36" s="2795"/>
      <c r="NOG36" s="2795"/>
      <c r="NOH36" s="2795"/>
      <c r="NOI36" s="2795"/>
      <c r="NOJ36" s="2795"/>
      <c r="NOK36" s="2795"/>
      <c r="NOL36" s="2795"/>
      <c r="NOM36" s="2795"/>
      <c r="NON36" s="2795"/>
      <c r="NOO36" s="2795"/>
      <c r="NOP36" s="2795"/>
      <c r="NOQ36" s="2795"/>
      <c r="NOR36" s="2795"/>
      <c r="NOS36" s="2795"/>
      <c r="NOT36" s="2795"/>
      <c r="NOU36" s="2795"/>
      <c r="NOV36" s="2795"/>
      <c r="NOW36" s="2795"/>
      <c r="NOX36" s="2795"/>
      <c r="NOY36" s="2795"/>
      <c r="NOZ36" s="2795"/>
      <c r="NPA36" s="2795"/>
      <c r="NPB36" s="2795"/>
      <c r="NPC36" s="2795"/>
      <c r="NPD36" s="2795"/>
      <c r="NPE36" s="2795"/>
      <c r="NPF36" s="2795"/>
      <c r="NPG36" s="2795"/>
      <c r="NPH36" s="2795"/>
      <c r="NPI36" s="2795"/>
      <c r="NPJ36" s="2795"/>
      <c r="NPK36" s="2795"/>
      <c r="NPL36" s="2795"/>
      <c r="NPM36" s="2795"/>
      <c r="NPN36" s="2795"/>
      <c r="NPO36" s="2795"/>
      <c r="NPP36" s="2795"/>
      <c r="NPQ36" s="2795"/>
      <c r="NPR36" s="2795"/>
      <c r="NPS36" s="2795"/>
      <c r="NPT36" s="2795"/>
      <c r="NPU36" s="2795"/>
      <c r="NPV36" s="2795"/>
      <c r="NPW36" s="2795"/>
      <c r="NPX36" s="2795"/>
      <c r="NPY36" s="2795"/>
      <c r="NPZ36" s="2795"/>
      <c r="NQA36" s="2795"/>
      <c r="NQB36" s="2795"/>
      <c r="NQC36" s="2795"/>
      <c r="NQD36" s="2795"/>
      <c r="NQE36" s="2795"/>
      <c r="NQF36" s="2795"/>
      <c r="NQG36" s="2795"/>
      <c r="NQH36" s="2795"/>
      <c r="NQI36" s="2795"/>
      <c r="NQJ36" s="2795"/>
      <c r="NQK36" s="2795"/>
      <c r="NQL36" s="2795"/>
      <c r="NQM36" s="2795"/>
      <c r="NQN36" s="2795"/>
      <c r="NQO36" s="2795"/>
      <c r="NQP36" s="2795"/>
      <c r="NQQ36" s="2795"/>
      <c r="NQR36" s="2795"/>
      <c r="NQS36" s="2795"/>
      <c r="NQT36" s="2795"/>
      <c r="NQU36" s="2795"/>
      <c r="NQV36" s="2795"/>
      <c r="NQW36" s="2795"/>
      <c r="NQX36" s="2795"/>
      <c r="NQY36" s="2795"/>
      <c r="NQZ36" s="2795"/>
      <c r="NRA36" s="2795"/>
      <c r="NRB36" s="2795"/>
      <c r="NRC36" s="2795"/>
      <c r="NRD36" s="2795"/>
      <c r="NRE36" s="2795"/>
      <c r="NRF36" s="2795"/>
      <c r="NRG36" s="2795"/>
      <c r="NRH36" s="2795"/>
      <c r="NRI36" s="2795"/>
      <c r="NRJ36" s="2795"/>
      <c r="NRK36" s="2795"/>
      <c r="NRL36" s="2795"/>
      <c r="NRM36" s="2795"/>
      <c r="NRN36" s="2795"/>
      <c r="NRO36" s="2795"/>
      <c r="NRP36" s="2795"/>
      <c r="NRQ36" s="2795"/>
      <c r="NRR36" s="2795"/>
      <c r="NRS36" s="2795"/>
      <c r="NRT36" s="2795"/>
      <c r="NRU36" s="2795"/>
      <c r="NRV36" s="2795"/>
      <c r="NRW36" s="2795"/>
      <c r="NRX36" s="2795"/>
      <c r="NRY36" s="2795"/>
      <c r="NRZ36" s="2795"/>
      <c r="NSA36" s="2795"/>
      <c r="NSB36" s="2795"/>
      <c r="NSC36" s="2795"/>
      <c r="NSD36" s="2795"/>
      <c r="NSE36" s="2795"/>
      <c r="NSF36" s="2795"/>
      <c r="NSG36" s="2795"/>
      <c r="NSH36" s="2795"/>
      <c r="NSI36" s="2795"/>
      <c r="NSJ36" s="2795"/>
      <c r="NSK36" s="2795"/>
      <c r="NSL36" s="2795"/>
      <c r="NSM36" s="2795"/>
      <c r="NSN36" s="2795"/>
      <c r="NSO36" s="2795"/>
      <c r="NSP36" s="2795"/>
      <c r="NSQ36" s="2795"/>
      <c r="NSR36" s="2795"/>
      <c r="NSS36" s="2795"/>
      <c r="NST36" s="2795"/>
      <c r="NSU36" s="2795"/>
      <c r="NSV36" s="2795"/>
      <c r="NSW36" s="2795"/>
      <c r="NSX36" s="2795"/>
      <c r="NSY36" s="2795"/>
      <c r="NSZ36" s="2795"/>
      <c r="NTA36" s="2795"/>
      <c r="NTB36" s="2795"/>
      <c r="NTC36" s="2795"/>
      <c r="NTD36" s="2795"/>
      <c r="NTE36" s="2795"/>
      <c r="NTF36" s="2795"/>
      <c r="NTG36" s="2795"/>
      <c r="NTH36" s="2795"/>
      <c r="NTI36" s="2795"/>
      <c r="NTJ36" s="2795"/>
      <c r="NTK36" s="2795"/>
      <c r="NTL36" s="2795"/>
      <c r="NTM36" s="2795"/>
      <c r="NTN36" s="2795"/>
      <c r="NTO36" s="2795"/>
      <c r="NTP36" s="2795"/>
      <c r="NTQ36" s="2795"/>
      <c r="NTR36" s="2795"/>
      <c r="NTS36" s="2795"/>
      <c r="NTT36" s="2795"/>
      <c r="NTU36" s="2795"/>
      <c r="NTV36" s="2795"/>
      <c r="NTW36" s="2795"/>
      <c r="NTX36" s="2795"/>
      <c r="NTY36" s="2795"/>
      <c r="NTZ36" s="2795"/>
      <c r="NUA36" s="2795"/>
      <c r="NUB36" s="2795"/>
      <c r="NUC36" s="2795"/>
      <c r="NUD36" s="2795"/>
      <c r="NUE36" s="2795"/>
      <c r="NUF36" s="2795"/>
      <c r="NUG36" s="2795"/>
      <c r="NUH36" s="2795"/>
      <c r="NUI36" s="2795"/>
      <c r="NUJ36" s="2795"/>
      <c r="NUK36" s="2795"/>
      <c r="NUL36" s="2795"/>
      <c r="NUM36" s="2795"/>
      <c r="NUN36" s="2795"/>
      <c r="NUO36" s="2795"/>
      <c r="NUP36" s="2795"/>
      <c r="NUQ36" s="2795"/>
      <c r="NUR36" s="2795"/>
      <c r="NUS36" s="2795"/>
      <c r="NUT36" s="2795"/>
      <c r="NUU36" s="2795"/>
      <c r="NUV36" s="2795"/>
      <c r="NUW36" s="2795"/>
      <c r="NUX36" s="2795"/>
      <c r="NUY36" s="2795"/>
      <c r="NUZ36" s="2795"/>
      <c r="NVA36" s="2795"/>
      <c r="NVB36" s="2795"/>
      <c r="NVC36" s="2795"/>
      <c r="NVD36" s="2795"/>
      <c r="NVE36" s="2795"/>
      <c r="NVF36" s="2795"/>
      <c r="NVG36" s="2795"/>
      <c r="NVH36" s="2795"/>
      <c r="NVI36" s="2795"/>
      <c r="NVJ36" s="2795"/>
      <c r="NVK36" s="2795"/>
      <c r="NVL36" s="2795"/>
      <c r="NVM36" s="2795"/>
      <c r="NVN36" s="2795"/>
      <c r="NVO36" s="2795"/>
      <c r="NVP36" s="2795"/>
      <c r="NVQ36" s="2795"/>
      <c r="NVR36" s="2795"/>
      <c r="NVS36" s="2795"/>
      <c r="NVT36" s="2795"/>
      <c r="NVU36" s="2795"/>
      <c r="NVV36" s="2795"/>
      <c r="NVW36" s="2795"/>
      <c r="NVX36" s="2795"/>
      <c r="NVY36" s="2795"/>
      <c r="NVZ36" s="2795"/>
      <c r="NWA36" s="2795"/>
      <c r="NWB36" s="2795"/>
      <c r="NWC36" s="2795"/>
      <c r="NWD36" s="2795"/>
      <c r="NWE36" s="2795"/>
      <c r="NWF36" s="2795"/>
      <c r="NWG36" s="2795"/>
      <c r="NWH36" s="2795"/>
      <c r="NWI36" s="2795"/>
      <c r="NWJ36" s="2795"/>
      <c r="NWK36" s="2795"/>
      <c r="NWL36" s="2795"/>
      <c r="NWM36" s="2795"/>
      <c r="NWN36" s="2795"/>
      <c r="NWO36" s="2795"/>
      <c r="NWP36" s="2795"/>
      <c r="NWQ36" s="2795"/>
      <c r="NWR36" s="2795"/>
      <c r="NWS36" s="2795"/>
      <c r="NWT36" s="2795"/>
      <c r="NWU36" s="2795"/>
      <c r="NWV36" s="2795"/>
      <c r="NWW36" s="2795"/>
      <c r="NWX36" s="2795"/>
      <c r="NWY36" s="2795"/>
      <c r="NWZ36" s="2795"/>
      <c r="NXA36" s="2795"/>
      <c r="NXB36" s="2795"/>
      <c r="NXC36" s="2795"/>
      <c r="NXD36" s="2795"/>
      <c r="NXE36" s="2795"/>
      <c r="NXF36" s="2795"/>
      <c r="NXG36" s="2795"/>
      <c r="NXH36" s="2795"/>
      <c r="NXI36" s="2795"/>
      <c r="NXJ36" s="2795"/>
      <c r="NXK36" s="2795"/>
      <c r="NXL36" s="2795"/>
      <c r="NXM36" s="2795"/>
      <c r="NXN36" s="2795"/>
      <c r="NXO36" s="2795"/>
      <c r="NXP36" s="2795"/>
      <c r="NXQ36" s="2795"/>
      <c r="NXR36" s="2795"/>
      <c r="NXS36" s="2795"/>
      <c r="NXT36" s="2795"/>
      <c r="NXU36" s="2795"/>
      <c r="NXV36" s="2795"/>
      <c r="NXW36" s="2795"/>
      <c r="NXX36" s="2795"/>
      <c r="NXY36" s="2795"/>
      <c r="NXZ36" s="2795"/>
      <c r="NYA36" s="2795"/>
      <c r="NYB36" s="2795"/>
      <c r="NYC36" s="2795"/>
      <c r="NYD36" s="2795"/>
      <c r="NYE36" s="2795"/>
      <c r="NYF36" s="2795"/>
      <c r="NYG36" s="2795"/>
      <c r="NYH36" s="2795"/>
      <c r="NYI36" s="2795"/>
      <c r="NYJ36" s="2795"/>
      <c r="NYK36" s="2795"/>
      <c r="NYL36" s="2795"/>
      <c r="NYM36" s="2795"/>
      <c r="NYN36" s="2795"/>
      <c r="NYO36" s="2795"/>
      <c r="NYP36" s="2795"/>
      <c r="NYQ36" s="2795"/>
      <c r="NYR36" s="2795"/>
      <c r="NYS36" s="2795"/>
      <c r="NYT36" s="2795"/>
      <c r="NYU36" s="2795"/>
      <c r="NYV36" s="2795"/>
      <c r="NYW36" s="2795"/>
      <c r="NYX36" s="2795"/>
      <c r="NYY36" s="2795"/>
      <c r="NYZ36" s="2795"/>
      <c r="NZA36" s="2795"/>
      <c r="NZB36" s="2795"/>
      <c r="NZC36" s="2795"/>
      <c r="NZD36" s="2795"/>
      <c r="NZE36" s="2795"/>
      <c r="NZF36" s="2795"/>
      <c r="NZG36" s="2795"/>
      <c r="NZH36" s="2795"/>
      <c r="NZI36" s="2795"/>
      <c r="NZJ36" s="2795"/>
      <c r="NZK36" s="2795"/>
      <c r="NZL36" s="2795"/>
      <c r="NZM36" s="2795"/>
      <c r="NZN36" s="2795"/>
      <c r="NZO36" s="2795"/>
      <c r="NZP36" s="2795"/>
      <c r="NZQ36" s="2795"/>
      <c r="NZR36" s="2795"/>
      <c r="NZS36" s="2795"/>
      <c r="NZT36" s="2795"/>
      <c r="NZU36" s="2795"/>
      <c r="NZV36" s="2795"/>
      <c r="NZW36" s="2795"/>
      <c r="NZX36" s="2795"/>
      <c r="NZY36" s="2795"/>
      <c r="NZZ36" s="2795"/>
      <c r="OAA36" s="2795"/>
      <c r="OAB36" s="2795"/>
      <c r="OAC36" s="2795"/>
      <c r="OAD36" s="2795"/>
      <c r="OAE36" s="2795"/>
      <c r="OAF36" s="2795"/>
      <c r="OAG36" s="2795"/>
      <c r="OAH36" s="2795"/>
      <c r="OAI36" s="2795"/>
      <c r="OAJ36" s="2795"/>
      <c r="OAK36" s="2795"/>
      <c r="OAL36" s="2795"/>
      <c r="OAM36" s="2795"/>
      <c r="OAN36" s="2795"/>
      <c r="OAO36" s="2795"/>
      <c r="OAP36" s="2795"/>
      <c r="OAQ36" s="2795"/>
      <c r="OAR36" s="2795"/>
      <c r="OAS36" s="2795"/>
      <c r="OAT36" s="2795"/>
      <c r="OAU36" s="2795"/>
      <c r="OAV36" s="2795"/>
      <c r="OAW36" s="2795"/>
      <c r="OAX36" s="2795"/>
      <c r="OAY36" s="2795"/>
      <c r="OAZ36" s="2795"/>
      <c r="OBA36" s="2795"/>
      <c r="OBB36" s="2795"/>
      <c r="OBC36" s="2795"/>
      <c r="OBD36" s="2795"/>
      <c r="OBE36" s="2795"/>
      <c r="OBF36" s="2795"/>
      <c r="OBG36" s="2795"/>
      <c r="OBH36" s="2795"/>
      <c r="OBI36" s="2795"/>
      <c r="OBJ36" s="2795"/>
      <c r="OBK36" s="2795"/>
      <c r="OBL36" s="2795"/>
      <c r="OBM36" s="2795"/>
      <c r="OBN36" s="2795"/>
      <c r="OBO36" s="2795"/>
      <c r="OBP36" s="2795"/>
      <c r="OBQ36" s="2795"/>
      <c r="OBR36" s="2795"/>
      <c r="OBS36" s="2795"/>
      <c r="OBT36" s="2795"/>
      <c r="OBU36" s="2795"/>
      <c r="OBV36" s="2795"/>
      <c r="OBW36" s="2795"/>
      <c r="OBX36" s="2795"/>
      <c r="OBY36" s="2795"/>
      <c r="OBZ36" s="2795"/>
      <c r="OCA36" s="2795"/>
      <c r="OCB36" s="2795"/>
      <c r="OCC36" s="2795"/>
      <c r="OCD36" s="2795"/>
      <c r="OCE36" s="2795"/>
      <c r="OCF36" s="2795"/>
      <c r="OCG36" s="2795"/>
      <c r="OCH36" s="2795"/>
      <c r="OCI36" s="2795"/>
      <c r="OCJ36" s="2795"/>
      <c r="OCK36" s="2795"/>
      <c r="OCL36" s="2795"/>
      <c r="OCM36" s="2795"/>
      <c r="OCN36" s="2795"/>
      <c r="OCO36" s="2795"/>
      <c r="OCP36" s="2795"/>
      <c r="OCQ36" s="2795"/>
      <c r="OCR36" s="2795"/>
      <c r="OCS36" s="2795"/>
      <c r="OCT36" s="2795"/>
      <c r="OCU36" s="2795"/>
      <c r="OCV36" s="2795"/>
      <c r="OCW36" s="2795"/>
      <c r="OCX36" s="2795"/>
      <c r="OCY36" s="2795"/>
      <c r="OCZ36" s="2795"/>
      <c r="ODA36" s="2795"/>
      <c r="ODB36" s="2795"/>
      <c r="ODC36" s="2795"/>
      <c r="ODD36" s="2795"/>
      <c r="ODE36" s="2795"/>
      <c r="ODF36" s="2795"/>
      <c r="ODG36" s="2795"/>
      <c r="ODH36" s="2795"/>
      <c r="ODI36" s="2795"/>
      <c r="ODJ36" s="2795"/>
      <c r="ODK36" s="2795"/>
      <c r="ODL36" s="2795"/>
      <c r="ODM36" s="2795"/>
      <c r="ODN36" s="2795"/>
      <c r="ODO36" s="2795"/>
      <c r="ODP36" s="2795"/>
      <c r="ODQ36" s="2795"/>
      <c r="ODR36" s="2795"/>
      <c r="ODS36" s="2795"/>
      <c r="ODT36" s="2795"/>
      <c r="ODU36" s="2795"/>
      <c r="ODV36" s="2795"/>
      <c r="ODW36" s="2795"/>
      <c r="ODX36" s="2795"/>
      <c r="ODY36" s="2795"/>
      <c r="ODZ36" s="2795"/>
      <c r="OEA36" s="2795"/>
      <c r="OEB36" s="2795"/>
      <c r="OEC36" s="2795"/>
      <c r="OED36" s="2795"/>
      <c r="OEE36" s="2795"/>
      <c r="OEF36" s="2795"/>
      <c r="OEG36" s="2795"/>
      <c r="OEH36" s="2795"/>
      <c r="OEI36" s="2795"/>
      <c r="OEJ36" s="2795"/>
      <c r="OEK36" s="2795"/>
      <c r="OEL36" s="2795"/>
      <c r="OEM36" s="2795"/>
      <c r="OEN36" s="2795"/>
      <c r="OEO36" s="2795"/>
      <c r="OEP36" s="2795"/>
      <c r="OEQ36" s="2795"/>
      <c r="OER36" s="2795"/>
      <c r="OES36" s="2795"/>
      <c r="OET36" s="2795"/>
      <c r="OEU36" s="2795"/>
      <c r="OEV36" s="2795"/>
      <c r="OEW36" s="2795"/>
      <c r="OEX36" s="2795"/>
      <c r="OEY36" s="2795"/>
      <c r="OEZ36" s="2795"/>
      <c r="OFA36" s="2795"/>
      <c r="OFB36" s="2795"/>
      <c r="OFC36" s="2795"/>
      <c r="OFD36" s="2795"/>
      <c r="OFE36" s="2795"/>
      <c r="OFF36" s="2795"/>
      <c r="OFG36" s="2795"/>
      <c r="OFH36" s="2795"/>
      <c r="OFI36" s="2795"/>
      <c r="OFJ36" s="2795"/>
      <c r="OFK36" s="2795"/>
      <c r="OFL36" s="2795"/>
      <c r="OFM36" s="2795"/>
      <c r="OFN36" s="2795"/>
      <c r="OFO36" s="2795"/>
      <c r="OFP36" s="2795"/>
      <c r="OFQ36" s="2795"/>
      <c r="OFR36" s="2795"/>
      <c r="OFS36" s="2795"/>
      <c r="OFT36" s="2795"/>
      <c r="OFU36" s="2795"/>
      <c r="OFV36" s="2795"/>
      <c r="OFW36" s="2795"/>
      <c r="OFX36" s="2795"/>
      <c r="OFY36" s="2795"/>
      <c r="OFZ36" s="2795"/>
      <c r="OGA36" s="2795"/>
      <c r="OGB36" s="2795"/>
      <c r="OGC36" s="2795"/>
      <c r="OGD36" s="2795"/>
      <c r="OGE36" s="2795"/>
      <c r="OGF36" s="2795"/>
      <c r="OGG36" s="2795"/>
      <c r="OGH36" s="2795"/>
      <c r="OGI36" s="2795"/>
      <c r="OGJ36" s="2795"/>
      <c r="OGK36" s="2795"/>
      <c r="OGL36" s="2795"/>
      <c r="OGM36" s="2795"/>
      <c r="OGN36" s="2795"/>
      <c r="OGO36" s="2795"/>
      <c r="OGP36" s="2795"/>
      <c r="OGQ36" s="2795"/>
      <c r="OGR36" s="2795"/>
      <c r="OGS36" s="2795"/>
      <c r="OGT36" s="2795"/>
      <c r="OGU36" s="2795"/>
      <c r="OGV36" s="2795"/>
      <c r="OGW36" s="2795"/>
      <c r="OGX36" s="2795"/>
      <c r="OGY36" s="2795"/>
      <c r="OGZ36" s="2795"/>
      <c r="OHA36" s="2795"/>
      <c r="OHB36" s="2795"/>
      <c r="OHC36" s="2795"/>
      <c r="OHD36" s="2795"/>
      <c r="OHE36" s="2795"/>
      <c r="OHF36" s="2795"/>
      <c r="OHG36" s="2795"/>
      <c r="OHH36" s="2795"/>
      <c r="OHI36" s="2795"/>
      <c r="OHJ36" s="2795"/>
      <c r="OHK36" s="2795"/>
      <c r="OHL36" s="2795"/>
      <c r="OHM36" s="2795"/>
      <c r="OHN36" s="2795"/>
      <c r="OHO36" s="2795"/>
      <c r="OHP36" s="2795"/>
      <c r="OHQ36" s="2795"/>
      <c r="OHR36" s="2795"/>
      <c r="OHS36" s="2795"/>
      <c r="OHT36" s="2795"/>
      <c r="OHU36" s="2795"/>
      <c r="OHV36" s="2795"/>
      <c r="OHW36" s="2795"/>
      <c r="OHX36" s="2795"/>
      <c r="OHY36" s="2795"/>
      <c r="OHZ36" s="2795"/>
      <c r="OIA36" s="2795"/>
      <c r="OIB36" s="2795"/>
      <c r="OIC36" s="2795"/>
      <c r="OID36" s="2795"/>
      <c r="OIE36" s="2795"/>
      <c r="OIF36" s="2795"/>
      <c r="OIG36" s="2795"/>
      <c r="OIH36" s="2795"/>
      <c r="OII36" s="2795"/>
      <c r="OIJ36" s="2795"/>
      <c r="OIK36" s="2795"/>
      <c r="OIL36" s="2795"/>
      <c r="OIM36" s="2795"/>
      <c r="OIN36" s="2795"/>
      <c r="OIO36" s="2795"/>
      <c r="OIP36" s="2795"/>
      <c r="OIQ36" s="2795"/>
      <c r="OIR36" s="2795"/>
      <c r="OIS36" s="2795"/>
      <c r="OIT36" s="2795"/>
      <c r="OIU36" s="2795"/>
      <c r="OIV36" s="2795"/>
      <c r="OIW36" s="2795"/>
      <c r="OIX36" s="2795"/>
      <c r="OIY36" s="2795"/>
      <c r="OIZ36" s="2795"/>
      <c r="OJA36" s="2795"/>
      <c r="OJB36" s="2795"/>
      <c r="OJC36" s="2795"/>
      <c r="OJD36" s="2795"/>
      <c r="OJE36" s="2795"/>
      <c r="OJF36" s="2795"/>
      <c r="OJG36" s="2795"/>
      <c r="OJH36" s="2795"/>
      <c r="OJI36" s="2795"/>
      <c r="OJJ36" s="2795"/>
      <c r="OJK36" s="2795"/>
      <c r="OJL36" s="2795"/>
      <c r="OJM36" s="2795"/>
      <c r="OJN36" s="2795"/>
      <c r="OJO36" s="2795"/>
      <c r="OJP36" s="2795"/>
      <c r="OJQ36" s="2795"/>
      <c r="OJR36" s="2795"/>
      <c r="OJS36" s="2795"/>
      <c r="OJT36" s="2795"/>
      <c r="OJU36" s="2795"/>
      <c r="OJV36" s="2795"/>
      <c r="OJW36" s="2795"/>
      <c r="OJX36" s="2795"/>
      <c r="OJY36" s="2795"/>
      <c r="OJZ36" s="2795"/>
      <c r="OKA36" s="2795"/>
      <c r="OKB36" s="2795"/>
      <c r="OKC36" s="2795"/>
      <c r="OKD36" s="2795"/>
      <c r="OKE36" s="2795"/>
      <c r="OKF36" s="2795"/>
      <c r="OKG36" s="2795"/>
      <c r="OKH36" s="2795"/>
      <c r="OKI36" s="2795"/>
      <c r="OKJ36" s="2795"/>
      <c r="OKK36" s="2795"/>
      <c r="OKL36" s="2795"/>
      <c r="OKM36" s="2795"/>
      <c r="OKN36" s="2795"/>
      <c r="OKO36" s="2795"/>
      <c r="OKP36" s="2795"/>
      <c r="OKQ36" s="2795"/>
      <c r="OKR36" s="2795"/>
      <c r="OKS36" s="2795"/>
      <c r="OKT36" s="2795"/>
      <c r="OKU36" s="2795"/>
      <c r="OKV36" s="2795"/>
      <c r="OKW36" s="2795"/>
      <c r="OKX36" s="2795"/>
      <c r="OKY36" s="2795"/>
      <c r="OKZ36" s="2795"/>
      <c r="OLA36" s="2795"/>
      <c r="OLB36" s="2795"/>
      <c r="OLC36" s="2795"/>
      <c r="OLD36" s="2795"/>
      <c r="OLE36" s="2795"/>
      <c r="OLF36" s="2795"/>
      <c r="OLG36" s="2795"/>
      <c r="OLH36" s="2795"/>
      <c r="OLI36" s="2795"/>
      <c r="OLJ36" s="2795"/>
      <c r="OLK36" s="2795"/>
      <c r="OLL36" s="2795"/>
      <c r="OLM36" s="2795"/>
      <c r="OLN36" s="2795"/>
      <c r="OLO36" s="2795"/>
      <c r="OLP36" s="2795"/>
      <c r="OLQ36" s="2795"/>
      <c r="OLR36" s="2795"/>
      <c r="OLS36" s="2795"/>
      <c r="OLT36" s="2795"/>
      <c r="OLU36" s="2795"/>
      <c r="OLV36" s="2795"/>
      <c r="OLW36" s="2795"/>
      <c r="OLX36" s="2795"/>
      <c r="OLY36" s="2795"/>
      <c r="OLZ36" s="2795"/>
      <c r="OMA36" s="2795"/>
      <c r="OMB36" s="2795"/>
      <c r="OMC36" s="2795"/>
      <c r="OMD36" s="2795"/>
      <c r="OME36" s="2795"/>
      <c r="OMF36" s="2795"/>
      <c r="OMG36" s="2795"/>
      <c r="OMH36" s="2795"/>
      <c r="OMI36" s="2795"/>
      <c r="OMJ36" s="2795"/>
      <c r="OMK36" s="2795"/>
      <c r="OML36" s="2795"/>
      <c r="OMM36" s="2795"/>
      <c r="OMN36" s="2795"/>
      <c r="OMO36" s="2795"/>
      <c r="OMP36" s="2795"/>
      <c r="OMQ36" s="2795"/>
      <c r="OMR36" s="2795"/>
      <c r="OMS36" s="2795"/>
      <c r="OMT36" s="2795"/>
      <c r="OMU36" s="2795"/>
      <c r="OMV36" s="2795"/>
      <c r="OMW36" s="2795"/>
      <c r="OMX36" s="2795"/>
      <c r="OMY36" s="2795"/>
      <c r="OMZ36" s="2795"/>
      <c r="ONA36" s="2795"/>
      <c r="ONB36" s="2795"/>
      <c r="ONC36" s="2795"/>
      <c r="OND36" s="2795"/>
      <c r="ONE36" s="2795"/>
      <c r="ONF36" s="2795"/>
      <c r="ONG36" s="2795"/>
      <c r="ONH36" s="2795"/>
      <c r="ONI36" s="2795"/>
      <c r="ONJ36" s="2795"/>
      <c r="ONK36" s="2795"/>
      <c r="ONL36" s="2795"/>
      <c r="ONM36" s="2795"/>
      <c r="ONN36" s="2795"/>
      <c r="ONO36" s="2795"/>
      <c r="ONP36" s="2795"/>
      <c r="ONQ36" s="2795"/>
      <c r="ONR36" s="2795"/>
      <c r="ONS36" s="2795"/>
      <c r="ONT36" s="2795"/>
      <c r="ONU36" s="2795"/>
      <c r="ONV36" s="2795"/>
      <c r="ONW36" s="2795"/>
      <c r="ONX36" s="2795"/>
      <c r="ONY36" s="2795"/>
      <c r="ONZ36" s="2795"/>
      <c r="OOA36" s="2795"/>
      <c r="OOB36" s="2795"/>
      <c r="OOC36" s="2795"/>
      <c r="OOD36" s="2795"/>
      <c r="OOE36" s="2795"/>
      <c r="OOF36" s="2795"/>
      <c r="OOG36" s="2795"/>
      <c r="OOH36" s="2795"/>
      <c r="OOI36" s="2795"/>
      <c r="OOJ36" s="2795"/>
      <c r="OOK36" s="2795"/>
      <c r="OOL36" s="2795"/>
      <c r="OOM36" s="2795"/>
      <c r="OON36" s="2795"/>
      <c r="OOO36" s="2795"/>
      <c r="OOP36" s="2795"/>
      <c r="OOQ36" s="2795"/>
      <c r="OOR36" s="2795"/>
      <c r="OOS36" s="2795"/>
      <c r="OOT36" s="2795"/>
      <c r="OOU36" s="2795"/>
      <c r="OOV36" s="2795"/>
      <c r="OOW36" s="2795"/>
      <c r="OOX36" s="2795"/>
      <c r="OOY36" s="2795"/>
      <c r="OOZ36" s="2795"/>
      <c r="OPA36" s="2795"/>
      <c r="OPB36" s="2795"/>
      <c r="OPC36" s="2795"/>
      <c r="OPD36" s="2795"/>
      <c r="OPE36" s="2795"/>
      <c r="OPF36" s="2795"/>
      <c r="OPG36" s="2795"/>
      <c r="OPH36" s="2795"/>
      <c r="OPI36" s="2795"/>
      <c r="OPJ36" s="2795"/>
      <c r="OPK36" s="2795"/>
      <c r="OPL36" s="2795"/>
      <c r="OPM36" s="2795"/>
      <c r="OPN36" s="2795"/>
      <c r="OPO36" s="2795"/>
      <c r="OPP36" s="2795"/>
      <c r="OPQ36" s="2795"/>
      <c r="OPR36" s="2795"/>
      <c r="OPS36" s="2795"/>
      <c r="OPT36" s="2795"/>
      <c r="OPU36" s="2795"/>
      <c r="OPV36" s="2795"/>
      <c r="OPW36" s="2795"/>
      <c r="OPX36" s="2795"/>
      <c r="OPY36" s="2795"/>
      <c r="OPZ36" s="2795"/>
      <c r="OQA36" s="2795"/>
      <c r="OQB36" s="2795"/>
      <c r="OQC36" s="2795"/>
      <c r="OQD36" s="2795"/>
      <c r="OQE36" s="2795"/>
      <c r="OQF36" s="2795"/>
      <c r="OQG36" s="2795"/>
      <c r="OQH36" s="2795"/>
      <c r="OQI36" s="2795"/>
      <c r="OQJ36" s="2795"/>
      <c r="OQK36" s="2795"/>
      <c r="OQL36" s="2795"/>
      <c r="OQM36" s="2795"/>
      <c r="OQN36" s="2795"/>
      <c r="OQO36" s="2795"/>
      <c r="OQP36" s="2795"/>
      <c r="OQQ36" s="2795"/>
      <c r="OQR36" s="2795"/>
      <c r="OQS36" s="2795"/>
      <c r="OQT36" s="2795"/>
      <c r="OQU36" s="2795"/>
      <c r="OQV36" s="2795"/>
      <c r="OQW36" s="2795"/>
      <c r="OQX36" s="2795"/>
      <c r="OQY36" s="2795"/>
      <c r="OQZ36" s="2795"/>
      <c r="ORA36" s="2795"/>
      <c r="ORB36" s="2795"/>
      <c r="ORC36" s="2795"/>
      <c r="ORD36" s="2795"/>
      <c r="ORE36" s="2795"/>
      <c r="ORF36" s="2795"/>
      <c r="ORG36" s="2795"/>
      <c r="ORH36" s="2795"/>
      <c r="ORI36" s="2795"/>
      <c r="ORJ36" s="2795"/>
      <c r="ORK36" s="2795"/>
      <c r="ORL36" s="2795"/>
      <c r="ORM36" s="2795"/>
      <c r="ORN36" s="2795"/>
      <c r="ORO36" s="2795"/>
      <c r="ORP36" s="2795"/>
      <c r="ORQ36" s="2795"/>
      <c r="ORR36" s="2795"/>
      <c r="ORS36" s="2795"/>
      <c r="ORT36" s="2795"/>
      <c r="ORU36" s="2795"/>
      <c r="ORV36" s="2795"/>
      <c r="ORW36" s="2795"/>
      <c r="ORX36" s="2795"/>
      <c r="ORY36" s="2795"/>
      <c r="ORZ36" s="2795"/>
      <c r="OSA36" s="2795"/>
      <c r="OSB36" s="2795"/>
      <c r="OSC36" s="2795"/>
      <c r="OSD36" s="2795"/>
      <c r="OSE36" s="2795"/>
      <c r="OSF36" s="2795"/>
      <c r="OSG36" s="2795"/>
      <c r="OSH36" s="2795"/>
      <c r="OSI36" s="2795"/>
      <c r="OSJ36" s="2795"/>
      <c r="OSK36" s="2795"/>
      <c r="OSL36" s="2795"/>
      <c r="OSM36" s="2795"/>
      <c r="OSN36" s="2795"/>
      <c r="OSO36" s="2795"/>
      <c r="OSP36" s="2795"/>
      <c r="OSQ36" s="2795"/>
      <c r="OSR36" s="2795"/>
      <c r="OSS36" s="2795"/>
      <c r="OST36" s="2795"/>
      <c r="OSU36" s="2795"/>
      <c r="OSV36" s="2795"/>
      <c r="OSW36" s="2795"/>
      <c r="OSX36" s="2795"/>
      <c r="OSY36" s="2795"/>
      <c r="OSZ36" s="2795"/>
      <c r="OTA36" s="2795"/>
      <c r="OTB36" s="2795"/>
      <c r="OTC36" s="2795"/>
      <c r="OTD36" s="2795"/>
      <c r="OTE36" s="2795"/>
      <c r="OTF36" s="2795"/>
      <c r="OTG36" s="2795"/>
      <c r="OTH36" s="2795"/>
      <c r="OTI36" s="2795"/>
      <c r="OTJ36" s="2795"/>
      <c r="OTK36" s="2795"/>
      <c r="OTL36" s="2795"/>
      <c r="OTM36" s="2795"/>
      <c r="OTN36" s="2795"/>
      <c r="OTO36" s="2795"/>
      <c r="OTP36" s="2795"/>
      <c r="OTQ36" s="2795"/>
      <c r="OTR36" s="2795"/>
      <c r="OTS36" s="2795"/>
      <c r="OTT36" s="2795"/>
      <c r="OTU36" s="2795"/>
      <c r="OTV36" s="2795"/>
      <c r="OTW36" s="2795"/>
      <c r="OTX36" s="2795"/>
      <c r="OTY36" s="2795"/>
      <c r="OTZ36" s="2795"/>
      <c r="OUA36" s="2795"/>
      <c r="OUB36" s="2795"/>
      <c r="OUC36" s="2795"/>
      <c r="OUD36" s="2795"/>
      <c r="OUE36" s="2795"/>
      <c r="OUF36" s="2795"/>
      <c r="OUG36" s="2795"/>
      <c r="OUH36" s="2795"/>
      <c r="OUI36" s="2795"/>
      <c r="OUJ36" s="2795"/>
      <c r="OUK36" s="2795"/>
      <c r="OUL36" s="2795"/>
      <c r="OUM36" s="2795"/>
      <c r="OUN36" s="2795"/>
      <c r="OUO36" s="2795"/>
      <c r="OUP36" s="2795"/>
      <c r="OUQ36" s="2795"/>
      <c r="OUR36" s="2795"/>
      <c r="OUS36" s="2795"/>
      <c r="OUT36" s="2795"/>
      <c r="OUU36" s="2795"/>
      <c r="OUV36" s="2795"/>
      <c r="OUW36" s="2795"/>
      <c r="OUX36" s="2795"/>
      <c r="OUY36" s="2795"/>
      <c r="OUZ36" s="2795"/>
      <c r="OVA36" s="2795"/>
      <c r="OVB36" s="2795"/>
      <c r="OVC36" s="2795"/>
      <c r="OVD36" s="2795"/>
      <c r="OVE36" s="2795"/>
      <c r="OVF36" s="2795"/>
      <c r="OVG36" s="2795"/>
      <c r="OVH36" s="2795"/>
      <c r="OVI36" s="2795"/>
      <c r="OVJ36" s="2795"/>
      <c r="OVK36" s="2795"/>
      <c r="OVL36" s="2795"/>
      <c r="OVM36" s="2795"/>
      <c r="OVN36" s="2795"/>
      <c r="OVO36" s="2795"/>
      <c r="OVP36" s="2795"/>
      <c r="OVQ36" s="2795"/>
      <c r="OVR36" s="2795"/>
      <c r="OVS36" s="2795"/>
      <c r="OVT36" s="2795"/>
      <c r="OVU36" s="2795"/>
      <c r="OVV36" s="2795"/>
      <c r="OVW36" s="2795"/>
      <c r="OVX36" s="2795"/>
      <c r="OVY36" s="2795"/>
      <c r="OVZ36" s="2795"/>
      <c r="OWA36" s="2795"/>
      <c r="OWB36" s="2795"/>
      <c r="OWC36" s="2795"/>
      <c r="OWD36" s="2795"/>
      <c r="OWE36" s="2795"/>
      <c r="OWF36" s="2795"/>
      <c r="OWG36" s="2795"/>
      <c r="OWH36" s="2795"/>
      <c r="OWI36" s="2795"/>
      <c r="OWJ36" s="2795"/>
      <c r="OWK36" s="2795"/>
      <c r="OWL36" s="2795"/>
      <c r="OWM36" s="2795"/>
      <c r="OWN36" s="2795"/>
      <c r="OWO36" s="2795"/>
      <c r="OWP36" s="2795"/>
      <c r="OWQ36" s="2795"/>
      <c r="OWR36" s="2795"/>
      <c r="OWS36" s="2795"/>
      <c r="OWT36" s="2795"/>
      <c r="OWU36" s="2795"/>
      <c r="OWV36" s="2795"/>
      <c r="OWW36" s="2795"/>
      <c r="OWX36" s="2795"/>
      <c r="OWY36" s="2795"/>
      <c r="OWZ36" s="2795"/>
      <c r="OXA36" s="2795"/>
      <c r="OXB36" s="2795"/>
      <c r="OXC36" s="2795"/>
      <c r="OXD36" s="2795"/>
      <c r="OXE36" s="2795"/>
      <c r="OXF36" s="2795"/>
      <c r="OXG36" s="2795"/>
      <c r="OXH36" s="2795"/>
      <c r="OXI36" s="2795"/>
      <c r="OXJ36" s="2795"/>
      <c r="OXK36" s="2795"/>
      <c r="OXL36" s="2795"/>
      <c r="OXM36" s="2795"/>
      <c r="OXN36" s="2795"/>
      <c r="OXO36" s="2795"/>
      <c r="OXP36" s="2795"/>
      <c r="OXQ36" s="2795"/>
      <c r="OXR36" s="2795"/>
      <c r="OXS36" s="2795"/>
      <c r="OXT36" s="2795"/>
      <c r="OXU36" s="2795"/>
      <c r="OXV36" s="2795"/>
      <c r="OXW36" s="2795"/>
      <c r="OXX36" s="2795"/>
      <c r="OXY36" s="2795"/>
      <c r="OXZ36" s="2795"/>
      <c r="OYA36" s="2795"/>
      <c r="OYB36" s="2795"/>
      <c r="OYC36" s="2795"/>
      <c r="OYD36" s="2795"/>
      <c r="OYE36" s="2795"/>
      <c r="OYF36" s="2795"/>
      <c r="OYG36" s="2795"/>
      <c r="OYH36" s="2795"/>
      <c r="OYI36" s="2795"/>
      <c r="OYJ36" s="2795"/>
      <c r="OYK36" s="2795"/>
      <c r="OYL36" s="2795"/>
      <c r="OYM36" s="2795"/>
      <c r="OYN36" s="2795"/>
      <c r="OYO36" s="2795"/>
      <c r="OYP36" s="2795"/>
      <c r="OYQ36" s="2795"/>
      <c r="OYR36" s="2795"/>
      <c r="OYS36" s="2795"/>
      <c r="OYT36" s="2795"/>
      <c r="OYU36" s="2795"/>
      <c r="OYV36" s="2795"/>
      <c r="OYW36" s="2795"/>
      <c r="OYX36" s="2795"/>
      <c r="OYY36" s="2795"/>
      <c r="OYZ36" s="2795"/>
      <c r="OZA36" s="2795"/>
      <c r="OZB36" s="2795"/>
      <c r="OZC36" s="2795"/>
      <c r="OZD36" s="2795"/>
      <c r="OZE36" s="2795"/>
      <c r="OZF36" s="2795"/>
      <c r="OZG36" s="2795"/>
      <c r="OZH36" s="2795"/>
      <c r="OZI36" s="2795"/>
      <c r="OZJ36" s="2795"/>
      <c r="OZK36" s="2795"/>
      <c r="OZL36" s="2795"/>
      <c r="OZM36" s="2795"/>
      <c r="OZN36" s="2795"/>
      <c r="OZO36" s="2795"/>
      <c r="OZP36" s="2795"/>
      <c r="OZQ36" s="2795"/>
      <c r="OZR36" s="2795"/>
      <c r="OZS36" s="2795"/>
      <c r="OZT36" s="2795"/>
      <c r="OZU36" s="2795"/>
      <c r="OZV36" s="2795"/>
      <c r="OZW36" s="2795"/>
      <c r="OZX36" s="2795"/>
      <c r="OZY36" s="2795"/>
      <c r="OZZ36" s="2795"/>
      <c r="PAA36" s="2795"/>
      <c r="PAB36" s="2795"/>
      <c r="PAC36" s="2795"/>
      <c r="PAD36" s="2795"/>
      <c r="PAE36" s="2795"/>
      <c r="PAF36" s="2795"/>
      <c r="PAG36" s="2795"/>
      <c r="PAH36" s="2795"/>
      <c r="PAI36" s="2795"/>
      <c r="PAJ36" s="2795"/>
      <c r="PAK36" s="2795"/>
      <c r="PAL36" s="2795"/>
      <c r="PAM36" s="2795"/>
      <c r="PAN36" s="2795"/>
      <c r="PAO36" s="2795"/>
      <c r="PAP36" s="2795"/>
      <c r="PAQ36" s="2795"/>
      <c r="PAR36" s="2795"/>
      <c r="PAS36" s="2795"/>
      <c r="PAT36" s="2795"/>
      <c r="PAU36" s="2795"/>
      <c r="PAV36" s="2795"/>
      <c r="PAW36" s="2795"/>
      <c r="PAX36" s="2795"/>
      <c r="PAY36" s="2795"/>
      <c r="PAZ36" s="2795"/>
      <c r="PBA36" s="2795"/>
      <c r="PBB36" s="2795"/>
      <c r="PBC36" s="2795"/>
      <c r="PBD36" s="2795"/>
      <c r="PBE36" s="2795"/>
      <c r="PBF36" s="2795"/>
      <c r="PBG36" s="2795"/>
      <c r="PBH36" s="2795"/>
      <c r="PBI36" s="2795"/>
      <c r="PBJ36" s="2795"/>
      <c r="PBK36" s="2795"/>
      <c r="PBL36" s="2795"/>
      <c r="PBM36" s="2795"/>
      <c r="PBN36" s="2795"/>
      <c r="PBO36" s="2795"/>
      <c r="PBP36" s="2795"/>
      <c r="PBQ36" s="2795"/>
      <c r="PBR36" s="2795"/>
      <c r="PBS36" s="2795"/>
      <c r="PBT36" s="2795"/>
      <c r="PBU36" s="2795"/>
      <c r="PBV36" s="2795"/>
      <c r="PBW36" s="2795"/>
      <c r="PBX36" s="2795"/>
      <c r="PBY36" s="2795"/>
      <c r="PBZ36" s="2795"/>
      <c r="PCA36" s="2795"/>
      <c r="PCB36" s="2795"/>
      <c r="PCC36" s="2795"/>
      <c r="PCD36" s="2795"/>
      <c r="PCE36" s="2795"/>
      <c r="PCF36" s="2795"/>
      <c r="PCG36" s="2795"/>
      <c r="PCH36" s="2795"/>
      <c r="PCI36" s="2795"/>
      <c r="PCJ36" s="2795"/>
      <c r="PCK36" s="2795"/>
      <c r="PCL36" s="2795"/>
      <c r="PCM36" s="2795"/>
      <c r="PCN36" s="2795"/>
      <c r="PCO36" s="2795"/>
      <c r="PCP36" s="2795"/>
      <c r="PCQ36" s="2795"/>
      <c r="PCR36" s="2795"/>
      <c r="PCS36" s="2795"/>
      <c r="PCT36" s="2795"/>
      <c r="PCU36" s="2795"/>
      <c r="PCV36" s="2795"/>
      <c r="PCW36" s="2795"/>
      <c r="PCX36" s="2795"/>
      <c r="PCY36" s="2795"/>
      <c r="PCZ36" s="2795"/>
      <c r="PDA36" s="2795"/>
      <c r="PDB36" s="2795"/>
      <c r="PDC36" s="2795"/>
      <c r="PDD36" s="2795"/>
      <c r="PDE36" s="2795"/>
      <c r="PDF36" s="2795"/>
      <c r="PDG36" s="2795"/>
      <c r="PDH36" s="2795"/>
      <c r="PDI36" s="2795"/>
      <c r="PDJ36" s="2795"/>
      <c r="PDK36" s="2795"/>
      <c r="PDL36" s="2795"/>
      <c r="PDM36" s="2795"/>
      <c r="PDN36" s="2795"/>
      <c r="PDO36" s="2795"/>
      <c r="PDP36" s="2795"/>
      <c r="PDQ36" s="2795"/>
      <c r="PDR36" s="2795"/>
      <c r="PDS36" s="2795"/>
      <c r="PDT36" s="2795"/>
      <c r="PDU36" s="2795"/>
      <c r="PDV36" s="2795"/>
      <c r="PDW36" s="2795"/>
      <c r="PDX36" s="2795"/>
      <c r="PDY36" s="2795"/>
      <c r="PDZ36" s="2795"/>
      <c r="PEA36" s="2795"/>
      <c r="PEB36" s="2795"/>
      <c r="PEC36" s="2795"/>
      <c r="PED36" s="2795"/>
      <c r="PEE36" s="2795"/>
      <c r="PEF36" s="2795"/>
      <c r="PEG36" s="2795"/>
      <c r="PEH36" s="2795"/>
      <c r="PEI36" s="2795"/>
      <c r="PEJ36" s="2795"/>
      <c r="PEK36" s="2795"/>
      <c r="PEL36" s="2795"/>
      <c r="PEM36" s="2795"/>
      <c r="PEN36" s="2795"/>
      <c r="PEO36" s="2795"/>
      <c r="PEP36" s="2795"/>
      <c r="PEQ36" s="2795"/>
      <c r="PER36" s="2795"/>
      <c r="PES36" s="2795"/>
      <c r="PET36" s="2795"/>
      <c r="PEU36" s="2795"/>
      <c r="PEV36" s="2795"/>
      <c r="PEW36" s="2795"/>
      <c r="PEX36" s="2795"/>
      <c r="PEY36" s="2795"/>
      <c r="PEZ36" s="2795"/>
      <c r="PFA36" s="2795"/>
      <c r="PFB36" s="2795"/>
      <c r="PFC36" s="2795"/>
      <c r="PFD36" s="2795"/>
      <c r="PFE36" s="2795"/>
      <c r="PFF36" s="2795"/>
      <c r="PFG36" s="2795"/>
      <c r="PFH36" s="2795"/>
      <c r="PFI36" s="2795"/>
      <c r="PFJ36" s="2795"/>
      <c r="PFK36" s="2795"/>
      <c r="PFL36" s="2795"/>
      <c r="PFM36" s="2795"/>
      <c r="PFN36" s="2795"/>
      <c r="PFO36" s="2795"/>
      <c r="PFP36" s="2795"/>
      <c r="PFQ36" s="2795"/>
      <c r="PFR36" s="2795"/>
      <c r="PFS36" s="2795"/>
      <c r="PFT36" s="2795"/>
      <c r="PFU36" s="2795"/>
      <c r="PFV36" s="2795"/>
      <c r="PFW36" s="2795"/>
      <c r="PFX36" s="2795"/>
      <c r="PFY36" s="2795"/>
      <c r="PFZ36" s="2795"/>
      <c r="PGA36" s="2795"/>
      <c r="PGB36" s="2795"/>
      <c r="PGC36" s="2795"/>
      <c r="PGD36" s="2795"/>
      <c r="PGE36" s="2795"/>
      <c r="PGF36" s="2795"/>
      <c r="PGG36" s="2795"/>
      <c r="PGH36" s="2795"/>
      <c r="PGI36" s="2795"/>
      <c r="PGJ36" s="2795"/>
      <c r="PGK36" s="2795"/>
      <c r="PGL36" s="2795"/>
      <c r="PGM36" s="2795"/>
      <c r="PGN36" s="2795"/>
      <c r="PGO36" s="2795"/>
      <c r="PGP36" s="2795"/>
      <c r="PGQ36" s="2795"/>
      <c r="PGR36" s="2795"/>
      <c r="PGS36" s="2795"/>
      <c r="PGT36" s="2795"/>
      <c r="PGU36" s="2795"/>
      <c r="PGV36" s="2795"/>
      <c r="PGW36" s="2795"/>
      <c r="PGX36" s="2795"/>
      <c r="PGY36" s="2795"/>
      <c r="PGZ36" s="2795"/>
      <c r="PHA36" s="2795"/>
      <c r="PHB36" s="2795"/>
      <c r="PHC36" s="2795"/>
      <c r="PHD36" s="2795"/>
      <c r="PHE36" s="2795"/>
      <c r="PHF36" s="2795"/>
      <c r="PHG36" s="2795"/>
      <c r="PHH36" s="2795"/>
      <c r="PHI36" s="2795"/>
      <c r="PHJ36" s="2795"/>
      <c r="PHK36" s="2795"/>
      <c r="PHL36" s="2795"/>
      <c r="PHM36" s="2795"/>
      <c r="PHN36" s="2795"/>
      <c r="PHO36" s="2795"/>
      <c r="PHP36" s="2795"/>
      <c r="PHQ36" s="2795"/>
      <c r="PHR36" s="2795"/>
      <c r="PHS36" s="2795"/>
      <c r="PHT36" s="2795"/>
      <c r="PHU36" s="2795"/>
      <c r="PHV36" s="2795"/>
      <c r="PHW36" s="2795"/>
      <c r="PHX36" s="2795"/>
      <c r="PHY36" s="2795"/>
      <c r="PHZ36" s="2795"/>
      <c r="PIA36" s="2795"/>
      <c r="PIB36" s="2795"/>
      <c r="PIC36" s="2795"/>
      <c r="PID36" s="2795"/>
      <c r="PIE36" s="2795"/>
      <c r="PIF36" s="2795"/>
      <c r="PIG36" s="2795"/>
      <c r="PIH36" s="2795"/>
      <c r="PII36" s="2795"/>
      <c r="PIJ36" s="2795"/>
      <c r="PIK36" s="2795"/>
      <c r="PIL36" s="2795"/>
      <c r="PIM36" s="2795"/>
      <c r="PIN36" s="2795"/>
      <c r="PIO36" s="2795"/>
      <c r="PIP36" s="2795"/>
      <c r="PIQ36" s="2795"/>
      <c r="PIR36" s="2795"/>
      <c r="PIS36" s="2795"/>
      <c r="PIT36" s="2795"/>
      <c r="PIU36" s="2795"/>
      <c r="PIV36" s="2795"/>
      <c r="PIW36" s="2795"/>
      <c r="PIX36" s="2795"/>
      <c r="PIY36" s="2795"/>
      <c r="PIZ36" s="2795"/>
      <c r="PJA36" s="2795"/>
      <c r="PJB36" s="2795"/>
      <c r="PJC36" s="2795"/>
      <c r="PJD36" s="2795"/>
      <c r="PJE36" s="2795"/>
      <c r="PJF36" s="2795"/>
      <c r="PJG36" s="2795"/>
      <c r="PJH36" s="2795"/>
      <c r="PJI36" s="2795"/>
      <c r="PJJ36" s="2795"/>
      <c r="PJK36" s="2795"/>
      <c r="PJL36" s="2795"/>
      <c r="PJM36" s="2795"/>
      <c r="PJN36" s="2795"/>
      <c r="PJO36" s="2795"/>
      <c r="PJP36" s="2795"/>
      <c r="PJQ36" s="2795"/>
      <c r="PJR36" s="2795"/>
      <c r="PJS36" s="2795"/>
      <c r="PJT36" s="2795"/>
      <c r="PJU36" s="2795"/>
      <c r="PJV36" s="2795"/>
      <c r="PJW36" s="2795"/>
      <c r="PJX36" s="2795"/>
      <c r="PJY36" s="2795"/>
      <c r="PJZ36" s="2795"/>
      <c r="PKA36" s="2795"/>
      <c r="PKB36" s="2795"/>
      <c r="PKC36" s="2795"/>
      <c r="PKD36" s="2795"/>
      <c r="PKE36" s="2795"/>
      <c r="PKF36" s="2795"/>
      <c r="PKG36" s="2795"/>
      <c r="PKH36" s="2795"/>
      <c r="PKI36" s="2795"/>
      <c r="PKJ36" s="2795"/>
      <c r="PKK36" s="2795"/>
      <c r="PKL36" s="2795"/>
      <c r="PKM36" s="2795"/>
      <c r="PKN36" s="2795"/>
      <c r="PKO36" s="2795"/>
      <c r="PKP36" s="2795"/>
      <c r="PKQ36" s="2795"/>
      <c r="PKR36" s="2795"/>
      <c r="PKS36" s="2795"/>
      <c r="PKT36" s="2795"/>
      <c r="PKU36" s="2795"/>
      <c r="PKV36" s="2795"/>
      <c r="PKW36" s="2795"/>
      <c r="PKX36" s="2795"/>
      <c r="PKY36" s="2795"/>
      <c r="PKZ36" s="2795"/>
      <c r="PLA36" s="2795"/>
      <c r="PLB36" s="2795"/>
      <c r="PLC36" s="2795"/>
      <c r="PLD36" s="2795"/>
      <c r="PLE36" s="2795"/>
      <c r="PLF36" s="2795"/>
      <c r="PLG36" s="2795"/>
      <c r="PLH36" s="2795"/>
      <c r="PLI36" s="2795"/>
      <c r="PLJ36" s="2795"/>
      <c r="PLK36" s="2795"/>
      <c r="PLL36" s="2795"/>
      <c r="PLM36" s="2795"/>
      <c r="PLN36" s="2795"/>
      <c r="PLO36" s="2795"/>
      <c r="PLP36" s="2795"/>
      <c r="PLQ36" s="2795"/>
      <c r="PLR36" s="2795"/>
      <c r="PLS36" s="2795"/>
      <c r="PLT36" s="2795"/>
      <c r="PLU36" s="2795"/>
      <c r="PLV36" s="2795"/>
      <c r="PLW36" s="2795"/>
      <c r="PLX36" s="2795"/>
      <c r="PLY36" s="2795"/>
      <c r="PLZ36" s="2795"/>
      <c r="PMA36" s="2795"/>
      <c r="PMB36" s="2795"/>
      <c r="PMC36" s="2795"/>
      <c r="PMD36" s="2795"/>
      <c r="PME36" s="2795"/>
      <c r="PMF36" s="2795"/>
      <c r="PMG36" s="2795"/>
      <c r="PMH36" s="2795"/>
      <c r="PMI36" s="2795"/>
      <c r="PMJ36" s="2795"/>
      <c r="PMK36" s="2795"/>
      <c r="PML36" s="2795"/>
      <c r="PMM36" s="2795"/>
      <c r="PMN36" s="2795"/>
      <c r="PMO36" s="2795"/>
      <c r="PMP36" s="2795"/>
      <c r="PMQ36" s="2795"/>
      <c r="PMR36" s="2795"/>
      <c r="PMS36" s="2795"/>
      <c r="PMT36" s="2795"/>
      <c r="PMU36" s="2795"/>
      <c r="PMV36" s="2795"/>
      <c r="PMW36" s="2795"/>
      <c r="PMX36" s="2795"/>
      <c r="PMY36" s="2795"/>
      <c r="PMZ36" s="2795"/>
      <c r="PNA36" s="2795"/>
      <c r="PNB36" s="2795"/>
      <c r="PNC36" s="2795"/>
      <c r="PND36" s="2795"/>
      <c r="PNE36" s="2795"/>
      <c r="PNF36" s="2795"/>
      <c r="PNG36" s="2795"/>
      <c r="PNH36" s="2795"/>
      <c r="PNI36" s="2795"/>
      <c r="PNJ36" s="2795"/>
      <c r="PNK36" s="2795"/>
      <c r="PNL36" s="2795"/>
      <c r="PNM36" s="2795"/>
      <c r="PNN36" s="2795"/>
      <c r="PNO36" s="2795"/>
      <c r="PNP36" s="2795"/>
      <c r="PNQ36" s="2795"/>
      <c r="PNR36" s="2795"/>
      <c r="PNS36" s="2795"/>
      <c r="PNT36" s="2795"/>
      <c r="PNU36" s="2795"/>
      <c r="PNV36" s="2795"/>
      <c r="PNW36" s="2795"/>
      <c r="PNX36" s="2795"/>
      <c r="PNY36" s="2795"/>
      <c r="PNZ36" s="2795"/>
      <c r="POA36" s="2795"/>
      <c r="POB36" s="2795"/>
      <c r="POC36" s="2795"/>
      <c r="POD36" s="2795"/>
      <c r="POE36" s="2795"/>
      <c r="POF36" s="2795"/>
      <c r="POG36" s="2795"/>
      <c r="POH36" s="2795"/>
      <c r="POI36" s="2795"/>
      <c r="POJ36" s="2795"/>
      <c r="POK36" s="2795"/>
      <c r="POL36" s="2795"/>
      <c r="POM36" s="2795"/>
      <c r="PON36" s="2795"/>
      <c r="POO36" s="2795"/>
      <c r="POP36" s="2795"/>
      <c r="POQ36" s="2795"/>
      <c r="POR36" s="2795"/>
      <c r="POS36" s="2795"/>
      <c r="POT36" s="2795"/>
      <c r="POU36" s="2795"/>
      <c r="POV36" s="2795"/>
      <c r="POW36" s="2795"/>
      <c r="POX36" s="2795"/>
      <c r="POY36" s="2795"/>
      <c r="POZ36" s="2795"/>
      <c r="PPA36" s="2795"/>
      <c r="PPB36" s="2795"/>
      <c r="PPC36" s="2795"/>
      <c r="PPD36" s="2795"/>
      <c r="PPE36" s="2795"/>
      <c r="PPF36" s="2795"/>
      <c r="PPG36" s="2795"/>
      <c r="PPH36" s="2795"/>
      <c r="PPI36" s="2795"/>
      <c r="PPJ36" s="2795"/>
      <c r="PPK36" s="2795"/>
      <c r="PPL36" s="2795"/>
      <c r="PPM36" s="2795"/>
      <c r="PPN36" s="2795"/>
      <c r="PPO36" s="2795"/>
      <c r="PPP36" s="2795"/>
      <c r="PPQ36" s="2795"/>
      <c r="PPR36" s="2795"/>
      <c r="PPS36" s="2795"/>
      <c r="PPT36" s="2795"/>
      <c r="PPU36" s="2795"/>
      <c r="PPV36" s="2795"/>
      <c r="PPW36" s="2795"/>
      <c r="PPX36" s="2795"/>
      <c r="PPY36" s="2795"/>
      <c r="PPZ36" s="2795"/>
      <c r="PQA36" s="2795"/>
      <c r="PQB36" s="2795"/>
      <c r="PQC36" s="2795"/>
      <c r="PQD36" s="2795"/>
      <c r="PQE36" s="2795"/>
      <c r="PQF36" s="2795"/>
      <c r="PQG36" s="2795"/>
      <c r="PQH36" s="2795"/>
      <c r="PQI36" s="2795"/>
      <c r="PQJ36" s="2795"/>
      <c r="PQK36" s="2795"/>
      <c r="PQL36" s="2795"/>
      <c r="PQM36" s="2795"/>
      <c r="PQN36" s="2795"/>
      <c r="PQO36" s="2795"/>
      <c r="PQP36" s="2795"/>
      <c r="PQQ36" s="2795"/>
      <c r="PQR36" s="2795"/>
      <c r="PQS36" s="2795"/>
      <c r="PQT36" s="2795"/>
      <c r="PQU36" s="2795"/>
      <c r="PQV36" s="2795"/>
      <c r="PQW36" s="2795"/>
      <c r="PQX36" s="2795"/>
      <c r="PQY36" s="2795"/>
      <c r="PQZ36" s="2795"/>
      <c r="PRA36" s="2795"/>
      <c r="PRB36" s="2795"/>
      <c r="PRC36" s="2795"/>
      <c r="PRD36" s="2795"/>
      <c r="PRE36" s="2795"/>
      <c r="PRF36" s="2795"/>
      <c r="PRG36" s="2795"/>
      <c r="PRH36" s="2795"/>
      <c r="PRI36" s="2795"/>
      <c r="PRJ36" s="2795"/>
      <c r="PRK36" s="2795"/>
      <c r="PRL36" s="2795"/>
      <c r="PRM36" s="2795"/>
      <c r="PRN36" s="2795"/>
      <c r="PRO36" s="2795"/>
      <c r="PRP36" s="2795"/>
      <c r="PRQ36" s="2795"/>
      <c r="PRR36" s="2795"/>
      <c r="PRS36" s="2795"/>
      <c r="PRT36" s="2795"/>
      <c r="PRU36" s="2795"/>
      <c r="PRV36" s="2795"/>
      <c r="PRW36" s="2795"/>
      <c r="PRX36" s="2795"/>
      <c r="PRY36" s="2795"/>
      <c r="PRZ36" s="2795"/>
      <c r="PSA36" s="2795"/>
      <c r="PSB36" s="2795"/>
      <c r="PSC36" s="2795"/>
      <c r="PSD36" s="2795"/>
      <c r="PSE36" s="2795"/>
      <c r="PSF36" s="2795"/>
      <c r="PSG36" s="2795"/>
      <c r="PSH36" s="2795"/>
      <c r="PSI36" s="2795"/>
      <c r="PSJ36" s="2795"/>
      <c r="PSK36" s="2795"/>
      <c r="PSL36" s="2795"/>
      <c r="PSM36" s="2795"/>
      <c r="PSN36" s="2795"/>
      <c r="PSO36" s="2795"/>
      <c r="PSP36" s="2795"/>
      <c r="PSQ36" s="2795"/>
      <c r="PSR36" s="2795"/>
      <c r="PSS36" s="2795"/>
      <c r="PST36" s="2795"/>
      <c r="PSU36" s="2795"/>
      <c r="PSV36" s="2795"/>
      <c r="PSW36" s="2795"/>
      <c r="PSX36" s="2795"/>
      <c r="PSY36" s="2795"/>
      <c r="PSZ36" s="2795"/>
      <c r="PTA36" s="2795"/>
      <c r="PTB36" s="2795"/>
      <c r="PTC36" s="2795"/>
      <c r="PTD36" s="2795"/>
      <c r="PTE36" s="2795"/>
      <c r="PTF36" s="2795"/>
      <c r="PTG36" s="2795"/>
      <c r="PTH36" s="2795"/>
      <c r="PTI36" s="2795"/>
      <c r="PTJ36" s="2795"/>
      <c r="PTK36" s="2795"/>
      <c r="PTL36" s="2795"/>
      <c r="PTM36" s="2795"/>
      <c r="PTN36" s="2795"/>
      <c r="PTO36" s="2795"/>
      <c r="PTP36" s="2795"/>
      <c r="PTQ36" s="2795"/>
      <c r="PTR36" s="2795"/>
      <c r="PTS36" s="2795"/>
      <c r="PTT36" s="2795"/>
      <c r="PTU36" s="2795"/>
      <c r="PTV36" s="2795"/>
      <c r="PTW36" s="2795"/>
      <c r="PTX36" s="2795"/>
      <c r="PTY36" s="2795"/>
      <c r="PTZ36" s="2795"/>
      <c r="PUA36" s="2795"/>
      <c r="PUB36" s="2795"/>
      <c r="PUC36" s="2795"/>
      <c r="PUD36" s="2795"/>
      <c r="PUE36" s="2795"/>
      <c r="PUF36" s="2795"/>
      <c r="PUG36" s="2795"/>
      <c r="PUH36" s="2795"/>
      <c r="PUI36" s="2795"/>
      <c r="PUJ36" s="2795"/>
      <c r="PUK36" s="2795"/>
      <c r="PUL36" s="2795"/>
      <c r="PUM36" s="2795"/>
      <c r="PUN36" s="2795"/>
      <c r="PUO36" s="2795"/>
      <c r="PUP36" s="2795"/>
      <c r="PUQ36" s="2795"/>
      <c r="PUR36" s="2795"/>
      <c r="PUS36" s="2795"/>
      <c r="PUT36" s="2795"/>
      <c r="PUU36" s="2795"/>
      <c r="PUV36" s="2795"/>
      <c r="PUW36" s="2795"/>
      <c r="PUX36" s="2795"/>
      <c r="PUY36" s="2795"/>
      <c r="PUZ36" s="2795"/>
      <c r="PVA36" s="2795"/>
      <c r="PVB36" s="2795"/>
      <c r="PVC36" s="2795"/>
      <c r="PVD36" s="2795"/>
      <c r="PVE36" s="2795"/>
      <c r="PVF36" s="2795"/>
      <c r="PVG36" s="2795"/>
      <c r="PVH36" s="2795"/>
      <c r="PVI36" s="2795"/>
      <c r="PVJ36" s="2795"/>
      <c r="PVK36" s="2795"/>
      <c r="PVL36" s="2795"/>
      <c r="PVM36" s="2795"/>
      <c r="PVN36" s="2795"/>
      <c r="PVO36" s="2795"/>
      <c r="PVP36" s="2795"/>
      <c r="PVQ36" s="2795"/>
      <c r="PVR36" s="2795"/>
      <c r="PVS36" s="2795"/>
      <c r="PVT36" s="2795"/>
      <c r="PVU36" s="2795"/>
      <c r="PVV36" s="2795"/>
      <c r="PVW36" s="2795"/>
      <c r="PVX36" s="2795"/>
      <c r="PVY36" s="2795"/>
      <c r="PVZ36" s="2795"/>
      <c r="PWA36" s="2795"/>
      <c r="PWB36" s="2795"/>
      <c r="PWC36" s="2795"/>
      <c r="PWD36" s="2795"/>
      <c r="PWE36" s="2795"/>
      <c r="PWF36" s="2795"/>
      <c r="PWG36" s="2795"/>
      <c r="PWH36" s="2795"/>
      <c r="PWI36" s="2795"/>
      <c r="PWJ36" s="2795"/>
      <c r="PWK36" s="2795"/>
      <c r="PWL36" s="2795"/>
      <c r="PWM36" s="2795"/>
      <c r="PWN36" s="2795"/>
      <c r="PWO36" s="2795"/>
      <c r="PWP36" s="2795"/>
      <c r="PWQ36" s="2795"/>
      <c r="PWR36" s="2795"/>
      <c r="PWS36" s="2795"/>
      <c r="PWT36" s="2795"/>
      <c r="PWU36" s="2795"/>
      <c r="PWV36" s="2795"/>
      <c r="PWW36" s="2795"/>
      <c r="PWX36" s="2795"/>
      <c r="PWY36" s="2795"/>
      <c r="PWZ36" s="2795"/>
      <c r="PXA36" s="2795"/>
      <c r="PXB36" s="2795"/>
      <c r="PXC36" s="2795"/>
      <c r="PXD36" s="2795"/>
      <c r="PXE36" s="2795"/>
      <c r="PXF36" s="2795"/>
      <c r="PXG36" s="2795"/>
      <c r="PXH36" s="2795"/>
      <c r="PXI36" s="2795"/>
      <c r="PXJ36" s="2795"/>
      <c r="PXK36" s="2795"/>
      <c r="PXL36" s="2795"/>
      <c r="PXM36" s="2795"/>
      <c r="PXN36" s="2795"/>
      <c r="PXO36" s="2795"/>
      <c r="PXP36" s="2795"/>
      <c r="PXQ36" s="2795"/>
      <c r="PXR36" s="2795"/>
      <c r="PXS36" s="2795"/>
      <c r="PXT36" s="2795"/>
      <c r="PXU36" s="2795"/>
      <c r="PXV36" s="2795"/>
      <c r="PXW36" s="2795"/>
      <c r="PXX36" s="2795"/>
      <c r="PXY36" s="2795"/>
      <c r="PXZ36" s="2795"/>
      <c r="PYA36" s="2795"/>
      <c r="PYB36" s="2795"/>
      <c r="PYC36" s="2795"/>
      <c r="PYD36" s="2795"/>
      <c r="PYE36" s="2795"/>
      <c r="PYF36" s="2795"/>
      <c r="PYG36" s="2795"/>
      <c r="PYH36" s="2795"/>
      <c r="PYI36" s="2795"/>
      <c r="PYJ36" s="2795"/>
      <c r="PYK36" s="2795"/>
      <c r="PYL36" s="2795"/>
      <c r="PYM36" s="2795"/>
      <c r="PYN36" s="2795"/>
      <c r="PYO36" s="2795"/>
      <c r="PYP36" s="2795"/>
      <c r="PYQ36" s="2795"/>
      <c r="PYR36" s="2795"/>
      <c r="PYS36" s="2795"/>
      <c r="PYT36" s="2795"/>
      <c r="PYU36" s="2795"/>
      <c r="PYV36" s="2795"/>
      <c r="PYW36" s="2795"/>
      <c r="PYX36" s="2795"/>
      <c r="PYY36" s="2795"/>
      <c r="PYZ36" s="2795"/>
      <c r="PZA36" s="2795"/>
      <c r="PZB36" s="2795"/>
      <c r="PZC36" s="2795"/>
      <c r="PZD36" s="2795"/>
      <c r="PZE36" s="2795"/>
      <c r="PZF36" s="2795"/>
      <c r="PZG36" s="2795"/>
      <c r="PZH36" s="2795"/>
      <c r="PZI36" s="2795"/>
      <c r="PZJ36" s="2795"/>
      <c r="PZK36" s="2795"/>
      <c r="PZL36" s="2795"/>
      <c r="PZM36" s="2795"/>
      <c r="PZN36" s="2795"/>
      <c r="PZO36" s="2795"/>
      <c r="PZP36" s="2795"/>
      <c r="PZQ36" s="2795"/>
      <c r="PZR36" s="2795"/>
      <c r="PZS36" s="2795"/>
      <c r="PZT36" s="2795"/>
      <c r="PZU36" s="2795"/>
      <c r="PZV36" s="2795"/>
      <c r="PZW36" s="2795"/>
      <c r="PZX36" s="2795"/>
      <c r="PZY36" s="2795"/>
      <c r="PZZ36" s="2795"/>
      <c r="QAA36" s="2795"/>
      <c r="QAB36" s="2795"/>
      <c r="QAC36" s="2795"/>
      <c r="QAD36" s="2795"/>
      <c r="QAE36" s="2795"/>
      <c r="QAF36" s="2795"/>
      <c r="QAG36" s="2795"/>
      <c r="QAH36" s="2795"/>
      <c r="QAI36" s="2795"/>
      <c r="QAJ36" s="2795"/>
      <c r="QAK36" s="2795"/>
      <c r="QAL36" s="2795"/>
      <c r="QAM36" s="2795"/>
      <c r="QAN36" s="2795"/>
      <c r="QAO36" s="2795"/>
      <c r="QAP36" s="2795"/>
      <c r="QAQ36" s="2795"/>
      <c r="QAR36" s="2795"/>
      <c r="QAS36" s="2795"/>
      <c r="QAT36" s="2795"/>
      <c r="QAU36" s="2795"/>
      <c r="QAV36" s="2795"/>
      <c r="QAW36" s="2795"/>
      <c r="QAX36" s="2795"/>
      <c r="QAY36" s="2795"/>
      <c r="QAZ36" s="2795"/>
      <c r="QBA36" s="2795"/>
      <c r="QBB36" s="2795"/>
      <c r="QBC36" s="2795"/>
      <c r="QBD36" s="2795"/>
      <c r="QBE36" s="2795"/>
      <c r="QBF36" s="2795"/>
      <c r="QBG36" s="2795"/>
      <c r="QBH36" s="2795"/>
      <c r="QBI36" s="2795"/>
      <c r="QBJ36" s="2795"/>
      <c r="QBK36" s="2795"/>
      <c r="QBL36" s="2795"/>
      <c r="QBM36" s="2795"/>
      <c r="QBN36" s="2795"/>
      <c r="QBO36" s="2795"/>
      <c r="QBP36" s="2795"/>
      <c r="QBQ36" s="2795"/>
      <c r="QBR36" s="2795"/>
      <c r="QBS36" s="2795"/>
      <c r="QBT36" s="2795"/>
      <c r="QBU36" s="2795"/>
      <c r="QBV36" s="2795"/>
      <c r="QBW36" s="2795"/>
      <c r="QBX36" s="2795"/>
      <c r="QBY36" s="2795"/>
      <c r="QBZ36" s="2795"/>
      <c r="QCA36" s="2795"/>
      <c r="QCB36" s="2795"/>
      <c r="QCC36" s="2795"/>
      <c r="QCD36" s="2795"/>
      <c r="QCE36" s="2795"/>
      <c r="QCF36" s="2795"/>
      <c r="QCG36" s="2795"/>
      <c r="QCH36" s="2795"/>
      <c r="QCI36" s="2795"/>
      <c r="QCJ36" s="2795"/>
      <c r="QCK36" s="2795"/>
      <c r="QCL36" s="2795"/>
      <c r="QCM36" s="2795"/>
      <c r="QCN36" s="2795"/>
      <c r="QCO36" s="2795"/>
      <c r="QCP36" s="2795"/>
      <c r="QCQ36" s="2795"/>
      <c r="QCR36" s="2795"/>
      <c r="QCS36" s="2795"/>
      <c r="QCT36" s="2795"/>
      <c r="QCU36" s="2795"/>
      <c r="QCV36" s="2795"/>
      <c r="QCW36" s="2795"/>
      <c r="QCX36" s="2795"/>
      <c r="QCY36" s="2795"/>
      <c r="QCZ36" s="2795"/>
      <c r="QDA36" s="2795"/>
      <c r="QDB36" s="2795"/>
      <c r="QDC36" s="2795"/>
      <c r="QDD36" s="2795"/>
      <c r="QDE36" s="2795"/>
      <c r="QDF36" s="2795"/>
      <c r="QDG36" s="2795"/>
      <c r="QDH36" s="2795"/>
      <c r="QDI36" s="2795"/>
      <c r="QDJ36" s="2795"/>
      <c r="QDK36" s="2795"/>
      <c r="QDL36" s="2795"/>
      <c r="QDM36" s="2795"/>
      <c r="QDN36" s="2795"/>
      <c r="QDO36" s="2795"/>
      <c r="QDP36" s="2795"/>
      <c r="QDQ36" s="2795"/>
      <c r="QDR36" s="2795"/>
      <c r="QDS36" s="2795"/>
      <c r="QDT36" s="2795"/>
      <c r="QDU36" s="2795"/>
      <c r="QDV36" s="2795"/>
      <c r="QDW36" s="2795"/>
      <c r="QDX36" s="2795"/>
      <c r="QDY36" s="2795"/>
      <c r="QDZ36" s="2795"/>
      <c r="QEA36" s="2795"/>
      <c r="QEB36" s="2795"/>
      <c r="QEC36" s="2795"/>
      <c r="QED36" s="2795"/>
      <c r="QEE36" s="2795"/>
      <c r="QEF36" s="2795"/>
      <c r="QEG36" s="2795"/>
      <c r="QEH36" s="2795"/>
      <c r="QEI36" s="2795"/>
      <c r="QEJ36" s="2795"/>
      <c r="QEK36" s="2795"/>
      <c r="QEL36" s="2795"/>
      <c r="QEM36" s="2795"/>
      <c r="QEN36" s="2795"/>
      <c r="QEO36" s="2795"/>
      <c r="QEP36" s="2795"/>
      <c r="QEQ36" s="2795"/>
      <c r="QER36" s="2795"/>
      <c r="QES36" s="2795"/>
      <c r="QET36" s="2795"/>
      <c r="QEU36" s="2795"/>
      <c r="QEV36" s="2795"/>
      <c r="QEW36" s="2795"/>
      <c r="QEX36" s="2795"/>
      <c r="QEY36" s="2795"/>
      <c r="QEZ36" s="2795"/>
      <c r="QFA36" s="2795"/>
      <c r="QFB36" s="2795"/>
      <c r="QFC36" s="2795"/>
      <c r="QFD36" s="2795"/>
      <c r="QFE36" s="2795"/>
      <c r="QFF36" s="2795"/>
      <c r="QFG36" s="2795"/>
      <c r="QFH36" s="2795"/>
      <c r="QFI36" s="2795"/>
      <c r="QFJ36" s="2795"/>
      <c r="QFK36" s="2795"/>
      <c r="QFL36" s="2795"/>
      <c r="QFM36" s="2795"/>
      <c r="QFN36" s="2795"/>
      <c r="QFO36" s="2795"/>
      <c r="QFP36" s="2795"/>
      <c r="QFQ36" s="2795"/>
      <c r="QFR36" s="2795"/>
      <c r="QFS36" s="2795"/>
      <c r="QFT36" s="2795"/>
      <c r="QFU36" s="2795"/>
      <c r="QFV36" s="2795"/>
      <c r="QFW36" s="2795"/>
      <c r="QFX36" s="2795"/>
      <c r="QFY36" s="2795"/>
      <c r="QFZ36" s="2795"/>
      <c r="QGA36" s="2795"/>
      <c r="QGB36" s="2795"/>
      <c r="QGC36" s="2795"/>
      <c r="QGD36" s="2795"/>
      <c r="QGE36" s="2795"/>
      <c r="QGF36" s="2795"/>
      <c r="QGG36" s="2795"/>
      <c r="QGH36" s="2795"/>
      <c r="QGI36" s="2795"/>
      <c r="QGJ36" s="2795"/>
      <c r="QGK36" s="2795"/>
      <c r="QGL36" s="2795"/>
      <c r="QGM36" s="2795"/>
      <c r="QGN36" s="2795"/>
      <c r="QGO36" s="2795"/>
      <c r="QGP36" s="2795"/>
      <c r="QGQ36" s="2795"/>
      <c r="QGR36" s="2795"/>
      <c r="QGS36" s="2795"/>
      <c r="QGT36" s="2795"/>
      <c r="QGU36" s="2795"/>
      <c r="QGV36" s="2795"/>
      <c r="QGW36" s="2795"/>
      <c r="QGX36" s="2795"/>
      <c r="QGY36" s="2795"/>
      <c r="QGZ36" s="2795"/>
      <c r="QHA36" s="2795"/>
      <c r="QHB36" s="2795"/>
      <c r="QHC36" s="2795"/>
      <c r="QHD36" s="2795"/>
      <c r="QHE36" s="2795"/>
      <c r="QHF36" s="2795"/>
      <c r="QHG36" s="2795"/>
      <c r="QHH36" s="2795"/>
      <c r="QHI36" s="2795"/>
      <c r="QHJ36" s="2795"/>
      <c r="QHK36" s="2795"/>
      <c r="QHL36" s="2795"/>
      <c r="QHM36" s="2795"/>
      <c r="QHN36" s="2795"/>
      <c r="QHO36" s="2795"/>
      <c r="QHP36" s="2795"/>
      <c r="QHQ36" s="2795"/>
      <c r="QHR36" s="2795"/>
      <c r="QHS36" s="2795"/>
      <c r="QHT36" s="2795"/>
      <c r="QHU36" s="2795"/>
      <c r="QHV36" s="2795"/>
      <c r="QHW36" s="2795"/>
      <c r="QHX36" s="2795"/>
      <c r="QHY36" s="2795"/>
      <c r="QHZ36" s="2795"/>
      <c r="QIA36" s="2795"/>
      <c r="QIB36" s="2795"/>
      <c r="QIC36" s="2795"/>
      <c r="QID36" s="2795"/>
      <c r="QIE36" s="2795"/>
      <c r="QIF36" s="2795"/>
      <c r="QIG36" s="2795"/>
      <c r="QIH36" s="2795"/>
      <c r="QII36" s="2795"/>
      <c r="QIJ36" s="2795"/>
      <c r="QIK36" s="2795"/>
      <c r="QIL36" s="2795"/>
      <c r="QIM36" s="2795"/>
      <c r="QIN36" s="2795"/>
      <c r="QIO36" s="2795"/>
      <c r="QIP36" s="2795"/>
      <c r="QIQ36" s="2795"/>
      <c r="QIR36" s="2795"/>
      <c r="QIS36" s="2795"/>
      <c r="QIT36" s="2795"/>
      <c r="QIU36" s="2795"/>
      <c r="QIV36" s="2795"/>
      <c r="QIW36" s="2795"/>
      <c r="QIX36" s="2795"/>
      <c r="QIY36" s="2795"/>
      <c r="QIZ36" s="2795"/>
      <c r="QJA36" s="2795"/>
      <c r="QJB36" s="2795"/>
      <c r="QJC36" s="2795"/>
      <c r="QJD36" s="2795"/>
      <c r="QJE36" s="2795"/>
      <c r="QJF36" s="2795"/>
      <c r="QJG36" s="2795"/>
      <c r="QJH36" s="2795"/>
      <c r="QJI36" s="2795"/>
      <c r="QJJ36" s="2795"/>
      <c r="QJK36" s="2795"/>
      <c r="QJL36" s="2795"/>
      <c r="QJM36" s="2795"/>
      <c r="QJN36" s="2795"/>
      <c r="QJO36" s="2795"/>
      <c r="QJP36" s="2795"/>
      <c r="QJQ36" s="2795"/>
      <c r="QJR36" s="2795"/>
      <c r="QJS36" s="2795"/>
      <c r="QJT36" s="2795"/>
      <c r="QJU36" s="2795"/>
      <c r="QJV36" s="2795"/>
      <c r="QJW36" s="2795"/>
      <c r="QJX36" s="2795"/>
      <c r="QJY36" s="2795"/>
      <c r="QJZ36" s="2795"/>
      <c r="QKA36" s="2795"/>
      <c r="QKB36" s="2795"/>
      <c r="QKC36" s="2795"/>
      <c r="QKD36" s="2795"/>
      <c r="QKE36" s="2795"/>
      <c r="QKF36" s="2795"/>
      <c r="QKG36" s="2795"/>
      <c r="QKH36" s="2795"/>
      <c r="QKI36" s="2795"/>
      <c r="QKJ36" s="2795"/>
      <c r="QKK36" s="2795"/>
      <c r="QKL36" s="2795"/>
      <c r="QKM36" s="2795"/>
      <c r="QKN36" s="2795"/>
      <c r="QKO36" s="2795"/>
      <c r="QKP36" s="2795"/>
      <c r="QKQ36" s="2795"/>
      <c r="QKR36" s="2795"/>
      <c r="QKS36" s="2795"/>
      <c r="QKT36" s="2795"/>
      <c r="QKU36" s="2795"/>
      <c r="QKV36" s="2795"/>
      <c r="QKW36" s="2795"/>
      <c r="QKX36" s="2795"/>
      <c r="QKY36" s="2795"/>
      <c r="QKZ36" s="2795"/>
      <c r="QLA36" s="2795"/>
      <c r="QLB36" s="2795"/>
      <c r="QLC36" s="2795"/>
      <c r="QLD36" s="2795"/>
      <c r="QLE36" s="2795"/>
      <c r="QLF36" s="2795"/>
      <c r="QLG36" s="2795"/>
      <c r="QLH36" s="2795"/>
      <c r="QLI36" s="2795"/>
      <c r="QLJ36" s="2795"/>
      <c r="QLK36" s="2795"/>
      <c r="QLL36" s="2795"/>
      <c r="QLM36" s="2795"/>
      <c r="QLN36" s="2795"/>
      <c r="QLO36" s="2795"/>
      <c r="QLP36" s="2795"/>
      <c r="QLQ36" s="2795"/>
      <c r="QLR36" s="2795"/>
      <c r="QLS36" s="2795"/>
      <c r="QLT36" s="2795"/>
      <c r="QLU36" s="2795"/>
      <c r="QLV36" s="2795"/>
      <c r="QLW36" s="2795"/>
      <c r="QLX36" s="2795"/>
      <c r="QLY36" s="2795"/>
      <c r="QLZ36" s="2795"/>
      <c r="QMA36" s="2795"/>
      <c r="QMB36" s="2795"/>
      <c r="QMC36" s="2795"/>
      <c r="QMD36" s="2795"/>
      <c r="QME36" s="2795"/>
      <c r="QMF36" s="2795"/>
      <c r="QMG36" s="2795"/>
      <c r="QMH36" s="2795"/>
      <c r="QMI36" s="2795"/>
      <c r="QMJ36" s="2795"/>
      <c r="QMK36" s="2795"/>
      <c r="QML36" s="2795"/>
      <c r="QMM36" s="2795"/>
      <c r="QMN36" s="2795"/>
      <c r="QMO36" s="2795"/>
      <c r="QMP36" s="2795"/>
      <c r="QMQ36" s="2795"/>
      <c r="QMR36" s="2795"/>
      <c r="QMS36" s="2795"/>
      <c r="QMT36" s="2795"/>
      <c r="QMU36" s="2795"/>
      <c r="QMV36" s="2795"/>
      <c r="QMW36" s="2795"/>
      <c r="QMX36" s="2795"/>
      <c r="QMY36" s="2795"/>
      <c r="QMZ36" s="2795"/>
      <c r="QNA36" s="2795"/>
      <c r="QNB36" s="2795"/>
      <c r="QNC36" s="2795"/>
      <c r="QND36" s="2795"/>
      <c r="QNE36" s="2795"/>
      <c r="QNF36" s="2795"/>
      <c r="QNG36" s="2795"/>
      <c r="QNH36" s="2795"/>
      <c r="QNI36" s="2795"/>
      <c r="QNJ36" s="2795"/>
      <c r="QNK36" s="2795"/>
      <c r="QNL36" s="2795"/>
      <c r="QNM36" s="2795"/>
      <c r="QNN36" s="2795"/>
      <c r="QNO36" s="2795"/>
      <c r="QNP36" s="2795"/>
      <c r="QNQ36" s="2795"/>
      <c r="QNR36" s="2795"/>
      <c r="QNS36" s="2795"/>
      <c r="QNT36" s="2795"/>
      <c r="QNU36" s="2795"/>
      <c r="QNV36" s="2795"/>
      <c r="QNW36" s="2795"/>
      <c r="QNX36" s="2795"/>
      <c r="QNY36" s="2795"/>
      <c r="QNZ36" s="2795"/>
      <c r="QOA36" s="2795"/>
      <c r="QOB36" s="2795"/>
      <c r="QOC36" s="2795"/>
      <c r="QOD36" s="2795"/>
      <c r="QOE36" s="2795"/>
      <c r="QOF36" s="2795"/>
      <c r="QOG36" s="2795"/>
      <c r="QOH36" s="2795"/>
      <c r="QOI36" s="2795"/>
      <c r="QOJ36" s="2795"/>
      <c r="QOK36" s="2795"/>
      <c r="QOL36" s="2795"/>
      <c r="QOM36" s="2795"/>
      <c r="QON36" s="2795"/>
      <c r="QOO36" s="2795"/>
      <c r="QOP36" s="2795"/>
      <c r="QOQ36" s="2795"/>
      <c r="QOR36" s="2795"/>
      <c r="QOS36" s="2795"/>
      <c r="QOT36" s="2795"/>
      <c r="QOU36" s="2795"/>
      <c r="QOV36" s="2795"/>
      <c r="QOW36" s="2795"/>
      <c r="QOX36" s="2795"/>
      <c r="QOY36" s="2795"/>
      <c r="QOZ36" s="2795"/>
      <c r="QPA36" s="2795"/>
      <c r="QPB36" s="2795"/>
      <c r="QPC36" s="2795"/>
      <c r="QPD36" s="2795"/>
      <c r="QPE36" s="2795"/>
      <c r="QPF36" s="2795"/>
      <c r="QPG36" s="2795"/>
      <c r="QPH36" s="2795"/>
      <c r="QPI36" s="2795"/>
      <c r="QPJ36" s="2795"/>
      <c r="QPK36" s="2795"/>
      <c r="QPL36" s="2795"/>
      <c r="QPM36" s="2795"/>
      <c r="QPN36" s="2795"/>
      <c r="QPO36" s="2795"/>
      <c r="QPP36" s="2795"/>
      <c r="QPQ36" s="2795"/>
      <c r="QPR36" s="2795"/>
      <c r="QPS36" s="2795"/>
      <c r="QPT36" s="2795"/>
      <c r="QPU36" s="2795"/>
      <c r="QPV36" s="2795"/>
      <c r="QPW36" s="2795"/>
      <c r="QPX36" s="2795"/>
      <c r="QPY36" s="2795"/>
      <c r="QPZ36" s="2795"/>
      <c r="QQA36" s="2795"/>
      <c r="QQB36" s="2795"/>
      <c r="QQC36" s="2795"/>
      <c r="QQD36" s="2795"/>
      <c r="QQE36" s="2795"/>
      <c r="QQF36" s="2795"/>
      <c r="QQG36" s="2795"/>
      <c r="QQH36" s="2795"/>
      <c r="QQI36" s="2795"/>
      <c r="QQJ36" s="2795"/>
      <c r="QQK36" s="2795"/>
      <c r="QQL36" s="2795"/>
      <c r="QQM36" s="2795"/>
      <c r="QQN36" s="2795"/>
      <c r="QQO36" s="2795"/>
      <c r="QQP36" s="2795"/>
      <c r="QQQ36" s="2795"/>
      <c r="QQR36" s="2795"/>
      <c r="QQS36" s="2795"/>
      <c r="QQT36" s="2795"/>
      <c r="QQU36" s="2795"/>
      <c r="QQV36" s="2795"/>
      <c r="QQW36" s="2795"/>
      <c r="QQX36" s="2795"/>
      <c r="QQY36" s="2795"/>
      <c r="QQZ36" s="2795"/>
      <c r="QRA36" s="2795"/>
      <c r="QRB36" s="2795"/>
      <c r="QRC36" s="2795"/>
      <c r="QRD36" s="2795"/>
      <c r="QRE36" s="2795"/>
      <c r="QRF36" s="2795"/>
      <c r="QRG36" s="2795"/>
      <c r="QRH36" s="2795"/>
      <c r="QRI36" s="2795"/>
      <c r="QRJ36" s="2795"/>
      <c r="QRK36" s="2795"/>
      <c r="QRL36" s="2795"/>
      <c r="QRM36" s="2795"/>
      <c r="QRN36" s="2795"/>
      <c r="QRO36" s="2795"/>
      <c r="QRP36" s="2795"/>
      <c r="QRQ36" s="2795"/>
      <c r="QRR36" s="2795"/>
      <c r="QRS36" s="2795"/>
      <c r="QRT36" s="2795"/>
      <c r="QRU36" s="2795"/>
      <c r="QRV36" s="2795"/>
      <c r="QRW36" s="2795"/>
      <c r="QRX36" s="2795"/>
      <c r="QRY36" s="2795"/>
      <c r="QRZ36" s="2795"/>
      <c r="QSA36" s="2795"/>
      <c r="QSB36" s="2795"/>
      <c r="QSC36" s="2795"/>
      <c r="QSD36" s="2795"/>
      <c r="QSE36" s="2795"/>
      <c r="QSF36" s="2795"/>
      <c r="QSG36" s="2795"/>
      <c r="QSH36" s="2795"/>
      <c r="QSI36" s="2795"/>
      <c r="QSJ36" s="2795"/>
      <c r="QSK36" s="2795"/>
      <c r="QSL36" s="2795"/>
      <c r="QSM36" s="2795"/>
      <c r="QSN36" s="2795"/>
      <c r="QSO36" s="2795"/>
      <c r="QSP36" s="2795"/>
      <c r="QSQ36" s="2795"/>
      <c r="QSR36" s="2795"/>
      <c r="QSS36" s="2795"/>
      <c r="QST36" s="2795"/>
      <c r="QSU36" s="2795"/>
      <c r="QSV36" s="2795"/>
      <c r="QSW36" s="2795"/>
      <c r="QSX36" s="2795"/>
      <c r="QSY36" s="2795"/>
      <c r="QSZ36" s="2795"/>
      <c r="QTA36" s="2795"/>
      <c r="QTB36" s="2795"/>
      <c r="QTC36" s="2795"/>
      <c r="QTD36" s="2795"/>
      <c r="QTE36" s="2795"/>
      <c r="QTF36" s="2795"/>
      <c r="QTG36" s="2795"/>
      <c r="QTH36" s="2795"/>
      <c r="QTI36" s="2795"/>
      <c r="QTJ36" s="2795"/>
      <c r="QTK36" s="2795"/>
      <c r="QTL36" s="2795"/>
      <c r="QTM36" s="2795"/>
      <c r="QTN36" s="2795"/>
      <c r="QTO36" s="2795"/>
      <c r="QTP36" s="2795"/>
      <c r="QTQ36" s="2795"/>
      <c r="QTR36" s="2795"/>
      <c r="QTS36" s="2795"/>
      <c r="QTT36" s="2795"/>
      <c r="QTU36" s="2795"/>
      <c r="QTV36" s="2795"/>
      <c r="QTW36" s="2795"/>
      <c r="QTX36" s="2795"/>
      <c r="QTY36" s="2795"/>
      <c r="QTZ36" s="2795"/>
      <c r="QUA36" s="2795"/>
      <c r="QUB36" s="2795"/>
      <c r="QUC36" s="2795"/>
      <c r="QUD36" s="2795"/>
      <c r="QUE36" s="2795"/>
      <c r="QUF36" s="2795"/>
      <c r="QUG36" s="2795"/>
      <c r="QUH36" s="2795"/>
      <c r="QUI36" s="2795"/>
      <c r="QUJ36" s="2795"/>
      <c r="QUK36" s="2795"/>
      <c r="QUL36" s="2795"/>
      <c r="QUM36" s="2795"/>
      <c r="QUN36" s="2795"/>
      <c r="QUO36" s="2795"/>
      <c r="QUP36" s="2795"/>
      <c r="QUQ36" s="2795"/>
      <c r="QUR36" s="2795"/>
      <c r="QUS36" s="2795"/>
      <c r="QUT36" s="2795"/>
      <c r="QUU36" s="2795"/>
      <c r="QUV36" s="2795"/>
      <c r="QUW36" s="2795"/>
      <c r="QUX36" s="2795"/>
      <c r="QUY36" s="2795"/>
      <c r="QUZ36" s="2795"/>
      <c r="QVA36" s="2795"/>
      <c r="QVB36" s="2795"/>
      <c r="QVC36" s="2795"/>
      <c r="QVD36" s="2795"/>
      <c r="QVE36" s="2795"/>
      <c r="QVF36" s="2795"/>
      <c r="QVG36" s="2795"/>
      <c r="QVH36" s="2795"/>
      <c r="QVI36" s="2795"/>
      <c r="QVJ36" s="2795"/>
      <c r="QVK36" s="2795"/>
      <c r="QVL36" s="2795"/>
      <c r="QVM36" s="2795"/>
      <c r="QVN36" s="2795"/>
      <c r="QVO36" s="2795"/>
      <c r="QVP36" s="2795"/>
      <c r="QVQ36" s="2795"/>
      <c r="QVR36" s="2795"/>
      <c r="QVS36" s="2795"/>
      <c r="QVT36" s="2795"/>
      <c r="QVU36" s="2795"/>
      <c r="QVV36" s="2795"/>
      <c r="QVW36" s="2795"/>
      <c r="QVX36" s="2795"/>
      <c r="QVY36" s="2795"/>
      <c r="QVZ36" s="2795"/>
      <c r="QWA36" s="2795"/>
      <c r="QWB36" s="2795"/>
      <c r="QWC36" s="2795"/>
      <c r="QWD36" s="2795"/>
      <c r="QWE36" s="2795"/>
      <c r="QWF36" s="2795"/>
      <c r="QWG36" s="2795"/>
      <c r="QWH36" s="2795"/>
      <c r="QWI36" s="2795"/>
      <c r="QWJ36" s="2795"/>
      <c r="QWK36" s="2795"/>
      <c r="QWL36" s="2795"/>
      <c r="QWM36" s="2795"/>
      <c r="QWN36" s="2795"/>
      <c r="QWO36" s="2795"/>
      <c r="QWP36" s="2795"/>
      <c r="QWQ36" s="2795"/>
      <c r="QWR36" s="2795"/>
      <c r="QWS36" s="2795"/>
      <c r="QWT36" s="2795"/>
      <c r="QWU36" s="2795"/>
      <c r="QWV36" s="2795"/>
      <c r="QWW36" s="2795"/>
      <c r="QWX36" s="2795"/>
      <c r="QWY36" s="2795"/>
      <c r="QWZ36" s="2795"/>
      <c r="QXA36" s="2795"/>
      <c r="QXB36" s="2795"/>
      <c r="QXC36" s="2795"/>
      <c r="QXD36" s="2795"/>
      <c r="QXE36" s="2795"/>
      <c r="QXF36" s="2795"/>
      <c r="QXG36" s="2795"/>
      <c r="QXH36" s="2795"/>
      <c r="QXI36" s="2795"/>
      <c r="QXJ36" s="2795"/>
      <c r="QXK36" s="2795"/>
      <c r="QXL36" s="2795"/>
      <c r="QXM36" s="2795"/>
      <c r="QXN36" s="2795"/>
      <c r="QXO36" s="2795"/>
      <c r="QXP36" s="2795"/>
      <c r="QXQ36" s="2795"/>
      <c r="QXR36" s="2795"/>
      <c r="QXS36" s="2795"/>
      <c r="QXT36" s="2795"/>
      <c r="QXU36" s="2795"/>
      <c r="QXV36" s="2795"/>
      <c r="QXW36" s="2795"/>
      <c r="QXX36" s="2795"/>
      <c r="QXY36" s="2795"/>
      <c r="QXZ36" s="2795"/>
      <c r="QYA36" s="2795"/>
      <c r="QYB36" s="2795"/>
      <c r="QYC36" s="2795"/>
      <c r="QYD36" s="2795"/>
      <c r="QYE36" s="2795"/>
      <c r="QYF36" s="2795"/>
      <c r="QYG36" s="2795"/>
      <c r="QYH36" s="2795"/>
      <c r="QYI36" s="2795"/>
      <c r="QYJ36" s="2795"/>
      <c r="QYK36" s="2795"/>
      <c r="QYL36" s="2795"/>
      <c r="QYM36" s="2795"/>
      <c r="QYN36" s="2795"/>
      <c r="QYO36" s="2795"/>
      <c r="QYP36" s="2795"/>
      <c r="QYQ36" s="2795"/>
      <c r="QYR36" s="2795"/>
      <c r="QYS36" s="2795"/>
      <c r="QYT36" s="2795"/>
      <c r="QYU36" s="2795"/>
      <c r="QYV36" s="2795"/>
      <c r="QYW36" s="2795"/>
      <c r="QYX36" s="2795"/>
      <c r="QYY36" s="2795"/>
      <c r="QYZ36" s="2795"/>
      <c r="QZA36" s="2795"/>
      <c r="QZB36" s="2795"/>
      <c r="QZC36" s="2795"/>
      <c r="QZD36" s="2795"/>
      <c r="QZE36" s="2795"/>
      <c r="QZF36" s="2795"/>
      <c r="QZG36" s="2795"/>
      <c r="QZH36" s="2795"/>
      <c r="QZI36" s="2795"/>
      <c r="QZJ36" s="2795"/>
      <c r="QZK36" s="2795"/>
      <c r="QZL36" s="2795"/>
      <c r="QZM36" s="2795"/>
      <c r="QZN36" s="2795"/>
      <c r="QZO36" s="2795"/>
      <c r="QZP36" s="2795"/>
      <c r="QZQ36" s="2795"/>
      <c r="QZR36" s="2795"/>
      <c r="QZS36" s="2795"/>
      <c r="QZT36" s="2795"/>
      <c r="QZU36" s="2795"/>
      <c r="QZV36" s="2795"/>
      <c r="QZW36" s="2795"/>
      <c r="QZX36" s="2795"/>
      <c r="QZY36" s="2795"/>
      <c r="QZZ36" s="2795"/>
      <c r="RAA36" s="2795"/>
      <c r="RAB36" s="2795"/>
      <c r="RAC36" s="2795"/>
      <c r="RAD36" s="2795"/>
      <c r="RAE36" s="2795"/>
      <c r="RAF36" s="2795"/>
      <c r="RAG36" s="2795"/>
      <c r="RAH36" s="2795"/>
      <c r="RAI36" s="2795"/>
      <c r="RAJ36" s="2795"/>
      <c r="RAK36" s="2795"/>
      <c r="RAL36" s="2795"/>
      <c r="RAM36" s="2795"/>
      <c r="RAN36" s="2795"/>
      <c r="RAO36" s="2795"/>
      <c r="RAP36" s="2795"/>
      <c r="RAQ36" s="2795"/>
      <c r="RAR36" s="2795"/>
      <c r="RAS36" s="2795"/>
      <c r="RAT36" s="2795"/>
      <c r="RAU36" s="2795"/>
      <c r="RAV36" s="2795"/>
      <c r="RAW36" s="2795"/>
      <c r="RAX36" s="2795"/>
      <c r="RAY36" s="2795"/>
      <c r="RAZ36" s="2795"/>
      <c r="RBA36" s="2795"/>
      <c r="RBB36" s="2795"/>
      <c r="RBC36" s="2795"/>
      <c r="RBD36" s="2795"/>
      <c r="RBE36" s="2795"/>
      <c r="RBF36" s="2795"/>
      <c r="RBG36" s="2795"/>
      <c r="RBH36" s="2795"/>
      <c r="RBI36" s="2795"/>
      <c r="RBJ36" s="2795"/>
      <c r="RBK36" s="2795"/>
      <c r="RBL36" s="2795"/>
      <c r="RBM36" s="2795"/>
      <c r="RBN36" s="2795"/>
      <c r="RBO36" s="2795"/>
      <c r="RBP36" s="2795"/>
      <c r="RBQ36" s="2795"/>
      <c r="RBR36" s="2795"/>
      <c r="RBS36" s="2795"/>
      <c r="RBT36" s="2795"/>
      <c r="RBU36" s="2795"/>
      <c r="RBV36" s="2795"/>
      <c r="RBW36" s="2795"/>
      <c r="RBX36" s="2795"/>
      <c r="RBY36" s="2795"/>
      <c r="RBZ36" s="2795"/>
      <c r="RCA36" s="2795"/>
      <c r="RCB36" s="2795"/>
      <c r="RCC36" s="2795"/>
      <c r="RCD36" s="2795"/>
      <c r="RCE36" s="2795"/>
      <c r="RCF36" s="2795"/>
      <c r="RCG36" s="2795"/>
      <c r="RCH36" s="2795"/>
      <c r="RCI36" s="2795"/>
      <c r="RCJ36" s="2795"/>
      <c r="RCK36" s="2795"/>
      <c r="RCL36" s="2795"/>
      <c r="RCM36" s="2795"/>
      <c r="RCN36" s="2795"/>
      <c r="RCO36" s="2795"/>
      <c r="RCP36" s="2795"/>
      <c r="RCQ36" s="2795"/>
      <c r="RCR36" s="2795"/>
      <c r="RCS36" s="2795"/>
      <c r="RCT36" s="2795"/>
      <c r="RCU36" s="2795"/>
      <c r="RCV36" s="2795"/>
      <c r="RCW36" s="2795"/>
      <c r="RCX36" s="2795"/>
      <c r="RCY36" s="2795"/>
      <c r="RCZ36" s="2795"/>
      <c r="RDA36" s="2795"/>
      <c r="RDB36" s="2795"/>
      <c r="RDC36" s="2795"/>
      <c r="RDD36" s="2795"/>
      <c r="RDE36" s="2795"/>
      <c r="RDF36" s="2795"/>
      <c r="RDG36" s="2795"/>
      <c r="RDH36" s="2795"/>
      <c r="RDI36" s="2795"/>
      <c r="RDJ36" s="2795"/>
      <c r="RDK36" s="2795"/>
      <c r="RDL36" s="2795"/>
      <c r="RDM36" s="2795"/>
      <c r="RDN36" s="2795"/>
      <c r="RDO36" s="2795"/>
      <c r="RDP36" s="2795"/>
      <c r="RDQ36" s="2795"/>
      <c r="RDR36" s="2795"/>
      <c r="RDS36" s="2795"/>
      <c r="RDT36" s="2795"/>
      <c r="RDU36" s="2795"/>
      <c r="RDV36" s="2795"/>
      <c r="RDW36" s="2795"/>
      <c r="RDX36" s="2795"/>
      <c r="RDY36" s="2795"/>
      <c r="RDZ36" s="2795"/>
      <c r="REA36" s="2795"/>
      <c r="REB36" s="2795"/>
      <c r="REC36" s="2795"/>
      <c r="RED36" s="2795"/>
      <c r="REE36" s="2795"/>
      <c r="REF36" s="2795"/>
      <c r="REG36" s="2795"/>
      <c r="REH36" s="2795"/>
      <c r="REI36" s="2795"/>
      <c r="REJ36" s="2795"/>
      <c r="REK36" s="2795"/>
      <c r="REL36" s="2795"/>
      <c r="REM36" s="2795"/>
      <c r="REN36" s="2795"/>
      <c r="REO36" s="2795"/>
      <c r="REP36" s="2795"/>
      <c r="REQ36" s="2795"/>
      <c r="RER36" s="2795"/>
      <c r="RES36" s="2795"/>
      <c r="RET36" s="2795"/>
      <c r="REU36" s="2795"/>
      <c r="REV36" s="2795"/>
      <c r="REW36" s="2795"/>
      <c r="REX36" s="2795"/>
      <c r="REY36" s="2795"/>
      <c r="REZ36" s="2795"/>
      <c r="RFA36" s="2795"/>
      <c r="RFB36" s="2795"/>
      <c r="RFC36" s="2795"/>
      <c r="RFD36" s="2795"/>
      <c r="RFE36" s="2795"/>
      <c r="RFF36" s="2795"/>
      <c r="RFG36" s="2795"/>
      <c r="RFH36" s="2795"/>
      <c r="RFI36" s="2795"/>
      <c r="RFJ36" s="2795"/>
      <c r="RFK36" s="2795"/>
      <c r="RFL36" s="2795"/>
      <c r="RFM36" s="2795"/>
      <c r="RFN36" s="2795"/>
      <c r="RFO36" s="2795"/>
      <c r="RFP36" s="2795"/>
      <c r="RFQ36" s="2795"/>
      <c r="RFR36" s="2795"/>
      <c r="RFS36" s="2795"/>
      <c r="RFT36" s="2795"/>
      <c r="RFU36" s="2795"/>
      <c r="RFV36" s="2795"/>
      <c r="RFW36" s="2795"/>
      <c r="RFX36" s="2795"/>
      <c r="RFY36" s="2795"/>
      <c r="RFZ36" s="2795"/>
      <c r="RGA36" s="2795"/>
      <c r="RGB36" s="2795"/>
      <c r="RGC36" s="2795"/>
      <c r="RGD36" s="2795"/>
      <c r="RGE36" s="2795"/>
      <c r="RGF36" s="2795"/>
      <c r="RGG36" s="2795"/>
      <c r="RGH36" s="2795"/>
      <c r="RGI36" s="2795"/>
      <c r="RGJ36" s="2795"/>
      <c r="RGK36" s="2795"/>
      <c r="RGL36" s="2795"/>
      <c r="RGM36" s="2795"/>
      <c r="RGN36" s="2795"/>
      <c r="RGO36" s="2795"/>
      <c r="RGP36" s="2795"/>
      <c r="RGQ36" s="2795"/>
      <c r="RGR36" s="2795"/>
      <c r="RGS36" s="2795"/>
      <c r="RGT36" s="2795"/>
      <c r="RGU36" s="2795"/>
      <c r="RGV36" s="2795"/>
      <c r="RGW36" s="2795"/>
      <c r="RGX36" s="2795"/>
      <c r="RGY36" s="2795"/>
      <c r="RGZ36" s="2795"/>
      <c r="RHA36" s="2795"/>
      <c r="RHB36" s="2795"/>
      <c r="RHC36" s="2795"/>
      <c r="RHD36" s="2795"/>
      <c r="RHE36" s="2795"/>
      <c r="RHF36" s="2795"/>
      <c r="RHG36" s="2795"/>
      <c r="RHH36" s="2795"/>
      <c r="RHI36" s="2795"/>
      <c r="RHJ36" s="2795"/>
      <c r="RHK36" s="2795"/>
      <c r="RHL36" s="2795"/>
      <c r="RHM36" s="2795"/>
      <c r="RHN36" s="2795"/>
      <c r="RHO36" s="2795"/>
      <c r="RHP36" s="2795"/>
      <c r="RHQ36" s="2795"/>
      <c r="RHR36" s="2795"/>
      <c r="RHS36" s="2795"/>
      <c r="RHT36" s="2795"/>
      <c r="RHU36" s="2795"/>
      <c r="RHV36" s="2795"/>
      <c r="RHW36" s="2795"/>
      <c r="RHX36" s="2795"/>
      <c r="RHY36" s="2795"/>
      <c r="RHZ36" s="2795"/>
      <c r="RIA36" s="2795"/>
      <c r="RIB36" s="2795"/>
      <c r="RIC36" s="2795"/>
      <c r="RID36" s="2795"/>
      <c r="RIE36" s="2795"/>
      <c r="RIF36" s="2795"/>
      <c r="RIG36" s="2795"/>
      <c r="RIH36" s="2795"/>
      <c r="RII36" s="2795"/>
      <c r="RIJ36" s="2795"/>
      <c r="RIK36" s="2795"/>
      <c r="RIL36" s="2795"/>
      <c r="RIM36" s="2795"/>
      <c r="RIN36" s="2795"/>
      <c r="RIO36" s="2795"/>
      <c r="RIP36" s="2795"/>
      <c r="RIQ36" s="2795"/>
      <c r="RIR36" s="2795"/>
      <c r="RIS36" s="2795"/>
      <c r="RIT36" s="2795"/>
      <c r="RIU36" s="2795"/>
      <c r="RIV36" s="2795"/>
      <c r="RIW36" s="2795"/>
      <c r="RIX36" s="2795"/>
      <c r="RIY36" s="2795"/>
      <c r="RIZ36" s="2795"/>
      <c r="RJA36" s="2795"/>
      <c r="RJB36" s="2795"/>
      <c r="RJC36" s="2795"/>
      <c r="RJD36" s="2795"/>
      <c r="RJE36" s="2795"/>
      <c r="RJF36" s="2795"/>
      <c r="RJG36" s="2795"/>
      <c r="RJH36" s="2795"/>
      <c r="RJI36" s="2795"/>
      <c r="RJJ36" s="2795"/>
      <c r="RJK36" s="2795"/>
      <c r="RJL36" s="2795"/>
      <c r="RJM36" s="2795"/>
      <c r="RJN36" s="2795"/>
      <c r="RJO36" s="2795"/>
      <c r="RJP36" s="2795"/>
      <c r="RJQ36" s="2795"/>
      <c r="RJR36" s="2795"/>
      <c r="RJS36" s="2795"/>
      <c r="RJT36" s="2795"/>
      <c r="RJU36" s="2795"/>
      <c r="RJV36" s="2795"/>
      <c r="RJW36" s="2795"/>
      <c r="RJX36" s="2795"/>
      <c r="RJY36" s="2795"/>
      <c r="RJZ36" s="2795"/>
      <c r="RKA36" s="2795"/>
      <c r="RKB36" s="2795"/>
      <c r="RKC36" s="2795"/>
      <c r="RKD36" s="2795"/>
      <c r="RKE36" s="2795"/>
      <c r="RKF36" s="2795"/>
      <c r="RKG36" s="2795"/>
      <c r="RKH36" s="2795"/>
      <c r="RKI36" s="2795"/>
      <c r="RKJ36" s="2795"/>
      <c r="RKK36" s="2795"/>
      <c r="RKL36" s="2795"/>
      <c r="RKM36" s="2795"/>
      <c r="RKN36" s="2795"/>
      <c r="RKO36" s="2795"/>
      <c r="RKP36" s="2795"/>
      <c r="RKQ36" s="2795"/>
      <c r="RKR36" s="2795"/>
      <c r="RKS36" s="2795"/>
      <c r="RKT36" s="2795"/>
      <c r="RKU36" s="2795"/>
      <c r="RKV36" s="2795"/>
      <c r="RKW36" s="2795"/>
      <c r="RKX36" s="2795"/>
      <c r="RKY36" s="2795"/>
      <c r="RKZ36" s="2795"/>
      <c r="RLA36" s="2795"/>
      <c r="RLB36" s="2795"/>
      <c r="RLC36" s="2795"/>
      <c r="RLD36" s="2795"/>
      <c r="RLE36" s="2795"/>
      <c r="RLF36" s="2795"/>
      <c r="RLG36" s="2795"/>
      <c r="RLH36" s="2795"/>
      <c r="RLI36" s="2795"/>
      <c r="RLJ36" s="2795"/>
      <c r="RLK36" s="2795"/>
      <c r="RLL36" s="2795"/>
      <c r="RLM36" s="2795"/>
      <c r="RLN36" s="2795"/>
      <c r="RLO36" s="2795"/>
      <c r="RLP36" s="2795"/>
      <c r="RLQ36" s="2795"/>
      <c r="RLR36" s="2795"/>
      <c r="RLS36" s="2795"/>
      <c r="RLT36" s="2795"/>
      <c r="RLU36" s="2795"/>
      <c r="RLV36" s="2795"/>
      <c r="RLW36" s="2795"/>
      <c r="RLX36" s="2795"/>
      <c r="RLY36" s="2795"/>
      <c r="RLZ36" s="2795"/>
      <c r="RMA36" s="2795"/>
      <c r="RMB36" s="2795"/>
      <c r="RMC36" s="2795"/>
      <c r="RMD36" s="2795"/>
      <c r="RME36" s="2795"/>
      <c r="RMF36" s="2795"/>
      <c r="RMG36" s="2795"/>
      <c r="RMH36" s="2795"/>
      <c r="RMI36" s="2795"/>
      <c r="RMJ36" s="2795"/>
      <c r="RMK36" s="2795"/>
      <c r="RML36" s="2795"/>
      <c r="RMM36" s="2795"/>
      <c r="RMN36" s="2795"/>
      <c r="RMO36" s="2795"/>
      <c r="RMP36" s="2795"/>
      <c r="RMQ36" s="2795"/>
      <c r="RMR36" s="2795"/>
      <c r="RMS36" s="2795"/>
      <c r="RMT36" s="2795"/>
      <c r="RMU36" s="2795"/>
      <c r="RMV36" s="2795"/>
      <c r="RMW36" s="2795"/>
      <c r="RMX36" s="2795"/>
      <c r="RMY36" s="2795"/>
      <c r="RMZ36" s="2795"/>
      <c r="RNA36" s="2795"/>
      <c r="RNB36" s="2795"/>
      <c r="RNC36" s="2795"/>
      <c r="RND36" s="2795"/>
      <c r="RNE36" s="2795"/>
      <c r="RNF36" s="2795"/>
      <c r="RNG36" s="2795"/>
      <c r="RNH36" s="2795"/>
      <c r="RNI36" s="2795"/>
      <c r="RNJ36" s="2795"/>
      <c r="RNK36" s="2795"/>
      <c r="RNL36" s="2795"/>
      <c r="RNM36" s="2795"/>
      <c r="RNN36" s="2795"/>
      <c r="RNO36" s="2795"/>
      <c r="RNP36" s="2795"/>
      <c r="RNQ36" s="2795"/>
      <c r="RNR36" s="2795"/>
      <c r="RNS36" s="2795"/>
      <c r="RNT36" s="2795"/>
      <c r="RNU36" s="2795"/>
      <c r="RNV36" s="2795"/>
      <c r="RNW36" s="2795"/>
      <c r="RNX36" s="2795"/>
      <c r="RNY36" s="2795"/>
      <c r="RNZ36" s="2795"/>
      <c r="ROA36" s="2795"/>
      <c r="ROB36" s="2795"/>
      <c r="ROC36" s="2795"/>
      <c r="ROD36" s="2795"/>
      <c r="ROE36" s="2795"/>
      <c r="ROF36" s="2795"/>
      <c r="ROG36" s="2795"/>
      <c r="ROH36" s="2795"/>
      <c r="ROI36" s="2795"/>
      <c r="ROJ36" s="2795"/>
      <c r="ROK36" s="2795"/>
      <c r="ROL36" s="2795"/>
      <c r="ROM36" s="2795"/>
      <c r="RON36" s="2795"/>
      <c r="ROO36" s="2795"/>
      <c r="ROP36" s="2795"/>
      <c r="ROQ36" s="2795"/>
      <c r="ROR36" s="2795"/>
      <c r="ROS36" s="2795"/>
      <c r="ROT36" s="2795"/>
      <c r="ROU36" s="2795"/>
      <c r="ROV36" s="2795"/>
      <c r="ROW36" s="2795"/>
      <c r="ROX36" s="2795"/>
      <c r="ROY36" s="2795"/>
      <c r="ROZ36" s="2795"/>
      <c r="RPA36" s="2795"/>
      <c r="RPB36" s="2795"/>
      <c r="RPC36" s="2795"/>
      <c r="RPD36" s="2795"/>
      <c r="RPE36" s="2795"/>
      <c r="RPF36" s="2795"/>
      <c r="RPG36" s="2795"/>
      <c r="RPH36" s="2795"/>
      <c r="RPI36" s="2795"/>
      <c r="RPJ36" s="2795"/>
      <c r="RPK36" s="2795"/>
      <c r="RPL36" s="2795"/>
      <c r="RPM36" s="2795"/>
      <c r="RPN36" s="2795"/>
      <c r="RPO36" s="2795"/>
      <c r="RPP36" s="2795"/>
      <c r="RPQ36" s="2795"/>
      <c r="RPR36" s="2795"/>
      <c r="RPS36" s="2795"/>
      <c r="RPT36" s="2795"/>
      <c r="RPU36" s="2795"/>
      <c r="RPV36" s="2795"/>
      <c r="RPW36" s="2795"/>
      <c r="RPX36" s="2795"/>
      <c r="RPY36" s="2795"/>
      <c r="RPZ36" s="2795"/>
      <c r="RQA36" s="2795"/>
      <c r="RQB36" s="2795"/>
      <c r="RQC36" s="2795"/>
      <c r="RQD36" s="2795"/>
      <c r="RQE36" s="2795"/>
      <c r="RQF36" s="2795"/>
      <c r="RQG36" s="2795"/>
      <c r="RQH36" s="2795"/>
      <c r="RQI36" s="2795"/>
      <c r="RQJ36" s="2795"/>
      <c r="RQK36" s="2795"/>
      <c r="RQL36" s="2795"/>
      <c r="RQM36" s="2795"/>
      <c r="RQN36" s="2795"/>
      <c r="RQO36" s="2795"/>
      <c r="RQP36" s="2795"/>
      <c r="RQQ36" s="2795"/>
      <c r="RQR36" s="2795"/>
      <c r="RQS36" s="2795"/>
      <c r="RQT36" s="2795"/>
      <c r="RQU36" s="2795"/>
      <c r="RQV36" s="2795"/>
      <c r="RQW36" s="2795"/>
      <c r="RQX36" s="2795"/>
      <c r="RQY36" s="2795"/>
      <c r="RQZ36" s="2795"/>
      <c r="RRA36" s="2795"/>
      <c r="RRB36" s="2795"/>
      <c r="RRC36" s="2795"/>
      <c r="RRD36" s="2795"/>
      <c r="RRE36" s="2795"/>
      <c r="RRF36" s="2795"/>
      <c r="RRG36" s="2795"/>
      <c r="RRH36" s="2795"/>
      <c r="RRI36" s="2795"/>
      <c r="RRJ36" s="2795"/>
      <c r="RRK36" s="2795"/>
      <c r="RRL36" s="2795"/>
      <c r="RRM36" s="2795"/>
      <c r="RRN36" s="2795"/>
      <c r="RRO36" s="2795"/>
      <c r="RRP36" s="2795"/>
      <c r="RRQ36" s="2795"/>
      <c r="RRR36" s="2795"/>
      <c r="RRS36" s="2795"/>
      <c r="RRT36" s="2795"/>
      <c r="RRU36" s="2795"/>
      <c r="RRV36" s="2795"/>
      <c r="RRW36" s="2795"/>
      <c r="RRX36" s="2795"/>
      <c r="RRY36" s="2795"/>
      <c r="RRZ36" s="2795"/>
      <c r="RSA36" s="2795"/>
      <c r="RSB36" s="2795"/>
      <c r="RSC36" s="2795"/>
      <c r="RSD36" s="2795"/>
      <c r="RSE36" s="2795"/>
      <c r="RSF36" s="2795"/>
      <c r="RSG36" s="2795"/>
      <c r="RSH36" s="2795"/>
      <c r="RSI36" s="2795"/>
      <c r="RSJ36" s="2795"/>
      <c r="RSK36" s="2795"/>
      <c r="RSL36" s="2795"/>
      <c r="RSM36" s="2795"/>
      <c r="RSN36" s="2795"/>
      <c r="RSO36" s="2795"/>
      <c r="RSP36" s="2795"/>
      <c r="RSQ36" s="2795"/>
      <c r="RSR36" s="2795"/>
      <c r="RSS36" s="2795"/>
      <c r="RST36" s="2795"/>
      <c r="RSU36" s="2795"/>
      <c r="RSV36" s="2795"/>
      <c r="RSW36" s="2795"/>
      <c r="RSX36" s="2795"/>
      <c r="RSY36" s="2795"/>
      <c r="RSZ36" s="2795"/>
      <c r="RTA36" s="2795"/>
      <c r="RTB36" s="2795"/>
      <c r="RTC36" s="2795"/>
      <c r="RTD36" s="2795"/>
      <c r="RTE36" s="2795"/>
      <c r="RTF36" s="2795"/>
      <c r="RTG36" s="2795"/>
      <c r="RTH36" s="2795"/>
      <c r="RTI36" s="2795"/>
      <c r="RTJ36" s="2795"/>
      <c r="RTK36" s="2795"/>
      <c r="RTL36" s="2795"/>
      <c r="RTM36" s="2795"/>
      <c r="RTN36" s="2795"/>
      <c r="RTO36" s="2795"/>
      <c r="RTP36" s="2795"/>
      <c r="RTQ36" s="2795"/>
      <c r="RTR36" s="2795"/>
      <c r="RTS36" s="2795"/>
      <c r="RTT36" s="2795"/>
      <c r="RTU36" s="2795"/>
      <c r="RTV36" s="2795"/>
      <c r="RTW36" s="2795"/>
      <c r="RTX36" s="2795"/>
      <c r="RTY36" s="2795"/>
      <c r="RTZ36" s="2795"/>
      <c r="RUA36" s="2795"/>
      <c r="RUB36" s="2795"/>
      <c r="RUC36" s="2795"/>
      <c r="RUD36" s="2795"/>
      <c r="RUE36" s="2795"/>
      <c r="RUF36" s="2795"/>
      <c r="RUG36" s="2795"/>
      <c r="RUH36" s="2795"/>
      <c r="RUI36" s="2795"/>
      <c r="RUJ36" s="2795"/>
      <c r="RUK36" s="2795"/>
      <c r="RUL36" s="2795"/>
      <c r="RUM36" s="2795"/>
      <c r="RUN36" s="2795"/>
      <c r="RUO36" s="2795"/>
      <c r="RUP36" s="2795"/>
      <c r="RUQ36" s="2795"/>
      <c r="RUR36" s="2795"/>
      <c r="RUS36" s="2795"/>
      <c r="RUT36" s="2795"/>
      <c r="RUU36" s="2795"/>
      <c r="RUV36" s="2795"/>
      <c r="RUW36" s="2795"/>
      <c r="RUX36" s="2795"/>
      <c r="RUY36" s="2795"/>
      <c r="RUZ36" s="2795"/>
      <c r="RVA36" s="2795"/>
      <c r="RVB36" s="2795"/>
      <c r="RVC36" s="2795"/>
      <c r="RVD36" s="2795"/>
      <c r="RVE36" s="2795"/>
      <c r="RVF36" s="2795"/>
      <c r="RVG36" s="2795"/>
      <c r="RVH36" s="2795"/>
      <c r="RVI36" s="2795"/>
      <c r="RVJ36" s="2795"/>
      <c r="RVK36" s="2795"/>
      <c r="RVL36" s="2795"/>
      <c r="RVM36" s="2795"/>
      <c r="RVN36" s="2795"/>
      <c r="RVO36" s="2795"/>
      <c r="RVP36" s="2795"/>
      <c r="RVQ36" s="2795"/>
      <c r="RVR36" s="2795"/>
      <c r="RVS36" s="2795"/>
      <c r="RVT36" s="2795"/>
      <c r="RVU36" s="2795"/>
      <c r="RVV36" s="2795"/>
      <c r="RVW36" s="2795"/>
      <c r="RVX36" s="2795"/>
      <c r="RVY36" s="2795"/>
      <c r="RVZ36" s="2795"/>
      <c r="RWA36" s="2795"/>
      <c r="RWB36" s="2795"/>
      <c r="RWC36" s="2795"/>
      <c r="RWD36" s="2795"/>
      <c r="RWE36" s="2795"/>
      <c r="RWF36" s="2795"/>
      <c r="RWG36" s="2795"/>
      <c r="RWH36" s="2795"/>
      <c r="RWI36" s="2795"/>
      <c r="RWJ36" s="2795"/>
      <c r="RWK36" s="2795"/>
      <c r="RWL36" s="2795"/>
      <c r="RWM36" s="2795"/>
      <c r="RWN36" s="2795"/>
      <c r="RWO36" s="2795"/>
      <c r="RWP36" s="2795"/>
      <c r="RWQ36" s="2795"/>
      <c r="RWR36" s="2795"/>
      <c r="RWS36" s="2795"/>
      <c r="RWT36" s="2795"/>
      <c r="RWU36" s="2795"/>
      <c r="RWV36" s="2795"/>
      <c r="RWW36" s="2795"/>
      <c r="RWX36" s="2795"/>
      <c r="RWY36" s="2795"/>
      <c r="RWZ36" s="2795"/>
      <c r="RXA36" s="2795"/>
      <c r="RXB36" s="2795"/>
      <c r="RXC36" s="2795"/>
      <c r="RXD36" s="2795"/>
      <c r="RXE36" s="2795"/>
      <c r="RXF36" s="2795"/>
      <c r="RXG36" s="2795"/>
      <c r="RXH36" s="2795"/>
      <c r="RXI36" s="2795"/>
      <c r="RXJ36" s="2795"/>
      <c r="RXK36" s="2795"/>
      <c r="RXL36" s="2795"/>
      <c r="RXM36" s="2795"/>
      <c r="RXN36" s="2795"/>
      <c r="RXO36" s="2795"/>
      <c r="RXP36" s="2795"/>
      <c r="RXQ36" s="2795"/>
      <c r="RXR36" s="2795"/>
      <c r="RXS36" s="2795"/>
      <c r="RXT36" s="2795"/>
      <c r="RXU36" s="2795"/>
      <c r="RXV36" s="2795"/>
      <c r="RXW36" s="2795"/>
      <c r="RXX36" s="2795"/>
      <c r="RXY36" s="2795"/>
      <c r="RXZ36" s="2795"/>
      <c r="RYA36" s="2795"/>
      <c r="RYB36" s="2795"/>
      <c r="RYC36" s="2795"/>
      <c r="RYD36" s="2795"/>
      <c r="RYE36" s="2795"/>
      <c r="RYF36" s="2795"/>
      <c r="RYG36" s="2795"/>
      <c r="RYH36" s="2795"/>
      <c r="RYI36" s="2795"/>
      <c r="RYJ36" s="2795"/>
      <c r="RYK36" s="2795"/>
      <c r="RYL36" s="2795"/>
      <c r="RYM36" s="2795"/>
      <c r="RYN36" s="2795"/>
      <c r="RYO36" s="2795"/>
      <c r="RYP36" s="2795"/>
      <c r="RYQ36" s="2795"/>
      <c r="RYR36" s="2795"/>
      <c r="RYS36" s="2795"/>
      <c r="RYT36" s="2795"/>
      <c r="RYU36" s="2795"/>
      <c r="RYV36" s="2795"/>
      <c r="RYW36" s="2795"/>
      <c r="RYX36" s="2795"/>
      <c r="RYY36" s="2795"/>
      <c r="RYZ36" s="2795"/>
      <c r="RZA36" s="2795"/>
      <c r="RZB36" s="2795"/>
      <c r="RZC36" s="2795"/>
      <c r="RZD36" s="2795"/>
      <c r="RZE36" s="2795"/>
      <c r="RZF36" s="2795"/>
      <c r="RZG36" s="2795"/>
      <c r="RZH36" s="2795"/>
      <c r="RZI36" s="2795"/>
      <c r="RZJ36" s="2795"/>
      <c r="RZK36" s="2795"/>
      <c r="RZL36" s="2795"/>
      <c r="RZM36" s="2795"/>
      <c r="RZN36" s="2795"/>
      <c r="RZO36" s="2795"/>
      <c r="RZP36" s="2795"/>
      <c r="RZQ36" s="2795"/>
      <c r="RZR36" s="2795"/>
      <c r="RZS36" s="2795"/>
      <c r="RZT36" s="2795"/>
      <c r="RZU36" s="2795"/>
      <c r="RZV36" s="2795"/>
      <c r="RZW36" s="2795"/>
      <c r="RZX36" s="2795"/>
      <c r="RZY36" s="2795"/>
      <c r="RZZ36" s="2795"/>
      <c r="SAA36" s="2795"/>
      <c r="SAB36" s="2795"/>
      <c r="SAC36" s="2795"/>
      <c r="SAD36" s="2795"/>
      <c r="SAE36" s="2795"/>
      <c r="SAF36" s="2795"/>
      <c r="SAG36" s="2795"/>
      <c r="SAH36" s="2795"/>
      <c r="SAI36" s="2795"/>
      <c r="SAJ36" s="2795"/>
      <c r="SAK36" s="2795"/>
      <c r="SAL36" s="2795"/>
      <c r="SAM36" s="2795"/>
      <c r="SAN36" s="2795"/>
      <c r="SAO36" s="2795"/>
      <c r="SAP36" s="2795"/>
      <c r="SAQ36" s="2795"/>
      <c r="SAR36" s="2795"/>
      <c r="SAS36" s="2795"/>
      <c r="SAT36" s="2795"/>
      <c r="SAU36" s="2795"/>
      <c r="SAV36" s="2795"/>
      <c r="SAW36" s="2795"/>
      <c r="SAX36" s="2795"/>
      <c r="SAY36" s="2795"/>
      <c r="SAZ36" s="2795"/>
      <c r="SBA36" s="2795"/>
      <c r="SBB36" s="2795"/>
      <c r="SBC36" s="2795"/>
      <c r="SBD36" s="2795"/>
      <c r="SBE36" s="2795"/>
      <c r="SBF36" s="2795"/>
      <c r="SBG36" s="2795"/>
      <c r="SBH36" s="2795"/>
      <c r="SBI36" s="2795"/>
      <c r="SBJ36" s="2795"/>
      <c r="SBK36" s="2795"/>
      <c r="SBL36" s="2795"/>
      <c r="SBM36" s="2795"/>
      <c r="SBN36" s="2795"/>
      <c r="SBO36" s="2795"/>
      <c r="SBP36" s="2795"/>
      <c r="SBQ36" s="2795"/>
      <c r="SBR36" s="2795"/>
      <c r="SBS36" s="2795"/>
      <c r="SBT36" s="2795"/>
      <c r="SBU36" s="2795"/>
      <c r="SBV36" s="2795"/>
      <c r="SBW36" s="2795"/>
      <c r="SBX36" s="2795"/>
      <c r="SBY36" s="2795"/>
      <c r="SBZ36" s="2795"/>
      <c r="SCA36" s="2795"/>
      <c r="SCB36" s="2795"/>
      <c r="SCC36" s="2795"/>
      <c r="SCD36" s="2795"/>
      <c r="SCE36" s="2795"/>
      <c r="SCF36" s="2795"/>
      <c r="SCG36" s="2795"/>
      <c r="SCH36" s="2795"/>
      <c r="SCI36" s="2795"/>
      <c r="SCJ36" s="2795"/>
      <c r="SCK36" s="2795"/>
      <c r="SCL36" s="2795"/>
      <c r="SCM36" s="2795"/>
      <c r="SCN36" s="2795"/>
      <c r="SCO36" s="2795"/>
      <c r="SCP36" s="2795"/>
      <c r="SCQ36" s="2795"/>
      <c r="SCR36" s="2795"/>
      <c r="SCS36" s="2795"/>
      <c r="SCT36" s="2795"/>
      <c r="SCU36" s="2795"/>
      <c r="SCV36" s="2795"/>
      <c r="SCW36" s="2795"/>
      <c r="SCX36" s="2795"/>
      <c r="SCY36" s="2795"/>
      <c r="SCZ36" s="2795"/>
      <c r="SDA36" s="2795"/>
      <c r="SDB36" s="2795"/>
      <c r="SDC36" s="2795"/>
      <c r="SDD36" s="2795"/>
      <c r="SDE36" s="2795"/>
      <c r="SDF36" s="2795"/>
      <c r="SDG36" s="2795"/>
      <c r="SDH36" s="2795"/>
      <c r="SDI36" s="2795"/>
      <c r="SDJ36" s="2795"/>
      <c r="SDK36" s="2795"/>
      <c r="SDL36" s="2795"/>
      <c r="SDM36" s="2795"/>
      <c r="SDN36" s="2795"/>
      <c r="SDO36" s="2795"/>
      <c r="SDP36" s="2795"/>
      <c r="SDQ36" s="2795"/>
      <c r="SDR36" s="2795"/>
      <c r="SDS36" s="2795"/>
      <c r="SDT36" s="2795"/>
      <c r="SDU36" s="2795"/>
      <c r="SDV36" s="2795"/>
      <c r="SDW36" s="2795"/>
      <c r="SDX36" s="2795"/>
      <c r="SDY36" s="2795"/>
      <c r="SDZ36" s="2795"/>
      <c r="SEA36" s="2795"/>
      <c r="SEB36" s="2795"/>
      <c r="SEC36" s="2795"/>
      <c r="SED36" s="2795"/>
      <c r="SEE36" s="2795"/>
      <c r="SEF36" s="2795"/>
      <c r="SEG36" s="2795"/>
      <c r="SEH36" s="2795"/>
      <c r="SEI36" s="2795"/>
      <c r="SEJ36" s="2795"/>
      <c r="SEK36" s="2795"/>
      <c r="SEL36" s="2795"/>
      <c r="SEM36" s="2795"/>
      <c r="SEN36" s="2795"/>
      <c r="SEO36" s="2795"/>
      <c r="SEP36" s="2795"/>
      <c r="SEQ36" s="2795"/>
      <c r="SER36" s="2795"/>
      <c r="SES36" s="2795"/>
      <c r="SET36" s="2795"/>
      <c r="SEU36" s="2795"/>
      <c r="SEV36" s="2795"/>
      <c r="SEW36" s="2795"/>
      <c r="SEX36" s="2795"/>
      <c r="SEY36" s="2795"/>
      <c r="SEZ36" s="2795"/>
      <c r="SFA36" s="2795"/>
      <c r="SFB36" s="2795"/>
      <c r="SFC36" s="2795"/>
      <c r="SFD36" s="2795"/>
      <c r="SFE36" s="2795"/>
      <c r="SFF36" s="2795"/>
      <c r="SFG36" s="2795"/>
      <c r="SFH36" s="2795"/>
      <c r="SFI36" s="2795"/>
      <c r="SFJ36" s="2795"/>
      <c r="SFK36" s="2795"/>
      <c r="SFL36" s="2795"/>
      <c r="SFM36" s="2795"/>
      <c r="SFN36" s="2795"/>
      <c r="SFO36" s="2795"/>
      <c r="SFP36" s="2795"/>
      <c r="SFQ36" s="2795"/>
      <c r="SFR36" s="2795"/>
      <c r="SFS36" s="2795"/>
      <c r="SFT36" s="2795"/>
      <c r="SFU36" s="2795"/>
      <c r="SFV36" s="2795"/>
      <c r="SFW36" s="2795"/>
      <c r="SFX36" s="2795"/>
      <c r="SFY36" s="2795"/>
      <c r="SFZ36" s="2795"/>
      <c r="SGA36" s="2795"/>
      <c r="SGB36" s="2795"/>
      <c r="SGC36" s="2795"/>
      <c r="SGD36" s="2795"/>
      <c r="SGE36" s="2795"/>
      <c r="SGF36" s="2795"/>
      <c r="SGG36" s="2795"/>
      <c r="SGH36" s="2795"/>
      <c r="SGI36" s="2795"/>
      <c r="SGJ36" s="2795"/>
      <c r="SGK36" s="2795"/>
      <c r="SGL36" s="2795"/>
      <c r="SGM36" s="2795"/>
      <c r="SGN36" s="2795"/>
      <c r="SGO36" s="2795"/>
      <c r="SGP36" s="2795"/>
      <c r="SGQ36" s="2795"/>
      <c r="SGR36" s="2795"/>
      <c r="SGS36" s="2795"/>
      <c r="SGT36" s="2795"/>
      <c r="SGU36" s="2795"/>
      <c r="SGV36" s="2795"/>
      <c r="SGW36" s="2795"/>
      <c r="SGX36" s="2795"/>
      <c r="SGY36" s="2795"/>
      <c r="SGZ36" s="2795"/>
      <c r="SHA36" s="2795"/>
      <c r="SHB36" s="2795"/>
      <c r="SHC36" s="2795"/>
      <c r="SHD36" s="2795"/>
      <c r="SHE36" s="2795"/>
      <c r="SHF36" s="2795"/>
      <c r="SHG36" s="2795"/>
      <c r="SHH36" s="2795"/>
      <c r="SHI36" s="2795"/>
      <c r="SHJ36" s="2795"/>
      <c r="SHK36" s="2795"/>
      <c r="SHL36" s="2795"/>
      <c r="SHM36" s="2795"/>
      <c r="SHN36" s="2795"/>
      <c r="SHO36" s="2795"/>
      <c r="SHP36" s="2795"/>
      <c r="SHQ36" s="2795"/>
      <c r="SHR36" s="2795"/>
      <c r="SHS36" s="2795"/>
      <c r="SHT36" s="2795"/>
      <c r="SHU36" s="2795"/>
      <c r="SHV36" s="2795"/>
      <c r="SHW36" s="2795"/>
      <c r="SHX36" s="2795"/>
      <c r="SHY36" s="2795"/>
      <c r="SHZ36" s="2795"/>
      <c r="SIA36" s="2795"/>
      <c r="SIB36" s="2795"/>
      <c r="SIC36" s="2795"/>
      <c r="SID36" s="2795"/>
      <c r="SIE36" s="2795"/>
      <c r="SIF36" s="2795"/>
      <c r="SIG36" s="2795"/>
      <c r="SIH36" s="2795"/>
      <c r="SII36" s="2795"/>
      <c r="SIJ36" s="2795"/>
      <c r="SIK36" s="2795"/>
      <c r="SIL36" s="2795"/>
      <c r="SIM36" s="2795"/>
      <c r="SIN36" s="2795"/>
      <c r="SIO36" s="2795"/>
      <c r="SIP36" s="2795"/>
      <c r="SIQ36" s="2795"/>
      <c r="SIR36" s="2795"/>
      <c r="SIS36" s="2795"/>
      <c r="SIT36" s="2795"/>
      <c r="SIU36" s="2795"/>
      <c r="SIV36" s="2795"/>
      <c r="SIW36" s="2795"/>
      <c r="SIX36" s="2795"/>
      <c r="SIY36" s="2795"/>
      <c r="SIZ36" s="2795"/>
      <c r="SJA36" s="2795"/>
      <c r="SJB36" s="2795"/>
      <c r="SJC36" s="2795"/>
      <c r="SJD36" s="2795"/>
      <c r="SJE36" s="2795"/>
      <c r="SJF36" s="2795"/>
      <c r="SJG36" s="2795"/>
      <c r="SJH36" s="2795"/>
      <c r="SJI36" s="2795"/>
      <c r="SJJ36" s="2795"/>
      <c r="SJK36" s="2795"/>
      <c r="SJL36" s="2795"/>
      <c r="SJM36" s="2795"/>
      <c r="SJN36" s="2795"/>
      <c r="SJO36" s="2795"/>
      <c r="SJP36" s="2795"/>
      <c r="SJQ36" s="2795"/>
      <c r="SJR36" s="2795"/>
      <c r="SJS36" s="2795"/>
      <c r="SJT36" s="2795"/>
      <c r="SJU36" s="2795"/>
      <c r="SJV36" s="2795"/>
      <c r="SJW36" s="2795"/>
      <c r="SJX36" s="2795"/>
      <c r="SJY36" s="2795"/>
      <c r="SJZ36" s="2795"/>
      <c r="SKA36" s="2795"/>
      <c r="SKB36" s="2795"/>
      <c r="SKC36" s="2795"/>
      <c r="SKD36" s="2795"/>
      <c r="SKE36" s="2795"/>
      <c r="SKF36" s="2795"/>
      <c r="SKG36" s="2795"/>
      <c r="SKH36" s="2795"/>
      <c r="SKI36" s="2795"/>
      <c r="SKJ36" s="2795"/>
      <c r="SKK36" s="2795"/>
      <c r="SKL36" s="2795"/>
      <c r="SKM36" s="2795"/>
      <c r="SKN36" s="2795"/>
      <c r="SKO36" s="2795"/>
      <c r="SKP36" s="2795"/>
      <c r="SKQ36" s="2795"/>
      <c r="SKR36" s="2795"/>
      <c r="SKS36" s="2795"/>
      <c r="SKT36" s="2795"/>
      <c r="SKU36" s="2795"/>
      <c r="SKV36" s="2795"/>
      <c r="SKW36" s="2795"/>
      <c r="SKX36" s="2795"/>
      <c r="SKY36" s="2795"/>
      <c r="SKZ36" s="2795"/>
      <c r="SLA36" s="2795"/>
      <c r="SLB36" s="2795"/>
      <c r="SLC36" s="2795"/>
      <c r="SLD36" s="2795"/>
      <c r="SLE36" s="2795"/>
      <c r="SLF36" s="2795"/>
      <c r="SLG36" s="2795"/>
      <c r="SLH36" s="2795"/>
      <c r="SLI36" s="2795"/>
      <c r="SLJ36" s="2795"/>
      <c r="SLK36" s="2795"/>
      <c r="SLL36" s="2795"/>
      <c r="SLM36" s="2795"/>
      <c r="SLN36" s="2795"/>
      <c r="SLO36" s="2795"/>
      <c r="SLP36" s="2795"/>
      <c r="SLQ36" s="2795"/>
      <c r="SLR36" s="2795"/>
      <c r="SLS36" s="2795"/>
      <c r="SLT36" s="2795"/>
      <c r="SLU36" s="2795"/>
      <c r="SLV36" s="2795"/>
      <c r="SLW36" s="2795"/>
      <c r="SLX36" s="2795"/>
      <c r="SLY36" s="2795"/>
      <c r="SLZ36" s="2795"/>
      <c r="SMA36" s="2795"/>
      <c r="SMB36" s="2795"/>
      <c r="SMC36" s="2795"/>
      <c r="SMD36" s="2795"/>
      <c r="SME36" s="2795"/>
      <c r="SMF36" s="2795"/>
      <c r="SMG36" s="2795"/>
      <c r="SMH36" s="2795"/>
      <c r="SMI36" s="2795"/>
      <c r="SMJ36" s="2795"/>
      <c r="SMK36" s="2795"/>
      <c r="SML36" s="2795"/>
      <c r="SMM36" s="2795"/>
      <c r="SMN36" s="2795"/>
      <c r="SMO36" s="2795"/>
      <c r="SMP36" s="2795"/>
      <c r="SMQ36" s="2795"/>
      <c r="SMR36" s="2795"/>
      <c r="SMS36" s="2795"/>
      <c r="SMT36" s="2795"/>
      <c r="SMU36" s="2795"/>
      <c r="SMV36" s="2795"/>
      <c r="SMW36" s="2795"/>
      <c r="SMX36" s="2795"/>
      <c r="SMY36" s="2795"/>
      <c r="SMZ36" s="2795"/>
      <c r="SNA36" s="2795"/>
      <c r="SNB36" s="2795"/>
      <c r="SNC36" s="2795"/>
      <c r="SND36" s="2795"/>
      <c r="SNE36" s="2795"/>
      <c r="SNF36" s="2795"/>
      <c r="SNG36" s="2795"/>
      <c r="SNH36" s="2795"/>
      <c r="SNI36" s="2795"/>
      <c r="SNJ36" s="2795"/>
      <c r="SNK36" s="2795"/>
      <c r="SNL36" s="2795"/>
      <c r="SNM36" s="2795"/>
      <c r="SNN36" s="2795"/>
      <c r="SNO36" s="2795"/>
      <c r="SNP36" s="2795"/>
      <c r="SNQ36" s="2795"/>
      <c r="SNR36" s="2795"/>
      <c r="SNS36" s="2795"/>
      <c r="SNT36" s="2795"/>
      <c r="SNU36" s="2795"/>
      <c r="SNV36" s="2795"/>
      <c r="SNW36" s="2795"/>
      <c r="SNX36" s="2795"/>
      <c r="SNY36" s="2795"/>
      <c r="SNZ36" s="2795"/>
      <c r="SOA36" s="2795"/>
      <c r="SOB36" s="2795"/>
      <c r="SOC36" s="2795"/>
      <c r="SOD36" s="2795"/>
      <c r="SOE36" s="2795"/>
      <c r="SOF36" s="2795"/>
      <c r="SOG36" s="2795"/>
      <c r="SOH36" s="2795"/>
      <c r="SOI36" s="2795"/>
      <c r="SOJ36" s="2795"/>
      <c r="SOK36" s="2795"/>
      <c r="SOL36" s="2795"/>
      <c r="SOM36" s="2795"/>
      <c r="SON36" s="2795"/>
      <c r="SOO36" s="2795"/>
      <c r="SOP36" s="2795"/>
      <c r="SOQ36" s="2795"/>
      <c r="SOR36" s="2795"/>
      <c r="SOS36" s="2795"/>
      <c r="SOT36" s="2795"/>
      <c r="SOU36" s="2795"/>
      <c r="SOV36" s="2795"/>
      <c r="SOW36" s="2795"/>
      <c r="SOX36" s="2795"/>
      <c r="SOY36" s="2795"/>
      <c r="SOZ36" s="2795"/>
      <c r="SPA36" s="2795"/>
      <c r="SPB36" s="2795"/>
      <c r="SPC36" s="2795"/>
      <c r="SPD36" s="2795"/>
      <c r="SPE36" s="2795"/>
      <c r="SPF36" s="2795"/>
      <c r="SPG36" s="2795"/>
      <c r="SPH36" s="2795"/>
      <c r="SPI36" s="2795"/>
      <c r="SPJ36" s="2795"/>
      <c r="SPK36" s="2795"/>
      <c r="SPL36" s="2795"/>
      <c r="SPM36" s="2795"/>
      <c r="SPN36" s="2795"/>
      <c r="SPO36" s="2795"/>
      <c r="SPP36" s="2795"/>
      <c r="SPQ36" s="2795"/>
      <c r="SPR36" s="2795"/>
      <c r="SPS36" s="2795"/>
      <c r="SPT36" s="2795"/>
      <c r="SPU36" s="2795"/>
      <c r="SPV36" s="2795"/>
      <c r="SPW36" s="2795"/>
      <c r="SPX36" s="2795"/>
      <c r="SPY36" s="2795"/>
      <c r="SPZ36" s="2795"/>
      <c r="SQA36" s="2795"/>
      <c r="SQB36" s="2795"/>
      <c r="SQC36" s="2795"/>
      <c r="SQD36" s="2795"/>
      <c r="SQE36" s="2795"/>
      <c r="SQF36" s="2795"/>
      <c r="SQG36" s="2795"/>
      <c r="SQH36" s="2795"/>
      <c r="SQI36" s="2795"/>
      <c r="SQJ36" s="2795"/>
      <c r="SQK36" s="2795"/>
      <c r="SQL36" s="2795"/>
      <c r="SQM36" s="2795"/>
      <c r="SQN36" s="2795"/>
      <c r="SQO36" s="2795"/>
      <c r="SQP36" s="2795"/>
      <c r="SQQ36" s="2795"/>
      <c r="SQR36" s="2795"/>
      <c r="SQS36" s="2795"/>
      <c r="SQT36" s="2795"/>
      <c r="SQU36" s="2795"/>
      <c r="SQV36" s="2795"/>
      <c r="SQW36" s="2795"/>
      <c r="SQX36" s="2795"/>
      <c r="SQY36" s="2795"/>
      <c r="SQZ36" s="2795"/>
      <c r="SRA36" s="2795"/>
      <c r="SRB36" s="2795"/>
      <c r="SRC36" s="2795"/>
      <c r="SRD36" s="2795"/>
      <c r="SRE36" s="2795"/>
      <c r="SRF36" s="2795"/>
      <c r="SRG36" s="2795"/>
      <c r="SRH36" s="2795"/>
      <c r="SRI36" s="2795"/>
      <c r="SRJ36" s="2795"/>
      <c r="SRK36" s="2795"/>
      <c r="SRL36" s="2795"/>
      <c r="SRM36" s="2795"/>
      <c r="SRN36" s="2795"/>
      <c r="SRO36" s="2795"/>
      <c r="SRP36" s="2795"/>
      <c r="SRQ36" s="2795"/>
      <c r="SRR36" s="2795"/>
      <c r="SRS36" s="2795"/>
      <c r="SRT36" s="2795"/>
      <c r="SRU36" s="2795"/>
      <c r="SRV36" s="2795"/>
      <c r="SRW36" s="2795"/>
      <c r="SRX36" s="2795"/>
      <c r="SRY36" s="2795"/>
      <c r="SRZ36" s="2795"/>
      <c r="SSA36" s="2795"/>
      <c r="SSB36" s="2795"/>
      <c r="SSC36" s="2795"/>
      <c r="SSD36" s="2795"/>
      <c r="SSE36" s="2795"/>
      <c r="SSF36" s="2795"/>
      <c r="SSG36" s="2795"/>
      <c r="SSH36" s="2795"/>
      <c r="SSI36" s="2795"/>
      <c r="SSJ36" s="2795"/>
      <c r="SSK36" s="2795"/>
      <c r="SSL36" s="2795"/>
      <c r="SSM36" s="2795"/>
      <c r="SSN36" s="2795"/>
      <c r="SSO36" s="2795"/>
      <c r="SSP36" s="2795"/>
      <c r="SSQ36" s="2795"/>
      <c r="SSR36" s="2795"/>
      <c r="SSS36" s="2795"/>
      <c r="SST36" s="2795"/>
      <c r="SSU36" s="2795"/>
      <c r="SSV36" s="2795"/>
      <c r="SSW36" s="2795"/>
      <c r="SSX36" s="2795"/>
      <c r="SSY36" s="2795"/>
      <c r="SSZ36" s="2795"/>
      <c r="STA36" s="2795"/>
      <c r="STB36" s="2795"/>
      <c r="STC36" s="2795"/>
      <c r="STD36" s="2795"/>
      <c r="STE36" s="2795"/>
      <c r="STF36" s="2795"/>
      <c r="STG36" s="2795"/>
      <c r="STH36" s="2795"/>
      <c r="STI36" s="2795"/>
      <c r="STJ36" s="2795"/>
      <c r="STK36" s="2795"/>
      <c r="STL36" s="2795"/>
      <c r="STM36" s="2795"/>
      <c r="STN36" s="2795"/>
      <c r="STO36" s="2795"/>
      <c r="STP36" s="2795"/>
      <c r="STQ36" s="2795"/>
      <c r="STR36" s="2795"/>
      <c r="STS36" s="2795"/>
      <c r="STT36" s="2795"/>
      <c r="STU36" s="2795"/>
      <c r="STV36" s="2795"/>
      <c r="STW36" s="2795"/>
      <c r="STX36" s="2795"/>
      <c r="STY36" s="2795"/>
      <c r="STZ36" s="2795"/>
      <c r="SUA36" s="2795"/>
      <c r="SUB36" s="2795"/>
      <c r="SUC36" s="2795"/>
      <c r="SUD36" s="2795"/>
      <c r="SUE36" s="2795"/>
      <c r="SUF36" s="2795"/>
      <c r="SUG36" s="2795"/>
      <c r="SUH36" s="2795"/>
      <c r="SUI36" s="2795"/>
      <c r="SUJ36" s="2795"/>
      <c r="SUK36" s="2795"/>
      <c r="SUL36" s="2795"/>
      <c r="SUM36" s="2795"/>
      <c r="SUN36" s="2795"/>
      <c r="SUO36" s="2795"/>
      <c r="SUP36" s="2795"/>
      <c r="SUQ36" s="2795"/>
      <c r="SUR36" s="2795"/>
      <c r="SUS36" s="2795"/>
      <c r="SUT36" s="2795"/>
      <c r="SUU36" s="2795"/>
      <c r="SUV36" s="2795"/>
      <c r="SUW36" s="2795"/>
      <c r="SUX36" s="2795"/>
      <c r="SUY36" s="2795"/>
      <c r="SUZ36" s="2795"/>
      <c r="SVA36" s="2795"/>
      <c r="SVB36" s="2795"/>
      <c r="SVC36" s="2795"/>
      <c r="SVD36" s="2795"/>
      <c r="SVE36" s="2795"/>
      <c r="SVF36" s="2795"/>
      <c r="SVG36" s="2795"/>
      <c r="SVH36" s="2795"/>
      <c r="SVI36" s="2795"/>
      <c r="SVJ36" s="2795"/>
      <c r="SVK36" s="2795"/>
      <c r="SVL36" s="2795"/>
      <c r="SVM36" s="2795"/>
      <c r="SVN36" s="2795"/>
      <c r="SVO36" s="2795"/>
      <c r="SVP36" s="2795"/>
      <c r="SVQ36" s="2795"/>
      <c r="SVR36" s="2795"/>
      <c r="SVS36" s="2795"/>
      <c r="SVT36" s="2795"/>
      <c r="SVU36" s="2795"/>
      <c r="SVV36" s="2795"/>
      <c r="SVW36" s="2795"/>
      <c r="SVX36" s="2795"/>
      <c r="SVY36" s="2795"/>
      <c r="SVZ36" s="2795"/>
      <c r="SWA36" s="2795"/>
      <c r="SWB36" s="2795"/>
      <c r="SWC36" s="2795"/>
      <c r="SWD36" s="2795"/>
      <c r="SWE36" s="2795"/>
      <c r="SWF36" s="2795"/>
      <c r="SWG36" s="2795"/>
      <c r="SWH36" s="2795"/>
      <c r="SWI36" s="2795"/>
      <c r="SWJ36" s="2795"/>
      <c r="SWK36" s="2795"/>
      <c r="SWL36" s="2795"/>
      <c r="SWM36" s="2795"/>
      <c r="SWN36" s="2795"/>
      <c r="SWO36" s="2795"/>
      <c r="SWP36" s="2795"/>
      <c r="SWQ36" s="2795"/>
      <c r="SWR36" s="2795"/>
      <c r="SWS36" s="2795"/>
      <c r="SWT36" s="2795"/>
      <c r="SWU36" s="2795"/>
      <c r="SWV36" s="2795"/>
      <c r="SWW36" s="2795"/>
      <c r="SWX36" s="2795"/>
      <c r="SWY36" s="2795"/>
      <c r="SWZ36" s="2795"/>
      <c r="SXA36" s="2795"/>
      <c r="SXB36" s="2795"/>
      <c r="SXC36" s="2795"/>
      <c r="SXD36" s="2795"/>
      <c r="SXE36" s="2795"/>
      <c r="SXF36" s="2795"/>
      <c r="SXG36" s="2795"/>
      <c r="SXH36" s="2795"/>
      <c r="SXI36" s="2795"/>
      <c r="SXJ36" s="2795"/>
      <c r="SXK36" s="2795"/>
      <c r="SXL36" s="2795"/>
      <c r="SXM36" s="2795"/>
      <c r="SXN36" s="2795"/>
      <c r="SXO36" s="2795"/>
      <c r="SXP36" s="2795"/>
      <c r="SXQ36" s="2795"/>
      <c r="SXR36" s="2795"/>
      <c r="SXS36" s="2795"/>
      <c r="SXT36" s="2795"/>
      <c r="SXU36" s="2795"/>
      <c r="SXV36" s="2795"/>
      <c r="SXW36" s="2795"/>
      <c r="SXX36" s="2795"/>
      <c r="SXY36" s="2795"/>
      <c r="SXZ36" s="2795"/>
      <c r="SYA36" s="2795"/>
      <c r="SYB36" s="2795"/>
      <c r="SYC36" s="2795"/>
      <c r="SYD36" s="2795"/>
      <c r="SYE36" s="2795"/>
      <c r="SYF36" s="2795"/>
      <c r="SYG36" s="2795"/>
      <c r="SYH36" s="2795"/>
      <c r="SYI36" s="2795"/>
      <c r="SYJ36" s="2795"/>
      <c r="SYK36" s="2795"/>
      <c r="SYL36" s="2795"/>
      <c r="SYM36" s="2795"/>
      <c r="SYN36" s="2795"/>
      <c r="SYO36" s="2795"/>
      <c r="SYP36" s="2795"/>
      <c r="SYQ36" s="2795"/>
      <c r="SYR36" s="2795"/>
      <c r="SYS36" s="2795"/>
      <c r="SYT36" s="2795"/>
      <c r="SYU36" s="2795"/>
      <c r="SYV36" s="2795"/>
      <c r="SYW36" s="2795"/>
      <c r="SYX36" s="2795"/>
      <c r="SYY36" s="2795"/>
      <c r="SYZ36" s="2795"/>
      <c r="SZA36" s="2795"/>
      <c r="SZB36" s="2795"/>
      <c r="SZC36" s="2795"/>
      <c r="SZD36" s="2795"/>
      <c r="SZE36" s="2795"/>
      <c r="SZF36" s="2795"/>
      <c r="SZG36" s="2795"/>
      <c r="SZH36" s="2795"/>
      <c r="SZI36" s="2795"/>
      <c r="SZJ36" s="2795"/>
      <c r="SZK36" s="2795"/>
      <c r="SZL36" s="2795"/>
      <c r="SZM36" s="2795"/>
      <c r="SZN36" s="2795"/>
      <c r="SZO36" s="2795"/>
      <c r="SZP36" s="2795"/>
      <c r="SZQ36" s="2795"/>
      <c r="SZR36" s="2795"/>
      <c r="SZS36" s="2795"/>
      <c r="SZT36" s="2795"/>
      <c r="SZU36" s="2795"/>
      <c r="SZV36" s="2795"/>
      <c r="SZW36" s="2795"/>
      <c r="SZX36" s="2795"/>
      <c r="SZY36" s="2795"/>
      <c r="SZZ36" s="2795"/>
      <c r="TAA36" s="2795"/>
      <c r="TAB36" s="2795"/>
      <c r="TAC36" s="2795"/>
      <c r="TAD36" s="2795"/>
      <c r="TAE36" s="2795"/>
      <c r="TAF36" s="2795"/>
      <c r="TAG36" s="2795"/>
      <c r="TAH36" s="2795"/>
      <c r="TAI36" s="2795"/>
      <c r="TAJ36" s="2795"/>
      <c r="TAK36" s="2795"/>
      <c r="TAL36" s="2795"/>
      <c r="TAM36" s="2795"/>
      <c r="TAN36" s="2795"/>
      <c r="TAO36" s="2795"/>
      <c r="TAP36" s="2795"/>
      <c r="TAQ36" s="2795"/>
      <c r="TAR36" s="2795"/>
      <c r="TAS36" s="2795"/>
      <c r="TAT36" s="2795"/>
      <c r="TAU36" s="2795"/>
      <c r="TAV36" s="2795"/>
      <c r="TAW36" s="2795"/>
      <c r="TAX36" s="2795"/>
      <c r="TAY36" s="2795"/>
      <c r="TAZ36" s="2795"/>
      <c r="TBA36" s="2795"/>
      <c r="TBB36" s="2795"/>
      <c r="TBC36" s="2795"/>
      <c r="TBD36" s="2795"/>
      <c r="TBE36" s="2795"/>
      <c r="TBF36" s="2795"/>
      <c r="TBG36" s="2795"/>
      <c r="TBH36" s="2795"/>
      <c r="TBI36" s="2795"/>
      <c r="TBJ36" s="2795"/>
      <c r="TBK36" s="2795"/>
      <c r="TBL36" s="2795"/>
      <c r="TBM36" s="2795"/>
      <c r="TBN36" s="2795"/>
      <c r="TBO36" s="2795"/>
      <c r="TBP36" s="2795"/>
      <c r="TBQ36" s="2795"/>
      <c r="TBR36" s="2795"/>
      <c r="TBS36" s="2795"/>
      <c r="TBT36" s="2795"/>
      <c r="TBU36" s="2795"/>
      <c r="TBV36" s="2795"/>
      <c r="TBW36" s="2795"/>
      <c r="TBX36" s="2795"/>
      <c r="TBY36" s="2795"/>
      <c r="TBZ36" s="2795"/>
      <c r="TCA36" s="2795"/>
      <c r="TCB36" s="2795"/>
      <c r="TCC36" s="2795"/>
      <c r="TCD36" s="2795"/>
      <c r="TCE36" s="2795"/>
      <c r="TCF36" s="2795"/>
      <c r="TCG36" s="2795"/>
      <c r="TCH36" s="2795"/>
      <c r="TCI36" s="2795"/>
      <c r="TCJ36" s="2795"/>
      <c r="TCK36" s="2795"/>
      <c r="TCL36" s="2795"/>
      <c r="TCM36" s="2795"/>
      <c r="TCN36" s="2795"/>
      <c r="TCO36" s="2795"/>
      <c r="TCP36" s="2795"/>
      <c r="TCQ36" s="2795"/>
      <c r="TCR36" s="2795"/>
      <c r="TCS36" s="2795"/>
      <c r="TCT36" s="2795"/>
      <c r="TCU36" s="2795"/>
      <c r="TCV36" s="2795"/>
      <c r="TCW36" s="2795"/>
      <c r="TCX36" s="2795"/>
      <c r="TCY36" s="2795"/>
      <c r="TCZ36" s="2795"/>
      <c r="TDA36" s="2795"/>
      <c r="TDB36" s="2795"/>
      <c r="TDC36" s="2795"/>
      <c r="TDD36" s="2795"/>
      <c r="TDE36" s="2795"/>
      <c r="TDF36" s="2795"/>
      <c r="TDG36" s="2795"/>
      <c r="TDH36" s="2795"/>
      <c r="TDI36" s="2795"/>
      <c r="TDJ36" s="2795"/>
      <c r="TDK36" s="2795"/>
      <c r="TDL36" s="2795"/>
      <c r="TDM36" s="2795"/>
      <c r="TDN36" s="2795"/>
      <c r="TDO36" s="2795"/>
      <c r="TDP36" s="2795"/>
      <c r="TDQ36" s="2795"/>
      <c r="TDR36" s="2795"/>
      <c r="TDS36" s="2795"/>
      <c r="TDT36" s="2795"/>
      <c r="TDU36" s="2795"/>
      <c r="TDV36" s="2795"/>
      <c r="TDW36" s="2795"/>
      <c r="TDX36" s="2795"/>
      <c r="TDY36" s="2795"/>
      <c r="TDZ36" s="2795"/>
      <c r="TEA36" s="2795"/>
      <c r="TEB36" s="2795"/>
      <c r="TEC36" s="2795"/>
      <c r="TED36" s="2795"/>
      <c r="TEE36" s="2795"/>
      <c r="TEF36" s="2795"/>
      <c r="TEG36" s="2795"/>
      <c r="TEH36" s="2795"/>
      <c r="TEI36" s="2795"/>
      <c r="TEJ36" s="2795"/>
      <c r="TEK36" s="2795"/>
      <c r="TEL36" s="2795"/>
      <c r="TEM36" s="2795"/>
      <c r="TEN36" s="2795"/>
      <c r="TEO36" s="2795"/>
      <c r="TEP36" s="2795"/>
      <c r="TEQ36" s="2795"/>
      <c r="TER36" s="2795"/>
      <c r="TES36" s="2795"/>
      <c r="TET36" s="2795"/>
      <c r="TEU36" s="2795"/>
      <c r="TEV36" s="2795"/>
      <c r="TEW36" s="2795"/>
      <c r="TEX36" s="2795"/>
      <c r="TEY36" s="2795"/>
      <c r="TEZ36" s="2795"/>
      <c r="TFA36" s="2795"/>
      <c r="TFB36" s="2795"/>
      <c r="TFC36" s="2795"/>
      <c r="TFD36" s="2795"/>
      <c r="TFE36" s="2795"/>
      <c r="TFF36" s="2795"/>
      <c r="TFG36" s="2795"/>
      <c r="TFH36" s="2795"/>
      <c r="TFI36" s="2795"/>
      <c r="TFJ36" s="2795"/>
      <c r="TFK36" s="2795"/>
      <c r="TFL36" s="2795"/>
      <c r="TFM36" s="2795"/>
      <c r="TFN36" s="2795"/>
      <c r="TFO36" s="2795"/>
      <c r="TFP36" s="2795"/>
      <c r="TFQ36" s="2795"/>
      <c r="TFR36" s="2795"/>
      <c r="TFS36" s="2795"/>
      <c r="TFT36" s="2795"/>
      <c r="TFU36" s="2795"/>
      <c r="TFV36" s="2795"/>
      <c r="TFW36" s="2795"/>
      <c r="TFX36" s="2795"/>
      <c r="TFY36" s="2795"/>
      <c r="TFZ36" s="2795"/>
      <c r="TGA36" s="2795"/>
      <c r="TGB36" s="2795"/>
      <c r="TGC36" s="2795"/>
      <c r="TGD36" s="2795"/>
      <c r="TGE36" s="2795"/>
      <c r="TGF36" s="2795"/>
      <c r="TGG36" s="2795"/>
      <c r="TGH36" s="2795"/>
      <c r="TGI36" s="2795"/>
      <c r="TGJ36" s="2795"/>
      <c r="TGK36" s="2795"/>
      <c r="TGL36" s="2795"/>
      <c r="TGM36" s="2795"/>
      <c r="TGN36" s="2795"/>
      <c r="TGO36" s="2795"/>
      <c r="TGP36" s="2795"/>
      <c r="TGQ36" s="2795"/>
      <c r="TGR36" s="2795"/>
      <c r="TGS36" s="2795"/>
      <c r="TGT36" s="2795"/>
      <c r="TGU36" s="2795"/>
      <c r="TGV36" s="2795"/>
      <c r="TGW36" s="2795"/>
      <c r="TGX36" s="2795"/>
      <c r="TGY36" s="2795"/>
      <c r="TGZ36" s="2795"/>
      <c r="THA36" s="2795"/>
      <c r="THB36" s="2795"/>
      <c r="THC36" s="2795"/>
      <c r="THD36" s="2795"/>
      <c r="THE36" s="2795"/>
      <c r="THF36" s="2795"/>
      <c r="THG36" s="2795"/>
      <c r="THH36" s="2795"/>
      <c r="THI36" s="2795"/>
      <c r="THJ36" s="2795"/>
      <c r="THK36" s="2795"/>
      <c r="THL36" s="2795"/>
      <c r="THM36" s="2795"/>
      <c r="THN36" s="2795"/>
      <c r="THO36" s="2795"/>
      <c r="THP36" s="2795"/>
      <c r="THQ36" s="2795"/>
      <c r="THR36" s="2795"/>
      <c r="THS36" s="2795"/>
      <c r="THT36" s="2795"/>
      <c r="THU36" s="2795"/>
      <c r="THV36" s="2795"/>
      <c r="THW36" s="2795"/>
      <c r="THX36" s="2795"/>
      <c r="THY36" s="2795"/>
      <c r="THZ36" s="2795"/>
      <c r="TIA36" s="2795"/>
      <c r="TIB36" s="2795"/>
      <c r="TIC36" s="2795"/>
      <c r="TID36" s="2795"/>
      <c r="TIE36" s="2795"/>
      <c r="TIF36" s="2795"/>
      <c r="TIG36" s="2795"/>
      <c r="TIH36" s="2795"/>
      <c r="TII36" s="2795"/>
      <c r="TIJ36" s="2795"/>
      <c r="TIK36" s="2795"/>
      <c r="TIL36" s="2795"/>
      <c r="TIM36" s="2795"/>
      <c r="TIN36" s="2795"/>
      <c r="TIO36" s="2795"/>
      <c r="TIP36" s="2795"/>
      <c r="TIQ36" s="2795"/>
      <c r="TIR36" s="2795"/>
      <c r="TIS36" s="2795"/>
      <c r="TIT36" s="2795"/>
      <c r="TIU36" s="2795"/>
      <c r="TIV36" s="2795"/>
      <c r="TIW36" s="2795"/>
      <c r="TIX36" s="2795"/>
      <c r="TIY36" s="2795"/>
      <c r="TIZ36" s="2795"/>
      <c r="TJA36" s="2795"/>
      <c r="TJB36" s="2795"/>
      <c r="TJC36" s="2795"/>
      <c r="TJD36" s="2795"/>
      <c r="TJE36" s="2795"/>
      <c r="TJF36" s="2795"/>
      <c r="TJG36" s="2795"/>
      <c r="TJH36" s="2795"/>
      <c r="TJI36" s="2795"/>
      <c r="TJJ36" s="2795"/>
      <c r="TJK36" s="2795"/>
      <c r="TJL36" s="2795"/>
      <c r="TJM36" s="2795"/>
      <c r="TJN36" s="2795"/>
      <c r="TJO36" s="2795"/>
      <c r="TJP36" s="2795"/>
      <c r="TJQ36" s="2795"/>
      <c r="TJR36" s="2795"/>
      <c r="TJS36" s="2795"/>
      <c r="TJT36" s="2795"/>
      <c r="TJU36" s="2795"/>
      <c r="TJV36" s="2795"/>
      <c r="TJW36" s="2795"/>
      <c r="TJX36" s="2795"/>
      <c r="TJY36" s="2795"/>
      <c r="TJZ36" s="2795"/>
      <c r="TKA36" s="2795"/>
      <c r="TKB36" s="2795"/>
      <c r="TKC36" s="2795"/>
      <c r="TKD36" s="2795"/>
      <c r="TKE36" s="2795"/>
      <c r="TKF36" s="2795"/>
      <c r="TKG36" s="2795"/>
      <c r="TKH36" s="2795"/>
      <c r="TKI36" s="2795"/>
      <c r="TKJ36" s="2795"/>
      <c r="TKK36" s="2795"/>
      <c r="TKL36" s="2795"/>
      <c r="TKM36" s="2795"/>
      <c r="TKN36" s="2795"/>
      <c r="TKO36" s="2795"/>
      <c r="TKP36" s="2795"/>
      <c r="TKQ36" s="2795"/>
      <c r="TKR36" s="2795"/>
      <c r="TKS36" s="2795"/>
      <c r="TKT36" s="2795"/>
      <c r="TKU36" s="2795"/>
      <c r="TKV36" s="2795"/>
      <c r="TKW36" s="2795"/>
      <c r="TKX36" s="2795"/>
      <c r="TKY36" s="2795"/>
      <c r="TKZ36" s="2795"/>
      <c r="TLA36" s="2795"/>
      <c r="TLB36" s="2795"/>
      <c r="TLC36" s="2795"/>
      <c r="TLD36" s="2795"/>
      <c r="TLE36" s="2795"/>
      <c r="TLF36" s="2795"/>
      <c r="TLG36" s="2795"/>
      <c r="TLH36" s="2795"/>
      <c r="TLI36" s="2795"/>
      <c r="TLJ36" s="2795"/>
      <c r="TLK36" s="2795"/>
      <c r="TLL36" s="2795"/>
      <c r="TLM36" s="2795"/>
      <c r="TLN36" s="2795"/>
      <c r="TLO36" s="2795"/>
      <c r="TLP36" s="2795"/>
      <c r="TLQ36" s="2795"/>
      <c r="TLR36" s="2795"/>
      <c r="TLS36" s="2795"/>
      <c r="TLT36" s="2795"/>
      <c r="TLU36" s="2795"/>
      <c r="TLV36" s="2795"/>
      <c r="TLW36" s="2795"/>
      <c r="TLX36" s="2795"/>
      <c r="TLY36" s="2795"/>
      <c r="TLZ36" s="2795"/>
      <c r="TMA36" s="2795"/>
      <c r="TMB36" s="2795"/>
      <c r="TMC36" s="2795"/>
      <c r="TMD36" s="2795"/>
      <c r="TME36" s="2795"/>
      <c r="TMF36" s="2795"/>
      <c r="TMG36" s="2795"/>
      <c r="TMH36" s="2795"/>
      <c r="TMI36" s="2795"/>
      <c r="TMJ36" s="2795"/>
      <c r="TMK36" s="2795"/>
      <c r="TML36" s="2795"/>
      <c r="TMM36" s="2795"/>
      <c r="TMN36" s="2795"/>
      <c r="TMO36" s="2795"/>
      <c r="TMP36" s="2795"/>
      <c r="TMQ36" s="2795"/>
      <c r="TMR36" s="2795"/>
      <c r="TMS36" s="2795"/>
      <c r="TMT36" s="2795"/>
      <c r="TMU36" s="2795"/>
      <c r="TMV36" s="2795"/>
      <c r="TMW36" s="2795"/>
      <c r="TMX36" s="2795"/>
      <c r="TMY36" s="2795"/>
      <c r="TMZ36" s="2795"/>
      <c r="TNA36" s="2795"/>
      <c r="TNB36" s="2795"/>
      <c r="TNC36" s="2795"/>
      <c r="TND36" s="2795"/>
      <c r="TNE36" s="2795"/>
      <c r="TNF36" s="2795"/>
      <c r="TNG36" s="2795"/>
      <c r="TNH36" s="2795"/>
      <c r="TNI36" s="2795"/>
      <c r="TNJ36" s="2795"/>
      <c r="TNK36" s="2795"/>
      <c r="TNL36" s="2795"/>
      <c r="TNM36" s="2795"/>
      <c r="TNN36" s="2795"/>
      <c r="TNO36" s="2795"/>
      <c r="TNP36" s="2795"/>
      <c r="TNQ36" s="2795"/>
      <c r="TNR36" s="2795"/>
      <c r="TNS36" s="2795"/>
      <c r="TNT36" s="2795"/>
      <c r="TNU36" s="2795"/>
      <c r="TNV36" s="2795"/>
      <c r="TNW36" s="2795"/>
      <c r="TNX36" s="2795"/>
      <c r="TNY36" s="2795"/>
      <c r="TNZ36" s="2795"/>
      <c r="TOA36" s="2795"/>
      <c r="TOB36" s="2795"/>
      <c r="TOC36" s="2795"/>
      <c r="TOD36" s="2795"/>
      <c r="TOE36" s="2795"/>
      <c r="TOF36" s="2795"/>
      <c r="TOG36" s="2795"/>
      <c r="TOH36" s="2795"/>
      <c r="TOI36" s="2795"/>
      <c r="TOJ36" s="2795"/>
      <c r="TOK36" s="2795"/>
      <c r="TOL36" s="2795"/>
      <c r="TOM36" s="2795"/>
      <c r="TON36" s="2795"/>
      <c r="TOO36" s="2795"/>
      <c r="TOP36" s="2795"/>
      <c r="TOQ36" s="2795"/>
      <c r="TOR36" s="2795"/>
      <c r="TOS36" s="2795"/>
      <c r="TOT36" s="2795"/>
      <c r="TOU36" s="2795"/>
      <c r="TOV36" s="2795"/>
      <c r="TOW36" s="2795"/>
      <c r="TOX36" s="2795"/>
      <c r="TOY36" s="2795"/>
      <c r="TOZ36" s="2795"/>
      <c r="TPA36" s="2795"/>
      <c r="TPB36" s="2795"/>
      <c r="TPC36" s="2795"/>
      <c r="TPD36" s="2795"/>
      <c r="TPE36" s="2795"/>
      <c r="TPF36" s="2795"/>
      <c r="TPG36" s="2795"/>
      <c r="TPH36" s="2795"/>
      <c r="TPI36" s="2795"/>
      <c r="TPJ36" s="2795"/>
      <c r="TPK36" s="2795"/>
      <c r="TPL36" s="2795"/>
      <c r="TPM36" s="2795"/>
      <c r="TPN36" s="2795"/>
      <c r="TPO36" s="2795"/>
      <c r="TPP36" s="2795"/>
      <c r="TPQ36" s="2795"/>
      <c r="TPR36" s="2795"/>
      <c r="TPS36" s="2795"/>
      <c r="TPT36" s="2795"/>
      <c r="TPU36" s="2795"/>
      <c r="TPV36" s="2795"/>
      <c r="TPW36" s="2795"/>
      <c r="TPX36" s="2795"/>
      <c r="TPY36" s="2795"/>
      <c r="TPZ36" s="2795"/>
      <c r="TQA36" s="2795"/>
      <c r="TQB36" s="2795"/>
      <c r="TQC36" s="2795"/>
      <c r="TQD36" s="2795"/>
      <c r="TQE36" s="2795"/>
      <c r="TQF36" s="2795"/>
      <c r="TQG36" s="2795"/>
      <c r="TQH36" s="2795"/>
      <c r="TQI36" s="2795"/>
      <c r="TQJ36" s="2795"/>
      <c r="TQK36" s="2795"/>
      <c r="TQL36" s="2795"/>
      <c r="TQM36" s="2795"/>
      <c r="TQN36" s="2795"/>
      <c r="TQO36" s="2795"/>
      <c r="TQP36" s="2795"/>
      <c r="TQQ36" s="2795"/>
      <c r="TQR36" s="2795"/>
      <c r="TQS36" s="2795"/>
      <c r="TQT36" s="2795"/>
      <c r="TQU36" s="2795"/>
      <c r="TQV36" s="2795"/>
      <c r="TQW36" s="2795"/>
      <c r="TQX36" s="2795"/>
      <c r="TQY36" s="2795"/>
      <c r="TQZ36" s="2795"/>
      <c r="TRA36" s="2795"/>
      <c r="TRB36" s="2795"/>
      <c r="TRC36" s="2795"/>
      <c r="TRD36" s="2795"/>
      <c r="TRE36" s="2795"/>
      <c r="TRF36" s="2795"/>
      <c r="TRG36" s="2795"/>
      <c r="TRH36" s="2795"/>
      <c r="TRI36" s="2795"/>
      <c r="TRJ36" s="2795"/>
      <c r="TRK36" s="2795"/>
      <c r="TRL36" s="2795"/>
      <c r="TRM36" s="2795"/>
      <c r="TRN36" s="2795"/>
      <c r="TRO36" s="2795"/>
      <c r="TRP36" s="2795"/>
      <c r="TRQ36" s="2795"/>
      <c r="TRR36" s="2795"/>
      <c r="TRS36" s="2795"/>
      <c r="TRT36" s="2795"/>
      <c r="TRU36" s="2795"/>
      <c r="TRV36" s="2795"/>
      <c r="TRW36" s="2795"/>
      <c r="TRX36" s="2795"/>
      <c r="TRY36" s="2795"/>
      <c r="TRZ36" s="2795"/>
      <c r="TSA36" s="2795"/>
      <c r="TSB36" s="2795"/>
      <c r="TSC36" s="2795"/>
      <c r="TSD36" s="2795"/>
      <c r="TSE36" s="2795"/>
      <c r="TSF36" s="2795"/>
      <c r="TSG36" s="2795"/>
      <c r="TSH36" s="2795"/>
      <c r="TSI36" s="2795"/>
      <c r="TSJ36" s="2795"/>
      <c r="TSK36" s="2795"/>
      <c r="TSL36" s="2795"/>
      <c r="TSM36" s="2795"/>
      <c r="TSN36" s="2795"/>
      <c r="TSO36" s="2795"/>
      <c r="TSP36" s="2795"/>
      <c r="TSQ36" s="2795"/>
      <c r="TSR36" s="2795"/>
      <c r="TSS36" s="2795"/>
      <c r="TST36" s="2795"/>
      <c r="TSU36" s="2795"/>
      <c r="TSV36" s="2795"/>
      <c r="TSW36" s="2795"/>
      <c r="TSX36" s="2795"/>
      <c r="TSY36" s="2795"/>
      <c r="TSZ36" s="2795"/>
      <c r="TTA36" s="2795"/>
      <c r="TTB36" s="2795"/>
      <c r="TTC36" s="2795"/>
      <c r="TTD36" s="2795"/>
      <c r="TTE36" s="2795"/>
      <c r="TTF36" s="2795"/>
      <c r="TTG36" s="2795"/>
      <c r="TTH36" s="2795"/>
      <c r="TTI36" s="2795"/>
      <c r="TTJ36" s="2795"/>
      <c r="TTK36" s="2795"/>
      <c r="TTL36" s="2795"/>
      <c r="TTM36" s="2795"/>
      <c r="TTN36" s="2795"/>
      <c r="TTO36" s="2795"/>
      <c r="TTP36" s="2795"/>
      <c r="TTQ36" s="2795"/>
      <c r="TTR36" s="2795"/>
      <c r="TTS36" s="2795"/>
      <c r="TTT36" s="2795"/>
      <c r="TTU36" s="2795"/>
      <c r="TTV36" s="2795"/>
      <c r="TTW36" s="2795"/>
      <c r="TTX36" s="2795"/>
      <c r="TTY36" s="2795"/>
      <c r="TTZ36" s="2795"/>
      <c r="TUA36" s="2795"/>
      <c r="TUB36" s="2795"/>
      <c r="TUC36" s="2795"/>
      <c r="TUD36" s="2795"/>
      <c r="TUE36" s="2795"/>
      <c r="TUF36" s="2795"/>
      <c r="TUG36" s="2795"/>
      <c r="TUH36" s="2795"/>
      <c r="TUI36" s="2795"/>
      <c r="TUJ36" s="2795"/>
      <c r="TUK36" s="2795"/>
      <c r="TUL36" s="2795"/>
      <c r="TUM36" s="2795"/>
      <c r="TUN36" s="2795"/>
      <c r="TUO36" s="2795"/>
      <c r="TUP36" s="2795"/>
      <c r="TUQ36" s="2795"/>
      <c r="TUR36" s="2795"/>
      <c r="TUS36" s="2795"/>
      <c r="TUT36" s="2795"/>
      <c r="TUU36" s="2795"/>
      <c r="TUV36" s="2795"/>
      <c r="TUW36" s="2795"/>
      <c r="TUX36" s="2795"/>
      <c r="TUY36" s="2795"/>
      <c r="TUZ36" s="2795"/>
      <c r="TVA36" s="2795"/>
      <c r="TVB36" s="2795"/>
      <c r="TVC36" s="2795"/>
      <c r="TVD36" s="2795"/>
      <c r="TVE36" s="2795"/>
      <c r="TVF36" s="2795"/>
      <c r="TVG36" s="2795"/>
      <c r="TVH36" s="2795"/>
      <c r="TVI36" s="2795"/>
      <c r="TVJ36" s="2795"/>
      <c r="TVK36" s="2795"/>
      <c r="TVL36" s="2795"/>
      <c r="TVM36" s="2795"/>
      <c r="TVN36" s="2795"/>
      <c r="TVO36" s="2795"/>
      <c r="TVP36" s="2795"/>
      <c r="TVQ36" s="2795"/>
      <c r="TVR36" s="2795"/>
      <c r="TVS36" s="2795"/>
      <c r="TVT36" s="2795"/>
      <c r="TVU36" s="2795"/>
      <c r="TVV36" s="2795"/>
      <c r="TVW36" s="2795"/>
      <c r="TVX36" s="2795"/>
      <c r="TVY36" s="2795"/>
      <c r="TVZ36" s="2795"/>
      <c r="TWA36" s="2795"/>
      <c r="TWB36" s="2795"/>
      <c r="TWC36" s="2795"/>
      <c r="TWD36" s="2795"/>
      <c r="TWE36" s="2795"/>
      <c r="TWF36" s="2795"/>
      <c r="TWG36" s="2795"/>
      <c r="TWH36" s="2795"/>
      <c r="TWI36" s="2795"/>
      <c r="TWJ36" s="2795"/>
      <c r="TWK36" s="2795"/>
      <c r="TWL36" s="2795"/>
      <c r="TWM36" s="2795"/>
      <c r="TWN36" s="2795"/>
      <c r="TWO36" s="2795"/>
      <c r="TWP36" s="2795"/>
      <c r="TWQ36" s="2795"/>
      <c r="TWR36" s="2795"/>
      <c r="TWS36" s="2795"/>
      <c r="TWT36" s="2795"/>
      <c r="TWU36" s="2795"/>
      <c r="TWV36" s="2795"/>
      <c r="TWW36" s="2795"/>
      <c r="TWX36" s="2795"/>
      <c r="TWY36" s="2795"/>
      <c r="TWZ36" s="2795"/>
      <c r="TXA36" s="2795"/>
      <c r="TXB36" s="2795"/>
      <c r="TXC36" s="2795"/>
      <c r="TXD36" s="2795"/>
      <c r="TXE36" s="2795"/>
      <c r="TXF36" s="2795"/>
      <c r="TXG36" s="2795"/>
      <c r="TXH36" s="2795"/>
      <c r="TXI36" s="2795"/>
      <c r="TXJ36" s="2795"/>
      <c r="TXK36" s="2795"/>
      <c r="TXL36" s="2795"/>
      <c r="TXM36" s="2795"/>
      <c r="TXN36" s="2795"/>
      <c r="TXO36" s="2795"/>
      <c r="TXP36" s="2795"/>
      <c r="TXQ36" s="2795"/>
      <c r="TXR36" s="2795"/>
      <c r="TXS36" s="2795"/>
      <c r="TXT36" s="2795"/>
      <c r="TXU36" s="2795"/>
      <c r="TXV36" s="2795"/>
      <c r="TXW36" s="2795"/>
      <c r="TXX36" s="2795"/>
      <c r="TXY36" s="2795"/>
      <c r="TXZ36" s="2795"/>
      <c r="TYA36" s="2795"/>
      <c r="TYB36" s="2795"/>
      <c r="TYC36" s="2795"/>
      <c r="TYD36" s="2795"/>
      <c r="TYE36" s="2795"/>
      <c r="TYF36" s="2795"/>
      <c r="TYG36" s="2795"/>
      <c r="TYH36" s="2795"/>
      <c r="TYI36" s="2795"/>
      <c r="TYJ36" s="2795"/>
      <c r="TYK36" s="2795"/>
      <c r="TYL36" s="2795"/>
      <c r="TYM36" s="2795"/>
      <c r="TYN36" s="2795"/>
      <c r="TYO36" s="2795"/>
      <c r="TYP36" s="2795"/>
      <c r="TYQ36" s="2795"/>
      <c r="TYR36" s="2795"/>
      <c r="TYS36" s="2795"/>
      <c r="TYT36" s="2795"/>
      <c r="TYU36" s="2795"/>
      <c r="TYV36" s="2795"/>
      <c r="TYW36" s="2795"/>
      <c r="TYX36" s="2795"/>
      <c r="TYY36" s="2795"/>
      <c r="TYZ36" s="2795"/>
      <c r="TZA36" s="2795"/>
      <c r="TZB36" s="2795"/>
      <c r="TZC36" s="2795"/>
      <c r="TZD36" s="2795"/>
      <c r="TZE36" s="2795"/>
      <c r="TZF36" s="2795"/>
      <c r="TZG36" s="2795"/>
      <c r="TZH36" s="2795"/>
      <c r="TZI36" s="2795"/>
      <c r="TZJ36" s="2795"/>
      <c r="TZK36" s="2795"/>
      <c r="TZL36" s="2795"/>
      <c r="TZM36" s="2795"/>
      <c r="TZN36" s="2795"/>
      <c r="TZO36" s="2795"/>
      <c r="TZP36" s="2795"/>
      <c r="TZQ36" s="2795"/>
      <c r="TZR36" s="2795"/>
      <c r="TZS36" s="2795"/>
      <c r="TZT36" s="2795"/>
      <c r="TZU36" s="2795"/>
      <c r="TZV36" s="2795"/>
      <c r="TZW36" s="2795"/>
      <c r="TZX36" s="2795"/>
      <c r="TZY36" s="2795"/>
      <c r="TZZ36" s="2795"/>
      <c r="UAA36" s="2795"/>
      <c r="UAB36" s="2795"/>
      <c r="UAC36" s="2795"/>
      <c r="UAD36" s="2795"/>
      <c r="UAE36" s="2795"/>
      <c r="UAF36" s="2795"/>
      <c r="UAG36" s="2795"/>
      <c r="UAH36" s="2795"/>
      <c r="UAI36" s="2795"/>
      <c r="UAJ36" s="2795"/>
      <c r="UAK36" s="2795"/>
      <c r="UAL36" s="2795"/>
      <c r="UAM36" s="2795"/>
      <c r="UAN36" s="2795"/>
      <c r="UAO36" s="2795"/>
      <c r="UAP36" s="2795"/>
      <c r="UAQ36" s="2795"/>
      <c r="UAR36" s="2795"/>
      <c r="UAS36" s="2795"/>
      <c r="UAT36" s="2795"/>
      <c r="UAU36" s="2795"/>
      <c r="UAV36" s="2795"/>
      <c r="UAW36" s="2795"/>
      <c r="UAX36" s="2795"/>
      <c r="UAY36" s="2795"/>
      <c r="UAZ36" s="2795"/>
      <c r="UBA36" s="2795"/>
      <c r="UBB36" s="2795"/>
      <c r="UBC36" s="2795"/>
      <c r="UBD36" s="2795"/>
      <c r="UBE36" s="2795"/>
      <c r="UBF36" s="2795"/>
      <c r="UBG36" s="2795"/>
      <c r="UBH36" s="2795"/>
      <c r="UBI36" s="2795"/>
      <c r="UBJ36" s="2795"/>
      <c r="UBK36" s="2795"/>
      <c r="UBL36" s="2795"/>
      <c r="UBM36" s="2795"/>
      <c r="UBN36" s="2795"/>
      <c r="UBO36" s="2795"/>
      <c r="UBP36" s="2795"/>
      <c r="UBQ36" s="2795"/>
      <c r="UBR36" s="2795"/>
      <c r="UBS36" s="2795"/>
      <c r="UBT36" s="2795"/>
      <c r="UBU36" s="2795"/>
      <c r="UBV36" s="2795"/>
      <c r="UBW36" s="2795"/>
      <c r="UBX36" s="2795"/>
      <c r="UBY36" s="2795"/>
      <c r="UBZ36" s="2795"/>
      <c r="UCA36" s="2795"/>
      <c r="UCB36" s="2795"/>
      <c r="UCC36" s="2795"/>
      <c r="UCD36" s="2795"/>
      <c r="UCE36" s="2795"/>
      <c r="UCF36" s="2795"/>
      <c r="UCG36" s="2795"/>
      <c r="UCH36" s="2795"/>
      <c r="UCI36" s="2795"/>
      <c r="UCJ36" s="2795"/>
      <c r="UCK36" s="2795"/>
      <c r="UCL36" s="2795"/>
      <c r="UCM36" s="2795"/>
      <c r="UCN36" s="2795"/>
      <c r="UCO36" s="2795"/>
      <c r="UCP36" s="2795"/>
      <c r="UCQ36" s="2795"/>
      <c r="UCR36" s="2795"/>
      <c r="UCS36" s="2795"/>
      <c r="UCT36" s="2795"/>
      <c r="UCU36" s="2795"/>
      <c r="UCV36" s="2795"/>
      <c r="UCW36" s="2795"/>
      <c r="UCX36" s="2795"/>
      <c r="UCY36" s="2795"/>
      <c r="UCZ36" s="2795"/>
      <c r="UDA36" s="2795"/>
      <c r="UDB36" s="2795"/>
      <c r="UDC36" s="2795"/>
      <c r="UDD36" s="2795"/>
      <c r="UDE36" s="2795"/>
      <c r="UDF36" s="2795"/>
      <c r="UDG36" s="2795"/>
      <c r="UDH36" s="2795"/>
      <c r="UDI36" s="2795"/>
      <c r="UDJ36" s="2795"/>
      <c r="UDK36" s="2795"/>
      <c r="UDL36" s="2795"/>
      <c r="UDM36" s="2795"/>
      <c r="UDN36" s="2795"/>
      <c r="UDO36" s="2795"/>
      <c r="UDP36" s="2795"/>
      <c r="UDQ36" s="2795"/>
      <c r="UDR36" s="2795"/>
      <c r="UDS36" s="2795"/>
      <c r="UDT36" s="2795"/>
      <c r="UDU36" s="2795"/>
      <c r="UDV36" s="2795"/>
      <c r="UDW36" s="2795"/>
      <c r="UDX36" s="2795"/>
      <c r="UDY36" s="2795"/>
      <c r="UDZ36" s="2795"/>
      <c r="UEA36" s="2795"/>
      <c r="UEB36" s="2795"/>
      <c r="UEC36" s="2795"/>
      <c r="UED36" s="2795"/>
      <c r="UEE36" s="2795"/>
      <c r="UEF36" s="2795"/>
      <c r="UEG36" s="2795"/>
      <c r="UEH36" s="2795"/>
      <c r="UEI36" s="2795"/>
      <c r="UEJ36" s="2795"/>
      <c r="UEK36" s="2795"/>
      <c r="UEL36" s="2795"/>
      <c r="UEM36" s="2795"/>
      <c r="UEN36" s="2795"/>
      <c r="UEO36" s="2795"/>
      <c r="UEP36" s="2795"/>
      <c r="UEQ36" s="2795"/>
      <c r="UER36" s="2795"/>
      <c r="UES36" s="2795"/>
      <c r="UET36" s="2795"/>
      <c r="UEU36" s="2795"/>
      <c r="UEV36" s="2795"/>
      <c r="UEW36" s="2795"/>
      <c r="UEX36" s="2795"/>
      <c r="UEY36" s="2795"/>
      <c r="UEZ36" s="2795"/>
      <c r="UFA36" s="2795"/>
      <c r="UFB36" s="2795"/>
      <c r="UFC36" s="2795"/>
      <c r="UFD36" s="2795"/>
      <c r="UFE36" s="2795"/>
      <c r="UFF36" s="2795"/>
      <c r="UFG36" s="2795"/>
      <c r="UFH36" s="2795"/>
      <c r="UFI36" s="2795"/>
      <c r="UFJ36" s="2795"/>
      <c r="UFK36" s="2795"/>
      <c r="UFL36" s="2795"/>
      <c r="UFM36" s="2795"/>
      <c r="UFN36" s="2795"/>
      <c r="UFO36" s="2795"/>
      <c r="UFP36" s="2795"/>
      <c r="UFQ36" s="2795"/>
      <c r="UFR36" s="2795"/>
      <c r="UFS36" s="2795"/>
      <c r="UFT36" s="2795"/>
      <c r="UFU36" s="2795"/>
      <c r="UFV36" s="2795"/>
      <c r="UFW36" s="2795"/>
      <c r="UFX36" s="2795"/>
      <c r="UFY36" s="2795"/>
      <c r="UFZ36" s="2795"/>
      <c r="UGA36" s="2795"/>
      <c r="UGB36" s="2795"/>
      <c r="UGC36" s="2795"/>
      <c r="UGD36" s="2795"/>
      <c r="UGE36" s="2795"/>
      <c r="UGF36" s="2795"/>
      <c r="UGG36" s="2795"/>
      <c r="UGH36" s="2795"/>
      <c r="UGI36" s="2795"/>
      <c r="UGJ36" s="2795"/>
      <c r="UGK36" s="2795"/>
      <c r="UGL36" s="2795"/>
      <c r="UGM36" s="2795"/>
      <c r="UGN36" s="2795"/>
      <c r="UGO36" s="2795"/>
      <c r="UGP36" s="2795"/>
      <c r="UGQ36" s="2795"/>
      <c r="UGR36" s="2795"/>
      <c r="UGS36" s="2795"/>
      <c r="UGT36" s="2795"/>
      <c r="UGU36" s="2795"/>
      <c r="UGV36" s="2795"/>
      <c r="UGW36" s="2795"/>
      <c r="UGX36" s="2795"/>
      <c r="UGY36" s="2795"/>
      <c r="UGZ36" s="2795"/>
      <c r="UHA36" s="2795"/>
      <c r="UHB36" s="2795"/>
      <c r="UHC36" s="2795"/>
      <c r="UHD36" s="2795"/>
      <c r="UHE36" s="2795"/>
      <c r="UHF36" s="2795"/>
      <c r="UHG36" s="2795"/>
      <c r="UHH36" s="2795"/>
      <c r="UHI36" s="2795"/>
      <c r="UHJ36" s="2795"/>
      <c r="UHK36" s="2795"/>
      <c r="UHL36" s="2795"/>
      <c r="UHM36" s="2795"/>
      <c r="UHN36" s="2795"/>
      <c r="UHO36" s="2795"/>
      <c r="UHP36" s="2795"/>
      <c r="UHQ36" s="2795"/>
      <c r="UHR36" s="2795"/>
      <c r="UHS36" s="2795"/>
      <c r="UHT36" s="2795"/>
      <c r="UHU36" s="2795"/>
      <c r="UHV36" s="2795"/>
      <c r="UHW36" s="2795"/>
      <c r="UHX36" s="2795"/>
      <c r="UHY36" s="2795"/>
      <c r="UHZ36" s="2795"/>
      <c r="UIA36" s="2795"/>
      <c r="UIB36" s="2795"/>
      <c r="UIC36" s="2795"/>
      <c r="UID36" s="2795"/>
      <c r="UIE36" s="2795"/>
      <c r="UIF36" s="2795"/>
      <c r="UIG36" s="2795"/>
      <c r="UIH36" s="2795"/>
      <c r="UII36" s="2795"/>
      <c r="UIJ36" s="2795"/>
      <c r="UIK36" s="2795"/>
      <c r="UIL36" s="2795"/>
      <c r="UIM36" s="2795"/>
      <c r="UIN36" s="2795"/>
      <c r="UIO36" s="2795"/>
      <c r="UIP36" s="2795"/>
      <c r="UIQ36" s="2795"/>
      <c r="UIR36" s="2795"/>
      <c r="UIS36" s="2795"/>
      <c r="UIT36" s="2795"/>
      <c r="UIU36" s="2795"/>
      <c r="UIV36" s="2795"/>
      <c r="UIW36" s="2795"/>
      <c r="UIX36" s="2795"/>
      <c r="UIY36" s="2795"/>
      <c r="UIZ36" s="2795"/>
      <c r="UJA36" s="2795"/>
      <c r="UJB36" s="2795"/>
      <c r="UJC36" s="2795"/>
      <c r="UJD36" s="2795"/>
      <c r="UJE36" s="2795"/>
      <c r="UJF36" s="2795"/>
      <c r="UJG36" s="2795"/>
      <c r="UJH36" s="2795"/>
      <c r="UJI36" s="2795"/>
      <c r="UJJ36" s="2795"/>
      <c r="UJK36" s="2795"/>
      <c r="UJL36" s="2795"/>
      <c r="UJM36" s="2795"/>
      <c r="UJN36" s="2795"/>
      <c r="UJO36" s="2795"/>
      <c r="UJP36" s="2795"/>
      <c r="UJQ36" s="2795"/>
      <c r="UJR36" s="2795"/>
      <c r="UJS36" s="2795"/>
      <c r="UJT36" s="2795"/>
      <c r="UJU36" s="2795"/>
      <c r="UJV36" s="2795"/>
      <c r="UJW36" s="2795"/>
      <c r="UJX36" s="2795"/>
      <c r="UJY36" s="2795"/>
      <c r="UJZ36" s="2795"/>
      <c r="UKA36" s="2795"/>
      <c r="UKB36" s="2795"/>
      <c r="UKC36" s="2795"/>
      <c r="UKD36" s="2795"/>
      <c r="UKE36" s="2795"/>
      <c r="UKF36" s="2795"/>
      <c r="UKG36" s="2795"/>
      <c r="UKH36" s="2795"/>
      <c r="UKI36" s="2795"/>
      <c r="UKJ36" s="2795"/>
      <c r="UKK36" s="2795"/>
      <c r="UKL36" s="2795"/>
      <c r="UKM36" s="2795"/>
      <c r="UKN36" s="2795"/>
      <c r="UKO36" s="2795"/>
      <c r="UKP36" s="2795"/>
      <c r="UKQ36" s="2795"/>
      <c r="UKR36" s="2795"/>
      <c r="UKS36" s="2795"/>
      <c r="UKT36" s="2795"/>
      <c r="UKU36" s="2795"/>
      <c r="UKV36" s="2795"/>
      <c r="UKW36" s="2795"/>
      <c r="UKX36" s="2795"/>
      <c r="UKY36" s="2795"/>
      <c r="UKZ36" s="2795"/>
      <c r="ULA36" s="2795"/>
      <c r="ULB36" s="2795"/>
      <c r="ULC36" s="2795"/>
      <c r="ULD36" s="2795"/>
      <c r="ULE36" s="2795"/>
      <c r="ULF36" s="2795"/>
      <c r="ULG36" s="2795"/>
      <c r="ULH36" s="2795"/>
      <c r="ULI36" s="2795"/>
      <c r="ULJ36" s="2795"/>
      <c r="ULK36" s="2795"/>
      <c r="ULL36" s="2795"/>
      <c r="ULM36" s="2795"/>
      <c r="ULN36" s="2795"/>
      <c r="ULO36" s="2795"/>
      <c r="ULP36" s="2795"/>
      <c r="ULQ36" s="2795"/>
      <c r="ULR36" s="2795"/>
      <c r="ULS36" s="2795"/>
      <c r="ULT36" s="2795"/>
      <c r="ULU36" s="2795"/>
      <c r="ULV36" s="2795"/>
      <c r="ULW36" s="2795"/>
      <c r="ULX36" s="2795"/>
      <c r="ULY36" s="2795"/>
      <c r="ULZ36" s="2795"/>
      <c r="UMA36" s="2795"/>
      <c r="UMB36" s="2795"/>
      <c r="UMC36" s="2795"/>
      <c r="UMD36" s="2795"/>
      <c r="UME36" s="2795"/>
      <c r="UMF36" s="2795"/>
      <c r="UMG36" s="2795"/>
      <c r="UMH36" s="2795"/>
      <c r="UMI36" s="2795"/>
      <c r="UMJ36" s="2795"/>
      <c r="UMK36" s="2795"/>
      <c r="UML36" s="2795"/>
      <c r="UMM36" s="2795"/>
      <c r="UMN36" s="2795"/>
      <c r="UMO36" s="2795"/>
      <c r="UMP36" s="2795"/>
      <c r="UMQ36" s="2795"/>
      <c r="UMR36" s="2795"/>
      <c r="UMS36" s="2795"/>
      <c r="UMT36" s="2795"/>
      <c r="UMU36" s="2795"/>
      <c r="UMV36" s="2795"/>
      <c r="UMW36" s="2795"/>
      <c r="UMX36" s="2795"/>
      <c r="UMY36" s="2795"/>
      <c r="UMZ36" s="2795"/>
      <c r="UNA36" s="2795"/>
      <c r="UNB36" s="2795"/>
      <c r="UNC36" s="2795"/>
      <c r="UND36" s="2795"/>
      <c r="UNE36" s="2795"/>
      <c r="UNF36" s="2795"/>
      <c r="UNG36" s="2795"/>
      <c r="UNH36" s="2795"/>
      <c r="UNI36" s="2795"/>
      <c r="UNJ36" s="2795"/>
      <c r="UNK36" s="2795"/>
      <c r="UNL36" s="2795"/>
      <c r="UNM36" s="2795"/>
      <c r="UNN36" s="2795"/>
      <c r="UNO36" s="2795"/>
      <c r="UNP36" s="2795"/>
      <c r="UNQ36" s="2795"/>
      <c r="UNR36" s="2795"/>
      <c r="UNS36" s="2795"/>
      <c r="UNT36" s="2795"/>
      <c r="UNU36" s="2795"/>
      <c r="UNV36" s="2795"/>
      <c r="UNW36" s="2795"/>
      <c r="UNX36" s="2795"/>
      <c r="UNY36" s="2795"/>
      <c r="UNZ36" s="2795"/>
      <c r="UOA36" s="2795"/>
      <c r="UOB36" s="2795"/>
      <c r="UOC36" s="2795"/>
      <c r="UOD36" s="2795"/>
      <c r="UOE36" s="2795"/>
      <c r="UOF36" s="2795"/>
      <c r="UOG36" s="2795"/>
      <c r="UOH36" s="2795"/>
      <c r="UOI36" s="2795"/>
      <c r="UOJ36" s="2795"/>
      <c r="UOK36" s="2795"/>
      <c r="UOL36" s="2795"/>
      <c r="UOM36" s="2795"/>
      <c r="UON36" s="2795"/>
      <c r="UOO36" s="2795"/>
      <c r="UOP36" s="2795"/>
      <c r="UOQ36" s="2795"/>
      <c r="UOR36" s="2795"/>
      <c r="UOS36" s="2795"/>
      <c r="UOT36" s="2795"/>
      <c r="UOU36" s="2795"/>
      <c r="UOV36" s="2795"/>
      <c r="UOW36" s="2795"/>
      <c r="UOX36" s="2795"/>
      <c r="UOY36" s="2795"/>
      <c r="UOZ36" s="2795"/>
      <c r="UPA36" s="2795"/>
      <c r="UPB36" s="2795"/>
      <c r="UPC36" s="2795"/>
      <c r="UPD36" s="2795"/>
      <c r="UPE36" s="2795"/>
      <c r="UPF36" s="2795"/>
      <c r="UPG36" s="2795"/>
      <c r="UPH36" s="2795"/>
      <c r="UPI36" s="2795"/>
      <c r="UPJ36" s="2795"/>
      <c r="UPK36" s="2795"/>
      <c r="UPL36" s="2795"/>
      <c r="UPM36" s="2795"/>
      <c r="UPN36" s="2795"/>
      <c r="UPO36" s="2795"/>
      <c r="UPP36" s="2795"/>
      <c r="UPQ36" s="2795"/>
      <c r="UPR36" s="2795"/>
      <c r="UPS36" s="2795"/>
      <c r="UPT36" s="2795"/>
      <c r="UPU36" s="2795"/>
      <c r="UPV36" s="2795"/>
      <c r="UPW36" s="2795"/>
      <c r="UPX36" s="2795"/>
      <c r="UPY36" s="2795"/>
      <c r="UPZ36" s="2795"/>
      <c r="UQA36" s="2795"/>
      <c r="UQB36" s="2795"/>
      <c r="UQC36" s="2795"/>
      <c r="UQD36" s="2795"/>
      <c r="UQE36" s="2795"/>
      <c r="UQF36" s="2795"/>
      <c r="UQG36" s="2795"/>
      <c r="UQH36" s="2795"/>
      <c r="UQI36" s="2795"/>
      <c r="UQJ36" s="2795"/>
      <c r="UQK36" s="2795"/>
      <c r="UQL36" s="2795"/>
      <c r="UQM36" s="2795"/>
      <c r="UQN36" s="2795"/>
      <c r="UQO36" s="2795"/>
      <c r="UQP36" s="2795"/>
      <c r="UQQ36" s="2795"/>
      <c r="UQR36" s="2795"/>
      <c r="UQS36" s="2795"/>
      <c r="UQT36" s="2795"/>
      <c r="UQU36" s="2795"/>
      <c r="UQV36" s="2795"/>
      <c r="UQW36" s="2795"/>
      <c r="UQX36" s="2795"/>
      <c r="UQY36" s="2795"/>
      <c r="UQZ36" s="2795"/>
      <c r="URA36" s="2795"/>
      <c r="URB36" s="2795"/>
      <c r="URC36" s="2795"/>
      <c r="URD36" s="2795"/>
      <c r="URE36" s="2795"/>
      <c r="URF36" s="2795"/>
      <c r="URG36" s="2795"/>
      <c r="URH36" s="2795"/>
      <c r="URI36" s="2795"/>
      <c r="URJ36" s="2795"/>
      <c r="URK36" s="2795"/>
      <c r="URL36" s="2795"/>
      <c r="URM36" s="2795"/>
      <c r="URN36" s="2795"/>
      <c r="URO36" s="2795"/>
      <c r="URP36" s="2795"/>
      <c r="URQ36" s="2795"/>
      <c r="URR36" s="2795"/>
      <c r="URS36" s="2795"/>
      <c r="URT36" s="2795"/>
      <c r="URU36" s="2795"/>
      <c r="URV36" s="2795"/>
      <c r="URW36" s="2795"/>
      <c r="URX36" s="2795"/>
      <c r="URY36" s="2795"/>
      <c r="URZ36" s="2795"/>
      <c r="USA36" s="2795"/>
      <c r="USB36" s="2795"/>
      <c r="USC36" s="2795"/>
      <c r="USD36" s="2795"/>
      <c r="USE36" s="2795"/>
      <c r="USF36" s="2795"/>
      <c r="USG36" s="2795"/>
      <c r="USH36" s="2795"/>
      <c r="USI36" s="2795"/>
      <c r="USJ36" s="2795"/>
      <c r="USK36" s="2795"/>
      <c r="USL36" s="2795"/>
      <c r="USM36" s="2795"/>
      <c r="USN36" s="2795"/>
      <c r="USO36" s="2795"/>
      <c r="USP36" s="2795"/>
      <c r="USQ36" s="2795"/>
      <c r="USR36" s="2795"/>
      <c r="USS36" s="2795"/>
      <c r="UST36" s="2795"/>
      <c r="USU36" s="2795"/>
      <c r="USV36" s="2795"/>
      <c r="USW36" s="2795"/>
      <c r="USX36" s="2795"/>
      <c r="USY36" s="2795"/>
      <c r="USZ36" s="2795"/>
      <c r="UTA36" s="2795"/>
      <c r="UTB36" s="2795"/>
      <c r="UTC36" s="2795"/>
      <c r="UTD36" s="2795"/>
      <c r="UTE36" s="2795"/>
      <c r="UTF36" s="2795"/>
      <c r="UTG36" s="2795"/>
      <c r="UTH36" s="2795"/>
      <c r="UTI36" s="2795"/>
      <c r="UTJ36" s="2795"/>
      <c r="UTK36" s="2795"/>
      <c r="UTL36" s="2795"/>
      <c r="UTM36" s="2795"/>
      <c r="UTN36" s="2795"/>
      <c r="UTO36" s="2795"/>
      <c r="UTP36" s="2795"/>
      <c r="UTQ36" s="2795"/>
      <c r="UTR36" s="2795"/>
      <c r="UTS36" s="2795"/>
      <c r="UTT36" s="2795"/>
      <c r="UTU36" s="2795"/>
      <c r="UTV36" s="2795"/>
      <c r="UTW36" s="2795"/>
      <c r="UTX36" s="2795"/>
      <c r="UTY36" s="2795"/>
      <c r="UTZ36" s="2795"/>
      <c r="UUA36" s="2795"/>
      <c r="UUB36" s="2795"/>
      <c r="UUC36" s="2795"/>
      <c r="UUD36" s="2795"/>
      <c r="UUE36" s="2795"/>
      <c r="UUF36" s="2795"/>
      <c r="UUG36" s="2795"/>
      <c r="UUH36" s="2795"/>
      <c r="UUI36" s="2795"/>
      <c r="UUJ36" s="2795"/>
      <c r="UUK36" s="2795"/>
      <c r="UUL36" s="2795"/>
      <c r="UUM36" s="2795"/>
      <c r="UUN36" s="2795"/>
      <c r="UUO36" s="2795"/>
      <c r="UUP36" s="2795"/>
      <c r="UUQ36" s="2795"/>
      <c r="UUR36" s="2795"/>
      <c r="UUS36" s="2795"/>
      <c r="UUT36" s="2795"/>
      <c r="UUU36" s="2795"/>
      <c r="UUV36" s="2795"/>
      <c r="UUW36" s="2795"/>
      <c r="UUX36" s="2795"/>
      <c r="UUY36" s="2795"/>
      <c r="UUZ36" s="2795"/>
      <c r="UVA36" s="2795"/>
      <c r="UVB36" s="2795"/>
      <c r="UVC36" s="2795"/>
      <c r="UVD36" s="2795"/>
      <c r="UVE36" s="2795"/>
      <c r="UVF36" s="2795"/>
      <c r="UVG36" s="2795"/>
      <c r="UVH36" s="2795"/>
      <c r="UVI36" s="2795"/>
      <c r="UVJ36" s="2795"/>
      <c r="UVK36" s="2795"/>
      <c r="UVL36" s="2795"/>
      <c r="UVM36" s="2795"/>
      <c r="UVN36" s="2795"/>
      <c r="UVO36" s="2795"/>
      <c r="UVP36" s="2795"/>
      <c r="UVQ36" s="2795"/>
      <c r="UVR36" s="2795"/>
      <c r="UVS36" s="2795"/>
      <c r="UVT36" s="2795"/>
      <c r="UVU36" s="2795"/>
      <c r="UVV36" s="2795"/>
      <c r="UVW36" s="2795"/>
      <c r="UVX36" s="2795"/>
      <c r="UVY36" s="2795"/>
      <c r="UVZ36" s="2795"/>
      <c r="UWA36" s="2795"/>
      <c r="UWB36" s="2795"/>
      <c r="UWC36" s="2795"/>
      <c r="UWD36" s="2795"/>
      <c r="UWE36" s="2795"/>
      <c r="UWF36" s="2795"/>
      <c r="UWG36" s="2795"/>
      <c r="UWH36" s="2795"/>
      <c r="UWI36" s="2795"/>
      <c r="UWJ36" s="2795"/>
      <c r="UWK36" s="2795"/>
      <c r="UWL36" s="2795"/>
      <c r="UWM36" s="2795"/>
      <c r="UWN36" s="2795"/>
      <c r="UWO36" s="2795"/>
      <c r="UWP36" s="2795"/>
      <c r="UWQ36" s="2795"/>
      <c r="UWR36" s="2795"/>
      <c r="UWS36" s="2795"/>
      <c r="UWT36" s="2795"/>
      <c r="UWU36" s="2795"/>
      <c r="UWV36" s="2795"/>
      <c r="UWW36" s="2795"/>
      <c r="UWX36" s="2795"/>
      <c r="UWY36" s="2795"/>
      <c r="UWZ36" s="2795"/>
      <c r="UXA36" s="2795"/>
      <c r="UXB36" s="2795"/>
      <c r="UXC36" s="2795"/>
      <c r="UXD36" s="2795"/>
      <c r="UXE36" s="2795"/>
      <c r="UXF36" s="2795"/>
      <c r="UXG36" s="2795"/>
      <c r="UXH36" s="2795"/>
      <c r="UXI36" s="2795"/>
      <c r="UXJ36" s="2795"/>
      <c r="UXK36" s="2795"/>
      <c r="UXL36" s="2795"/>
      <c r="UXM36" s="2795"/>
      <c r="UXN36" s="2795"/>
      <c r="UXO36" s="2795"/>
      <c r="UXP36" s="2795"/>
      <c r="UXQ36" s="2795"/>
      <c r="UXR36" s="2795"/>
      <c r="UXS36" s="2795"/>
      <c r="UXT36" s="2795"/>
      <c r="UXU36" s="2795"/>
      <c r="UXV36" s="2795"/>
      <c r="UXW36" s="2795"/>
      <c r="UXX36" s="2795"/>
      <c r="UXY36" s="2795"/>
      <c r="UXZ36" s="2795"/>
      <c r="UYA36" s="2795"/>
      <c r="UYB36" s="2795"/>
      <c r="UYC36" s="2795"/>
      <c r="UYD36" s="2795"/>
      <c r="UYE36" s="2795"/>
      <c r="UYF36" s="2795"/>
      <c r="UYG36" s="2795"/>
      <c r="UYH36" s="2795"/>
      <c r="UYI36" s="2795"/>
      <c r="UYJ36" s="2795"/>
      <c r="UYK36" s="2795"/>
      <c r="UYL36" s="2795"/>
      <c r="UYM36" s="2795"/>
      <c r="UYN36" s="2795"/>
      <c r="UYO36" s="2795"/>
      <c r="UYP36" s="2795"/>
      <c r="UYQ36" s="2795"/>
      <c r="UYR36" s="2795"/>
      <c r="UYS36" s="2795"/>
      <c r="UYT36" s="2795"/>
      <c r="UYU36" s="2795"/>
      <c r="UYV36" s="2795"/>
      <c r="UYW36" s="2795"/>
      <c r="UYX36" s="2795"/>
      <c r="UYY36" s="2795"/>
      <c r="UYZ36" s="2795"/>
      <c r="UZA36" s="2795"/>
      <c r="UZB36" s="2795"/>
      <c r="UZC36" s="2795"/>
      <c r="UZD36" s="2795"/>
      <c r="UZE36" s="2795"/>
      <c r="UZF36" s="2795"/>
      <c r="UZG36" s="2795"/>
      <c r="UZH36" s="2795"/>
      <c r="UZI36" s="2795"/>
      <c r="UZJ36" s="2795"/>
      <c r="UZK36" s="2795"/>
      <c r="UZL36" s="2795"/>
      <c r="UZM36" s="2795"/>
      <c r="UZN36" s="2795"/>
      <c r="UZO36" s="2795"/>
      <c r="UZP36" s="2795"/>
      <c r="UZQ36" s="2795"/>
      <c r="UZR36" s="2795"/>
      <c r="UZS36" s="2795"/>
      <c r="UZT36" s="2795"/>
      <c r="UZU36" s="2795"/>
      <c r="UZV36" s="2795"/>
      <c r="UZW36" s="2795"/>
      <c r="UZX36" s="2795"/>
      <c r="UZY36" s="2795"/>
      <c r="UZZ36" s="2795"/>
      <c r="VAA36" s="2795"/>
      <c r="VAB36" s="2795"/>
      <c r="VAC36" s="2795"/>
      <c r="VAD36" s="2795"/>
      <c r="VAE36" s="2795"/>
      <c r="VAF36" s="2795"/>
      <c r="VAG36" s="2795"/>
      <c r="VAH36" s="2795"/>
      <c r="VAI36" s="2795"/>
      <c r="VAJ36" s="2795"/>
      <c r="VAK36" s="2795"/>
      <c r="VAL36" s="2795"/>
      <c r="VAM36" s="2795"/>
      <c r="VAN36" s="2795"/>
      <c r="VAO36" s="2795"/>
      <c r="VAP36" s="2795"/>
      <c r="VAQ36" s="2795"/>
      <c r="VAR36" s="2795"/>
      <c r="VAS36" s="2795"/>
      <c r="VAT36" s="2795"/>
      <c r="VAU36" s="2795"/>
      <c r="VAV36" s="2795"/>
      <c r="VAW36" s="2795"/>
      <c r="VAX36" s="2795"/>
      <c r="VAY36" s="2795"/>
      <c r="VAZ36" s="2795"/>
      <c r="VBA36" s="2795"/>
      <c r="VBB36" s="2795"/>
      <c r="VBC36" s="2795"/>
      <c r="VBD36" s="2795"/>
      <c r="VBE36" s="2795"/>
      <c r="VBF36" s="2795"/>
      <c r="VBG36" s="2795"/>
      <c r="VBH36" s="2795"/>
      <c r="VBI36" s="2795"/>
      <c r="VBJ36" s="2795"/>
      <c r="VBK36" s="2795"/>
      <c r="VBL36" s="2795"/>
      <c r="VBM36" s="2795"/>
      <c r="VBN36" s="2795"/>
      <c r="VBO36" s="2795"/>
      <c r="VBP36" s="2795"/>
      <c r="VBQ36" s="2795"/>
      <c r="VBR36" s="2795"/>
      <c r="VBS36" s="2795"/>
      <c r="VBT36" s="2795"/>
      <c r="VBU36" s="2795"/>
      <c r="VBV36" s="2795"/>
      <c r="VBW36" s="2795"/>
      <c r="VBX36" s="2795"/>
      <c r="VBY36" s="2795"/>
      <c r="VBZ36" s="2795"/>
      <c r="VCA36" s="2795"/>
      <c r="VCB36" s="2795"/>
      <c r="VCC36" s="2795"/>
      <c r="VCD36" s="2795"/>
      <c r="VCE36" s="2795"/>
      <c r="VCF36" s="2795"/>
      <c r="VCG36" s="2795"/>
      <c r="VCH36" s="2795"/>
      <c r="VCI36" s="2795"/>
      <c r="VCJ36" s="2795"/>
      <c r="VCK36" s="2795"/>
      <c r="VCL36" s="2795"/>
      <c r="VCM36" s="2795"/>
      <c r="VCN36" s="2795"/>
      <c r="VCO36" s="2795"/>
      <c r="VCP36" s="2795"/>
      <c r="VCQ36" s="2795"/>
      <c r="VCR36" s="2795"/>
      <c r="VCS36" s="2795"/>
      <c r="VCT36" s="2795"/>
      <c r="VCU36" s="2795"/>
      <c r="VCV36" s="2795"/>
      <c r="VCW36" s="2795"/>
      <c r="VCX36" s="2795"/>
      <c r="VCY36" s="2795"/>
      <c r="VCZ36" s="2795"/>
      <c r="VDA36" s="2795"/>
      <c r="VDB36" s="2795"/>
      <c r="VDC36" s="2795"/>
      <c r="VDD36" s="2795"/>
      <c r="VDE36" s="2795"/>
      <c r="VDF36" s="2795"/>
      <c r="VDG36" s="2795"/>
      <c r="VDH36" s="2795"/>
      <c r="VDI36" s="2795"/>
      <c r="VDJ36" s="2795"/>
      <c r="VDK36" s="2795"/>
      <c r="VDL36" s="2795"/>
      <c r="VDM36" s="2795"/>
      <c r="VDN36" s="2795"/>
      <c r="VDO36" s="2795"/>
      <c r="VDP36" s="2795"/>
      <c r="VDQ36" s="2795"/>
      <c r="VDR36" s="2795"/>
      <c r="VDS36" s="2795"/>
      <c r="VDT36" s="2795"/>
      <c r="VDU36" s="2795"/>
      <c r="VDV36" s="2795"/>
      <c r="VDW36" s="2795"/>
      <c r="VDX36" s="2795"/>
      <c r="VDY36" s="2795"/>
      <c r="VDZ36" s="2795"/>
      <c r="VEA36" s="2795"/>
      <c r="VEB36" s="2795"/>
      <c r="VEC36" s="2795"/>
      <c r="VED36" s="2795"/>
      <c r="VEE36" s="2795"/>
      <c r="VEF36" s="2795"/>
      <c r="VEG36" s="2795"/>
      <c r="VEH36" s="2795"/>
      <c r="VEI36" s="2795"/>
      <c r="VEJ36" s="2795"/>
      <c r="VEK36" s="2795"/>
      <c r="VEL36" s="2795"/>
      <c r="VEM36" s="2795"/>
      <c r="VEN36" s="2795"/>
      <c r="VEO36" s="2795"/>
      <c r="VEP36" s="2795"/>
      <c r="VEQ36" s="2795"/>
      <c r="VER36" s="2795"/>
      <c r="VES36" s="2795"/>
      <c r="VET36" s="2795"/>
      <c r="VEU36" s="2795"/>
      <c r="VEV36" s="2795"/>
      <c r="VEW36" s="2795"/>
      <c r="VEX36" s="2795"/>
      <c r="VEY36" s="2795"/>
      <c r="VEZ36" s="2795"/>
      <c r="VFA36" s="2795"/>
      <c r="VFB36" s="2795"/>
      <c r="VFC36" s="2795"/>
      <c r="VFD36" s="2795"/>
      <c r="VFE36" s="2795"/>
      <c r="VFF36" s="2795"/>
      <c r="VFG36" s="2795"/>
      <c r="VFH36" s="2795"/>
      <c r="VFI36" s="2795"/>
      <c r="VFJ36" s="2795"/>
      <c r="VFK36" s="2795"/>
      <c r="VFL36" s="2795"/>
      <c r="VFM36" s="2795"/>
      <c r="VFN36" s="2795"/>
      <c r="VFO36" s="2795"/>
      <c r="VFP36" s="2795"/>
      <c r="VFQ36" s="2795"/>
      <c r="VFR36" s="2795"/>
      <c r="VFS36" s="2795"/>
      <c r="VFT36" s="2795"/>
      <c r="VFU36" s="2795"/>
      <c r="VFV36" s="2795"/>
      <c r="VFW36" s="2795"/>
      <c r="VFX36" s="2795"/>
      <c r="VFY36" s="2795"/>
      <c r="VFZ36" s="2795"/>
      <c r="VGA36" s="2795"/>
      <c r="VGB36" s="2795"/>
      <c r="VGC36" s="2795"/>
      <c r="VGD36" s="2795"/>
      <c r="VGE36" s="2795"/>
      <c r="VGF36" s="2795"/>
      <c r="VGG36" s="2795"/>
      <c r="VGH36" s="2795"/>
      <c r="VGI36" s="2795"/>
      <c r="VGJ36" s="2795"/>
      <c r="VGK36" s="2795"/>
      <c r="VGL36" s="2795"/>
      <c r="VGM36" s="2795"/>
      <c r="VGN36" s="2795"/>
      <c r="VGO36" s="2795"/>
      <c r="VGP36" s="2795"/>
      <c r="VGQ36" s="2795"/>
      <c r="VGR36" s="2795"/>
      <c r="VGS36" s="2795"/>
      <c r="VGT36" s="2795"/>
      <c r="VGU36" s="2795"/>
      <c r="VGV36" s="2795"/>
      <c r="VGW36" s="2795"/>
      <c r="VGX36" s="2795"/>
      <c r="VGY36" s="2795"/>
      <c r="VGZ36" s="2795"/>
      <c r="VHA36" s="2795"/>
      <c r="VHB36" s="2795"/>
      <c r="VHC36" s="2795"/>
      <c r="VHD36" s="2795"/>
      <c r="VHE36" s="2795"/>
      <c r="VHF36" s="2795"/>
      <c r="VHG36" s="2795"/>
      <c r="VHH36" s="2795"/>
      <c r="VHI36" s="2795"/>
      <c r="VHJ36" s="2795"/>
      <c r="VHK36" s="2795"/>
      <c r="VHL36" s="2795"/>
      <c r="VHM36" s="2795"/>
      <c r="VHN36" s="2795"/>
      <c r="VHO36" s="2795"/>
      <c r="VHP36" s="2795"/>
      <c r="VHQ36" s="2795"/>
      <c r="VHR36" s="2795"/>
      <c r="VHS36" s="2795"/>
      <c r="VHT36" s="2795"/>
      <c r="VHU36" s="2795"/>
      <c r="VHV36" s="2795"/>
      <c r="VHW36" s="2795"/>
      <c r="VHX36" s="2795"/>
      <c r="VHY36" s="2795"/>
      <c r="VHZ36" s="2795"/>
      <c r="VIA36" s="2795"/>
      <c r="VIB36" s="2795"/>
      <c r="VIC36" s="2795"/>
      <c r="VID36" s="2795"/>
      <c r="VIE36" s="2795"/>
      <c r="VIF36" s="2795"/>
      <c r="VIG36" s="2795"/>
      <c r="VIH36" s="2795"/>
      <c r="VII36" s="2795"/>
      <c r="VIJ36" s="2795"/>
      <c r="VIK36" s="2795"/>
      <c r="VIL36" s="2795"/>
      <c r="VIM36" s="2795"/>
      <c r="VIN36" s="2795"/>
      <c r="VIO36" s="2795"/>
      <c r="VIP36" s="2795"/>
      <c r="VIQ36" s="2795"/>
      <c r="VIR36" s="2795"/>
      <c r="VIS36" s="2795"/>
      <c r="VIT36" s="2795"/>
      <c r="VIU36" s="2795"/>
      <c r="VIV36" s="2795"/>
      <c r="VIW36" s="2795"/>
      <c r="VIX36" s="2795"/>
      <c r="VIY36" s="2795"/>
      <c r="VIZ36" s="2795"/>
      <c r="VJA36" s="2795"/>
      <c r="VJB36" s="2795"/>
      <c r="VJC36" s="2795"/>
      <c r="VJD36" s="2795"/>
      <c r="VJE36" s="2795"/>
      <c r="VJF36" s="2795"/>
      <c r="VJG36" s="2795"/>
      <c r="VJH36" s="2795"/>
      <c r="VJI36" s="2795"/>
      <c r="VJJ36" s="2795"/>
      <c r="VJK36" s="2795"/>
      <c r="VJL36" s="2795"/>
      <c r="VJM36" s="2795"/>
      <c r="VJN36" s="2795"/>
      <c r="VJO36" s="2795"/>
      <c r="VJP36" s="2795"/>
      <c r="VJQ36" s="2795"/>
      <c r="VJR36" s="2795"/>
      <c r="VJS36" s="2795"/>
      <c r="VJT36" s="2795"/>
      <c r="VJU36" s="2795"/>
      <c r="VJV36" s="2795"/>
      <c r="VJW36" s="2795"/>
      <c r="VJX36" s="2795"/>
      <c r="VJY36" s="2795"/>
      <c r="VJZ36" s="2795"/>
      <c r="VKA36" s="2795"/>
      <c r="VKB36" s="2795"/>
      <c r="VKC36" s="2795"/>
      <c r="VKD36" s="2795"/>
      <c r="VKE36" s="2795"/>
      <c r="VKF36" s="2795"/>
      <c r="VKG36" s="2795"/>
      <c r="VKH36" s="2795"/>
      <c r="VKI36" s="2795"/>
      <c r="VKJ36" s="2795"/>
      <c r="VKK36" s="2795"/>
      <c r="VKL36" s="2795"/>
      <c r="VKM36" s="2795"/>
      <c r="VKN36" s="2795"/>
      <c r="VKO36" s="2795"/>
      <c r="VKP36" s="2795"/>
      <c r="VKQ36" s="2795"/>
      <c r="VKR36" s="2795"/>
      <c r="VKS36" s="2795"/>
      <c r="VKT36" s="2795"/>
      <c r="VKU36" s="2795"/>
      <c r="VKV36" s="2795"/>
      <c r="VKW36" s="2795"/>
      <c r="VKX36" s="2795"/>
      <c r="VKY36" s="2795"/>
      <c r="VKZ36" s="2795"/>
      <c r="VLA36" s="2795"/>
      <c r="VLB36" s="2795"/>
      <c r="VLC36" s="2795"/>
      <c r="VLD36" s="2795"/>
      <c r="VLE36" s="2795"/>
      <c r="VLF36" s="2795"/>
      <c r="VLG36" s="2795"/>
      <c r="VLH36" s="2795"/>
      <c r="VLI36" s="2795"/>
      <c r="VLJ36" s="2795"/>
      <c r="VLK36" s="2795"/>
      <c r="VLL36" s="2795"/>
      <c r="VLM36" s="2795"/>
      <c r="VLN36" s="2795"/>
      <c r="VLO36" s="2795"/>
      <c r="VLP36" s="2795"/>
      <c r="VLQ36" s="2795"/>
      <c r="VLR36" s="2795"/>
      <c r="VLS36" s="2795"/>
      <c r="VLT36" s="2795"/>
      <c r="VLU36" s="2795"/>
      <c r="VLV36" s="2795"/>
      <c r="VLW36" s="2795"/>
      <c r="VLX36" s="2795"/>
      <c r="VLY36" s="2795"/>
      <c r="VLZ36" s="2795"/>
      <c r="VMA36" s="2795"/>
      <c r="VMB36" s="2795"/>
      <c r="VMC36" s="2795"/>
      <c r="VMD36" s="2795"/>
      <c r="VME36" s="2795"/>
      <c r="VMF36" s="2795"/>
      <c r="VMG36" s="2795"/>
      <c r="VMH36" s="2795"/>
      <c r="VMI36" s="2795"/>
      <c r="VMJ36" s="2795"/>
      <c r="VMK36" s="2795"/>
      <c r="VML36" s="2795"/>
      <c r="VMM36" s="2795"/>
      <c r="VMN36" s="2795"/>
      <c r="VMO36" s="2795"/>
      <c r="VMP36" s="2795"/>
      <c r="VMQ36" s="2795"/>
      <c r="VMR36" s="2795"/>
      <c r="VMS36" s="2795"/>
      <c r="VMT36" s="2795"/>
      <c r="VMU36" s="2795"/>
      <c r="VMV36" s="2795"/>
      <c r="VMW36" s="2795"/>
      <c r="VMX36" s="2795"/>
      <c r="VMY36" s="2795"/>
      <c r="VMZ36" s="2795"/>
      <c r="VNA36" s="2795"/>
      <c r="VNB36" s="2795"/>
      <c r="VNC36" s="2795"/>
      <c r="VND36" s="2795"/>
      <c r="VNE36" s="2795"/>
      <c r="VNF36" s="2795"/>
      <c r="VNG36" s="2795"/>
      <c r="VNH36" s="2795"/>
      <c r="VNI36" s="2795"/>
      <c r="VNJ36" s="2795"/>
      <c r="VNK36" s="2795"/>
      <c r="VNL36" s="2795"/>
      <c r="VNM36" s="2795"/>
      <c r="VNN36" s="2795"/>
      <c r="VNO36" s="2795"/>
      <c r="VNP36" s="2795"/>
      <c r="VNQ36" s="2795"/>
      <c r="VNR36" s="2795"/>
      <c r="VNS36" s="2795"/>
      <c r="VNT36" s="2795"/>
      <c r="VNU36" s="2795"/>
      <c r="VNV36" s="2795"/>
      <c r="VNW36" s="2795"/>
      <c r="VNX36" s="2795"/>
      <c r="VNY36" s="2795"/>
      <c r="VNZ36" s="2795"/>
      <c r="VOA36" s="2795"/>
      <c r="VOB36" s="2795"/>
      <c r="VOC36" s="2795"/>
      <c r="VOD36" s="2795"/>
      <c r="VOE36" s="2795"/>
      <c r="VOF36" s="2795"/>
      <c r="VOG36" s="2795"/>
      <c r="VOH36" s="2795"/>
      <c r="VOI36" s="2795"/>
      <c r="VOJ36" s="2795"/>
      <c r="VOK36" s="2795"/>
      <c r="VOL36" s="2795"/>
      <c r="VOM36" s="2795"/>
      <c r="VON36" s="2795"/>
      <c r="VOO36" s="2795"/>
      <c r="VOP36" s="2795"/>
      <c r="VOQ36" s="2795"/>
      <c r="VOR36" s="2795"/>
      <c r="VOS36" s="2795"/>
      <c r="VOT36" s="2795"/>
      <c r="VOU36" s="2795"/>
      <c r="VOV36" s="2795"/>
      <c r="VOW36" s="2795"/>
      <c r="VOX36" s="2795"/>
      <c r="VOY36" s="2795"/>
      <c r="VOZ36" s="2795"/>
      <c r="VPA36" s="2795"/>
      <c r="VPB36" s="2795"/>
      <c r="VPC36" s="2795"/>
      <c r="VPD36" s="2795"/>
      <c r="VPE36" s="2795"/>
      <c r="VPF36" s="2795"/>
      <c r="VPG36" s="2795"/>
      <c r="VPH36" s="2795"/>
      <c r="VPI36" s="2795"/>
      <c r="VPJ36" s="2795"/>
      <c r="VPK36" s="2795"/>
      <c r="VPL36" s="2795"/>
      <c r="VPM36" s="2795"/>
      <c r="VPN36" s="2795"/>
      <c r="VPO36" s="2795"/>
      <c r="VPP36" s="2795"/>
      <c r="VPQ36" s="2795"/>
      <c r="VPR36" s="2795"/>
      <c r="VPS36" s="2795"/>
      <c r="VPT36" s="2795"/>
      <c r="VPU36" s="2795"/>
      <c r="VPV36" s="2795"/>
      <c r="VPW36" s="2795"/>
      <c r="VPX36" s="2795"/>
      <c r="VPY36" s="2795"/>
      <c r="VPZ36" s="2795"/>
      <c r="VQA36" s="2795"/>
      <c r="VQB36" s="2795"/>
      <c r="VQC36" s="2795"/>
      <c r="VQD36" s="2795"/>
      <c r="VQE36" s="2795"/>
      <c r="VQF36" s="2795"/>
      <c r="VQG36" s="2795"/>
      <c r="VQH36" s="2795"/>
      <c r="VQI36" s="2795"/>
      <c r="VQJ36" s="2795"/>
      <c r="VQK36" s="2795"/>
      <c r="VQL36" s="2795"/>
      <c r="VQM36" s="2795"/>
      <c r="VQN36" s="2795"/>
      <c r="VQO36" s="2795"/>
      <c r="VQP36" s="2795"/>
      <c r="VQQ36" s="2795"/>
      <c r="VQR36" s="2795"/>
      <c r="VQS36" s="2795"/>
      <c r="VQT36" s="2795"/>
      <c r="VQU36" s="2795"/>
      <c r="VQV36" s="2795"/>
      <c r="VQW36" s="2795"/>
      <c r="VQX36" s="2795"/>
      <c r="VQY36" s="2795"/>
      <c r="VQZ36" s="2795"/>
      <c r="VRA36" s="2795"/>
      <c r="VRB36" s="2795"/>
      <c r="VRC36" s="2795"/>
      <c r="VRD36" s="2795"/>
      <c r="VRE36" s="2795"/>
      <c r="VRF36" s="2795"/>
      <c r="VRG36" s="2795"/>
      <c r="VRH36" s="2795"/>
      <c r="VRI36" s="2795"/>
      <c r="VRJ36" s="2795"/>
      <c r="VRK36" s="2795"/>
      <c r="VRL36" s="2795"/>
      <c r="VRM36" s="2795"/>
      <c r="VRN36" s="2795"/>
      <c r="VRO36" s="2795"/>
      <c r="VRP36" s="2795"/>
      <c r="VRQ36" s="2795"/>
      <c r="VRR36" s="2795"/>
      <c r="VRS36" s="2795"/>
      <c r="VRT36" s="2795"/>
      <c r="VRU36" s="2795"/>
      <c r="VRV36" s="2795"/>
      <c r="VRW36" s="2795"/>
      <c r="VRX36" s="2795"/>
      <c r="VRY36" s="2795"/>
      <c r="VRZ36" s="2795"/>
      <c r="VSA36" s="2795"/>
      <c r="VSB36" s="2795"/>
      <c r="VSC36" s="2795"/>
      <c r="VSD36" s="2795"/>
      <c r="VSE36" s="2795"/>
      <c r="VSF36" s="2795"/>
      <c r="VSG36" s="2795"/>
      <c r="VSH36" s="2795"/>
      <c r="VSI36" s="2795"/>
      <c r="VSJ36" s="2795"/>
      <c r="VSK36" s="2795"/>
      <c r="VSL36" s="2795"/>
      <c r="VSM36" s="2795"/>
      <c r="VSN36" s="2795"/>
      <c r="VSO36" s="2795"/>
      <c r="VSP36" s="2795"/>
      <c r="VSQ36" s="2795"/>
      <c r="VSR36" s="2795"/>
      <c r="VSS36" s="2795"/>
      <c r="VST36" s="2795"/>
      <c r="VSU36" s="2795"/>
      <c r="VSV36" s="2795"/>
      <c r="VSW36" s="2795"/>
      <c r="VSX36" s="2795"/>
      <c r="VSY36" s="2795"/>
      <c r="VSZ36" s="2795"/>
      <c r="VTA36" s="2795"/>
      <c r="VTB36" s="2795"/>
      <c r="VTC36" s="2795"/>
      <c r="VTD36" s="2795"/>
      <c r="VTE36" s="2795"/>
      <c r="VTF36" s="2795"/>
      <c r="VTG36" s="2795"/>
      <c r="VTH36" s="2795"/>
      <c r="VTI36" s="2795"/>
      <c r="VTJ36" s="2795"/>
      <c r="VTK36" s="2795"/>
      <c r="VTL36" s="2795"/>
      <c r="VTM36" s="2795"/>
      <c r="VTN36" s="2795"/>
      <c r="VTO36" s="2795"/>
      <c r="VTP36" s="2795"/>
      <c r="VTQ36" s="2795"/>
      <c r="VTR36" s="2795"/>
      <c r="VTS36" s="2795"/>
      <c r="VTT36" s="2795"/>
      <c r="VTU36" s="2795"/>
      <c r="VTV36" s="2795"/>
      <c r="VTW36" s="2795"/>
      <c r="VTX36" s="2795"/>
      <c r="VTY36" s="2795"/>
      <c r="VTZ36" s="2795"/>
      <c r="VUA36" s="2795"/>
      <c r="VUB36" s="2795"/>
      <c r="VUC36" s="2795"/>
      <c r="VUD36" s="2795"/>
      <c r="VUE36" s="2795"/>
      <c r="VUF36" s="2795"/>
      <c r="VUG36" s="2795"/>
      <c r="VUH36" s="2795"/>
      <c r="VUI36" s="2795"/>
      <c r="VUJ36" s="2795"/>
      <c r="VUK36" s="2795"/>
      <c r="VUL36" s="2795"/>
      <c r="VUM36" s="2795"/>
      <c r="VUN36" s="2795"/>
      <c r="VUO36" s="2795"/>
      <c r="VUP36" s="2795"/>
      <c r="VUQ36" s="2795"/>
      <c r="VUR36" s="2795"/>
      <c r="VUS36" s="2795"/>
      <c r="VUT36" s="2795"/>
      <c r="VUU36" s="2795"/>
      <c r="VUV36" s="2795"/>
      <c r="VUW36" s="2795"/>
      <c r="VUX36" s="2795"/>
      <c r="VUY36" s="2795"/>
      <c r="VUZ36" s="2795"/>
      <c r="VVA36" s="2795"/>
      <c r="VVB36" s="2795"/>
      <c r="VVC36" s="2795"/>
      <c r="VVD36" s="2795"/>
      <c r="VVE36" s="2795"/>
      <c r="VVF36" s="2795"/>
      <c r="VVG36" s="2795"/>
      <c r="VVH36" s="2795"/>
      <c r="VVI36" s="2795"/>
      <c r="VVJ36" s="2795"/>
      <c r="VVK36" s="2795"/>
      <c r="VVL36" s="2795"/>
      <c r="VVM36" s="2795"/>
      <c r="VVN36" s="2795"/>
      <c r="VVO36" s="2795"/>
      <c r="VVP36" s="2795"/>
      <c r="VVQ36" s="2795"/>
      <c r="VVR36" s="2795"/>
      <c r="VVS36" s="2795"/>
      <c r="VVT36" s="2795"/>
      <c r="VVU36" s="2795"/>
      <c r="VVV36" s="2795"/>
      <c r="VVW36" s="2795"/>
      <c r="VVX36" s="2795"/>
      <c r="VVY36" s="2795"/>
      <c r="VVZ36" s="2795"/>
      <c r="VWA36" s="2795"/>
      <c r="VWB36" s="2795"/>
      <c r="VWC36" s="2795"/>
      <c r="VWD36" s="2795"/>
      <c r="VWE36" s="2795"/>
      <c r="VWF36" s="2795"/>
      <c r="VWG36" s="2795"/>
      <c r="VWH36" s="2795"/>
      <c r="VWI36" s="2795"/>
      <c r="VWJ36" s="2795"/>
      <c r="VWK36" s="2795"/>
      <c r="VWL36" s="2795"/>
      <c r="VWM36" s="2795"/>
      <c r="VWN36" s="2795"/>
      <c r="VWO36" s="2795"/>
      <c r="VWP36" s="2795"/>
      <c r="VWQ36" s="2795"/>
      <c r="VWR36" s="2795"/>
      <c r="VWS36" s="2795"/>
      <c r="VWT36" s="2795"/>
      <c r="VWU36" s="2795"/>
      <c r="VWV36" s="2795"/>
      <c r="VWW36" s="2795"/>
      <c r="VWX36" s="2795"/>
      <c r="VWY36" s="2795"/>
      <c r="VWZ36" s="2795"/>
      <c r="VXA36" s="2795"/>
      <c r="VXB36" s="2795"/>
      <c r="VXC36" s="2795"/>
      <c r="VXD36" s="2795"/>
      <c r="VXE36" s="2795"/>
      <c r="VXF36" s="2795"/>
      <c r="VXG36" s="2795"/>
      <c r="VXH36" s="2795"/>
      <c r="VXI36" s="2795"/>
      <c r="VXJ36" s="2795"/>
      <c r="VXK36" s="2795"/>
      <c r="VXL36" s="2795"/>
      <c r="VXM36" s="2795"/>
      <c r="VXN36" s="2795"/>
      <c r="VXO36" s="2795"/>
      <c r="VXP36" s="2795"/>
      <c r="VXQ36" s="2795"/>
      <c r="VXR36" s="2795"/>
      <c r="VXS36" s="2795"/>
      <c r="VXT36" s="2795"/>
      <c r="VXU36" s="2795"/>
      <c r="VXV36" s="2795"/>
      <c r="VXW36" s="2795"/>
      <c r="VXX36" s="2795"/>
      <c r="VXY36" s="2795"/>
      <c r="VXZ36" s="2795"/>
      <c r="VYA36" s="2795"/>
      <c r="VYB36" s="2795"/>
      <c r="VYC36" s="2795"/>
      <c r="VYD36" s="2795"/>
      <c r="VYE36" s="2795"/>
      <c r="VYF36" s="2795"/>
      <c r="VYG36" s="2795"/>
      <c r="VYH36" s="2795"/>
      <c r="VYI36" s="2795"/>
      <c r="VYJ36" s="2795"/>
      <c r="VYK36" s="2795"/>
      <c r="VYL36" s="2795"/>
      <c r="VYM36" s="2795"/>
      <c r="VYN36" s="2795"/>
      <c r="VYO36" s="2795"/>
      <c r="VYP36" s="2795"/>
      <c r="VYQ36" s="2795"/>
      <c r="VYR36" s="2795"/>
      <c r="VYS36" s="2795"/>
      <c r="VYT36" s="2795"/>
      <c r="VYU36" s="2795"/>
      <c r="VYV36" s="2795"/>
      <c r="VYW36" s="2795"/>
      <c r="VYX36" s="2795"/>
      <c r="VYY36" s="2795"/>
      <c r="VYZ36" s="2795"/>
      <c r="VZA36" s="2795"/>
      <c r="VZB36" s="2795"/>
      <c r="VZC36" s="2795"/>
      <c r="VZD36" s="2795"/>
      <c r="VZE36" s="2795"/>
      <c r="VZF36" s="2795"/>
      <c r="VZG36" s="2795"/>
      <c r="VZH36" s="2795"/>
      <c r="VZI36" s="2795"/>
      <c r="VZJ36" s="2795"/>
      <c r="VZK36" s="2795"/>
      <c r="VZL36" s="2795"/>
      <c r="VZM36" s="2795"/>
      <c r="VZN36" s="2795"/>
      <c r="VZO36" s="2795"/>
      <c r="VZP36" s="2795"/>
      <c r="VZQ36" s="2795"/>
      <c r="VZR36" s="2795"/>
      <c r="VZS36" s="2795"/>
      <c r="VZT36" s="2795"/>
      <c r="VZU36" s="2795"/>
      <c r="VZV36" s="2795"/>
      <c r="VZW36" s="2795"/>
      <c r="VZX36" s="2795"/>
      <c r="VZY36" s="2795"/>
      <c r="VZZ36" s="2795"/>
      <c r="WAA36" s="2795"/>
      <c r="WAB36" s="2795"/>
      <c r="WAC36" s="2795"/>
      <c r="WAD36" s="2795"/>
      <c r="WAE36" s="2795"/>
      <c r="WAF36" s="2795"/>
      <c r="WAG36" s="2795"/>
      <c r="WAH36" s="2795"/>
      <c r="WAI36" s="2795"/>
      <c r="WAJ36" s="2795"/>
      <c r="WAK36" s="2795"/>
      <c r="WAL36" s="2795"/>
      <c r="WAM36" s="2795"/>
      <c r="WAN36" s="2795"/>
      <c r="WAO36" s="2795"/>
      <c r="WAP36" s="2795"/>
      <c r="WAQ36" s="2795"/>
      <c r="WAR36" s="2795"/>
      <c r="WAS36" s="2795"/>
      <c r="WAT36" s="2795"/>
      <c r="WAU36" s="2795"/>
      <c r="WAV36" s="2795"/>
      <c r="WAW36" s="2795"/>
      <c r="WAX36" s="2795"/>
      <c r="WAY36" s="2795"/>
      <c r="WAZ36" s="2795"/>
      <c r="WBA36" s="2795"/>
      <c r="WBB36" s="2795"/>
      <c r="WBC36" s="2795"/>
      <c r="WBD36" s="2795"/>
      <c r="WBE36" s="2795"/>
      <c r="WBF36" s="2795"/>
      <c r="WBG36" s="2795"/>
      <c r="WBH36" s="2795"/>
      <c r="WBI36" s="2795"/>
      <c r="WBJ36" s="2795"/>
      <c r="WBK36" s="2795"/>
      <c r="WBL36" s="2795"/>
      <c r="WBM36" s="2795"/>
      <c r="WBN36" s="2795"/>
      <c r="WBO36" s="2795"/>
      <c r="WBP36" s="2795"/>
      <c r="WBQ36" s="2795"/>
      <c r="WBR36" s="2795"/>
      <c r="WBS36" s="2795"/>
      <c r="WBT36" s="2795"/>
      <c r="WBU36" s="2795"/>
      <c r="WBV36" s="2795"/>
      <c r="WBW36" s="2795"/>
      <c r="WBX36" s="2795"/>
      <c r="WBY36" s="2795"/>
      <c r="WBZ36" s="2795"/>
      <c r="WCA36" s="2795"/>
      <c r="WCB36" s="2795"/>
      <c r="WCC36" s="2795"/>
      <c r="WCD36" s="2795"/>
      <c r="WCE36" s="2795"/>
      <c r="WCF36" s="2795"/>
      <c r="WCG36" s="2795"/>
      <c r="WCH36" s="2795"/>
      <c r="WCI36" s="2795"/>
      <c r="WCJ36" s="2795"/>
      <c r="WCK36" s="2795"/>
      <c r="WCL36" s="2795"/>
      <c r="WCM36" s="2795"/>
      <c r="WCN36" s="2795"/>
      <c r="WCO36" s="2795"/>
      <c r="WCP36" s="2795"/>
      <c r="WCQ36" s="2795"/>
      <c r="WCR36" s="2795"/>
      <c r="WCS36" s="2795"/>
      <c r="WCT36" s="2795"/>
      <c r="WCU36" s="2795"/>
      <c r="WCV36" s="2795"/>
      <c r="WCW36" s="2795"/>
      <c r="WCX36" s="2795"/>
      <c r="WCY36" s="2795"/>
      <c r="WCZ36" s="2795"/>
      <c r="WDA36" s="2795"/>
      <c r="WDB36" s="2795"/>
      <c r="WDC36" s="2795"/>
      <c r="WDD36" s="2795"/>
      <c r="WDE36" s="2795"/>
      <c r="WDF36" s="2795"/>
      <c r="WDG36" s="2795"/>
      <c r="WDH36" s="2795"/>
      <c r="WDI36" s="2795"/>
      <c r="WDJ36" s="2795"/>
      <c r="WDK36" s="2795"/>
      <c r="WDL36" s="2795"/>
      <c r="WDM36" s="2795"/>
      <c r="WDN36" s="2795"/>
      <c r="WDO36" s="2795"/>
      <c r="WDP36" s="2795"/>
      <c r="WDQ36" s="2795"/>
      <c r="WDR36" s="2795"/>
      <c r="WDS36" s="2795"/>
      <c r="WDT36" s="2795"/>
      <c r="WDU36" s="2795"/>
      <c r="WDV36" s="2795"/>
      <c r="WDW36" s="2795"/>
      <c r="WDX36" s="2795"/>
      <c r="WDY36" s="2795"/>
      <c r="WDZ36" s="2795"/>
      <c r="WEA36" s="2795"/>
      <c r="WEB36" s="2795"/>
      <c r="WEC36" s="2795"/>
      <c r="WED36" s="2795"/>
      <c r="WEE36" s="2795"/>
      <c r="WEF36" s="2795"/>
      <c r="WEG36" s="2795"/>
      <c r="WEH36" s="2795"/>
      <c r="WEI36" s="2795"/>
      <c r="WEJ36" s="2795"/>
      <c r="WEK36" s="2795"/>
      <c r="WEL36" s="2795"/>
      <c r="WEM36" s="2795"/>
      <c r="WEN36" s="2795"/>
      <c r="WEO36" s="2795"/>
      <c r="WEP36" s="2795"/>
      <c r="WEQ36" s="2795"/>
      <c r="WER36" s="2795"/>
      <c r="WES36" s="2795"/>
      <c r="WET36" s="2795"/>
      <c r="WEU36" s="2795"/>
      <c r="WEV36" s="2795"/>
      <c r="WEW36" s="2795"/>
      <c r="WEX36" s="2795"/>
      <c r="WEY36" s="2795"/>
      <c r="WEZ36" s="2795"/>
      <c r="WFA36" s="2795"/>
      <c r="WFB36" s="2795"/>
      <c r="WFC36" s="2795"/>
      <c r="WFD36" s="2795"/>
      <c r="WFE36" s="2795"/>
      <c r="WFF36" s="2795"/>
      <c r="WFG36" s="2795"/>
      <c r="WFH36" s="2795"/>
      <c r="WFI36" s="2795"/>
      <c r="WFJ36" s="2795"/>
      <c r="WFK36" s="2795"/>
      <c r="WFL36" s="2795"/>
      <c r="WFM36" s="2795"/>
      <c r="WFN36" s="2795"/>
      <c r="WFO36" s="2795"/>
      <c r="WFP36" s="2795"/>
      <c r="WFQ36" s="2795"/>
      <c r="WFR36" s="2795"/>
      <c r="WFS36" s="2795"/>
      <c r="WFT36" s="2795"/>
      <c r="WFU36" s="2795"/>
      <c r="WFV36" s="2795"/>
      <c r="WFW36" s="2795"/>
      <c r="WFX36" s="2795"/>
      <c r="WFY36" s="2795"/>
      <c r="WFZ36" s="2795"/>
      <c r="WGA36" s="2795"/>
      <c r="WGB36" s="2795"/>
      <c r="WGC36" s="2795"/>
      <c r="WGD36" s="2795"/>
      <c r="WGE36" s="2795"/>
      <c r="WGF36" s="2795"/>
      <c r="WGG36" s="2795"/>
      <c r="WGH36" s="2795"/>
      <c r="WGI36" s="2795"/>
      <c r="WGJ36" s="2795"/>
      <c r="WGK36" s="2795"/>
      <c r="WGL36" s="2795"/>
      <c r="WGM36" s="2795"/>
      <c r="WGN36" s="2795"/>
      <c r="WGO36" s="2795"/>
      <c r="WGP36" s="2795"/>
      <c r="WGQ36" s="2795"/>
      <c r="WGR36" s="2795"/>
      <c r="WGS36" s="2795"/>
      <c r="WGT36" s="2795"/>
      <c r="WGU36" s="2795"/>
      <c r="WGV36" s="2795"/>
      <c r="WGW36" s="2795"/>
      <c r="WGX36" s="2795"/>
      <c r="WGY36" s="2795"/>
      <c r="WGZ36" s="2795"/>
      <c r="WHA36" s="2795"/>
      <c r="WHB36" s="2795"/>
      <c r="WHC36" s="2795"/>
      <c r="WHD36" s="2795"/>
      <c r="WHE36" s="2795"/>
      <c r="WHF36" s="2795"/>
      <c r="WHG36" s="2795"/>
      <c r="WHH36" s="2795"/>
      <c r="WHI36" s="2795"/>
      <c r="WHJ36" s="2795"/>
      <c r="WHK36" s="2795"/>
      <c r="WHL36" s="2795"/>
      <c r="WHM36" s="2795"/>
      <c r="WHN36" s="2795"/>
      <c r="WHO36" s="2795"/>
      <c r="WHP36" s="2795"/>
      <c r="WHQ36" s="2795"/>
      <c r="WHR36" s="2795"/>
      <c r="WHS36" s="2795"/>
      <c r="WHT36" s="2795"/>
      <c r="WHU36" s="2795"/>
      <c r="WHV36" s="2795"/>
      <c r="WHW36" s="2795"/>
      <c r="WHX36" s="2795"/>
      <c r="WHY36" s="2795"/>
      <c r="WHZ36" s="2795"/>
      <c r="WIA36" s="2795"/>
      <c r="WIB36" s="2795"/>
      <c r="WIC36" s="2795"/>
      <c r="WID36" s="2795"/>
      <c r="WIE36" s="2795"/>
      <c r="WIF36" s="2795"/>
      <c r="WIG36" s="2795"/>
      <c r="WIH36" s="2795"/>
      <c r="WII36" s="2795"/>
      <c r="WIJ36" s="2795"/>
      <c r="WIK36" s="2795"/>
      <c r="WIL36" s="2795"/>
      <c r="WIM36" s="2795"/>
      <c r="WIN36" s="2795"/>
      <c r="WIO36" s="2795"/>
      <c r="WIP36" s="2795"/>
      <c r="WIQ36" s="2795"/>
      <c r="WIR36" s="2795"/>
      <c r="WIS36" s="2795"/>
      <c r="WIT36" s="2795"/>
      <c r="WIU36" s="2795"/>
      <c r="WIV36" s="2795"/>
      <c r="WIW36" s="2795"/>
      <c r="WIX36" s="2795"/>
      <c r="WIY36" s="2795"/>
      <c r="WIZ36" s="2795"/>
      <c r="WJA36" s="2795"/>
      <c r="WJB36" s="2795"/>
      <c r="WJC36" s="2795"/>
      <c r="WJD36" s="2795"/>
      <c r="WJE36" s="2795"/>
      <c r="WJF36" s="2795"/>
      <c r="WJG36" s="2795"/>
      <c r="WJH36" s="2795"/>
      <c r="WJI36" s="2795"/>
      <c r="WJJ36" s="2795"/>
      <c r="WJK36" s="2795"/>
      <c r="WJL36" s="2795"/>
      <c r="WJM36" s="2795"/>
      <c r="WJN36" s="2795"/>
      <c r="WJO36" s="2795"/>
      <c r="WJP36" s="2795"/>
      <c r="WJQ36" s="2795"/>
      <c r="WJR36" s="2795"/>
      <c r="WJS36" s="2795"/>
      <c r="WJT36" s="2795"/>
      <c r="WJU36" s="2795"/>
      <c r="WJV36" s="2795"/>
      <c r="WJW36" s="2795"/>
      <c r="WJX36" s="2795"/>
      <c r="WJY36" s="2795"/>
      <c r="WJZ36" s="2795"/>
      <c r="WKA36" s="2795"/>
      <c r="WKB36" s="2795"/>
      <c r="WKC36" s="2795"/>
      <c r="WKD36" s="2795"/>
      <c r="WKE36" s="2795"/>
      <c r="WKF36" s="2795"/>
      <c r="WKG36" s="2795"/>
      <c r="WKH36" s="2795"/>
      <c r="WKI36" s="2795"/>
      <c r="WKJ36" s="2795"/>
      <c r="WKK36" s="2795"/>
      <c r="WKL36" s="2795"/>
      <c r="WKM36" s="2795"/>
      <c r="WKN36" s="2795"/>
      <c r="WKO36" s="2795"/>
      <c r="WKP36" s="2795"/>
      <c r="WKQ36" s="2795"/>
      <c r="WKR36" s="2795"/>
      <c r="WKS36" s="2795"/>
      <c r="WKT36" s="2795"/>
      <c r="WKU36" s="2795"/>
      <c r="WKV36" s="2795"/>
      <c r="WKW36" s="2795"/>
      <c r="WKX36" s="2795"/>
      <c r="WKY36" s="2795"/>
      <c r="WKZ36" s="2795"/>
      <c r="WLA36" s="2795"/>
      <c r="WLB36" s="2795"/>
      <c r="WLC36" s="2795"/>
      <c r="WLD36" s="2795"/>
      <c r="WLE36" s="2795"/>
      <c r="WLF36" s="2795"/>
      <c r="WLG36" s="2795"/>
      <c r="WLH36" s="2795"/>
      <c r="WLI36" s="2795"/>
      <c r="WLJ36" s="2795"/>
      <c r="WLK36" s="2795"/>
      <c r="WLL36" s="2795"/>
      <c r="WLM36" s="2795"/>
      <c r="WLN36" s="2795"/>
      <c r="WLO36" s="2795"/>
      <c r="WLP36" s="2795"/>
      <c r="WLQ36" s="2795"/>
      <c r="WLR36" s="2795"/>
      <c r="WLS36" s="2795"/>
      <c r="WLT36" s="2795"/>
      <c r="WLU36" s="2795"/>
      <c r="WLV36" s="2795"/>
      <c r="WLW36" s="2795"/>
      <c r="WLX36" s="2795"/>
      <c r="WLY36" s="2795"/>
      <c r="WLZ36" s="2795"/>
      <c r="WMA36" s="2795"/>
      <c r="WMB36" s="2795"/>
      <c r="WMC36" s="2795"/>
      <c r="WMD36" s="2795"/>
      <c r="WME36" s="2795"/>
      <c r="WMF36" s="2795"/>
      <c r="WMG36" s="2795"/>
      <c r="WMH36" s="2795"/>
      <c r="WMI36" s="2795"/>
      <c r="WMJ36" s="2795"/>
      <c r="WMK36" s="2795"/>
      <c r="WML36" s="2795"/>
      <c r="WMM36" s="2795"/>
      <c r="WMN36" s="2795"/>
      <c r="WMO36" s="2795"/>
      <c r="WMP36" s="2795"/>
      <c r="WMQ36" s="2795"/>
      <c r="WMR36" s="2795"/>
      <c r="WMS36" s="2795"/>
      <c r="WMT36" s="2795"/>
      <c r="WMU36" s="2795"/>
      <c r="WMV36" s="2795"/>
      <c r="WMW36" s="2795"/>
      <c r="WMX36" s="2795"/>
      <c r="WMY36" s="2795"/>
      <c r="WMZ36" s="2795"/>
      <c r="WNA36" s="2795"/>
      <c r="WNB36" s="2795"/>
      <c r="WNC36" s="2795"/>
      <c r="WND36" s="2795"/>
      <c r="WNE36" s="2795"/>
      <c r="WNF36" s="2795"/>
      <c r="WNG36" s="2795"/>
      <c r="WNH36" s="2795"/>
      <c r="WNI36" s="2795"/>
      <c r="WNJ36" s="2795"/>
      <c r="WNK36" s="2795"/>
      <c r="WNL36" s="2795"/>
      <c r="WNM36" s="2795"/>
      <c r="WNN36" s="2795"/>
      <c r="WNO36" s="2795"/>
      <c r="WNP36" s="2795"/>
      <c r="WNQ36" s="2795"/>
      <c r="WNR36" s="2795"/>
      <c r="WNS36" s="2795"/>
      <c r="WNT36" s="2795"/>
      <c r="WNU36" s="2795"/>
      <c r="WNV36" s="2795"/>
      <c r="WNW36" s="2795"/>
      <c r="WNX36" s="2795"/>
      <c r="WNY36" s="2795"/>
      <c r="WNZ36" s="2795"/>
      <c r="WOA36" s="2795"/>
      <c r="WOB36" s="2795"/>
      <c r="WOC36" s="2795"/>
      <c r="WOD36" s="2795"/>
      <c r="WOE36" s="2795"/>
      <c r="WOF36" s="2795"/>
      <c r="WOG36" s="2795"/>
      <c r="WOH36" s="2795"/>
      <c r="WOI36" s="2795"/>
      <c r="WOJ36" s="2795"/>
      <c r="WOK36" s="2795"/>
      <c r="WOL36" s="2795"/>
      <c r="WOM36" s="2795"/>
      <c r="WON36" s="2795"/>
      <c r="WOO36" s="2795"/>
      <c r="WOP36" s="2795"/>
      <c r="WOQ36" s="2795"/>
      <c r="WOR36" s="2795"/>
      <c r="WOS36" s="2795"/>
      <c r="WOT36" s="2795"/>
      <c r="WOU36" s="2795"/>
      <c r="WOV36" s="2795"/>
      <c r="WOW36" s="2795"/>
      <c r="WOX36" s="2795"/>
      <c r="WOY36" s="2795"/>
      <c r="WOZ36" s="2795"/>
      <c r="WPA36" s="2795"/>
      <c r="WPB36" s="2795"/>
      <c r="WPC36" s="2795"/>
      <c r="WPD36" s="2795"/>
      <c r="WPE36" s="2795"/>
      <c r="WPF36" s="2795"/>
      <c r="WPG36" s="2795"/>
      <c r="WPH36" s="2795"/>
      <c r="WPI36" s="2795"/>
      <c r="WPJ36" s="2795"/>
      <c r="WPK36" s="2795"/>
      <c r="WPL36" s="2795"/>
      <c r="WPM36" s="2795"/>
      <c r="WPN36" s="2795"/>
      <c r="WPO36" s="2795"/>
      <c r="WPP36" s="2795"/>
      <c r="WPQ36" s="2795"/>
      <c r="WPR36" s="2795"/>
      <c r="WPS36" s="2795"/>
      <c r="WPT36" s="2795"/>
      <c r="WPU36" s="2795"/>
      <c r="WPV36" s="2795"/>
      <c r="WPW36" s="2795"/>
      <c r="WPX36" s="2795"/>
      <c r="WPY36" s="2795"/>
      <c r="WPZ36" s="2795"/>
      <c r="WQA36" s="2795"/>
      <c r="WQB36" s="2795"/>
      <c r="WQC36" s="2795"/>
      <c r="WQD36" s="2795"/>
      <c r="WQE36" s="2795"/>
      <c r="WQF36" s="2795"/>
      <c r="WQG36" s="2795"/>
      <c r="WQH36" s="2795"/>
      <c r="WQI36" s="2795"/>
      <c r="WQJ36" s="2795"/>
      <c r="WQK36" s="2795"/>
      <c r="WQL36" s="2795"/>
      <c r="WQM36" s="2795"/>
      <c r="WQN36" s="2795"/>
      <c r="WQO36" s="2795"/>
      <c r="WQP36" s="2795"/>
      <c r="WQQ36" s="2795"/>
      <c r="WQR36" s="2795"/>
      <c r="WQS36" s="2795"/>
      <c r="WQT36" s="2795"/>
      <c r="WQU36" s="2795"/>
      <c r="WQV36" s="2795"/>
      <c r="WQW36" s="2795"/>
      <c r="WQX36" s="2795"/>
      <c r="WQY36" s="2795"/>
      <c r="WQZ36" s="2795"/>
      <c r="WRA36" s="2795"/>
      <c r="WRB36" s="2795"/>
      <c r="WRC36" s="2795"/>
      <c r="WRD36" s="2795"/>
      <c r="WRE36" s="2795"/>
      <c r="WRF36" s="2795"/>
      <c r="WRG36" s="2795"/>
      <c r="WRH36" s="2795"/>
      <c r="WRI36" s="2795"/>
      <c r="WRJ36" s="2795"/>
      <c r="WRK36" s="2795"/>
      <c r="WRL36" s="2795"/>
      <c r="WRM36" s="2795"/>
      <c r="WRN36" s="2795"/>
      <c r="WRO36" s="2795"/>
      <c r="WRP36" s="2795"/>
      <c r="WRQ36" s="2795"/>
      <c r="WRR36" s="2795"/>
      <c r="WRS36" s="2795"/>
      <c r="WRT36" s="2795"/>
      <c r="WRU36" s="2795"/>
      <c r="WRV36" s="2795"/>
      <c r="WRW36" s="2795"/>
      <c r="WRX36" s="2795"/>
      <c r="WRY36" s="2795"/>
      <c r="WRZ36" s="2795"/>
      <c r="WSA36" s="2795"/>
      <c r="WSB36" s="2795"/>
      <c r="WSC36" s="2795"/>
      <c r="WSD36" s="2795"/>
      <c r="WSE36" s="2795"/>
      <c r="WSF36" s="2795"/>
      <c r="WSG36" s="2795"/>
      <c r="WSH36" s="2795"/>
      <c r="WSI36" s="2795"/>
      <c r="WSJ36" s="2795"/>
      <c r="WSK36" s="2795"/>
      <c r="WSL36" s="2795"/>
      <c r="WSM36" s="2795"/>
      <c r="WSN36" s="2795"/>
      <c r="WSO36" s="2795"/>
      <c r="WSP36" s="2795"/>
      <c r="WSQ36" s="2795"/>
      <c r="WSR36" s="2795"/>
      <c r="WSS36" s="2795"/>
      <c r="WST36" s="2795"/>
      <c r="WSU36" s="2795"/>
      <c r="WSV36" s="2795"/>
      <c r="WSW36" s="2795"/>
      <c r="WSX36" s="2795"/>
      <c r="WSY36" s="2795"/>
      <c r="WSZ36" s="2795"/>
      <c r="WTA36" s="2795"/>
      <c r="WTB36" s="2795"/>
      <c r="WTC36" s="2795"/>
      <c r="WTD36" s="2795"/>
      <c r="WTE36" s="2795"/>
      <c r="WTF36" s="2795"/>
      <c r="WTG36" s="2795"/>
      <c r="WTH36" s="2795"/>
      <c r="WTI36" s="2795"/>
      <c r="WTJ36" s="2795"/>
      <c r="WTK36" s="2795"/>
      <c r="WTL36" s="2795"/>
      <c r="WTM36" s="2795"/>
      <c r="WTN36" s="2795"/>
      <c r="WTO36" s="2795"/>
      <c r="WTP36" s="2795"/>
      <c r="WTQ36" s="2795"/>
      <c r="WTR36" s="2795"/>
      <c r="WTS36" s="2795"/>
      <c r="WTT36" s="2795"/>
      <c r="WTU36" s="2795"/>
      <c r="WTV36" s="2795"/>
      <c r="WTW36" s="2795"/>
      <c r="WTX36" s="2795"/>
      <c r="WTY36" s="2795"/>
      <c r="WTZ36" s="2795"/>
      <c r="WUA36" s="2795"/>
      <c r="WUB36" s="2795"/>
      <c r="WUC36" s="2795"/>
      <c r="WUD36" s="2795"/>
      <c r="WUE36" s="2795"/>
      <c r="WUF36" s="2795"/>
      <c r="WUG36" s="2795"/>
      <c r="WUH36" s="2795"/>
      <c r="WUI36" s="2795"/>
      <c r="WUJ36" s="2795"/>
      <c r="WUK36" s="2795"/>
      <c r="WUL36" s="2795"/>
      <c r="WUM36" s="2795"/>
      <c r="WUN36" s="2795"/>
      <c r="WUO36" s="2795"/>
      <c r="WUP36" s="2795"/>
      <c r="WUQ36" s="2795"/>
      <c r="WUR36" s="2795"/>
      <c r="WUS36" s="2795"/>
      <c r="WUT36" s="2795"/>
      <c r="WUU36" s="2795"/>
      <c r="WUV36" s="2795"/>
      <c r="WUW36" s="2795"/>
      <c r="WUX36" s="2795"/>
      <c r="WUY36" s="2795"/>
      <c r="WUZ36" s="2795"/>
      <c r="WVA36" s="2795"/>
      <c r="WVB36" s="2795"/>
      <c r="WVC36" s="2795"/>
      <c r="WVD36" s="2795"/>
      <c r="WVE36" s="2795"/>
      <c r="WVF36" s="2795"/>
      <c r="WVG36" s="2795"/>
      <c r="WVH36" s="2795"/>
      <c r="WVI36" s="2795"/>
      <c r="WVJ36" s="2795"/>
      <c r="WVK36" s="2795"/>
      <c r="WVL36" s="2795"/>
      <c r="WVM36" s="2795"/>
      <c r="WVN36" s="2795"/>
      <c r="WVO36" s="2795"/>
      <c r="WVP36" s="2795"/>
      <c r="WVQ36" s="2795"/>
      <c r="WVR36" s="2795"/>
      <c r="WVS36" s="2795"/>
      <c r="WVT36" s="2795"/>
      <c r="WVU36" s="2795"/>
      <c r="WVV36" s="2795"/>
      <c r="WVW36" s="2795"/>
      <c r="WVX36" s="2795"/>
      <c r="WVY36" s="2795"/>
      <c r="WVZ36" s="2795"/>
      <c r="WWA36" s="2795"/>
      <c r="WWB36" s="2795"/>
      <c r="WWC36" s="2795"/>
      <c r="WWD36" s="2795"/>
      <c r="WWE36" s="2795"/>
      <c r="WWF36" s="2795"/>
      <c r="WWG36" s="2795"/>
      <c r="WWH36" s="2795"/>
      <c r="WWI36" s="2795"/>
      <c r="WWJ36" s="2795"/>
      <c r="WWK36" s="2795"/>
      <c r="WWL36" s="2795"/>
      <c r="WWM36" s="2795"/>
      <c r="WWN36" s="2795"/>
      <c r="WWO36" s="2795"/>
      <c r="WWP36" s="2795"/>
      <c r="WWQ36" s="2795"/>
      <c r="WWR36" s="2795"/>
      <c r="WWS36" s="2795"/>
      <c r="WWT36" s="2795"/>
      <c r="WWU36" s="2795"/>
      <c r="WWV36" s="2795"/>
      <c r="WWW36" s="2795"/>
      <c r="WWX36" s="2795"/>
      <c r="WWY36" s="2795"/>
      <c r="WWZ36" s="2795"/>
      <c r="WXA36" s="2795"/>
      <c r="WXB36" s="2795"/>
      <c r="WXC36" s="2795"/>
      <c r="WXD36" s="2795"/>
      <c r="WXE36" s="2795"/>
      <c r="WXF36" s="2795"/>
      <c r="WXG36" s="2795"/>
      <c r="WXH36" s="2795"/>
      <c r="WXI36" s="2795"/>
      <c r="WXJ36" s="2795"/>
      <c r="WXK36" s="2795"/>
      <c r="WXL36" s="2795"/>
      <c r="WXM36" s="2795"/>
      <c r="WXN36" s="2795"/>
      <c r="WXO36" s="2795"/>
      <c r="WXP36" s="2795"/>
      <c r="WXQ36" s="2795"/>
      <c r="WXR36" s="2795"/>
      <c r="WXS36" s="2795"/>
      <c r="WXT36" s="2795"/>
      <c r="WXU36" s="2795"/>
      <c r="WXV36" s="2795"/>
      <c r="WXW36" s="2795"/>
      <c r="WXX36" s="2795"/>
      <c r="WXY36" s="2795"/>
      <c r="WXZ36" s="2795"/>
      <c r="WYA36" s="2795"/>
      <c r="WYB36" s="2795"/>
      <c r="WYC36" s="2795"/>
      <c r="WYD36" s="2795"/>
      <c r="WYE36" s="2795"/>
      <c r="WYF36" s="2795"/>
      <c r="WYG36" s="2795"/>
      <c r="WYH36" s="2795"/>
      <c r="WYI36" s="2795"/>
      <c r="WYJ36" s="2795"/>
      <c r="WYK36" s="2795"/>
      <c r="WYL36" s="2795"/>
      <c r="WYM36" s="2795"/>
      <c r="WYN36" s="2795"/>
      <c r="WYO36" s="2795"/>
      <c r="WYP36" s="2795"/>
      <c r="WYQ36" s="2795"/>
      <c r="WYR36" s="2795"/>
      <c r="WYS36" s="2795"/>
      <c r="WYT36" s="2795"/>
      <c r="WYU36" s="2795"/>
      <c r="WYV36" s="2795"/>
      <c r="WYW36" s="2795"/>
      <c r="WYX36" s="2795"/>
      <c r="WYY36" s="2795"/>
      <c r="WYZ36" s="2795"/>
      <c r="WZA36" s="2795"/>
      <c r="WZB36" s="2795"/>
      <c r="WZC36" s="2795"/>
      <c r="WZD36" s="2795"/>
      <c r="WZE36" s="2795"/>
      <c r="WZF36" s="2795"/>
      <c r="WZG36" s="2795"/>
      <c r="WZH36" s="2795"/>
      <c r="WZI36" s="2795"/>
      <c r="WZJ36" s="2795"/>
      <c r="WZK36" s="2795"/>
      <c r="WZL36" s="2795"/>
      <c r="WZM36" s="2795"/>
      <c r="WZN36" s="2795"/>
      <c r="WZO36" s="2795"/>
      <c r="WZP36" s="2795"/>
      <c r="WZQ36" s="2795"/>
      <c r="WZR36" s="2795"/>
      <c r="WZS36" s="2795"/>
      <c r="WZT36" s="2795"/>
      <c r="WZU36" s="2795"/>
      <c r="WZV36" s="2795"/>
      <c r="WZW36" s="2795"/>
      <c r="WZX36" s="2795"/>
      <c r="WZY36" s="2795"/>
      <c r="WZZ36" s="2795"/>
      <c r="XAA36" s="2795"/>
      <c r="XAB36" s="2795"/>
      <c r="XAC36" s="2795"/>
      <c r="XAD36" s="2795"/>
      <c r="XAE36" s="2795"/>
      <c r="XAF36" s="2795"/>
      <c r="XAG36" s="2795"/>
      <c r="XAH36" s="2795"/>
      <c r="XAI36" s="2795"/>
      <c r="XAJ36" s="2795"/>
      <c r="XAK36" s="2795"/>
      <c r="XAL36" s="2795"/>
      <c r="XAM36" s="2795"/>
      <c r="XAN36" s="2795"/>
      <c r="XAO36" s="2795"/>
      <c r="XAP36" s="2795"/>
      <c r="XAQ36" s="2795"/>
      <c r="XAR36" s="2795"/>
      <c r="XAS36" s="2795"/>
      <c r="XAT36" s="2795"/>
      <c r="XAU36" s="2795"/>
      <c r="XAV36" s="2795"/>
      <c r="XAW36" s="2795"/>
      <c r="XAX36" s="2795"/>
      <c r="XAY36" s="2795"/>
      <c r="XAZ36" s="2795"/>
      <c r="XBA36" s="2795"/>
      <c r="XBB36" s="2795"/>
      <c r="XBC36" s="2795"/>
      <c r="XBD36" s="2795"/>
      <c r="XBE36" s="2795"/>
      <c r="XBF36" s="2795"/>
      <c r="XBG36" s="2795"/>
      <c r="XBH36" s="2795"/>
      <c r="XBI36" s="2795"/>
      <c r="XBJ36" s="2795"/>
      <c r="XBK36" s="2795"/>
      <c r="XBL36" s="2795"/>
      <c r="XBM36" s="2795"/>
      <c r="XBN36" s="2795"/>
      <c r="XBO36" s="2795"/>
      <c r="XBP36" s="2795"/>
      <c r="XBQ36" s="2795"/>
      <c r="XBR36" s="2795"/>
      <c r="XBS36" s="2795"/>
      <c r="XBT36" s="2795"/>
      <c r="XBU36" s="2795"/>
      <c r="XBV36" s="2795"/>
      <c r="XBW36" s="2795"/>
      <c r="XBX36" s="2795"/>
      <c r="XBY36" s="2795"/>
      <c r="XBZ36" s="2795"/>
      <c r="XCA36" s="2795"/>
      <c r="XCB36" s="2795"/>
      <c r="XCC36" s="2795"/>
      <c r="XCD36" s="2795"/>
      <c r="XCE36" s="2795"/>
      <c r="XCF36" s="2795"/>
      <c r="XCG36" s="2795"/>
      <c r="XCH36" s="2795"/>
      <c r="XCI36" s="2795"/>
      <c r="XCJ36" s="2795"/>
      <c r="XCK36" s="2795"/>
      <c r="XCL36" s="2795"/>
      <c r="XCM36" s="2795"/>
      <c r="XCN36" s="2795"/>
      <c r="XCO36" s="2795"/>
      <c r="XCP36" s="2795"/>
      <c r="XCQ36" s="2795"/>
      <c r="XCR36" s="2795"/>
      <c r="XCS36" s="2795"/>
      <c r="XCT36" s="2795"/>
      <c r="XCU36" s="2795"/>
      <c r="XCV36" s="2795"/>
      <c r="XCW36" s="2795"/>
      <c r="XCX36" s="2795"/>
      <c r="XCY36" s="2795"/>
      <c r="XCZ36" s="2795"/>
      <c r="XDA36" s="2795"/>
      <c r="XDB36" s="2795"/>
      <c r="XDC36" s="2795"/>
      <c r="XDD36" s="2795"/>
      <c r="XDE36" s="2795"/>
      <c r="XDF36" s="2795"/>
      <c r="XDG36" s="2795"/>
      <c r="XDH36" s="2795"/>
      <c r="XDI36" s="2795"/>
      <c r="XDJ36" s="2795"/>
      <c r="XDK36" s="2795"/>
      <c r="XDL36" s="2795"/>
      <c r="XDM36" s="2795"/>
      <c r="XDN36" s="2795"/>
      <c r="XDO36" s="2795"/>
      <c r="XDP36" s="2795"/>
      <c r="XDQ36" s="2795"/>
      <c r="XDR36" s="2795"/>
      <c r="XDS36" s="2795"/>
      <c r="XDT36" s="2795"/>
      <c r="XDU36" s="2795"/>
      <c r="XDV36" s="2795"/>
      <c r="XDW36" s="2795"/>
      <c r="XDX36" s="2795"/>
      <c r="XDY36" s="2795"/>
      <c r="XDZ36" s="2795"/>
      <c r="XEA36" s="2795"/>
      <c r="XEB36" s="2795"/>
      <c r="XEC36" s="2795"/>
      <c r="XED36" s="2795"/>
      <c r="XEE36" s="2795"/>
      <c r="XEF36" s="2795"/>
      <c r="XEG36" s="2795"/>
      <c r="XEH36" s="2795"/>
      <c r="XEI36" s="2795"/>
      <c r="XEJ36" s="2795"/>
      <c r="XEK36" s="2795"/>
      <c r="XEL36" s="2795"/>
      <c r="XEM36" s="2795"/>
      <c r="XEN36" s="2795"/>
      <c r="XEO36" s="2795"/>
      <c r="XEP36" s="2795"/>
      <c r="XEQ36" s="2795"/>
      <c r="XER36" s="2795"/>
      <c r="XES36" s="2795"/>
      <c r="XET36" s="2795"/>
      <c r="XEU36" s="2795"/>
      <c r="XEV36" s="2795"/>
      <c r="XEW36" s="2795"/>
      <c r="XEX36" s="2795"/>
      <c r="XEY36" s="2795"/>
      <c r="XEZ36" s="2795"/>
      <c r="XFA36" s="2795"/>
      <c r="XFB36" s="2795"/>
      <c r="XFC36" s="2795"/>
      <c r="XFD36" s="2795"/>
    </row>
    <row r="37" spans="1:16384" s="1632" customFormat="1" ht="39" customHeight="1">
      <c r="A37" s="2795" t="s">
        <v>2473</v>
      </c>
      <c r="B37" s="2795"/>
      <c r="C37" s="2795"/>
      <c r="D37" s="2795"/>
      <c r="E37" s="2795"/>
      <c r="F37" s="2795"/>
      <c r="G37" s="2795"/>
      <c r="H37" s="2795"/>
      <c r="I37" s="2795"/>
      <c r="J37" s="2795"/>
      <c r="K37" s="2795"/>
      <c r="L37" s="2795"/>
      <c r="M37" s="2795"/>
      <c r="N37" s="2795"/>
      <c r="O37" s="2795"/>
      <c r="P37" s="2795"/>
      <c r="Q37" s="2795"/>
      <c r="R37" s="2795"/>
      <c r="S37" s="2795"/>
      <c r="T37" s="2795"/>
      <c r="U37" s="2795"/>
      <c r="V37" s="2795"/>
      <c r="W37" s="2795"/>
      <c r="X37" s="2795"/>
      <c r="Y37" s="2795"/>
      <c r="Z37" s="2795"/>
      <c r="AA37" s="2795"/>
      <c r="AB37" s="2795"/>
      <c r="AC37" s="2795"/>
      <c r="AD37" s="2795"/>
      <c r="AE37" s="2795"/>
      <c r="AF37" s="2795"/>
      <c r="AG37" s="2795"/>
      <c r="AH37" s="2795"/>
      <c r="AI37" s="2795"/>
      <c r="AJ37" s="2795"/>
      <c r="AK37" s="2795"/>
      <c r="AL37" s="2795"/>
      <c r="AM37" s="2795"/>
      <c r="AN37" s="2795"/>
      <c r="AO37" s="2795"/>
      <c r="AP37" s="2795"/>
      <c r="AQ37" s="2795"/>
      <c r="AR37" s="2795"/>
      <c r="AS37" s="2795"/>
      <c r="AT37" s="2795"/>
      <c r="AU37" s="2795"/>
      <c r="AV37" s="2795"/>
      <c r="AW37" s="2795"/>
      <c r="AX37" s="2795"/>
      <c r="AY37" s="2795"/>
      <c r="AZ37" s="2795"/>
      <c r="BA37" s="2795"/>
      <c r="BB37" s="2795"/>
      <c r="BC37" s="2795"/>
      <c r="BD37" s="2795"/>
      <c r="BE37" s="2795"/>
      <c r="BF37" s="2795"/>
      <c r="BG37" s="2795"/>
      <c r="BH37" s="2795"/>
      <c r="BI37" s="2795"/>
      <c r="BJ37" s="2795"/>
      <c r="BK37" s="2795"/>
      <c r="BL37" s="2795"/>
      <c r="BM37" s="2795"/>
      <c r="BN37" s="2795"/>
      <c r="BO37" s="2795"/>
      <c r="BP37" s="2795"/>
      <c r="BQ37" s="2795"/>
      <c r="BR37" s="2795"/>
      <c r="BS37" s="2795"/>
      <c r="BT37" s="2795"/>
      <c r="BU37" s="2795"/>
      <c r="BV37" s="2795"/>
      <c r="BW37" s="2795"/>
      <c r="BX37" s="2795"/>
      <c r="BY37" s="2795"/>
      <c r="BZ37" s="2795"/>
      <c r="CA37" s="2795"/>
      <c r="CB37" s="2795"/>
      <c r="CC37" s="2795"/>
      <c r="CD37" s="2795"/>
      <c r="CE37" s="2795"/>
      <c r="CF37" s="2795"/>
      <c r="CG37" s="2795"/>
      <c r="CH37" s="2795"/>
      <c r="CI37" s="2795"/>
      <c r="CJ37" s="2795"/>
      <c r="CK37" s="2795"/>
      <c r="CL37" s="2795"/>
      <c r="CM37" s="2795"/>
      <c r="CN37" s="2795"/>
      <c r="CO37" s="2795"/>
      <c r="CP37" s="2795"/>
      <c r="CQ37" s="2795"/>
      <c r="CR37" s="2795"/>
      <c r="CS37" s="2795"/>
      <c r="CT37" s="2795"/>
      <c r="CU37" s="2795"/>
      <c r="CV37" s="2795"/>
      <c r="CW37" s="2795"/>
      <c r="CX37" s="2795"/>
      <c r="CY37" s="2795"/>
      <c r="CZ37" s="2795"/>
      <c r="DA37" s="2795"/>
      <c r="DB37" s="2795"/>
      <c r="DC37" s="2795"/>
      <c r="DD37" s="2795"/>
      <c r="DE37" s="2795"/>
      <c r="DF37" s="2795"/>
      <c r="DG37" s="2795"/>
      <c r="DH37" s="2795"/>
      <c r="DI37" s="2795"/>
      <c r="DJ37" s="2795"/>
      <c r="DK37" s="2795"/>
      <c r="DL37" s="2795"/>
      <c r="DM37" s="2795"/>
      <c r="DN37" s="2795"/>
      <c r="DO37" s="2795"/>
      <c r="DP37" s="2795"/>
      <c r="DQ37" s="2795"/>
      <c r="DR37" s="2795"/>
      <c r="DS37" s="2795"/>
      <c r="DT37" s="2795"/>
      <c r="DU37" s="2795"/>
      <c r="DV37" s="2795"/>
      <c r="DW37" s="2795"/>
      <c r="DX37" s="2795"/>
      <c r="DY37" s="2795"/>
      <c r="DZ37" s="2795"/>
      <c r="EA37" s="2795"/>
      <c r="EB37" s="2795"/>
      <c r="EC37" s="2795"/>
      <c r="ED37" s="2795"/>
      <c r="EE37" s="2795"/>
      <c r="EF37" s="2795"/>
      <c r="EG37" s="2795"/>
      <c r="EH37" s="2795"/>
      <c r="EI37" s="2795"/>
      <c r="EJ37" s="2795"/>
      <c r="EK37" s="2795"/>
      <c r="EL37" s="2795"/>
      <c r="EM37" s="2795"/>
      <c r="EN37" s="2795"/>
      <c r="EO37" s="2795"/>
      <c r="EP37" s="2795"/>
      <c r="EQ37" s="2795"/>
      <c r="ER37" s="2795"/>
      <c r="ES37" s="2795"/>
      <c r="ET37" s="2795"/>
      <c r="EU37" s="2795"/>
      <c r="EV37" s="2795"/>
      <c r="EW37" s="2795"/>
      <c r="EX37" s="2795"/>
      <c r="EY37" s="2795"/>
      <c r="EZ37" s="2795"/>
      <c r="FA37" s="2795"/>
      <c r="FB37" s="2795"/>
      <c r="FC37" s="2795"/>
      <c r="FD37" s="2795"/>
      <c r="FE37" s="2795"/>
      <c r="FF37" s="2795"/>
      <c r="FG37" s="2795"/>
      <c r="FH37" s="2795"/>
      <c r="FI37" s="2795"/>
      <c r="FJ37" s="2795"/>
      <c r="FK37" s="2795"/>
      <c r="FL37" s="2795"/>
      <c r="FM37" s="2795"/>
      <c r="FN37" s="2795"/>
      <c r="FO37" s="2795"/>
      <c r="FP37" s="2795"/>
      <c r="FQ37" s="2795"/>
      <c r="FR37" s="2795"/>
      <c r="FS37" s="2795"/>
      <c r="FT37" s="2795"/>
      <c r="FU37" s="2795"/>
      <c r="FV37" s="2795"/>
      <c r="FW37" s="2795"/>
      <c r="FX37" s="2795"/>
      <c r="FY37" s="2795"/>
      <c r="FZ37" s="2795"/>
      <c r="GA37" s="2795"/>
      <c r="GB37" s="2795"/>
      <c r="GC37" s="2795"/>
      <c r="GD37" s="2795"/>
      <c r="GE37" s="2795"/>
      <c r="GF37" s="2795"/>
      <c r="GG37" s="2795"/>
      <c r="GH37" s="2795"/>
      <c r="GI37" s="2795"/>
      <c r="GJ37" s="2795"/>
      <c r="GK37" s="2795"/>
      <c r="GL37" s="2795"/>
      <c r="GM37" s="2795"/>
      <c r="GN37" s="2795"/>
      <c r="GO37" s="2795"/>
      <c r="GP37" s="2795"/>
      <c r="GQ37" s="2795"/>
      <c r="GR37" s="2795"/>
      <c r="GS37" s="2795"/>
      <c r="GT37" s="2795"/>
      <c r="GU37" s="2795"/>
      <c r="GV37" s="2795"/>
      <c r="GW37" s="2795"/>
      <c r="GX37" s="2795"/>
      <c r="GY37" s="2795"/>
      <c r="GZ37" s="2795"/>
      <c r="HA37" s="2795"/>
      <c r="HB37" s="2795"/>
      <c r="HC37" s="2795"/>
      <c r="HD37" s="2795"/>
      <c r="HE37" s="2795"/>
      <c r="HF37" s="2795"/>
      <c r="HG37" s="2795"/>
      <c r="HH37" s="2795"/>
      <c r="HI37" s="2795"/>
      <c r="HJ37" s="2795"/>
      <c r="HK37" s="2795"/>
      <c r="HL37" s="2795"/>
      <c r="HM37" s="2795"/>
      <c r="HN37" s="2795"/>
      <c r="HO37" s="2795"/>
      <c r="HP37" s="2795"/>
      <c r="HQ37" s="2795"/>
      <c r="HR37" s="2795"/>
      <c r="HS37" s="2795"/>
      <c r="HT37" s="2795"/>
      <c r="HU37" s="2795"/>
      <c r="HV37" s="2795"/>
      <c r="HW37" s="2795"/>
      <c r="HX37" s="2795"/>
      <c r="HY37" s="2795"/>
      <c r="HZ37" s="2795"/>
      <c r="IA37" s="2795"/>
      <c r="IB37" s="2795"/>
      <c r="IC37" s="2795"/>
      <c r="ID37" s="2795"/>
      <c r="IE37" s="2795"/>
      <c r="IF37" s="2795"/>
      <c r="IG37" s="2795"/>
      <c r="IH37" s="2795"/>
      <c r="II37" s="2795"/>
      <c r="IJ37" s="2795"/>
      <c r="IK37" s="2795"/>
      <c r="IL37" s="2795"/>
      <c r="IM37" s="2795"/>
      <c r="IN37" s="2795"/>
      <c r="IO37" s="2795"/>
      <c r="IP37" s="2795"/>
      <c r="IQ37" s="2795"/>
      <c r="IR37" s="2795"/>
      <c r="IS37" s="2795"/>
      <c r="IT37" s="2795"/>
      <c r="IU37" s="2795"/>
      <c r="IV37" s="2795"/>
      <c r="IW37" s="2795"/>
      <c r="IX37" s="2795"/>
      <c r="IY37" s="2795"/>
      <c r="IZ37" s="2795"/>
      <c r="JA37" s="2795"/>
      <c r="JB37" s="2795"/>
      <c r="JC37" s="2795"/>
      <c r="JD37" s="2795"/>
      <c r="JE37" s="2795"/>
      <c r="JF37" s="2795"/>
      <c r="JG37" s="2795"/>
      <c r="JH37" s="2795"/>
      <c r="JI37" s="2795"/>
      <c r="JJ37" s="2795"/>
      <c r="JK37" s="2795"/>
      <c r="JL37" s="2795"/>
      <c r="JM37" s="2795"/>
      <c r="JN37" s="2795"/>
      <c r="JO37" s="2795"/>
      <c r="JP37" s="2795"/>
      <c r="JQ37" s="2795"/>
      <c r="JR37" s="2795"/>
      <c r="JS37" s="2795"/>
      <c r="JT37" s="2795"/>
      <c r="JU37" s="2795"/>
      <c r="JV37" s="2795"/>
      <c r="JW37" s="2795"/>
      <c r="JX37" s="2795"/>
      <c r="JY37" s="2795"/>
      <c r="JZ37" s="2795"/>
      <c r="KA37" s="2795"/>
      <c r="KB37" s="2795"/>
      <c r="KC37" s="2795"/>
      <c r="KD37" s="2795"/>
      <c r="KE37" s="2795"/>
      <c r="KF37" s="2795"/>
      <c r="KG37" s="2795"/>
      <c r="KH37" s="2795"/>
      <c r="KI37" s="2795"/>
      <c r="KJ37" s="2795"/>
      <c r="KK37" s="2795"/>
      <c r="KL37" s="2795"/>
      <c r="KM37" s="2795"/>
      <c r="KN37" s="2795"/>
      <c r="KO37" s="2795"/>
      <c r="KP37" s="2795"/>
      <c r="KQ37" s="2795"/>
      <c r="KR37" s="2795"/>
      <c r="KS37" s="2795"/>
      <c r="KT37" s="2795"/>
      <c r="KU37" s="2795"/>
      <c r="KV37" s="2795"/>
      <c r="KW37" s="2795"/>
      <c r="KX37" s="2795"/>
      <c r="KY37" s="2795"/>
      <c r="KZ37" s="2795"/>
      <c r="LA37" s="2795"/>
      <c r="LB37" s="2795"/>
      <c r="LC37" s="2795"/>
      <c r="LD37" s="2795"/>
      <c r="LE37" s="2795"/>
      <c r="LF37" s="2795"/>
      <c r="LG37" s="2795"/>
      <c r="LH37" s="2795"/>
      <c r="LI37" s="2795"/>
      <c r="LJ37" s="2795"/>
      <c r="LK37" s="2795"/>
      <c r="LL37" s="2795"/>
      <c r="LM37" s="2795"/>
      <c r="LN37" s="2795"/>
      <c r="LO37" s="2795"/>
      <c r="LP37" s="2795"/>
      <c r="LQ37" s="2795"/>
      <c r="LR37" s="2795"/>
      <c r="LS37" s="2795"/>
      <c r="LT37" s="2795"/>
      <c r="LU37" s="2795"/>
      <c r="LV37" s="2795"/>
      <c r="LW37" s="2795"/>
      <c r="LX37" s="2795"/>
      <c r="LY37" s="2795"/>
      <c r="LZ37" s="2795"/>
      <c r="MA37" s="2795"/>
      <c r="MB37" s="2795"/>
      <c r="MC37" s="2795"/>
      <c r="MD37" s="2795"/>
      <c r="ME37" s="2795"/>
      <c r="MF37" s="2795"/>
      <c r="MG37" s="2795"/>
      <c r="MH37" s="2795"/>
      <c r="MI37" s="2795"/>
      <c r="MJ37" s="2795"/>
      <c r="MK37" s="2795"/>
      <c r="ML37" s="2795"/>
      <c r="MM37" s="2795"/>
      <c r="MN37" s="2795"/>
      <c r="MO37" s="2795"/>
      <c r="MP37" s="2795"/>
      <c r="MQ37" s="2795"/>
      <c r="MR37" s="2795"/>
      <c r="MS37" s="2795"/>
      <c r="MT37" s="2795"/>
      <c r="MU37" s="2795"/>
      <c r="MV37" s="2795"/>
      <c r="MW37" s="2795"/>
      <c r="MX37" s="2795"/>
      <c r="MY37" s="2795"/>
      <c r="MZ37" s="2795"/>
      <c r="NA37" s="2795"/>
      <c r="NB37" s="2795"/>
      <c r="NC37" s="2795"/>
      <c r="ND37" s="2795"/>
      <c r="NE37" s="2795"/>
      <c r="NF37" s="2795"/>
      <c r="NG37" s="2795"/>
      <c r="NH37" s="2795"/>
      <c r="NI37" s="2795"/>
      <c r="NJ37" s="2795"/>
      <c r="NK37" s="2795"/>
      <c r="NL37" s="2795"/>
      <c r="NM37" s="2795"/>
      <c r="NN37" s="2795"/>
      <c r="NO37" s="2795"/>
      <c r="NP37" s="2795"/>
      <c r="NQ37" s="2795"/>
      <c r="NR37" s="2795"/>
      <c r="NS37" s="2795"/>
      <c r="NT37" s="2795"/>
      <c r="NU37" s="2795"/>
      <c r="NV37" s="2795"/>
      <c r="NW37" s="2795"/>
      <c r="NX37" s="2795"/>
      <c r="NY37" s="2795"/>
      <c r="NZ37" s="2795"/>
      <c r="OA37" s="2795"/>
      <c r="OB37" s="2795"/>
      <c r="OC37" s="2795"/>
      <c r="OD37" s="2795"/>
      <c r="OE37" s="2795"/>
      <c r="OF37" s="2795"/>
      <c r="OG37" s="2795"/>
      <c r="OH37" s="2795"/>
      <c r="OI37" s="2795"/>
      <c r="OJ37" s="2795"/>
      <c r="OK37" s="2795"/>
      <c r="OL37" s="2795"/>
      <c r="OM37" s="2795"/>
      <c r="ON37" s="2795"/>
      <c r="OO37" s="2795"/>
      <c r="OP37" s="2795"/>
      <c r="OQ37" s="2795"/>
      <c r="OR37" s="2795"/>
      <c r="OS37" s="2795"/>
      <c r="OT37" s="2795"/>
      <c r="OU37" s="2795"/>
      <c r="OV37" s="2795"/>
      <c r="OW37" s="2795"/>
      <c r="OX37" s="2795"/>
      <c r="OY37" s="2795"/>
      <c r="OZ37" s="2795"/>
      <c r="PA37" s="2795"/>
      <c r="PB37" s="2795"/>
      <c r="PC37" s="2795"/>
      <c r="PD37" s="2795"/>
      <c r="PE37" s="2795"/>
      <c r="PF37" s="2795"/>
      <c r="PG37" s="2795"/>
      <c r="PH37" s="2795"/>
      <c r="PI37" s="2795"/>
      <c r="PJ37" s="2795"/>
      <c r="PK37" s="2795"/>
      <c r="PL37" s="2795"/>
      <c r="PM37" s="2795"/>
      <c r="PN37" s="2795"/>
      <c r="PO37" s="2795"/>
      <c r="PP37" s="2795"/>
      <c r="PQ37" s="2795"/>
      <c r="PR37" s="2795"/>
      <c r="PS37" s="2795"/>
      <c r="PT37" s="2795"/>
      <c r="PU37" s="2795"/>
      <c r="PV37" s="2795"/>
      <c r="PW37" s="2795"/>
      <c r="PX37" s="2795"/>
      <c r="PY37" s="2795"/>
      <c r="PZ37" s="2795"/>
      <c r="QA37" s="2795"/>
      <c r="QB37" s="2795"/>
      <c r="QC37" s="2795"/>
      <c r="QD37" s="2795"/>
      <c r="QE37" s="2795"/>
      <c r="QF37" s="2795"/>
      <c r="QG37" s="2795"/>
      <c r="QH37" s="2795"/>
      <c r="QI37" s="2795"/>
      <c r="QJ37" s="2795"/>
      <c r="QK37" s="2795"/>
      <c r="QL37" s="2795"/>
      <c r="QM37" s="2795"/>
      <c r="QN37" s="2795"/>
      <c r="QO37" s="2795"/>
      <c r="QP37" s="2795"/>
      <c r="QQ37" s="2795"/>
      <c r="QR37" s="2795"/>
      <c r="QS37" s="2795"/>
      <c r="QT37" s="2795"/>
      <c r="QU37" s="2795"/>
      <c r="QV37" s="2795"/>
      <c r="QW37" s="2795"/>
      <c r="QX37" s="2795"/>
      <c r="QY37" s="2795"/>
      <c r="QZ37" s="2795"/>
      <c r="RA37" s="2795"/>
      <c r="RB37" s="2795"/>
      <c r="RC37" s="2795"/>
      <c r="RD37" s="2795"/>
      <c r="RE37" s="2795"/>
      <c r="RF37" s="2795"/>
      <c r="RG37" s="2795"/>
      <c r="RH37" s="2795"/>
      <c r="RI37" s="2795"/>
      <c r="RJ37" s="2795"/>
      <c r="RK37" s="2795"/>
      <c r="RL37" s="2795"/>
      <c r="RM37" s="2795"/>
      <c r="RN37" s="2795"/>
      <c r="RO37" s="2795"/>
      <c r="RP37" s="2795"/>
      <c r="RQ37" s="2795"/>
      <c r="RR37" s="2795"/>
      <c r="RS37" s="2795"/>
      <c r="RT37" s="2795"/>
      <c r="RU37" s="2795"/>
      <c r="RV37" s="2795"/>
      <c r="RW37" s="2795"/>
      <c r="RX37" s="2795"/>
      <c r="RY37" s="2795"/>
      <c r="RZ37" s="2795"/>
      <c r="SA37" s="2795"/>
      <c r="SB37" s="2795"/>
      <c r="SC37" s="2795"/>
      <c r="SD37" s="2795"/>
      <c r="SE37" s="2795"/>
      <c r="SF37" s="2795"/>
      <c r="SG37" s="2795"/>
      <c r="SH37" s="2795"/>
      <c r="SI37" s="2795"/>
      <c r="SJ37" s="2795"/>
      <c r="SK37" s="2795"/>
      <c r="SL37" s="2795"/>
      <c r="SM37" s="2795"/>
      <c r="SN37" s="2795"/>
      <c r="SO37" s="2795"/>
      <c r="SP37" s="2795"/>
      <c r="SQ37" s="2795"/>
      <c r="SR37" s="2795"/>
      <c r="SS37" s="2795"/>
      <c r="ST37" s="2795"/>
      <c r="SU37" s="2795"/>
      <c r="SV37" s="2795"/>
      <c r="SW37" s="2795"/>
      <c r="SX37" s="2795"/>
      <c r="SY37" s="2795"/>
      <c r="SZ37" s="2795"/>
      <c r="TA37" s="2795"/>
      <c r="TB37" s="2795"/>
      <c r="TC37" s="2795"/>
      <c r="TD37" s="2795"/>
      <c r="TE37" s="2795"/>
      <c r="TF37" s="2795"/>
      <c r="TG37" s="2795"/>
      <c r="TH37" s="2795"/>
      <c r="TI37" s="2795"/>
      <c r="TJ37" s="2795"/>
      <c r="TK37" s="2795"/>
      <c r="TL37" s="2795"/>
      <c r="TM37" s="2795"/>
      <c r="TN37" s="2795"/>
      <c r="TO37" s="2795"/>
      <c r="TP37" s="2795"/>
      <c r="TQ37" s="2795"/>
      <c r="TR37" s="2795"/>
      <c r="TS37" s="2795"/>
      <c r="TT37" s="2795"/>
      <c r="TU37" s="2795"/>
      <c r="TV37" s="2795"/>
      <c r="TW37" s="2795"/>
      <c r="TX37" s="2795"/>
      <c r="TY37" s="2795"/>
      <c r="TZ37" s="2795"/>
      <c r="UA37" s="2795"/>
      <c r="UB37" s="2795"/>
      <c r="UC37" s="2795"/>
      <c r="UD37" s="2795"/>
      <c r="UE37" s="2795"/>
      <c r="UF37" s="2795"/>
      <c r="UG37" s="2795"/>
      <c r="UH37" s="2795"/>
      <c r="UI37" s="2795"/>
      <c r="UJ37" s="2795"/>
      <c r="UK37" s="2795"/>
      <c r="UL37" s="2795"/>
      <c r="UM37" s="2795"/>
      <c r="UN37" s="2795"/>
      <c r="UO37" s="2795"/>
      <c r="UP37" s="2795"/>
      <c r="UQ37" s="2795"/>
      <c r="UR37" s="2795"/>
      <c r="US37" s="2795"/>
      <c r="UT37" s="2795"/>
      <c r="UU37" s="2795"/>
      <c r="UV37" s="2795"/>
      <c r="UW37" s="2795"/>
      <c r="UX37" s="2795"/>
      <c r="UY37" s="2795"/>
      <c r="UZ37" s="2795"/>
      <c r="VA37" s="2795"/>
      <c r="VB37" s="2795"/>
      <c r="VC37" s="2795"/>
      <c r="VD37" s="2795"/>
      <c r="VE37" s="2795"/>
      <c r="VF37" s="2795"/>
      <c r="VG37" s="2795"/>
      <c r="VH37" s="2795"/>
      <c r="VI37" s="2795"/>
      <c r="VJ37" s="2795"/>
      <c r="VK37" s="2795"/>
      <c r="VL37" s="2795"/>
      <c r="VM37" s="2795"/>
      <c r="VN37" s="2795"/>
      <c r="VO37" s="2795"/>
      <c r="VP37" s="2795"/>
      <c r="VQ37" s="2795"/>
      <c r="VR37" s="2795"/>
      <c r="VS37" s="2795"/>
      <c r="VT37" s="2795"/>
      <c r="VU37" s="2795"/>
      <c r="VV37" s="2795"/>
      <c r="VW37" s="2795"/>
      <c r="VX37" s="2795"/>
      <c r="VY37" s="2795"/>
      <c r="VZ37" s="2795"/>
      <c r="WA37" s="2795"/>
      <c r="WB37" s="2795"/>
      <c r="WC37" s="2795"/>
      <c r="WD37" s="2795"/>
      <c r="WE37" s="2795"/>
      <c r="WF37" s="2795"/>
      <c r="WG37" s="2795"/>
      <c r="WH37" s="2795"/>
      <c r="WI37" s="2795"/>
      <c r="WJ37" s="2795"/>
      <c r="WK37" s="2795"/>
      <c r="WL37" s="2795"/>
      <c r="WM37" s="2795"/>
      <c r="WN37" s="2795"/>
      <c r="WO37" s="2795"/>
      <c r="WP37" s="2795"/>
      <c r="WQ37" s="2795"/>
      <c r="WR37" s="2795"/>
      <c r="WS37" s="2795"/>
      <c r="WT37" s="2795"/>
      <c r="WU37" s="2795"/>
      <c r="WV37" s="2795"/>
      <c r="WW37" s="2795"/>
      <c r="WX37" s="2795"/>
      <c r="WY37" s="2795"/>
      <c r="WZ37" s="2795"/>
      <c r="XA37" s="2795"/>
      <c r="XB37" s="2795"/>
      <c r="XC37" s="2795"/>
      <c r="XD37" s="2795"/>
      <c r="XE37" s="2795"/>
      <c r="XF37" s="2795"/>
      <c r="XG37" s="2795"/>
      <c r="XH37" s="2795"/>
      <c r="XI37" s="2795"/>
      <c r="XJ37" s="2795"/>
      <c r="XK37" s="2795"/>
      <c r="XL37" s="2795"/>
      <c r="XM37" s="2795"/>
      <c r="XN37" s="2795"/>
      <c r="XO37" s="2795"/>
      <c r="XP37" s="2795"/>
      <c r="XQ37" s="2795"/>
      <c r="XR37" s="2795"/>
      <c r="XS37" s="2795"/>
      <c r="XT37" s="2795"/>
      <c r="XU37" s="2795"/>
      <c r="XV37" s="2795"/>
      <c r="XW37" s="2795"/>
      <c r="XX37" s="2795"/>
      <c r="XY37" s="2795"/>
      <c r="XZ37" s="2795"/>
      <c r="YA37" s="2795"/>
      <c r="YB37" s="2795"/>
      <c r="YC37" s="2795"/>
      <c r="YD37" s="2795"/>
      <c r="YE37" s="2795"/>
      <c r="YF37" s="2795"/>
      <c r="YG37" s="2795"/>
      <c r="YH37" s="2795"/>
      <c r="YI37" s="2795"/>
      <c r="YJ37" s="2795"/>
      <c r="YK37" s="2795"/>
      <c r="YL37" s="2795"/>
      <c r="YM37" s="2795"/>
      <c r="YN37" s="2795"/>
      <c r="YO37" s="2795"/>
      <c r="YP37" s="2795"/>
      <c r="YQ37" s="2795"/>
      <c r="YR37" s="2795"/>
      <c r="YS37" s="2795"/>
      <c r="YT37" s="2795"/>
      <c r="YU37" s="2795"/>
      <c r="YV37" s="2795"/>
      <c r="YW37" s="2795"/>
      <c r="YX37" s="2795"/>
      <c r="YY37" s="2795"/>
      <c r="YZ37" s="2795"/>
      <c r="ZA37" s="2795"/>
      <c r="ZB37" s="2795"/>
      <c r="ZC37" s="2795"/>
      <c r="ZD37" s="2795"/>
      <c r="ZE37" s="2795"/>
      <c r="ZF37" s="2795"/>
      <c r="ZG37" s="2795"/>
      <c r="ZH37" s="2795"/>
      <c r="ZI37" s="2795"/>
      <c r="ZJ37" s="2795"/>
      <c r="ZK37" s="2795"/>
      <c r="ZL37" s="2795"/>
      <c r="ZM37" s="2795"/>
      <c r="ZN37" s="2795"/>
      <c r="ZO37" s="2795"/>
      <c r="ZP37" s="2795"/>
      <c r="ZQ37" s="2795"/>
      <c r="ZR37" s="2795"/>
      <c r="ZS37" s="2795"/>
      <c r="ZT37" s="2795"/>
      <c r="ZU37" s="2795"/>
      <c r="ZV37" s="2795"/>
      <c r="ZW37" s="2795"/>
      <c r="ZX37" s="2795"/>
      <c r="ZY37" s="2795"/>
      <c r="ZZ37" s="2795"/>
      <c r="AAA37" s="2795"/>
      <c r="AAB37" s="2795"/>
      <c r="AAC37" s="2795"/>
      <c r="AAD37" s="2795"/>
      <c r="AAE37" s="2795"/>
      <c r="AAF37" s="2795"/>
      <c r="AAG37" s="2795"/>
      <c r="AAH37" s="2795"/>
      <c r="AAI37" s="2795"/>
      <c r="AAJ37" s="2795"/>
      <c r="AAK37" s="2795"/>
      <c r="AAL37" s="2795"/>
      <c r="AAM37" s="2795"/>
      <c r="AAN37" s="2795"/>
      <c r="AAO37" s="2795"/>
      <c r="AAP37" s="2795"/>
      <c r="AAQ37" s="2795"/>
      <c r="AAR37" s="2795"/>
      <c r="AAS37" s="2795"/>
      <c r="AAT37" s="2795"/>
      <c r="AAU37" s="2795"/>
      <c r="AAV37" s="2795"/>
      <c r="AAW37" s="2795"/>
      <c r="AAX37" s="2795"/>
      <c r="AAY37" s="2795"/>
      <c r="AAZ37" s="2795"/>
      <c r="ABA37" s="2795"/>
      <c r="ABB37" s="2795"/>
      <c r="ABC37" s="2795"/>
      <c r="ABD37" s="2795"/>
      <c r="ABE37" s="2795"/>
      <c r="ABF37" s="2795"/>
      <c r="ABG37" s="2795"/>
      <c r="ABH37" s="2795"/>
      <c r="ABI37" s="2795"/>
      <c r="ABJ37" s="2795"/>
      <c r="ABK37" s="2795"/>
      <c r="ABL37" s="2795"/>
      <c r="ABM37" s="2795"/>
      <c r="ABN37" s="2795"/>
      <c r="ABO37" s="2795"/>
      <c r="ABP37" s="2795"/>
      <c r="ABQ37" s="2795"/>
      <c r="ABR37" s="2795"/>
      <c r="ABS37" s="2795"/>
      <c r="ABT37" s="2795"/>
      <c r="ABU37" s="2795"/>
      <c r="ABV37" s="2795"/>
      <c r="ABW37" s="2795"/>
      <c r="ABX37" s="2795"/>
      <c r="ABY37" s="2795"/>
      <c r="ABZ37" s="2795"/>
      <c r="ACA37" s="2795"/>
      <c r="ACB37" s="2795"/>
      <c r="ACC37" s="2795"/>
      <c r="ACD37" s="2795"/>
      <c r="ACE37" s="2795"/>
      <c r="ACF37" s="2795"/>
      <c r="ACG37" s="2795"/>
      <c r="ACH37" s="2795"/>
      <c r="ACI37" s="2795"/>
      <c r="ACJ37" s="2795"/>
      <c r="ACK37" s="2795"/>
      <c r="ACL37" s="2795"/>
      <c r="ACM37" s="2795"/>
      <c r="ACN37" s="2795"/>
      <c r="ACO37" s="2795"/>
      <c r="ACP37" s="2795"/>
      <c r="ACQ37" s="2795"/>
      <c r="ACR37" s="2795"/>
      <c r="ACS37" s="2795"/>
      <c r="ACT37" s="2795"/>
      <c r="ACU37" s="2795"/>
      <c r="ACV37" s="2795"/>
      <c r="ACW37" s="2795"/>
      <c r="ACX37" s="2795"/>
      <c r="ACY37" s="2795"/>
      <c r="ACZ37" s="2795"/>
      <c r="ADA37" s="2795"/>
      <c r="ADB37" s="2795"/>
      <c r="ADC37" s="2795"/>
      <c r="ADD37" s="2795"/>
      <c r="ADE37" s="2795"/>
      <c r="ADF37" s="2795"/>
      <c r="ADG37" s="2795"/>
      <c r="ADH37" s="2795"/>
      <c r="ADI37" s="2795"/>
      <c r="ADJ37" s="2795"/>
      <c r="ADK37" s="2795"/>
      <c r="ADL37" s="2795"/>
      <c r="ADM37" s="2795"/>
      <c r="ADN37" s="2795"/>
      <c r="ADO37" s="2795"/>
      <c r="ADP37" s="2795"/>
      <c r="ADQ37" s="2795"/>
      <c r="ADR37" s="2795"/>
      <c r="ADS37" s="2795"/>
      <c r="ADT37" s="2795"/>
      <c r="ADU37" s="2795"/>
      <c r="ADV37" s="2795"/>
      <c r="ADW37" s="2795"/>
      <c r="ADX37" s="2795"/>
      <c r="ADY37" s="2795"/>
      <c r="ADZ37" s="2795"/>
      <c r="AEA37" s="2795"/>
      <c r="AEB37" s="2795"/>
      <c r="AEC37" s="2795"/>
      <c r="AED37" s="2795"/>
      <c r="AEE37" s="2795"/>
      <c r="AEF37" s="2795"/>
      <c r="AEG37" s="2795"/>
      <c r="AEH37" s="2795"/>
      <c r="AEI37" s="2795"/>
      <c r="AEJ37" s="2795"/>
      <c r="AEK37" s="2795"/>
      <c r="AEL37" s="2795"/>
      <c r="AEM37" s="2795"/>
      <c r="AEN37" s="2795"/>
      <c r="AEO37" s="2795"/>
      <c r="AEP37" s="2795"/>
      <c r="AEQ37" s="2795"/>
      <c r="AER37" s="2795"/>
      <c r="AES37" s="2795"/>
      <c r="AET37" s="2795"/>
      <c r="AEU37" s="2795"/>
      <c r="AEV37" s="2795"/>
      <c r="AEW37" s="2795"/>
      <c r="AEX37" s="2795"/>
      <c r="AEY37" s="2795"/>
      <c r="AEZ37" s="2795"/>
      <c r="AFA37" s="2795"/>
      <c r="AFB37" s="2795"/>
      <c r="AFC37" s="2795"/>
      <c r="AFD37" s="2795"/>
      <c r="AFE37" s="2795"/>
      <c r="AFF37" s="2795"/>
      <c r="AFG37" s="2795"/>
      <c r="AFH37" s="2795"/>
      <c r="AFI37" s="2795"/>
      <c r="AFJ37" s="2795"/>
      <c r="AFK37" s="2795"/>
      <c r="AFL37" s="2795"/>
      <c r="AFM37" s="2795"/>
      <c r="AFN37" s="2795"/>
      <c r="AFO37" s="2795"/>
      <c r="AFP37" s="2795"/>
      <c r="AFQ37" s="2795"/>
      <c r="AFR37" s="2795"/>
      <c r="AFS37" s="2795"/>
      <c r="AFT37" s="2795"/>
      <c r="AFU37" s="2795"/>
      <c r="AFV37" s="2795"/>
      <c r="AFW37" s="2795"/>
      <c r="AFX37" s="2795"/>
      <c r="AFY37" s="2795"/>
      <c r="AFZ37" s="2795"/>
      <c r="AGA37" s="2795"/>
      <c r="AGB37" s="2795"/>
      <c r="AGC37" s="2795"/>
      <c r="AGD37" s="2795"/>
      <c r="AGE37" s="2795"/>
      <c r="AGF37" s="2795"/>
      <c r="AGG37" s="2795"/>
      <c r="AGH37" s="2795"/>
      <c r="AGI37" s="2795"/>
      <c r="AGJ37" s="2795"/>
      <c r="AGK37" s="2795"/>
      <c r="AGL37" s="2795"/>
      <c r="AGM37" s="2795"/>
      <c r="AGN37" s="2795"/>
      <c r="AGO37" s="2795"/>
      <c r="AGP37" s="2795"/>
      <c r="AGQ37" s="2795"/>
      <c r="AGR37" s="2795"/>
      <c r="AGS37" s="2795"/>
      <c r="AGT37" s="2795"/>
      <c r="AGU37" s="2795"/>
      <c r="AGV37" s="2795"/>
      <c r="AGW37" s="2795"/>
      <c r="AGX37" s="2795"/>
      <c r="AGY37" s="2795"/>
      <c r="AGZ37" s="2795"/>
      <c r="AHA37" s="2795"/>
      <c r="AHB37" s="2795"/>
      <c r="AHC37" s="2795"/>
      <c r="AHD37" s="2795"/>
      <c r="AHE37" s="2795"/>
      <c r="AHF37" s="2795"/>
      <c r="AHG37" s="2795"/>
      <c r="AHH37" s="2795"/>
      <c r="AHI37" s="2795"/>
      <c r="AHJ37" s="2795"/>
      <c r="AHK37" s="2795"/>
      <c r="AHL37" s="2795"/>
      <c r="AHM37" s="2795"/>
      <c r="AHN37" s="2795"/>
      <c r="AHO37" s="2795"/>
      <c r="AHP37" s="2795"/>
      <c r="AHQ37" s="2795"/>
      <c r="AHR37" s="2795"/>
      <c r="AHS37" s="2795"/>
      <c r="AHT37" s="2795"/>
      <c r="AHU37" s="2795"/>
      <c r="AHV37" s="2795"/>
      <c r="AHW37" s="2795"/>
      <c r="AHX37" s="2795"/>
      <c r="AHY37" s="2795"/>
      <c r="AHZ37" s="2795"/>
      <c r="AIA37" s="2795"/>
      <c r="AIB37" s="2795"/>
      <c r="AIC37" s="2795"/>
      <c r="AID37" s="2795"/>
      <c r="AIE37" s="2795"/>
      <c r="AIF37" s="2795"/>
      <c r="AIG37" s="2795"/>
      <c r="AIH37" s="2795"/>
      <c r="AII37" s="2795"/>
      <c r="AIJ37" s="2795"/>
      <c r="AIK37" s="2795"/>
      <c r="AIL37" s="2795"/>
      <c r="AIM37" s="2795"/>
      <c r="AIN37" s="2795"/>
      <c r="AIO37" s="2795"/>
      <c r="AIP37" s="2795"/>
      <c r="AIQ37" s="2795"/>
      <c r="AIR37" s="2795"/>
      <c r="AIS37" s="2795"/>
      <c r="AIT37" s="2795"/>
      <c r="AIU37" s="2795"/>
      <c r="AIV37" s="2795"/>
      <c r="AIW37" s="2795"/>
      <c r="AIX37" s="2795"/>
      <c r="AIY37" s="2795"/>
      <c r="AIZ37" s="2795"/>
      <c r="AJA37" s="2795"/>
      <c r="AJB37" s="2795"/>
      <c r="AJC37" s="2795"/>
      <c r="AJD37" s="2795"/>
      <c r="AJE37" s="2795"/>
      <c r="AJF37" s="2795"/>
      <c r="AJG37" s="2795"/>
      <c r="AJH37" s="2795"/>
      <c r="AJI37" s="2795"/>
      <c r="AJJ37" s="2795"/>
      <c r="AJK37" s="2795"/>
      <c r="AJL37" s="2795"/>
      <c r="AJM37" s="2795"/>
      <c r="AJN37" s="2795"/>
      <c r="AJO37" s="2795"/>
      <c r="AJP37" s="2795"/>
      <c r="AJQ37" s="2795"/>
      <c r="AJR37" s="2795"/>
      <c r="AJS37" s="2795"/>
      <c r="AJT37" s="2795"/>
      <c r="AJU37" s="2795"/>
      <c r="AJV37" s="2795"/>
      <c r="AJW37" s="2795"/>
      <c r="AJX37" s="2795"/>
      <c r="AJY37" s="2795"/>
      <c r="AJZ37" s="2795"/>
      <c r="AKA37" s="2795"/>
      <c r="AKB37" s="2795"/>
      <c r="AKC37" s="2795"/>
      <c r="AKD37" s="2795"/>
      <c r="AKE37" s="2795"/>
      <c r="AKF37" s="2795"/>
      <c r="AKG37" s="2795"/>
      <c r="AKH37" s="2795"/>
      <c r="AKI37" s="2795"/>
      <c r="AKJ37" s="2795"/>
      <c r="AKK37" s="2795"/>
      <c r="AKL37" s="2795"/>
      <c r="AKM37" s="2795"/>
      <c r="AKN37" s="2795"/>
      <c r="AKO37" s="2795"/>
      <c r="AKP37" s="2795"/>
      <c r="AKQ37" s="2795"/>
      <c r="AKR37" s="2795"/>
      <c r="AKS37" s="2795"/>
      <c r="AKT37" s="2795"/>
      <c r="AKU37" s="2795"/>
      <c r="AKV37" s="2795"/>
      <c r="AKW37" s="2795"/>
      <c r="AKX37" s="2795"/>
      <c r="AKY37" s="2795"/>
      <c r="AKZ37" s="2795"/>
      <c r="ALA37" s="2795"/>
      <c r="ALB37" s="2795"/>
      <c r="ALC37" s="2795"/>
      <c r="ALD37" s="2795"/>
      <c r="ALE37" s="2795"/>
      <c r="ALF37" s="2795"/>
      <c r="ALG37" s="2795"/>
      <c r="ALH37" s="2795"/>
      <c r="ALI37" s="2795"/>
      <c r="ALJ37" s="2795"/>
      <c r="ALK37" s="2795"/>
      <c r="ALL37" s="2795"/>
      <c r="ALM37" s="2795"/>
      <c r="ALN37" s="2795"/>
      <c r="ALO37" s="2795"/>
      <c r="ALP37" s="2795"/>
      <c r="ALQ37" s="2795"/>
      <c r="ALR37" s="2795"/>
      <c r="ALS37" s="2795"/>
      <c r="ALT37" s="2795"/>
      <c r="ALU37" s="2795"/>
      <c r="ALV37" s="2795"/>
      <c r="ALW37" s="2795"/>
      <c r="ALX37" s="2795"/>
      <c r="ALY37" s="2795"/>
      <c r="ALZ37" s="2795"/>
      <c r="AMA37" s="2795"/>
      <c r="AMB37" s="2795"/>
      <c r="AMC37" s="2795"/>
      <c r="AMD37" s="2795"/>
      <c r="AME37" s="2795"/>
      <c r="AMF37" s="2795"/>
      <c r="AMG37" s="2795"/>
      <c r="AMH37" s="2795"/>
      <c r="AMI37" s="2795"/>
      <c r="AMJ37" s="2795"/>
      <c r="AMK37" s="2795"/>
      <c r="AML37" s="2795"/>
      <c r="AMM37" s="2795"/>
      <c r="AMN37" s="2795"/>
      <c r="AMO37" s="2795"/>
      <c r="AMP37" s="2795"/>
      <c r="AMQ37" s="2795"/>
      <c r="AMR37" s="2795"/>
      <c r="AMS37" s="2795"/>
      <c r="AMT37" s="2795"/>
      <c r="AMU37" s="2795"/>
      <c r="AMV37" s="2795"/>
      <c r="AMW37" s="2795"/>
      <c r="AMX37" s="2795"/>
      <c r="AMY37" s="2795"/>
      <c r="AMZ37" s="2795"/>
      <c r="ANA37" s="2795"/>
      <c r="ANB37" s="2795"/>
      <c r="ANC37" s="2795"/>
      <c r="AND37" s="2795"/>
      <c r="ANE37" s="2795"/>
      <c r="ANF37" s="2795"/>
      <c r="ANG37" s="2795"/>
      <c r="ANH37" s="2795"/>
      <c r="ANI37" s="2795"/>
      <c r="ANJ37" s="2795"/>
      <c r="ANK37" s="2795"/>
      <c r="ANL37" s="2795"/>
      <c r="ANM37" s="2795"/>
      <c r="ANN37" s="2795"/>
      <c r="ANO37" s="2795"/>
      <c r="ANP37" s="2795"/>
      <c r="ANQ37" s="2795"/>
      <c r="ANR37" s="2795"/>
      <c r="ANS37" s="2795"/>
      <c r="ANT37" s="2795"/>
      <c r="ANU37" s="2795"/>
      <c r="ANV37" s="2795"/>
      <c r="ANW37" s="2795"/>
      <c r="ANX37" s="2795"/>
      <c r="ANY37" s="2795"/>
      <c r="ANZ37" s="2795"/>
      <c r="AOA37" s="2795"/>
      <c r="AOB37" s="2795"/>
      <c r="AOC37" s="2795"/>
      <c r="AOD37" s="2795"/>
      <c r="AOE37" s="2795"/>
      <c r="AOF37" s="2795"/>
      <c r="AOG37" s="2795"/>
      <c r="AOH37" s="2795"/>
      <c r="AOI37" s="2795"/>
      <c r="AOJ37" s="2795"/>
      <c r="AOK37" s="2795"/>
      <c r="AOL37" s="2795"/>
      <c r="AOM37" s="2795"/>
      <c r="AON37" s="2795"/>
      <c r="AOO37" s="2795"/>
      <c r="AOP37" s="2795"/>
      <c r="AOQ37" s="2795"/>
      <c r="AOR37" s="2795"/>
      <c r="AOS37" s="2795"/>
      <c r="AOT37" s="2795"/>
      <c r="AOU37" s="2795"/>
      <c r="AOV37" s="2795"/>
      <c r="AOW37" s="2795"/>
      <c r="AOX37" s="2795"/>
      <c r="AOY37" s="2795"/>
      <c r="AOZ37" s="2795"/>
      <c r="APA37" s="2795"/>
      <c r="APB37" s="2795"/>
      <c r="APC37" s="2795"/>
      <c r="APD37" s="2795"/>
      <c r="APE37" s="2795"/>
      <c r="APF37" s="2795"/>
      <c r="APG37" s="2795"/>
      <c r="APH37" s="2795"/>
      <c r="API37" s="2795"/>
      <c r="APJ37" s="2795"/>
      <c r="APK37" s="2795"/>
      <c r="APL37" s="2795"/>
      <c r="APM37" s="2795"/>
      <c r="APN37" s="2795"/>
      <c r="APO37" s="2795"/>
      <c r="APP37" s="2795"/>
      <c r="APQ37" s="2795"/>
      <c r="APR37" s="2795"/>
      <c r="APS37" s="2795"/>
      <c r="APT37" s="2795"/>
      <c r="APU37" s="2795"/>
      <c r="APV37" s="2795"/>
      <c r="APW37" s="2795"/>
      <c r="APX37" s="2795"/>
      <c r="APY37" s="2795"/>
      <c r="APZ37" s="2795"/>
      <c r="AQA37" s="2795"/>
      <c r="AQB37" s="2795"/>
      <c r="AQC37" s="2795"/>
      <c r="AQD37" s="2795"/>
      <c r="AQE37" s="2795"/>
      <c r="AQF37" s="2795"/>
      <c r="AQG37" s="2795"/>
      <c r="AQH37" s="2795"/>
      <c r="AQI37" s="2795"/>
      <c r="AQJ37" s="2795"/>
      <c r="AQK37" s="2795"/>
      <c r="AQL37" s="2795"/>
      <c r="AQM37" s="2795"/>
      <c r="AQN37" s="2795"/>
      <c r="AQO37" s="2795"/>
      <c r="AQP37" s="2795"/>
      <c r="AQQ37" s="2795"/>
      <c r="AQR37" s="2795"/>
      <c r="AQS37" s="2795"/>
      <c r="AQT37" s="2795"/>
      <c r="AQU37" s="2795"/>
      <c r="AQV37" s="2795"/>
      <c r="AQW37" s="2795"/>
      <c r="AQX37" s="2795"/>
      <c r="AQY37" s="2795"/>
      <c r="AQZ37" s="2795"/>
      <c r="ARA37" s="2795"/>
      <c r="ARB37" s="2795"/>
      <c r="ARC37" s="2795"/>
      <c r="ARD37" s="2795"/>
      <c r="ARE37" s="2795"/>
      <c r="ARF37" s="2795"/>
      <c r="ARG37" s="2795"/>
      <c r="ARH37" s="2795"/>
      <c r="ARI37" s="2795"/>
      <c r="ARJ37" s="2795"/>
      <c r="ARK37" s="2795"/>
      <c r="ARL37" s="2795"/>
      <c r="ARM37" s="2795"/>
      <c r="ARN37" s="2795"/>
      <c r="ARO37" s="2795"/>
      <c r="ARP37" s="2795"/>
      <c r="ARQ37" s="2795"/>
      <c r="ARR37" s="2795"/>
      <c r="ARS37" s="2795"/>
      <c r="ART37" s="2795"/>
      <c r="ARU37" s="2795"/>
      <c r="ARV37" s="2795"/>
      <c r="ARW37" s="2795"/>
      <c r="ARX37" s="2795"/>
      <c r="ARY37" s="2795"/>
      <c r="ARZ37" s="2795"/>
      <c r="ASA37" s="2795"/>
      <c r="ASB37" s="2795"/>
      <c r="ASC37" s="2795"/>
      <c r="ASD37" s="2795"/>
      <c r="ASE37" s="2795"/>
      <c r="ASF37" s="2795"/>
      <c r="ASG37" s="2795"/>
      <c r="ASH37" s="2795"/>
      <c r="ASI37" s="2795"/>
      <c r="ASJ37" s="2795"/>
      <c r="ASK37" s="2795"/>
      <c r="ASL37" s="2795"/>
      <c r="ASM37" s="2795"/>
      <c r="ASN37" s="2795"/>
      <c r="ASO37" s="2795"/>
      <c r="ASP37" s="2795"/>
      <c r="ASQ37" s="2795"/>
      <c r="ASR37" s="2795"/>
      <c r="ASS37" s="2795"/>
      <c r="AST37" s="2795"/>
      <c r="ASU37" s="2795"/>
      <c r="ASV37" s="2795"/>
      <c r="ASW37" s="2795"/>
      <c r="ASX37" s="2795"/>
      <c r="ASY37" s="2795"/>
      <c r="ASZ37" s="2795"/>
      <c r="ATA37" s="2795"/>
      <c r="ATB37" s="2795"/>
      <c r="ATC37" s="2795"/>
      <c r="ATD37" s="2795"/>
      <c r="ATE37" s="2795"/>
      <c r="ATF37" s="2795"/>
      <c r="ATG37" s="2795"/>
      <c r="ATH37" s="2795"/>
      <c r="ATI37" s="2795"/>
      <c r="ATJ37" s="2795"/>
      <c r="ATK37" s="2795"/>
      <c r="ATL37" s="2795"/>
      <c r="ATM37" s="2795"/>
      <c r="ATN37" s="2795"/>
      <c r="ATO37" s="2795"/>
      <c r="ATP37" s="2795"/>
      <c r="ATQ37" s="2795"/>
      <c r="ATR37" s="2795"/>
      <c r="ATS37" s="2795"/>
      <c r="ATT37" s="2795"/>
      <c r="ATU37" s="2795"/>
      <c r="ATV37" s="2795"/>
      <c r="ATW37" s="2795"/>
      <c r="ATX37" s="2795"/>
      <c r="ATY37" s="2795"/>
      <c r="ATZ37" s="2795"/>
      <c r="AUA37" s="2795"/>
      <c r="AUB37" s="2795"/>
      <c r="AUC37" s="2795"/>
      <c r="AUD37" s="2795"/>
      <c r="AUE37" s="2795"/>
      <c r="AUF37" s="2795"/>
      <c r="AUG37" s="2795"/>
      <c r="AUH37" s="2795"/>
      <c r="AUI37" s="2795"/>
      <c r="AUJ37" s="2795"/>
      <c r="AUK37" s="2795"/>
      <c r="AUL37" s="2795"/>
      <c r="AUM37" s="2795"/>
      <c r="AUN37" s="2795"/>
      <c r="AUO37" s="2795"/>
      <c r="AUP37" s="2795"/>
      <c r="AUQ37" s="2795"/>
      <c r="AUR37" s="2795"/>
      <c r="AUS37" s="2795"/>
      <c r="AUT37" s="2795"/>
      <c r="AUU37" s="2795"/>
      <c r="AUV37" s="2795"/>
      <c r="AUW37" s="2795"/>
      <c r="AUX37" s="2795"/>
      <c r="AUY37" s="2795"/>
      <c r="AUZ37" s="2795"/>
      <c r="AVA37" s="2795"/>
      <c r="AVB37" s="2795"/>
      <c r="AVC37" s="2795"/>
      <c r="AVD37" s="2795"/>
      <c r="AVE37" s="2795"/>
      <c r="AVF37" s="2795"/>
      <c r="AVG37" s="2795"/>
      <c r="AVH37" s="2795"/>
      <c r="AVI37" s="2795"/>
      <c r="AVJ37" s="2795"/>
      <c r="AVK37" s="2795"/>
      <c r="AVL37" s="2795"/>
      <c r="AVM37" s="2795"/>
      <c r="AVN37" s="2795"/>
      <c r="AVO37" s="2795"/>
      <c r="AVP37" s="2795"/>
      <c r="AVQ37" s="2795"/>
      <c r="AVR37" s="2795"/>
      <c r="AVS37" s="2795"/>
      <c r="AVT37" s="2795"/>
      <c r="AVU37" s="2795"/>
      <c r="AVV37" s="2795"/>
      <c r="AVW37" s="2795"/>
      <c r="AVX37" s="2795"/>
      <c r="AVY37" s="2795"/>
      <c r="AVZ37" s="2795"/>
      <c r="AWA37" s="2795"/>
      <c r="AWB37" s="2795"/>
      <c r="AWC37" s="2795"/>
      <c r="AWD37" s="2795"/>
      <c r="AWE37" s="2795"/>
      <c r="AWF37" s="2795"/>
      <c r="AWG37" s="2795"/>
      <c r="AWH37" s="2795"/>
      <c r="AWI37" s="2795"/>
      <c r="AWJ37" s="2795"/>
      <c r="AWK37" s="2795"/>
      <c r="AWL37" s="2795"/>
      <c r="AWM37" s="2795"/>
      <c r="AWN37" s="2795"/>
      <c r="AWO37" s="2795"/>
      <c r="AWP37" s="2795"/>
      <c r="AWQ37" s="2795"/>
      <c r="AWR37" s="2795"/>
      <c r="AWS37" s="2795"/>
      <c r="AWT37" s="2795"/>
      <c r="AWU37" s="2795"/>
      <c r="AWV37" s="2795"/>
      <c r="AWW37" s="2795"/>
      <c r="AWX37" s="2795"/>
      <c r="AWY37" s="2795"/>
      <c r="AWZ37" s="2795"/>
      <c r="AXA37" s="2795"/>
      <c r="AXB37" s="2795"/>
      <c r="AXC37" s="2795"/>
      <c r="AXD37" s="2795"/>
      <c r="AXE37" s="2795"/>
      <c r="AXF37" s="2795"/>
      <c r="AXG37" s="2795"/>
      <c r="AXH37" s="2795"/>
      <c r="AXI37" s="2795"/>
      <c r="AXJ37" s="2795"/>
      <c r="AXK37" s="2795"/>
      <c r="AXL37" s="2795"/>
      <c r="AXM37" s="2795"/>
      <c r="AXN37" s="2795"/>
      <c r="AXO37" s="2795"/>
      <c r="AXP37" s="2795"/>
      <c r="AXQ37" s="2795"/>
      <c r="AXR37" s="2795"/>
      <c r="AXS37" s="2795"/>
      <c r="AXT37" s="2795"/>
      <c r="AXU37" s="2795"/>
      <c r="AXV37" s="2795"/>
      <c r="AXW37" s="2795"/>
      <c r="AXX37" s="2795"/>
      <c r="AXY37" s="2795"/>
      <c r="AXZ37" s="2795"/>
      <c r="AYA37" s="2795"/>
      <c r="AYB37" s="2795"/>
      <c r="AYC37" s="2795"/>
      <c r="AYD37" s="2795"/>
      <c r="AYE37" s="2795"/>
      <c r="AYF37" s="2795"/>
      <c r="AYG37" s="2795"/>
      <c r="AYH37" s="2795"/>
      <c r="AYI37" s="2795"/>
      <c r="AYJ37" s="2795"/>
      <c r="AYK37" s="2795"/>
      <c r="AYL37" s="2795"/>
      <c r="AYM37" s="2795"/>
      <c r="AYN37" s="2795"/>
      <c r="AYO37" s="2795"/>
      <c r="AYP37" s="2795"/>
      <c r="AYQ37" s="2795"/>
      <c r="AYR37" s="2795"/>
      <c r="AYS37" s="2795"/>
      <c r="AYT37" s="2795"/>
      <c r="AYU37" s="2795"/>
      <c r="AYV37" s="2795"/>
      <c r="AYW37" s="2795"/>
      <c r="AYX37" s="2795"/>
      <c r="AYY37" s="2795"/>
      <c r="AYZ37" s="2795"/>
      <c r="AZA37" s="2795"/>
      <c r="AZB37" s="2795"/>
      <c r="AZC37" s="2795"/>
      <c r="AZD37" s="2795"/>
      <c r="AZE37" s="2795"/>
      <c r="AZF37" s="2795"/>
      <c r="AZG37" s="2795"/>
      <c r="AZH37" s="2795"/>
      <c r="AZI37" s="2795"/>
      <c r="AZJ37" s="2795"/>
      <c r="AZK37" s="2795"/>
      <c r="AZL37" s="2795"/>
      <c r="AZM37" s="2795"/>
      <c r="AZN37" s="2795"/>
      <c r="AZO37" s="2795"/>
      <c r="AZP37" s="2795"/>
      <c r="AZQ37" s="2795"/>
      <c r="AZR37" s="2795"/>
      <c r="AZS37" s="2795"/>
      <c r="AZT37" s="2795"/>
      <c r="AZU37" s="2795"/>
      <c r="AZV37" s="2795"/>
      <c r="AZW37" s="2795"/>
      <c r="AZX37" s="2795"/>
      <c r="AZY37" s="2795"/>
      <c r="AZZ37" s="2795"/>
      <c r="BAA37" s="2795"/>
      <c r="BAB37" s="2795"/>
      <c r="BAC37" s="2795"/>
      <c r="BAD37" s="2795"/>
      <c r="BAE37" s="2795"/>
      <c r="BAF37" s="2795"/>
      <c r="BAG37" s="2795"/>
      <c r="BAH37" s="2795"/>
      <c r="BAI37" s="2795"/>
      <c r="BAJ37" s="2795"/>
      <c r="BAK37" s="2795"/>
      <c r="BAL37" s="2795"/>
      <c r="BAM37" s="2795"/>
      <c r="BAN37" s="2795"/>
      <c r="BAO37" s="2795"/>
      <c r="BAP37" s="2795"/>
      <c r="BAQ37" s="2795"/>
      <c r="BAR37" s="2795"/>
      <c r="BAS37" s="2795"/>
      <c r="BAT37" s="2795"/>
      <c r="BAU37" s="2795"/>
      <c r="BAV37" s="2795"/>
      <c r="BAW37" s="2795"/>
      <c r="BAX37" s="2795"/>
      <c r="BAY37" s="2795"/>
      <c r="BAZ37" s="2795"/>
      <c r="BBA37" s="2795"/>
      <c r="BBB37" s="2795"/>
      <c r="BBC37" s="2795"/>
      <c r="BBD37" s="2795"/>
      <c r="BBE37" s="2795"/>
      <c r="BBF37" s="2795"/>
      <c r="BBG37" s="2795"/>
      <c r="BBH37" s="2795"/>
      <c r="BBI37" s="2795"/>
      <c r="BBJ37" s="2795"/>
      <c r="BBK37" s="2795"/>
      <c r="BBL37" s="2795"/>
      <c r="BBM37" s="2795"/>
      <c r="BBN37" s="2795"/>
      <c r="BBO37" s="2795"/>
      <c r="BBP37" s="2795"/>
      <c r="BBQ37" s="2795"/>
      <c r="BBR37" s="2795"/>
      <c r="BBS37" s="2795"/>
      <c r="BBT37" s="2795"/>
      <c r="BBU37" s="2795"/>
      <c r="BBV37" s="2795"/>
      <c r="BBW37" s="2795"/>
      <c r="BBX37" s="2795"/>
      <c r="BBY37" s="2795"/>
      <c r="BBZ37" s="2795"/>
      <c r="BCA37" s="2795"/>
      <c r="BCB37" s="2795"/>
      <c r="BCC37" s="2795"/>
      <c r="BCD37" s="2795"/>
      <c r="BCE37" s="2795"/>
      <c r="BCF37" s="2795"/>
      <c r="BCG37" s="2795"/>
      <c r="BCH37" s="2795"/>
      <c r="BCI37" s="2795"/>
      <c r="BCJ37" s="2795"/>
      <c r="BCK37" s="2795"/>
      <c r="BCL37" s="2795"/>
      <c r="BCM37" s="2795"/>
      <c r="BCN37" s="2795"/>
      <c r="BCO37" s="2795"/>
      <c r="BCP37" s="2795"/>
      <c r="BCQ37" s="2795"/>
      <c r="BCR37" s="2795"/>
      <c r="BCS37" s="2795"/>
      <c r="BCT37" s="2795"/>
      <c r="BCU37" s="2795"/>
      <c r="BCV37" s="2795"/>
      <c r="BCW37" s="2795"/>
      <c r="BCX37" s="2795"/>
      <c r="BCY37" s="2795"/>
      <c r="BCZ37" s="2795"/>
      <c r="BDA37" s="2795"/>
      <c r="BDB37" s="2795"/>
      <c r="BDC37" s="2795"/>
      <c r="BDD37" s="2795"/>
      <c r="BDE37" s="2795"/>
      <c r="BDF37" s="2795"/>
      <c r="BDG37" s="2795"/>
      <c r="BDH37" s="2795"/>
      <c r="BDI37" s="2795"/>
      <c r="BDJ37" s="2795"/>
      <c r="BDK37" s="2795"/>
      <c r="BDL37" s="2795"/>
      <c r="BDM37" s="2795"/>
      <c r="BDN37" s="2795"/>
      <c r="BDO37" s="2795"/>
      <c r="BDP37" s="2795"/>
      <c r="BDQ37" s="2795"/>
      <c r="BDR37" s="2795"/>
      <c r="BDS37" s="2795"/>
      <c r="BDT37" s="2795"/>
      <c r="BDU37" s="2795"/>
      <c r="BDV37" s="2795"/>
      <c r="BDW37" s="2795"/>
      <c r="BDX37" s="2795"/>
      <c r="BDY37" s="2795"/>
      <c r="BDZ37" s="2795"/>
      <c r="BEA37" s="2795"/>
      <c r="BEB37" s="2795"/>
      <c r="BEC37" s="2795"/>
      <c r="BED37" s="2795"/>
      <c r="BEE37" s="2795"/>
      <c r="BEF37" s="2795"/>
      <c r="BEG37" s="2795"/>
      <c r="BEH37" s="2795"/>
      <c r="BEI37" s="2795"/>
      <c r="BEJ37" s="2795"/>
      <c r="BEK37" s="2795"/>
      <c r="BEL37" s="2795"/>
      <c r="BEM37" s="2795"/>
      <c r="BEN37" s="2795"/>
      <c r="BEO37" s="2795"/>
      <c r="BEP37" s="2795"/>
      <c r="BEQ37" s="2795"/>
      <c r="BER37" s="2795"/>
      <c r="BES37" s="2795"/>
      <c r="BET37" s="2795"/>
      <c r="BEU37" s="2795"/>
      <c r="BEV37" s="2795"/>
      <c r="BEW37" s="2795"/>
      <c r="BEX37" s="2795"/>
      <c r="BEY37" s="2795"/>
      <c r="BEZ37" s="2795"/>
      <c r="BFA37" s="2795"/>
      <c r="BFB37" s="2795"/>
      <c r="BFC37" s="2795"/>
      <c r="BFD37" s="2795"/>
      <c r="BFE37" s="2795"/>
      <c r="BFF37" s="2795"/>
      <c r="BFG37" s="2795"/>
      <c r="BFH37" s="2795"/>
      <c r="BFI37" s="2795"/>
      <c r="BFJ37" s="2795"/>
      <c r="BFK37" s="2795"/>
      <c r="BFL37" s="2795"/>
      <c r="BFM37" s="2795"/>
      <c r="BFN37" s="2795"/>
      <c r="BFO37" s="2795"/>
      <c r="BFP37" s="2795"/>
      <c r="BFQ37" s="2795"/>
      <c r="BFR37" s="2795"/>
      <c r="BFS37" s="2795"/>
      <c r="BFT37" s="2795"/>
      <c r="BFU37" s="2795"/>
      <c r="BFV37" s="2795"/>
      <c r="BFW37" s="2795"/>
      <c r="BFX37" s="2795"/>
      <c r="BFY37" s="2795"/>
      <c r="BFZ37" s="2795"/>
      <c r="BGA37" s="2795"/>
      <c r="BGB37" s="2795"/>
      <c r="BGC37" s="2795"/>
      <c r="BGD37" s="2795"/>
      <c r="BGE37" s="2795"/>
      <c r="BGF37" s="2795"/>
      <c r="BGG37" s="2795"/>
      <c r="BGH37" s="2795"/>
      <c r="BGI37" s="2795"/>
      <c r="BGJ37" s="2795"/>
      <c r="BGK37" s="2795"/>
      <c r="BGL37" s="2795"/>
      <c r="BGM37" s="2795"/>
      <c r="BGN37" s="2795"/>
      <c r="BGO37" s="2795"/>
      <c r="BGP37" s="2795"/>
      <c r="BGQ37" s="2795"/>
      <c r="BGR37" s="2795"/>
      <c r="BGS37" s="2795"/>
      <c r="BGT37" s="2795"/>
      <c r="BGU37" s="2795"/>
      <c r="BGV37" s="2795"/>
      <c r="BGW37" s="2795"/>
      <c r="BGX37" s="2795"/>
      <c r="BGY37" s="2795"/>
      <c r="BGZ37" s="2795"/>
      <c r="BHA37" s="2795"/>
      <c r="BHB37" s="2795"/>
      <c r="BHC37" s="2795"/>
      <c r="BHD37" s="2795"/>
      <c r="BHE37" s="2795"/>
      <c r="BHF37" s="2795"/>
      <c r="BHG37" s="2795"/>
      <c r="BHH37" s="2795"/>
      <c r="BHI37" s="2795"/>
      <c r="BHJ37" s="2795"/>
      <c r="BHK37" s="2795"/>
      <c r="BHL37" s="2795"/>
      <c r="BHM37" s="2795"/>
      <c r="BHN37" s="2795"/>
      <c r="BHO37" s="2795"/>
      <c r="BHP37" s="2795"/>
      <c r="BHQ37" s="2795"/>
      <c r="BHR37" s="2795"/>
      <c r="BHS37" s="2795"/>
      <c r="BHT37" s="2795"/>
      <c r="BHU37" s="2795"/>
      <c r="BHV37" s="2795"/>
      <c r="BHW37" s="2795"/>
      <c r="BHX37" s="2795"/>
      <c r="BHY37" s="2795"/>
      <c r="BHZ37" s="2795"/>
      <c r="BIA37" s="2795"/>
      <c r="BIB37" s="2795"/>
      <c r="BIC37" s="2795"/>
      <c r="BID37" s="2795"/>
      <c r="BIE37" s="2795"/>
      <c r="BIF37" s="2795"/>
      <c r="BIG37" s="2795"/>
      <c r="BIH37" s="2795"/>
      <c r="BII37" s="2795"/>
      <c r="BIJ37" s="2795"/>
      <c r="BIK37" s="2795"/>
      <c r="BIL37" s="2795"/>
      <c r="BIM37" s="2795"/>
      <c r="BIN37" s="2795"/>
      <c r="BIO37" s="2795"/>
      <c r="BIP37" s="2795"/>
      <c r="BIQ37" s="2795"/>
      <c r="BIR37" s="2795"/>
      <c r="BIS37" s="2795"/>
      <c r="BIT37" s="2795"/>
      <c r="BIU37" s="2795"/>
      <c r="BIV37" s="2795"/>
      <c r="BIW37" s="2795"/>
      <c r="BIX37" s="2795"/>
      <c r="BIY37" s="2795"/>
      <c r="BIZ37" s="2795"/>
      <c r="BJA37" s="2795"/>
      <c r="BJB37" s="2795"/>
      <c r="BJC37" s="2795"/>
      <c r="BJD37" s="2795"/>
      <c r="BJE37" s="2795"/>
      <c r="BJF37" s="2795"/>
      <c r="BJG37" s="2795"/>
      <c r="BJH37" s="2795"/>
      <c r="BJI37" s="2795"/>
      <c r="BJJ37" s="2795"/>
      <c r="BJK37" s="2795"/>
      <c r="BJL37" s="2795"/>
      <c r="BJM37" s="2795"/>
      <c r="BJN37" s="2795"/>
      <c r="BJO37" s="2795"/>
      <c r="BJP37" s="2795"/>
      <c r="BJQ37" s="2795"/>
      <c r="BJR37" s="2795"/>
      <c r="BJS37" s="2795"/>
      <c r="BJT37" s="2795"/>
      <c r="BJU37" s="2795"/>
      <c r="BJV37" s="2795"/>
      <c r="BJW37" s="2795"/>
      <c r="BJX37" s="2795"/>
      <c r="BJY37" s="2795"/>
      <c r="BJZ37" s="2795"/>
      <c r="BKA37" s="2795"/>
      <c r="BKB37" s="2795"/>
      <c r="BKC37" s="2795"/>
      <c r="BKD37" s="2795"/>
      <c r="BKE37" s="2795"/>
      <c r="BKF37" s="2795"/>
      <c r="BKG37" s="2795"/>
      <c r="BKH37" s="2795"/>
      <c r="BKI37" s="2795"/>
      <c r="BKJ37" s="2795"/>
      <c r="BKK37" s="2795"/>
      <c r="BKL37" s="2795"/>
      <c r="BKM37" s="2795"/>
      <c r="BKN37" s="2795"/>
      <c r="BKO37" s="2795"/>
      <c r="BKP37" s="2795"/>
      <c r="BKQ37" s="2795"/>
      <c r="BKR37" s="2795"/>
      <c r="BKS37" s="2795"/>
      <c r="BKT37" s="2795"/>
      <c r="BKU37" s="2795"/>
      <c r="BKV37" s="2795"/>
      <c r="BKW37" s="2795"/>
      <c r="BKX37" s="2795"/>
      <c r="BKY37" s="2795"/>
      <c r="BKZ37" s="2795"/>
      <c r="BLA37" s="2795"/>
      <c r="BLB37" s="2795"/>
      <c r="BLC37" s="2795"/>
      <c r="BLD37" s="2795"/>
      <c r="BLE37" s="2795"/>
      <c r="BLF37" s="2795"/>
      <c r="BLG37" s="2795"/>
      <c r="BLH37" s="2795"/>
      <c r="BLI37" s="2795"/>
      <c r="BLJ37" s="2795"/>
      <c r="BLK37" s="2795"/>
      <c r="BLL37" s="2795"/>
      <c r="BLM37" s="2795"/>
      <c r="BLN37" s="2795"/>
      <c r="BLO37" s="2795"/>
      <c r="BLP37" s="2795"/>
      <c r="BLQ37" s="2795"/>
      <c r="BLR37" s="2795"/>
      <c r="BLS37" s="2795"/>
      <c r="BLT37" s="2795"/>
      <c r="BLU37" s="2795"/>
      <c r="BLV37" s="2795"/>
      <c r="BLW37" s="2795"/>
      <c r="BLX37" s="2795"/>
      <c r="BLY37" s="2795"/>
      <c r="BLZ37" s="2795"/>
      <c r="BMA37" s="2795"/>
      <c r="BMB37" s="2795"/>
      <c r="BMC37" s="2795"/>
      <c r="BMD37" s="2795"/>
      <c r="BME37" s="2795"/>
      <c r="BMF37" s="2795"/>
      <c r="BMG37" s="2795"/>
      <c r="BMH37" s="2795"/>
      <c r="BMI37" s="2795"/>
      <c r="BMJ37" s="2795"/>
      <c r="BMK37" s="2795"/>
      <c r="BML37" s="2795"/>
      <c r="BMM37" s="2795"/>
      <c r="BMN37" s="2795"/>
      <c r="BMO37" s="2795"/>
      <c r="BMP37" s="2795"/>
      <c r="BMQ37" s="2795"/>
      <c r="BMR37" s="2795"/>
      <c r="BMS37" s="2795"/>
      <c r="BMT37" s="2795"/>
      <c r="BMU37" s="2795"/>
      <c r="BMV37" s="2795"/>
      <c r="BMW37" s="2795"/>
      <c r="BMX37" s="2795"/>
      <c r="BMY37" s="2795"/>
      <c r="BMZ37" s="2795"/>
      <c r="BNA37" s="2795"/>
      <c r="BNB37" s="2795"/>
      <c r="BNC37" s="2795"/>
      <c r="BND37" s="2795"/>
      <c r="BNE37" s="2795"/>
      <c r="BNF37" s="2795"/>
      <c r="BNG37" s="2795"/>
      <c r="BNH37" s="2795"/>
      <c r="BNI37" s="2795"/>
      <c r="BNJ37" s="2795"/>
      <c r="BNK37" s="2795"/>
      <c r="BNL37" s="2795"/>
      <c r="BNM37" s="2795"/>
      <c r="BNN37" s="2795"/>
      <c r="BNO37" s="2795"/>
      <c r="BNP37" s="2795"/>
      <c r="BNQ37" s="2795"/>
      <c r="BNR37" s="2795"/>
      <c r="BNS37" s="2795"/>
      <c r="BNT37" s="2795"/>
      <c r="BNU37" s="2795"/>
      <c r="BNV37" s="2795"/>
      <c r="BNW37" s="2795"/>
      <c r="BNX37" s="2795"/>
      <c r="BNY37" s="2795"/>
      <c r="BNZ37" s="2795"/>
      <c r="BOA37" s="2795"/>
      <c r="BOB37" s="2795"/>
      <c r="BOC37" s="2795"/>
      <c r="BOD37" s="2795"/>
      <c r="BOE37" s="2795"/>
      <c r="BOF37" s="2795"/>
      <c r="BOG37" s="2795"/>
      <c r="BOH37" s="2795"/>
      <c r="BOI37" s="2795"/>
      <c r="BOJ37" s="2795"/>
      <c r="BOK37" s="2795"/>
      <c r="BOL37" s="2795"/>
      <c r="BOM37" s="2795"/>
      <c r="BON37" s="2795"/>
      <c r="BOO37" s="2795"/>
      <c r="BOP37" s="2795"/>
      <c r="BOQ37" s="2795"/>
      <c r="BOR37" s="2795"/>
      <c r="BOS37" s="2795"/>
      <c r="BOT37" s="2795"/>
      <c r="BOU37" s="2795"/>
      <c r="BOV37" s="2795"/>
      <c r="BOW37" s="2795"/>
      <c r="BOX37" s="2795"/>
      <c r="BOY37" s="2795"/>
      <c r="BOZ37" s="2795"/>
      <c r="BPA37" s="2795"/>
      <c r="BPB37" s="2795"/>
      <c r="BPC37" s="2795"/>
      <c r="BPD37" s="2795"/>
      <c r="BPE37" s="2795"/>
      <c r="BPF37" s="2795"/>
      <c r="BPG37" s="2795"/>
      <c r="BPH37" s="2795"/>
      <c r="BPI37" s="2795"/>
      <c r="BPJ37" s="2795"/>
      <c r="BPK37" s="2795"/>
      <c r="BPL37" s="2795"/>
      <c r="BPM37" s="2795"/>
      <c r="BPN37" s="2795"/>
      <c r="BPO37" s="2795"/>
      <c r="BPP37" s="2795"/>
      <c r="BPQ37" s="2795"/>
      <c r="BPR37" s="2795"/>
      <c r="BPS37" s="2795"/>
      <c r="BPT37" s="2795"/>
      <c r="BPU37" s="2795"/>
      <c r="BPV37" s="2795"/>
      <c r="BPW37" s="2795"/>
      <c r="BPX37" s="2795"/>
      <c r="BPY37" s="2795"/>
      <c r="BPZ37" s="2795"/>
      <c r="BQA37" s="2795"/>
      <c r="BQB37" s="2795"/>
      <c r="BQC37" s="2795"/>
      <c r="BQD37" s="2795"/>
      <c r="BQE37" s="2795"/>
      <c r="BQF37" s="2795"/>
      <c r="BQG37" s="2795"/>
      <c r="BQH37" s="2795"/>
      <c r="BQI37" s="2795"/>
      <c r="BQJ37" s="2795"/>
      <c r="BQK37" s="2795"/>
      <c r="BQL37" s="2795"/>
      <c r="BQM37" s="2795"/>
      <c r="BQN37" s="2795"/>
      <c r="BQO37" s="2795"/>
      <c r="BQP37" s="2795"/>
      <c r="BQQ37" s="2795"/>
      <c r="BQR37" s="2795"/>
      <c r="BQS37" s="2795"/>
      <c r="BQT37" s="2795"/>
      <c r="BQU37" s="2795"/>
      <c r="BQV37" s="2795"/>
      <c r="BQW37" s="2795"/>
      <c r="BQX37" s="2795"/>
      <c r="BQY37" s="2795"/>
      <c r="BQZ37" s="2795"/>
      <c r="BRA37" s="2795"/>
      <c r="BRB37" s="2795"/>
      <c r="BRC37" s="2795"/>
      <c r="BRD37" s="2795"/>
      <c r="BRE37" s="2795"/>
      <c r="BRF37" s="2795"/>
      <c r="BRG37" s="2795"/>
      <c r="BRH37" s="2795"/>
      <c r="BRI37" s="2795"/>
      <c r="BRJ37" s="2795"/>
      <c r="BRK37" s="2795"/>
      <c r="BRL37" s="2795"/>
      <c r="BRM37" s="2795"/>
      <c r="BRN37" s="2795"/>
      <c r="BRO37" s="2795"/>
      <c r="BRP37" s="2795"/>
      <c r="BRQ37" s="2795"/>
      <c r="BRR37" s="2795"/>
      <c r="BRS37" s="2795"/>
      <c r="BRT37" s="2795"/>
      <c r="BRU37" s="2795"/>
      <c r="BRV37" s="2795"/>
      <c r="BRW37" s="2795"/>
      <c r="BRX37" s="2795"/>
      <c r="BRY37" s="2795"/>
      <c r="BRZ37" s="2795"/>
      <c r="BSA37" s="2795"/>
      <c r="BSB37" s="2795"/>
      <c r="BSC37" s="2795"/>
      <c r="BSD37" s="2795"/>
      <c r="BSE37" s="2795"/>
      <c r="BSF37" s="2795"/>
      <c r="BSG37" s="2795"/>
      <c r="BSH37" s="2795"/>
      <c r="BSI37" s="2795"/>
      <c r="BSJ37" s="2795"/>
      <c r="BSK37" s="2795"/>
      <c r="BSL37" s="2795"/>
      <c r="BSM37" s="2795"/>
      <c r="BSN37" s="2795"/>
      <c r="BSO37" s="2795"/>
      <c r="BSP37" s="2795"/>
      <c r="BSQ37" s="2795"/>
      <c r="BSR37" s="2795"/>
      <c r="BSS37" s="2795"/>
      <c r="BST37" s="2795"/>
      <c r="BSU37" s="2795"/>
      <c r="BSV37" s="2795"/>
      <c r="BSW37" s="2795"/>
      <c r="BSX37" s="2795"/>
      <c r="BSY37" s="2795"/>
      <c r="BSZ37" s="2795"/>
      <c r="BTA37" s="2795"/>
      <c r="BTB37" s="2795"/>
      <c r="BTC37" s="2795"/>
      <c r="BTD37" s="2795"/>
      <c r="BTE37" s="2795"/>
      <c r="BTF37" s="2795"/>
      <c r="BTG37" s="2795"/>
      <c r="BTH37" s="2795"/>
      <c r="BTI37" s="2795"/>
      <c r="BTJ37" s="2795"/>
      <c r="BTK37" s="2795"/>
      <c r="BTL37" s="2795"/>
      <c r="BTM37" s="2795"/>
      <c r="BTN37" s="2795"/>
      <c r="BTO37" s="2795"/>
      <c r="BTP37" s="2795"/>
      <c r="BTQ37" s="2795"/>
      <c r="BTR37" s="2795"/>
      <c r="BTS37" s="2795"/>
      <c r="BTT37" s="2795"/>
      <c r="BTU37" s="2795"/>
      <c r="BTV37" s="2795"/>
      <c r="BTW37" s="2795"/>
      <c r="BTX37" s="2795"/>
      <c r="BTY37" s="2795"/>
      <c r="BTZ37" s="2795"/>
      <c r="BUA37" s="2795"/>
      <c r="BUB37" s="2795"/>
      <c r="BUC37" s="2795"/>
      <c r="BUD37" s="2795"/>
      <c r="BUE37" s="2795"/>
      <c r="BUF37" s="2795"/>
      <c r="BUG37" s="2795"/>
      <c r="BUH37" s="2795"/>
      <c r="BUI37" s="2795"/>
      <c r="BUJ37" s="2795"/>
      <c r="BUK37" s="2795"/>
      <c r="BUL37" s="2795"/>
      <c r="BUM37" s="2795"/>
      <c r="BUN37" s="2795"/>
      <c r="BUO37" s="2795"/>
      <c r="BUP37" s="2795"/>
      <c r="BUQ37" s="2795"/>
      <c r="BUR37" s="2795"/>
      <c r="BUS37" s="2795"/>
      <c r="BUT37" s="2795"/>
      <c r="BUU37" s="2795"/>
      <c r="BUV37" s="2795"/>
      <c r="BUW37" s="2795"/>
      <c r="BUX37" s="2795"/>
      <c r="BUY37" s="2795"/>
      <c r="BUZ37" s="2795"/>
      <c r="BVA37" s="2795"/>
      <c r="BVB37" s="2795"/>
      <c r="BVC37" s="2795"/>
      <c r="BVD37" s="2795"/>
      <c r="BVE37" s="2795"/>
      <c r="BVF37" s="2795"/>
      <c r="BVG37" s="2795"/>
      <c r="BVH37" s="2795"/>
      <c r="BVI37" s="2795"/>
      <c r="BVJ37" s="2795"/>
      <c r="BVK37" s="2795"/>
      <c r="BVL37" s="2795"/>
      <c r="BVM37" s="2795"/>
      <c r="BVN37" s="2795"/>
      <c r="BVO37" s="2795"/>
      <c r="BVP37" s="2795"/>
      <c r="BVQ37" s="2795"/>
      <c r="BVR37" s="2795"/>
      <c r="BVS37" s="2795"/>
      <c r="BVT37" s="2795"/>
      <c r="BVU37" s="2795"/>
      <c r="BVV37" s="2795"/>
      <c r="BVW37" s="2795"/>
      <c r="BVX37" s="2795"/>
      <c r="BVY37" s="2795"/>
      <c r="BVZ37" s="2795"/>
      <c r="BWA37" s="2795"/>
      <c r="BWB37" s="2795"/>
      <c r="BWC37" s="2795"/>
      <c r="BWD37" s="2795"/>
      <c r="BWE37" s="2795"/>
      <c r="BWF37" s="2795"/>
      <c r="BWG37" s="2795"/>
      <c r="BWH37" s="2795"/>
      <c r="BWI37" s="2795"/>
      <c r="BWJ37" s="2795"/>
      <c r="BWK37" s="2795"/>
      <c r="BWL37" s="2795"/>
      <c r="BWM37" s="2795"/>
      <c r="BWN37" s="2795"/>
      <c r="BWO37" s="2795"/>
      <c r="BWP37" s="2795"/>
      <c r="BWQ37" s="2795"/>
      <c r="BWR37" s="2795"/>
      <c r="BWS37" s="2795"/>
      <c r="BWT37" s="2795"/>
      <c r="BWU37" s="2795"/>
      <c r="BWV37" s="2795"/>
      <c r="BWW37" s="2795"/>
      <c r="BWX37" s="2795"/>
      <c r="BWY37" s="2795"/>
      <c r="BWZ37" s="2795"/>
      <c r="BXA37" s="2795"/>
      <c r="BXB37" s="2795"/>
      <c r="BXC37" s="2795"/>
      <c r="BXD37" s="2795"/>
      <c r="BXE37" s="2795"/>
      <c r="BXF37" s="2795"/>
      <c r="BXG37" s="2795"/>
      <c r="BXH37" s="2795"/>
      <c r="BXI37" s="2795"/>
      <c r="BXJ37" s="2795"/>
      <c r="BXK37" s="2795"/>
      <c r="BXL37" s="2795"/>
      <c r="BXM37" s="2795"/>
      <c r="BXN37" s="2795"/>
      <c r="BXO37" s="2795"/>
      <c r="BXP37" s="2795"/>
      <c r="BXQ37" s="2795"/>
      <c r="BXR37" s="2795"/>
      <c r="BXS37" s="2795"/>
      <c r="BXT37" s="2795"/>
      <c r="BXU37" s="2795"/>
      <c r="BXV37" s="2795"/>
      <c r="BXW37" s="2795"/>
      <c r="BXX37" s="2795"/>
      <c r="BXY37" s="2795"/>
      <c r="BXZ37" s="2795"/>
      <c r="BYA37" s="2795"/>
      <c r="BYB37" s="2795"/>
      <c r="BYC37" s="2795"/>
      <c r="BYD37" s="2795"/>
      <c r="BYE37" s="2795"/>
      <c r="BYF37" s="2795"/>
      <c r="BYG37" s="2795"/>
      <c r="BYH37" s="2795"/>
      <c r="BYI37" s="2795"/>
      <c r="BYJ37" s="2795"/>
      <c r="BYK37" s="2795"/>
      <c r="BYL37" s="2795"/>
      <c r="BYM37" s="2795"/>
      <c r="BYN37" s="2795"/>
      <c r="BYO37" s="2795"/>
      <c r="BYP37" s="2795"/>
      <c r="BYQ37" s="2795"/>
      <c r="BYR37" s="2795"/>
      <c r="BYS37" s="2795"/>
      <c r="BYT37" s="2795"/>
      <c r="BYU37" s="2795"/>
      <c r="BYV37" s="2795"/>
      <c r="BYW37" s="2795"/>
      <c r="BYX37" s="2795"/>
      <c r="BYY37" s="2795"/>
      <c r="BYZ37" s="2795"/>
      <c r="BZA37" s="2795"/>
      <c r="BZB37" s="2795"/>
      <c r="BZC37" s="2795"/>
      <c r="BZD37" s="2795"/>
      <c r="BZE37" s="2795"/>
      <c r="BZF37" s="2795"/>
      <c r="BZG37" s="2795"/>
      <c r="BZH37" s="2795"/>
      <c r="BZI37" s="2795"/>
      <c r="BZJ37" s="2795"/>
      <c r="BZK37" s="2795"/>
      <c r="BZL37" s="2795"/>
      <c r="BZM37" s="2795"/>
      <c r="BZN37" s="2795"/>
      <c r="BZO37" s="2795"/>
      <c r="BZP37" s="2795"/>
      <c r="BZQ37" s="2795"/>
      <c r="BZR37" s="2795"/>
      <c r="BZS37" s="2795"/>
      <c r="BZT37" s="2795"/>
      <c r="BZU37" s="2795"/>
      <c r="BZV37" s="2795"/>
      <c r="BZW37" s="2795"/>
      <c r="BZX37" s="2795"/>
      <c r="BZY37" s="2795"/>
      <c r="BZZ37" s="2795"/>
      <c r="CAA37" s="2795"/>
      <c r="CAB37" s="2795"/>
      <c r="CAC37" s="2795"/>
      <c r="CAD37" s="2795"/>
      <c r="CAE37" s="2795"/>
      <c r="CAF37" s="2795"/>
      <c r="CAG37" s="2795"/>
      <c r="CAH37" s="2795"/>
      <c r="CAI37" s="2795"/>
      <c r="CAJ37" s="2795"/>
      <c r="CAK37" s="2795"/>
      <c r="CAL37" s="2795"/>
      <c r="CAM37" s="2795"/>
      <c r="CAN37" s="2795"/>
      <c r="CAO37" s="2795"/>
      <c r="CAP37" s="2795"/>
      <c r="CAQ37" s="2795"/>
      <c r="CAR37" s="2795"/>
      <c r="CAS37" s="2795"/>
      <c r="CAT37" s="2795"/>
      <c r="CAU37" s="2795"/>
      <c r="CAV37" s="2795"/>
      <c r="CAW37" s="2795"/>
      <c r="CAX37" s="2795"/>
      <c r="CAY37" s="2795"/>
      <c r="CAZ37" s="2795"/>
      <c r="CBA37" s="2795"/>
      <c r="CBB37" s="2795"/>
      <c r="CBC37" s="2795"/>
      <c r="CBD37" s="2795"/>
      <c r="CBE37" s="2795"/>
      <c r="CBF37" s="2795"/>
      <c r="CBG37" s="2795"/>
      <c r="CBH37" s="2795"/>
      <c r="CBI37" s="2795"/>
      <c r="CBJ37" s="2795"/>
      <c r="CBK37" s="2795"/>
      <c r="CBL37" s="2795"/>
      <c r="CBM37" s="2795"/>
      <c r="CBN37" s="2795"/>
      <c r="CBO37" s="2795"/>
      <c r="CBP37" s="2795"/>
      <c r="CBQ37" s="2795"/>
      <c r="CBR37" s="2795"/>
      <c r="CBS37" s="2795"/>
      <c r="CBT37" s="2795"/>
      <c r="CBU37" s="2795"/>
      <c r="CBV37" s="2795"/>
      <c r="CBW37" s="2795"/>
      <c r="CBX37" s="2795"/>
      <c r="CBY37" s="2795"/>
      <c r="CBZ37" s="2795"/>
      <c r="CCA37" s="2795"/>
      <c r="CCB37" s="2795"/>
      <c r="CCC37" s="2795"/>
      <c r="CCD37" s="2795"/>
      <c r="CCE37" s="2795"/>
      <c r="CCF37" s="2795"/>
      <c r="CCG37" s="2795"/>
      <c r="CCH37" s="2795"/>
      <c r="CCI37" s="2795"/>
      <c r="CCJ37" s="2795"/>
      <c r="CCK37" s="2795"/>
      <c r="CCL37" s="2795"/>
      <c r="CCM37" s="2795"/>
      <c r="CCN37" s="2795"/>
      <c r="CCO37" s="2795"/>
      <c r="CCP37" s="2795"/>
      <c r="CCQ37" s="2795"/>
      <c r="CCR37" s="2795"/>
      <c r="CCS37" s="2795"/>
      <c r="CCT37" s="2795"/>
      <c r="CCU37" s="2795"/>
      <c r="CCV37" s="2795"/>
      <c r="CCW37" s="2795"/>
      <c r="CCX37" s="2795"/>
      <c r="CCY37" s="2795"/>
      <c r="CCZ37" s="2795"/>
      <c r="CDA37" s="2795"/>
      <c r="CDB37" s="2795"/>
      <c r="CDC37" s="2795"/>
      <c r="CDD37" s="2795"/>
      <c r="CDE37" s="2795"/>
      <c r="CDF37" s="2795"/>
      <c r="CDG37" s="2795"/>
      <c r="CDH37" s="2795"/>
      <c r="CDI37" s="2795"/>
      <c r="CDJ37" s="2795"/>
      <c r="CDK37" s="2795"/>
      <c r="CDL37" s="2795"/>
      <c r="CDM37" s="2795"/>
      <c r="CDN37" s="2795"/>
      <c r="CDO37" s="2795"/>
      <c r="CDP37" s="2795"/>
      <c r="CDQ37" s="2795"/>
      <c r="CDR37" s="2795"/>
      <c r="CDS37" s="2795"/>
      <c r="CDT37" s="2795"/>
      <c r="CDU37" s="2795"/>
      <c r="CDV37" s="2795"/>
      <c r="CDW37" s="2795"/>
      <c r="CDX37" s="2795"/>
      <c r="CDY37" s="2795"/>
      <c r="CDZ37" s="2795"/>
      <c r="CEA37" s="2795"/>
      <c r="CEB37" s="2795"/>
      <c r="CEC37" s="2795"/>
      <c r="CED37" s="2795"/>
      <c r="CEE37" s="2795"/>
      <c r="CEF37" s="2795"/>
      <c r="CEG37" s="2795"/>
      <c r="CEH37" s="2795"/>
      <c r="CEI37" s="2795"/>
      <c r="CEJ37" s="2795"/>
      <c r="CEK37" s="2795"/>
      <c r="CEL37" s="2795"/>
      <c r="CEM37" s="2795"/>
      <c r="CEN37" s="2795"/>
      <c r="CEO37" s="2795"/>
      <c r="CEP37" s="2795"/>
      <c r="CEQ37" s="2795"/>
      <c r="CER37" s="2795"/>
      <c r="CES37" s="2795"/>
      <c r="CET37" s="2795"/>
      <c r="CEU37" s="2795"/>
      <c r="CEV37" s="2795"/>
      <c r="CEW37" s="2795"/>
      <c r="CEX37" s="2795"/>
      <c r="CEY37" s="2795"/>
      <c r="CEZ37" s="2795"/>
      <c r="CFA37" s="2795"/>
      <c r="CFB37" s="2795"/>
      <c r="CFC37" s="2795"/>
      <c r="CFD37" s="2795"/>
      <c r="CFE37" s="2795"/>
      <c r="CFF37" s="2795"/>
      <c r="CFG37" s="2795"/>
      <c r="CFH37" s="2795"/>
      <c r="CFI37" s="2795"/>
      <c r="CFJ37" s="2795"/>
      <c r="CFK37" s="2795"/>
      <c r="CFL37" s="2795"/>
      <c r="CFM37" s="2795"/>
      <c r="CFN37" s="2795"/>
      <c r="CFO37" s="2795"/>
      <c r="CFP37" s="2795"/>
      <c r="CFQ37" s="2795"/>
      <c r="CFR37" s="2795"/>
      <c r="CFS37" s="2795"/>
      <c r="CFT37" s="2795"/>
      <c r="CFU37" s="2795"/>
      <c r="CFV37" s="2795"/>
      <c r="CFW37" s="2795"/>
      <c r="CFX37" s="2795"/>
      <c r="CFY37" s="2795"/>
      <c r="CFZ37" s="2795"/>
      <c r="CGA37" s="2795"/>
      <c r="CGB37" s="2795"/>
      <c r="CGC37" s="2795"/>
      <c r="CGD37" s="2795"/>
      <c r="CGE37" s="2795"/>
      <c r="CGF37" s="2795"/>
      <c r="CGG37" s="2795"/>
      <c r="CGH37" s="2795"/>
      <c r="CGI37" s="2795"/>
      <c r="CGJ37" s="2795"/>
      <c r="CGK37" s="2795"/>
      <c r="CGL37" s="2795"/>
      <c r="CGM37" s="2795"/>
      <c r="CGN37" s="2795"/>
      <c r="CGO37" s="2795"/>
      <c r="CGP37" s="2795"/>
      <c r="CGQ37" s="2795"/>
      <c r="CGR37" s="2795"/>
      <c r="CGS37" s="2795"/>
      <c r="CGT37" s="2795"/>
      <c r="CGU37" s="2795"/>
      <c r="CGV37" s="2795"/>
      <c r="CGW37" s="2795"/>
      <c r="CGX37" s="2795"/>
      <c r="CGY37" s="2795"/>
      <c r="CGZ37" s="2795"/>
      <c r="CHA37" s="2795"/>
      <c r="CHB37" s="2795"/>
      <c r="CHC37" s="2795"/>
      <c r="CHD37" s="2795"/>
      <c r="CHE37" s="2795"/>
      <c r="CHF37" s="2795"/>
      <c r="CHG37" s="2795"/>
      <c r="CHH37" s="2795"/>
      <c r="CHI37" s="2795"/>
      <c r="CHJ37" s="2795"/>
      <c r="CHK37" s="2795"/>
      <c r="CHL37" s="2795"/>
      <c r="CHM37" s="2795"/>
      <c r="CHN37" s="2795"/>
      <c r="CHO37" s="2795"/>
      <c r="CHP37" s="2795"/>
      <c r="CHQ37" s="2795"/>
      <c r="CHR37" s="2795"/>
      <c r="CHS37" s="2795"/>
      <c r="CHT37" s="2795"/>
      <c r="CHU37" s="2795"/>
      <c r="CHV37" s="2795"/>
      <c r="CHW37" s="2795"/>
      <c r="CHX37" s="2795"/>
      <c r="CHY37" s="2795"/>
      <c r="CHZ37" s="2795"/>
      <c r="CIA37" s="2795"/>
      <c r="CIB37" s="2795"/>
      <c r="CIC37" s="2795"/>
      <c r="CID37" s="2795"/>
      <c r="CIE37" s="2795"/>
      <c r="CIF37" s="2795"/>
      <c r="CIG37" s="2795"/>
      <c r="CIH37" s="2795"/>
      <c r="CII37" s="2795"/>
      <c r="CIJ37" s="2795"/>
      <c r="CIK37" s="2795"/>
      <c r="CIL37" s="2795"/>
      <c r="CIM37" s="2795"/>
      <c r="CIN37" s="2795"/>
      <c r="CIO37" s="2795"/>
      <c r="CIP37" s="2795"/>
      <c r="CIQ37" s="2795"/>
      <c r="CIR37" s="2795"/>
      <c r="CIS37" s="2795"/>
      <c r="CIT37" s="2795"/>
      <c r="CIU37" s="2795"/>
      <c r="CIV37" s="2795"/>
      <c r="CIW37" s="2795"/>
      <c r="CIX37" s="2795"/>
      <c r="CIY37" s="2795"/>
      <c r="CIZ37" s="2795"/>
      <c r="CJA37" s="2795"/>
      <c r="CJB37" s="2795"/>
      <c r="CJC37" s="2795"/>
      <c r="CJD37" s="2795"/>
      <c r="CJE37" s="2795"/>
      <c r="CJF37" s="2795"/>
      <c r="CJG37" s="2795"/>
      <c r="CJH37" s="2795"/>
      <c r="CJI37" s="2795"/>
      <c r="CJJ37" s="2795"/>
      <c r="CJK37" s="2795"/>
      <c r="CJL37" s="2795"/>
      <c r="CJM37" s="2795"/>
      <c r="CJN37" s="2795"/>
      <c r="CJO37" s="2795"/>
      <c r="CJP37" s="2795"/>
      <c r="CJQ37" s="2795"/>
      <c r="CJR37" s="2795"/>
      <c r="CJS37" s="2795"/>
      <c r="CJT37" s="2795"/>
      <c r="CJU37" s="2795"/>
      <c r="CJV37" s="2795"/>
      <c r="CJW37" s="2795"/>
      <c r="CJX37" s="2795"/>
      <c r="CJY37" s="2795"/>
      <c r="CJZ37" s="2795"/>
      <c r="CKA37" s="2795"/>
      <c r="CKB37" s="2795"/>
      <c r="CKC37" s="2795"/>
      <c r="CKD37" s="2795"/>
      <c r="CKE37" s="2795"/>
      <c r="CKF37" s="2795"/>
      <c r="CKG37" s="2795"/>
      <c r="CKH37" s="2795"/>
      <c r="CKI37" s="2795"/>
      <c r="CKJ37" s="2795"/>
      <c r="CKK37" s="2795"/>
      <c r="CKL37" s="2795"/>
      <c r="CKM37" s="2795"/>
      <c r="CKN37" s="2795"/>
      <c r="CKO37" s="2795"/>
      <c r="CKP37" s="2795"/>
      <c r="CKQ37" s="2795"/>
      <c r="CKR37" s="2795"/>
      <c r="CKS37" s="2795"/>
      <c r="CKT37" s="2795"/>
      <c r="CKU37" s="2795"/>
      <c r="CKV37" s="2795"/>
      <c r="CKW37" s="2795"/>
      <c r="CKX37" s="2795"/>
      <c r="CKY37" s="2795"/>
      <c r="CKZ37" s="2795"/>
      <c r="CLA37" s="2795"/>
      <c r="CLB37" s="2795"/>
      <c r="CLC37" s="2795"/>
      <c r="CLD37" s="2795"/>
      <c r="CLE37" s="2795"/>
      <c r="CLF37" s="2795"/>
      <c r="CLG37" s="2795"/>
      <c r="CLH37" s="2795"/>
      <c r="CLI37" s="2795"/>
      <c r="CLJ37" s="2795"/>
      <c r="CLK37" s="2795"/>
      <c r="CLL37" s="2795"/>
      <c r="CLM37" s="2795"/>
      <c r="CLN37" s="2795"/>
      <c r="CLO37" s="2795"/>
      <c r="CLP37" s="2795"/>
      <c r="CLQ37" s="2795"/>
      <c r="CLR37" s="2795"/>
      <c r="CLS37" s="2795"/>
      <c r="CLT37" s="2795"/>
      <c r="CLU37" s="2795"/>
      <c r="CLV37" s="2795"/>
      <c r="CLW37" s="2795"/>
      <c r="CLX37" s="2795"/>
      <c r="CLY37" s="2795"/>
      <c r="CLZ37" s="2795"/>
      <c r="CMA37" s="2795"/>
      <c r="CMB37" s="2795"/>
      <c r="CMC37" s="2795"/>
      <c r="CMD37" s="2795"/>
      <c r="CME37" s="2795"/>
      <c r="CMF37" s="2795"/>
      <c r="CMG37" s="2795"/>
      <c r="CMH37" s="2795"/>
      <c r="CMI37" s="2795"/>
      <c r="CMJ37" s="2795"/>
      <c r="CMK37" s="2795"/>
      <c r="CML37" s="2795"/>
      <c r="CMM37" s="2795"/>
      <c r="CMN37" s="2795"/>
      <c r="CMO37" s="2795"/>
      <c r="CMP37" s="2795"/>
      <c r="CMQ37" s="2795"/>
      <c r="CMR37" s="2795"/>
      <c r="CMS37" s="2795"/>
      <c r="CMT37" s="2795"/>
      <c r="CMU37" s="2795"/>
      <c r="CMV37" s="2795"/>
      <c r="CMW37" s="2795"/>
      <c r="CMX37" s="2795"/>
      <c r="CMY37" s="2795"/>
      <c r="CMZ37" s="2795"/>
      <c r="CNA37" s="2795"/>
      <c r="CNB37" s="2795"/>
      <c r="CNC37" s="2795"/>
      <c r="CND37" s="2795"/>
      <c r="CNE37" s="2795"/>
      <c r="CNF37" s="2795"/>
      <c r="CNG37" s="2795"/>
      <c r="CNH37" s="2795"/>
      <c r="CNI37" s="2795"/>
      <c r="CNJ37" s="2795"/>
      <c r="CNK37" s="2795"/>
      <c r="CNL37" s="2795"/>
      <c r="CNM37" s="2795"/>
      <c r="CNN37" s="2795"/>
      <c r="CNO37" s="2795"/>
      <c r="CNP37" s="2795"/>
      <c r="CNQ37" s="2795"/>
      <c r="CNR37" s="2795"/>
      <c r="CNS37" s="2795"/>
      <c r="CNT37" s="2795"/>
      <c r="CNU37" s="2795"/>
      <c r="CNV37" s="2795"/>
      <c r="CNW37" s="2795"/>
      <c r="CNX37" s="2795"/>
      <c r="CNY37" s="2795"/>
      <c r="CNZ37" s="2795"/>
      <c r="COA37" s="2795"/>
      <c r="COB37" s="2795"/>
      <c r="COC37" s="2795"/>
      <c r="COD37" s="2795"/>
      <c r="COE37" s="2795"/>
      <c r="COF37" s="2795"/>
      <c r="COG37" s="2795"/>
      <c r="COH37" s="2795"/>
      <c r="COI37" s="2795"/>
      <c r="COJ37" s="2795"/>
      <c r="COK37" s="2795"/>
      <c r="COL37" s="2795"/>
      <c r="COM37" s="2795"/>
      <c r="CON37" s="2795"/>
      <c r="COO37" s="2795"/>
      <c r="COP37" s="2795"/>
      <c r="COQ37" s="2795"/>
      <c r="COR37" s="2795"/>
      <c r="COS37" s="2795"/>
      <c r="COT37" s="2795"/>
      <c r="COU37" s="2795"/>
      <c r="COV37" s="2795"/>
      <c r="COW37" s="2795"/>
      <c r="COX37" s="2795"/>
      <c r="COY37" s="2795"/>
      <c r="COZ37" s="2795"/>
      <c r="CPA37" s="2795"/>
      <c r="CPB37" s="2795"/>
      <c r="CPC37" s="2795"/>
      <c r="CPD37" s="2795"/>
      <c r="CPE37" s="2795"/>
      <c r="CPF37" s="2795"/>
      <c r="CPG37" s="2795"/>
      <c r="CPH37" s="2795"/>
      <c r="CPI37" s="2795"/>
      <c r="CPJ37" s="2795"/>
      <c r="CPK37" s="2795"/>
      <c r="CPL37" s="2795"/>
      <c r="CPM37" s="2795"/>
      <c r="CPN37" s="2795"/>
      <c r="CPO37" s="2795"/>
      <c r="CPP37" s="2795"/>
      <c r="CPQ37" s="2795"/>
      <c r="CPR37" s="2795"/>
      <c r="CPS37" s="2795"/>
      <c r="CPT37" s="2795"/>
      <c r="CPU37" s="2795"/>
      <c r="CPV37" s="2795"/>
      <c r="CPW37" s="2795"/>
      <c r="CPX37" s="2795"/>
      <c r="CPY37" s="2795"/>
      <c r="CPZ37" s="2795"/>
      <c r="CQA37" s="2795"/>
      <c r="CQB37" s="2795"/>
      <c r="CQC37" s="2795"/>
      <c r="CQD37" s="2795"/>
      <c r="CQE37" s="2795"/>
      <c r="CQF37" s="2795"/>
      <c r="CQG37" s="2795"/>
      <c r="CQH37" s="2795"/>
      <c r="CQI37" s="2795"/>
      <c r="CQJ37" s="2795"/>
      <c r="CQK37" s="2795"/>
      <c r="CQL37" s="2795"/>
      <c r="CQM37" s="2795"/>
      <c r="CQN37" s="2795"/>
      <c r="CQO37" s="2795"/>
      <c r="CQP37" s="2795"/>
      <c r="CQQ37" s="2795"/>
      <c r="CQR37" s="2795"/>
      <c r="CQS37" s="2795"/>
      <c r="CQT37" s="2795"/>
      <c r="CQU37" s="2795"/>
      <c r="CQV37" s="2795"/>
      <c r="CQW37" s="2795"/>
      <c r="CQX37" s="2795"/>
      <c r="CQY37" s="2795"/>
      <c r="CQZ37" s="2795"/>
      <c r="CRA37" s="2795"/>
      <c r="CRB37" s="2795"/>
      <c r="CRC37" s="2795"/>
      <c r="CRD37" s="2795"/>
      <c r="CRE37" s="2795"/>
      <c r="CRF37" s="2795"/>
      <c r="CRG37" s="2795"/>
      <c r="CRH37" s="2795"/>
      <c r="CRI37" s="2795"/>
      <c r="CRJ37" s="2795"/>
      <c r="CRK37" s="2795"/>
      <c r="CRL37" s="2795"/>
      <c r="CRM37" s="2795"/>
      <c r="CRN37" s="2795"/>
      <c r="CRO37" s="2795"/>
      <c r="CRP37" s="2795"/>
      <c r="CRQ37" s="2795"/>
      <c r="CRR37" s="2795"/>
      <c r="CRS37" s="2795"/>
      <c r="CRT37" s="2795"/>
      <c r="CRU37" s="2795"/>
      <c r="CRV37" s="2795"/>
      <c r="CRW37" s="2795"/>
      <c r="CRX37" s="2795"/>
      <c r="CRY37" s="2795"/>
      <c r="CRZ37" s="2795"/>
      <c r="CSA37" s="2795"/>
      <c r="CSB37" s="2795"/>
      <c r="CSC37" s="2795"/>
      <c r="CSD37" s="2795"/>
      <c r="CSE37" s="2795"/>
      <c r="CSF37" s="2795"/>
      <c r="CSG37" s="2795"/>
      <c r="CSH37" s="2795"/>
      <c r="CSI37" s="2795"/>
      <c r="CSJ37" s="2795"/>
      <c r="CSK37" s="2795"/>
      <c r="CSL37" s="2795"/>
      <c r="CSM37" s="2795"/>
      <c r="CSN37" s="2795"/>
      <c r="CSO37" s="2795"/>
      <c r="CSP37" s="2795"/>
      <c r="CSQ37" s="2795"/>
      <c r="CSR37" s="2795"/>
      <c r="CSS37" s="2795"/>
      <c r="CST37" s="2795"/>
      <c r="CSU37" s="2795"/>
      <c r="CSV37" s="2795"/>
      <c r="CSW37" s="2795"/>
      <c r="CSX37" s="2795"/>
      <c r="CSY37" s="2795"/>
      <c r="CSZ37" s="2795"/>
      <c r="CTA37" s="2795"/>
      <c r="CTB37" s="2795"/>
      <c r="CTC37" s="2795"/>
      <c r="CTD37" s="2795"/>
      <c r="CTE37" s="2795"/>
      <c r="CTF37" s="2795"/>
      <c r="CTG37" s="2795"/>
      <c r="CTH37" s="2795"/>
      <c r="CTI37" s="2795"/>
      <c r="CTJ37" s="2795"/>
      <c r="CTK37" s="2795"/>
      <c r="CTL37" s="2795"/>
      <c r="CTM37" s="2795"/>
      <c r="CTN37" s="2795"/>
      <c r="CTO37" s="2795"/>
      <c r="CTP37" s="2795"/>
      <c r="CTQ37" s="2795"/>
      <c r="CTR37" s="2795"/>
      <c r="CTS37" s="2795"/>
      <c r="CTT37" s="2795"/>
      <c r="CTU37" s="2795"/>
      <c r="CTV37" s="2795"/>
      <c r="CTW37" s="2795"/>
      <c r="CTX37" s="2795"/>
      <c r="CTY37" s="2795"/>
      <c r="CTZ37" s="2795"/>
      <c r="CUA37" s="2795"/>
      <c r="CUB37" s="2795"/>
      <c r="CUC37" s="2795"/>
      <c r="CUD37" s="2795"/>
      <c r="CUE37" s="2795"/>
      <c r="CUF37" s="2795"/>
      <c r="CUG37" s="2795"/>
      <c r="CUH37" s="2795"/>
      <c r="CUI37" s="2795"/>
      <c r="CUJ37" s="2795"/>
      <c r="CUK37" s="2795"/>
      <c r="CUL37" s="2795"/>
      <c r="CUM37" s="2795"/>
      <c r="CUN37" s="2795"/>
      <c r="CUO37" s="2795"/>
      <c r="CUP37" s="2795"/>
      <c r="CUQ37" s="2795"/>
      <c r="CUR37" s="2795"/>
      <c r="CUS37" s="2795"/>
      <c r="CUT37" s="2795"/>
      <c r="CUU37" s="2795"/>
      <c r="CUV37" s="2795"/>
      <c r="CUW37" s="2795"/>
      <c r="CUX37" s="2795"/>
      <c r="CUY37" s="2795"/>
      <c r="CUZ37" s="2795"/>
      <c r="CVA37" s="2795"/>
      <c r="CVB37" s="2795"/>
      <c r="CVC37" s="2795"/>
      <c r="CVD37" s="2795"/>
      <c r="CVE37" s="2795"/>
      <c r="CVF37" s="2795"/>
      <c r="CVG37" s="2795"/>
      <c r="CVH37" s="2795"/>
      <c r="CVI37" s="2795"/>
      <c r="CVJ37" s="2795"/>
      <c r="CVK37" s="2795"/>
      <c r="CVL37" s="2795"/>
      <c r="CVM37" s="2795"/>
      <c r="CVN37" s="2795"/>
      <c r="CVO37" s="2795"/>
      <c r="CVP37" s="2795"/>
      <c r="CVQ37" s="2795"/>
      <c r="CVR37" s="2795"/>
      <c r="CVS37" s="2795"/>
      <c r="CVT37" s="2795"/>
      <c r="CVU37" s="2795"/>
      <c r="CVV37" s="2795"/>
      <c r="CVW37" s="2795"/>
      <c r="CVX37" s="2795"/>
      <c r="CVY37" s="2795"/>
      <c r="CVZ37" s="2795"/>
      <c r="CWA37" s="2795"/>
      <c r="CWB37" s="2795"/>
      <c r="CWC37" s="2795"/>
      <c r="CWD37" s="2795"/>
      <c r="CWE37" s="2795"/>
      <c r="CWF37" s="2795"/>
      <c r="CWG37" s="2795"/>
      <c r="CWH37" s="2795"/>
      <c r="CWI37" s="2795"/>
      <c r="CWJ37" s="2795"/>
      <c r="CWK37" s="2795"/>
      <c r="CWL37" s="2795"/>
      <c r="CWM37" s="2795"/>
      <c r="CWN37" s="2795"/>
      <c r="CWO37" s="2795"/>
      <c r="CWP37" s="2795"/>
      <c r="CWQ37" s="2795"/>
      <c r="CWR37" s="2795"/>
      <c r="CWS37" s="2795"/>
      <c r="CWT37" s="2795"/>
      <c r="CWU37" s="2795"/>
      <c r="CWV37" s="2795"/>
      <c r="CWW37" s="2795"/>
      <c r="CWX37" s="2795"/>
      <c r="CWY37" s="2795"/>
      <c r="CWZ37" s="2795"/>
      <c r="CXA37" s="2795"/>
      <c r="CXB37" s="2795"/>
      <c r="CXC37" s="2795"/>
      <c r="CXD37" s="2795"/>
      <c r="CXE37" s="2795"/>
      <c r="CXF37" s="2795"/>
      <c r="CXG37" s="2795"/>
      <c r="CXH37" s="2795"/>
      <c r="CXI37" s="2795"/>
      <c r="CXJ37" s="2795"/>
      <c r="CXK37" s="2795"/>
      <c r="CXL37" s="2795"/>
      <c r="CXM37" s="2795"/>
      <c r="CXN37" s="2795"/>
      <c r="CXO37" s="2795"/>
      <c r="CXP37" s="2795"/>
      <c r="CXQ37" s="2795"/>
      <c r="CXR37" s="2795"/>
      <c r="CXS37" s="2795"/>
      <c r="CXT37" s="2795"/>
      <c r="CXU37" s="2795"/>
      <c r="CXV37" s="2795"/>
      <c r="CXW37" s="2795"/>
      <c r="CXX37" s="2795"/>
      <c r="CXY37" s="2795"/>
      <c r="CXZ37" s="2795"/>
      <c r="CYA37" s="2795"/>
      <c r="CYB37" s="2795"/>
      <c r="CYC37" s="2795"/>
      <c r="CYD37" s="2795"/>
      <c r="CYE37" s="2795"/>
      <c r="CYF37" s="2795"/>
      <c r="CYG37" s="2795"/>
      <c r="CYH37" s="2795"/>
      <c r="CYI37" s="2795"/>
      <c r="CYJ37" s="2795"/>
      <c r="CYK37" s="2795"/>
      <c r="CYL37" s="2795"/>
      <c r="CYM37" s="2795"/>
      <c r="CYN37" s="2795"/>
      <c r="CYO37" s="2795"/>
      <c r="CYP37" s="2795"/>
      <c r="CYQ37" s="2795"/>
      <c r="CYR37" s="2795"/>
      <c r="CYS37" s="2795"/>
      <c r="CYT37" s="2795"/>
      <c r="CYU37" s="2795"/>
      <c r="CYV37" s="2795"/>
      <c r="CYW37" s="2795"/>
      <c r="CYX37" s="2795"/>
      <c r="CYY37" s="2795"/>
      <c r="CYZ37" s="2795"/>
      <c r="CZA37" s="2795"/>
      <c r="CZB37" s="2795"/>
      <c r="CZC37" s="2795"/>
      <c r="CZD37" s="2795"/>
      <c r="CZE37" s="2795"/>
      <c r="CZF37" s="2795"/>
      <c r="CZG37" s="2795"/>
      <c r="CZH37" s="2795"/>
      <c r="CZI37" s="2795"/>
      <c r="CZJ37" s="2795"/>
      <c r="CZK37" s="2795"/>
      <c r="CZL37" s="2795"/>
      <c r="CZM37" s="2795"/>
      <c r="CZN37" s="2795"/>
      <c r="CZO37" s="2795"/>
      <c r="CZP37" s="2795"/>
      <c r="CZQ37" s="2795"/>
      <c r="CZR37" s="2795"/>
      <c r="CZS37" s="2795"/>
      <c r="CZT37" s="2795"/>
      <c r="CZU37" s="2795"/>
      <c r="CZV37" s="2795"/>
      <c r="CZW37" s="2795"/>
      <c r="CZX37" s="2795"/>
      <c r="CZY37" s="2795"/>
      <c r="CZZ37" s="2795"/>
      <c r="DAA37" s="2795"/>
      <c r="DAB37" s="2795"/>
      <c r="DAC37" s="2795"/>
      <c r="DAD37" s="2795"/>
      <c r="DAE37" s="2795"/>
      <c r="DAF37" s="2795"/>
      <c r="DAG37" s="2795"/>
      <c r="DAH37" s="2795"/>
      <c r="DAI37" s="2795"/>
      <c r="DAJ37" s="2795"/>
      <c r="DAK37" s="2795"/>
      <c r="DAL37" s="2795"/>
      <c r="DAM37" s="2795"/>
      <c r="DAN37" s="2795"/>
      <c r="DAO37" s="2795"/>
      <c r="DAP37" s="2795"/>
      <c r="DAQ37" s="2795"/>
      <c r="DAR37" s="2795"/>
      <c r="DAS37" s="2795"/>
      <c r="DAT37" s="2795"/>
      <c r="DAU37" s="2795"/>
      <c r="DAV37" s="2795"/>
      <c r="DAW37" s="2795"/>
      <c r="DAX37" s="2795"/>
      <c r="DAY37" s="2795"/>
      <c r="DAZ37" s="2795"/>
      <c r="DBA37" s="2795"/>
      <c r="DBB37" s="2795"/>
      <c r="DBC37" s="2795"/>
      <c r="DBD37" s="2795"/>
      <c r="DBE37" s="2795"/>
      <c r="DBF37" s="2795"/>
      <c r="DBG37" s="2795"/>
      <c r="DBH37" s="2795"/>
      <c r="DBI37" s="2795"/>
      <c r="DBJ37" s="2795"/>
      <c r="DBK37" s="2795"/>
      <c r="DBL37" s="2795"/>
      <c r="DBM37" s="2795"/>
      <c r="DBN37" s="2795"/>
      <c r="DBO37" s="2795"/>
      <c r="DBP37" s="2795"/>
      <c r="DBQ37" s="2795"/>
      <c r="DBR37" s="2795"/>
      <c r="DBS37" s="2795"/>
      <c r="DBT37" s="2795"/>
      <c r="DBU37" s="2795"/>
      <c r="DBV37" s="2795"/>
      <c r="DBW37" s="2795"/>
      <c r="DBX37" s="2795"/>
      <c r="DBY37" s="2795"/>
      <c r="DBZ37" s="2795"/>
      <c r="DCA37" s="2795"/>
      <c r="DCB37" s="2795"/>
      <c r="DCC37" s="2795"/>
      <c r="DCD37" s="2795"/>
      <c r="DCE37" s="2795"/>
      <c r="DCF37" s="2795"/>
      <c r="DCG37" s="2795"/>
      <c r="DCH37" s="2795"/>
      <c r="DCI37" s="2795"/>
      <c r="DCJ37" s="2795"/>
      <c r="DCK37" s="2795"/>
      <c r="DCL37" s="2795"/>
      <c r="DCM37" s="2795"/>
      <c r="DCN37" s="2795"/>
      <c r="DCO37" s="2795"/>
      <c r="DCP37" s="2795"/>
      <c r="DCQ37" s="2795"/>
      <c r="DCR37" s="2795"/>
      <c r="DCS37" s="2795"/>
      <c r="DCT37" s="2795"/>
      <c r="DCU37" s="2795"/>
      <c r="DCV37" s="2795"/>
      <c r="DCW37" s="2795"/>
      <c r="DCX37" s="2795"/>
      <c r="DCY37" s="2795"/>
      <c r="DCZ37" s="2795"/>
      <c r="DDA37" s="2795"/>
      <c r="DDB37" s="2795"/>
      <c r="DDC37" s="2795"/>
      <c r="DDD37" s="2795"/>
      <c r="DDE37" s="2795"/>
      <c r="DDF37" s="2795"/>
      <c r="DDG37" s="2795"/>
      <c r="DDH37" s="2795"/>
      <c r="DDI37" s="2795"/>
      <c r="DDJ37" s="2795"/>
      <c r="DDK37" s="2795"/>
      <c r="DDL37" s="2795"/>
      <c r="DDM37" s="2795"/>
      <c r="DDN37" s="2795"/>
      <c r="DDO37" s="2795"/>
      <c r="DDP37" s="2795"/>
      <c r="DDQ37" s="2795"/>
      <c r="DDR37" s="2795"/>
      <c r="DDS37" s="2795"/>
      <c r="DDT37" s="2795"/>
      <c r="DDU37" s="2795"/>
      <c r="DDV37" s="2795"/>
      <c r="DDW37" s="2795"/>
      <c r="DDX37" s="2795"/>
      <c r="DDY37" s="2795"/>
      <c r="DDZ37" s="2795"/>
      <c r="DEA37" s="2795"/>
      <c r="DEB37" s="2795"/>
      <c r="DEC37" s="2795"/>
      <c r="DED37" s="2795"/>
      <c r="DEE37" s="2795"/>
      <c r="DEF37" s="2795"/>
      <c r="DEG37" s="2795"/>
      <c r="DEH37" s="2795"/>
      <c r="DEI37" s="2795"/>
      <c r="DEJ37" s="2795"/>
      <c r="DEK37" s="2795"/>
      <c r="DEL37" s="2795"/>
      <c r="DEM37" s="2795"/>
      <c r="DEN37" s="2795"/>
      <c r="DEO37" s="2795"/>
      <c r="DEP37" s="2795"/>
      <c r="DEQ37" s="2795"/>
      <c r="DER37" s="2795"/>
      <c r="DES37" s="2795"/>
      <c r="DET37" s="2795"/>
      <c r="DEU37" s="2795"/>
      <c r="DEV37" s="2795"/>
      <c r="DEW37" s="2795"/>
      <c r="DEX37" s="2795"/>
      <c r="DEY37" s="2795"/>
      <c r="DEZ37" s="2795"/>
      <c r="DFA37" s="2795"/>
      <c r="DFB37" s="2795"/>
      <c r="DFC37" s="2795"/>
      <c r="DFD37" s="2795"/>
      <c r="DFE37" s="2795"/>
      <c r="DFF37" s="2795"/>
      <c r="DFG37" s="2795"/>
      <c r="DFH37" s="2795"/>
      <c r="DFI37" s="2795"/>
      <c r="DFJ37" s="2795"/>
      <c r="DFK37" s="2795"/>
      <c r="DFL37" s="2795"/>
      <c r="DFM37" s="2795"/>
      <c r="DFN37" s="2795"/>
      <c r="DFO37" s="2795"/>
      <c r="DFP37" s="2795"/>
      <c r="DFQ37" s="2795"/>
      <c r="DFR37" s="2795"/>
      <c r="DFS37" s="2795"/>
      <c r="DFT37" s="2795"/>
      <c r="DFU37" s="2795"/>
      <c r="DFV37" s="2795"/>
      <c r="DFW37" s="2795"/>
      <c r="DFX37" s="2795"/>
      <c r="DFY37" s="2795"/>
      <c r="DFZ37" s="2795"/>
      <c r="DGA37" s="2795"/>
      <c r="DGB37" s="2795"/>
      <c r="DGC37" s="2795"/>
      <c r="DGD37" s="2795"/>
      <c r="DGE37" s="2795"/>
      <c r="DGF37" s="2795"/>
      <c r="DGG37" s="2795"/>
      <c r="DGH37" s="2795"/>
      <c r="DGI37" s="2795"/>
      <c r="DGJ37" s="2795"/>
      <c r="DGK37" s="2795"/>
      <c r="DGL37" s="2795"/>
      <c r="DGM37" s="2795"/>
      <c r="DGN37" s="2795"/>
      <c r="DGO37" s="2795"/>
      <c r="DGP37" s="2795"/>
      <c r="DGQ37" s="2795"/>
      <c r="DGR37" s="2795"/>
      <c r="DGS37" s="2795"/>
      <c r="DGT37" s="2795"/>
      <c r="DGU37" s="2795"/>
      <c r="DGV37" s="2795"/>
      <c r="DGW37" s="2795"/>
      <c r="DGX37" s="2795"/>
      <c r="DGY37" s="2795"/>
      <c r="DGZ37" s="2795"/>
      <c r="DHA37" s="2795"/>
      <c r="DHB37" s="2795"/>
      <c r="DHC37" s="2795"/>
      <c r="DHD37" s="2795"/>
      <c r="DHE37" s="2795"/>
      <c r="DHF37" s="2795"/>
      <c r="DHG37" s="2795"/>
      <c r="DHH37" s="2795"/>
      <c r="DHI37" s="2795"/>
      <c r="DHJ37" s="2795"/>
      <c r="DHK37" s="2795"/>
      <c r="DHL37" s="2795"/>
      <c r="DHM37" s="2795"/>
      <c r="DHN37" s="2795"/>
      <c r="DHO37" s="2795"/>
      <c r="DHP37" s="2795"/>
      <c r="DHQ37" s="2795"/>
      <c r="DHR37" s="2795"/>
      <c r="DHS37" s="2795"/>
      <c r="DHT37" s="2795"/>
      <c r="DHU37" s="2795"/>
      <c r="DHV37" s="2795"/>
      <c r="DHW37" s="2795"/>
      <c r="DHX37" s="2795"/>
      <c r="DHY37" s="2795"/>
      <c r="DHZ37" s="2795"/>
      <c r="DIA37" s="2795"/>
      <c r="DIB37" s="2795"/>
      <c r="DIC37" s="2795"/>
      <c r="DID37" s="2795"/>
      <c r="DIE37" s="2795"/>
      <c r="DIF37" s="2795"/>
      <c r="DIG37" s="2795"/>
      <c r="DIH37" s="2795"/>
      <c r="DII37" s="2795"/>
      <c r="DIJ37" s="2795"/>
      <c r="DIK37" s="2795"/>
      <c r="DIL37" s="2795"/>
      <c r="DIM37" s="2795"/>
      <c r="DIN37" s="2795"/>
      <c r="DIO37" s="2795"/>
      <c r="DIP37" s="2795"/>
      <c r="DIQ37" s="2795"/>
      <c r="DIR37" s="2795"/>
      <c r="DIS37" s="2795"/>
      <c r="DIT37" s="2795"/>
      <c r="DIU37" s="2795"/>
      <c r="DIV37" s="2795"/>
      <c r="DIW37" s="2795"/>
      <c r="DIX37" s="2795"/>
      <c r="DIY37" s="2795"/>
      <c r="DIZ37" s="2795"/>
      <c r="DJA37" s="2795"/>
      <c r="DJB37" s="2795"/>
      <c r="DJC37" s="2795"/>
      <c r="DJD37" s="2795"/>
      <c r="DJE37" s="2795"/>
      <c r="DJF37" s="2795"/>
      <c r="DJG37" s="2795"/>
      <c r="DJH37" s="2795"/>
      <c r="DJI37" s="2795"/>
      <c r="DJJ37" s="2795"/>
      <c r="DJK37" s="2795"/>
      <c r="DJL37" s="2795"/>
      <c r="DJM37" s="2795"/>
      <c r="DJN37" s="2795"/>
      <c r="DJO37" s="2795"/>
      <c r="DJP37" s="2795"/>
      <c r="DJQ37" s="2795"/>
      <c r="DJR37" s="2795"/>
      <c r="DJS37" s="2795"/>
      <c r="DJT37" s="2795"/>
      <c r="DJU37" s="2795"/>
      <c r="DJV37" s="2795"/>
      <c r="DJW37" s="2795"/>
      <c r="DJX37" s="2795"/>
      <c r="DJY37" s="2795"/>
      <c r="DJZ37" s="2795"/>
      <c r="DKA37" s="2795"/>
      <c r="DKB37" s="2795"/>
      <c r="DKC37" s="2795"/>
      <c r="DKD37" s="2795"/>
      <c r="DKE37" s="2795"/>
      <c r="DKF37" s="2795"/>
      <c r="DKG37" s="2795"/>
      <c r="DKH37" s="2795"/>
      <c r="DKI37" s="2795"/>
      <c r="DKJ37" s="2795"/>
      <c r="DKK37" s="2795"/>
      <c r="DKL37" s="2795"/>
      <c r="DKM37" s="2795"/>
      <c r="DKN37" s="2795"/>
      <c r="DKO37" s="2795"/>
      <c r="DKP37" s="2795"/>
      <c r="DKQ37" s="2795"/>
      <c r="DKR37" s="2795"/>
      <c r="DKS37" s="2795"/>
      <c r="DKT37" s="2795"/>
      <c r="DKU37" s="2795"/>
      <c r="DKV37" s="2795"/>
      <c r="DKW37" s="2795"/>
      <c r="DKX37" s="2795"/>
      <c r="DKY37" s="2795"/>
      <c r="DKZ37" s="2795"/>
      <c r="DLA37" s="2795"/>
      <c r="DLB37" s="2795"/>
      <c r="DLC37" s="2795"/>
      <c r="DLD37" s="2795"/>
      <c r="DLE37" s="2795"/>
      <c r="DLF37" s="2795"/>
      <c r="DLG37" s="2795"/>
      <c r="DLH37" s="2795"/>
      <c r="DLI37" s="2795"/>
      <c r="DLJ37" s="2795"/>
      <c r="DLK37" s="2795"/>
      <c r="DLL37" s="2795"/>
      <c r="DLM37" s="2795"/>
      <c r="DLN37" s="2795"/>
      <c r="DLO37" s="2795"/>
      <c r="DLP37" s="2795"/>
      <c r="DLQ37" s="2795"/>
      <c r="DLR37" s="2795"/>
      <c r="DLS37" s="2795"/>
      <c r="DLT37" s="2795"/>
      <c r="DLU37" s="2795"/>
      <c r="DLV37" s="2795"/>
      <c r="DLW37" s="2795"/>
      <c r="DLX37" s="2795"/>
      <c r="DLY37" s="2795"/>
      <c r="DLZ37" s="2795"/>
      <c r="DMA37" s="2795"/>
      <c r="DMB37" s="2795"/>
      <c r="DMC37" s="2795"/>
      <c r="DMD37" s="2795"/>
      <c r="DME37" s="2795"/>
      <c r="DMF37" s="2795"/>
      <c r="DMG37" s="2795"/>
      <c r="DMH37" s="2795"/>
      <c r="DMI37" s="2795"/>
      <c r="DMJ37" s="2795"/>
      <c r="DMK37" s="2795"/>
      <c r="DML37" s="2795"/>
      <c r="DMM37" s="2795"/>
      <c r="DMN37" s="2795"/>
      <c r="DMO37" s="2795"/>
      <c r="DMP37" s="2795"/>
      <c r="DMQ37" s="2795"/>
      <c r="DMR37" s="2795"/>
      <c r="DMS37" s="2795"/>
      <c r="DMT37" s="2795"/>
      <c r="DMU37" s="2795"/>
      <c r="DMV37" s="2795"/>
      <c r="DMW37" s="2795"/>
      <c r="DMX37" s="2795"/>
      <c r="DMY37" s="2795"/>
      <c r="DMZ37" s="2795"/>
      <c r="DNA37" s="2795"/>
      <c r="DNB37" s="2795"/>
      <c r="DNC37" s="2795"/>
      <c r="DND37" s="2795"/>
      <c r="DNE37" s="2795"/>
      <c r="DNF37" s="2795"/>
      <c r="DNG37" s="2795"/>
      <c r="DNH37" s="2795"/>
      <c r="DNI37" s="2795"/>
      <c r="DNJ37" s="2795"/>
      <c r="DNK37" s="2795"/>
      <c r="DNL37" s="2795"/>
      <c r="DNM37" s="2795"/>
      <c r="DNN37" s="2795"/>
      <c r="DNO37" s="2795"/>
      <c r="DNP37" s="2795"/>
      <c r="DNQ37" s="2795"/>
      <c r="DNR37" s="2795"/>
      <c r="DNS37" s="2795"/>
      <c r="DNT37" s="2795"/>
      <c r="DNU37" s="2795"/>
      <c r="DNV37" s="2795"/>
      <c r="DNW37" s="2795"/>
      <c r="DNX37" s="2795"/>
      <c r="DNY37" s="2795"/>
      <c r="DNZ37" s="2795"/>
      <c r="DOA37" s="2795"/>
      <c r="DOB37" s="2795"/>
      <c r="DOC37" s="2795"/>
      <c r="DOD37" s="2795"/>
      <c r="DOE37" s="2795"/>
      <c r="DOF37" s="2795"/>
      <c r="DOG37" s="2795"/>
      <c r="DOH37" s="2795"/>
      <c r="DOI37" s="2795"/>
      <c r="DOJ37" s="2795"/>
      <c r="DOK37" s="2795"/>
      <c r="DOL37" s="2795"/>
      <c r="DOM37" s="2795"/>
      <c r="DON37" s="2795"/>
      <c r="DOO37" s="2795"/>
      <c r="DOP37" s="2795"/>
      <c r="DOQ37" s="2795"/>
      <c r="DOR37" s="2795"/>
      <c r="DOS37" s="2795"/>
      <c r="DOT37" s="2795"/>
      <c r="DOU37" s="2795"/>
      <c r="DOV37" s="2795"/>
      <c r="DOW37" s="2795"/>
      <c r="DOX37" s="2795"/>
      <c r="DOY37" s="2795"/>
      <c r="DOZ37" s="2795"/>
      <c r="DPA37" s="2795"/>
      <c r="DPB37" s="2795"/>
      <c r="DPC37" s="2795"/>
      <c r="DPD37" s="2795"/>
      <c r="DPE37" s="2795"/>
      <c r="DPF37" s="2795"/>
      <c r="DPG37" s="2795"/>
      <c r="DPH37" s="2795"/>
      <c r="DPI37" s="2795"/>
      <c r="DPJ37" s="2795"/>
      <c r="DPK37" s="2795"/>
      <c r="DPL37" s="2795"/>
      <c r="DPM37" s="2795"/>
      <c r="DPN37" s="2795"/>
      <c r="DPO37" s="2795"/>
      <c r="DPP37" s="2795"/>
      <c r="DPQ37" s="2795"/>
      <c r="DPR37" s="2795"/>
      <c r="DPS37" s="2795"/>
      <c r="DPT37" s="2795"/>
      <c r="DPU37" s="2795"/>
      <c r="DPV37" s="2795"/>
      <c r="DPW37" s="2795"/>
      <c r="DPX37" s="2795"/>
      <c r="DPY37" s="2795"/>
      <c r="DPZ37" s="2795"/>
      <c r="DQA37" s="2795"/>
      <c r="DQB37" s="2795"/>
      <c r="DQC37" s="2795"/>
      <c r="DQD37" s="2795"/>
      <c r="DQE37" s="2795"/>
      <c r="DQF37" s="2795"/>
      <c r="DQG37" s="2795"/>
      <c r="DQH37" s="2795"/>
      <c r="DQI37" s="2795"/>
      <c r="DQJ37" s="2795"/>
      <c r="DQK37" s="2795"/>
      <c r="DQL37" s="2795"/>
      <c r="DQM37" s="2795"/>
      <c r="DQN37" s="2795"/>
      <c r="DQO37" s="2795"/>
      <c r="DQP37" s="2795"/>
      <c r="DQQ37" s="2795"/>
      <c r="DQR37" s="2795"/>
      <c r="DQS37" s="2795"/>
      <c r="DQT37" s="2795"/>
      <c r="DQU37" s="2795"/>
      <c r="DQV37" s="2795"/>
      <c r="DQW37" s="2795"/>
      <c r="DQX37" s="2795"/>
      <c r="DQY37" s="2795"/>
      <c r="DQZ37" s="2795"/>
      <c r="DRA37" s="2795"/>
      <c r="DRB37" s="2795"/>
      <c r="DRC37" s="2795"/>
      <c r="DRD37" s="2795"/>
      <c r="DRE37" s="2795"/>
      <c r="DRF37" s="2795"/>
      <c r="DRG37" s="2795"/>
      <c r="DRH37" s="2795"/>
      <c r="DRI37" s="2795"/>
      <c r="DRJ37" s="2795"/>
      <c r="DRK37" s="2795"/>
      <c r="DRL37" s="2795"/>
      <c r="DRM37" s="2795"/>
      <c r="DRN37" s="2795"/>
      <c r="DRO37" s="2795"/>
      <c r="DRP37" s="2795"/>
      <c r="DRQ37" s="2795"/>
      <c r="DRR37" s="2795"/>
      <c r="DRS37" s="2795"/>
      <c r="DRT37" s="2795"/>
      <c r="DRU37" s="2795"/>
      <c r="DRV37" s="2795"/>
      <c r="DRW37" s="2795"/>
      <c r="DRX37" s="2795"/>
      <c r="DRY37" s="2795"/>
      <c r="DRZ37" s="2795"/>
      <c r="DSA37" s="2795"/>
      <c r="DSB37" s="2795"/>
      <c r="DSC37" s="2795"/>
      <c r="DSD37" s="2795"/>
      <c r="DSE37" s="2795"/>
      <c r="DSF37" s="2795"/>
      <c r="DSG37" s="2795"/>
      <c r="DSH37" s="2795"/>
      <c r="DSI37" s="2795"/>
      <c r="DSJ37" s="2795"/>
      <c r="DSK37" s="2795"/>
      <c r="DSL37" s="2795"/>
      <c r="DSM37" s="2795"/>
      <c r="DSN37" s="2795"/>
      <c r="DSO37" s="2795"/>
      <c r="DSP37" s="2795"/>
      <c r="DSQ37" s="2795"/>
      <c r="DSR37" s="2795"/>
      <c r="DSS37" s="2795"/>
      <c r="DST37" s="2795"/>
      <c r="DSU37" s="2795"/>
      <c r="DSV37" s="2795"/>
      <c r="DSW37" s="2795"/>
      <c r="DSX37" s="2795"/>
      <c r="DSY37" s="2795"/>
      <c r="DSZ37" s="2795"/>
      <c r="DTA37" s="2795"/>
      <c r="DTB37" s="2795"/>
      <c r="DTC37" s="2795"/>
      <c r="DTD37" s="2795"/>
      <c r="DTE37" s="2795"/>
      <c r="DTF37" s="2795"/>
      <c r="DTG37" s="2795"/>
      <c r="DTH37" s="2795"/>
      <c r="DTI37" s="2795"/>
      <c r="DTJ37" s="2795"/>
      <c r="DTK37" s="2795"/>
      <c r="DTL37" s="2795"/>
      <c r="DTM37" s="2795"/>
      <c r="DTN37" s="2795"/>
      <c r="DTO37" s="2795"/>
      <c r="DTP37" s="2795"/>
      <c r="DTQ37" s="2795"/>
      <c r="DTR37" s="2795"/>
      <c r="DTS37" s="2795"/>
      <c r="DTT37" s="2795"/>
      <c r="DTU37" s="2795"/>
      <c r="DTV37" s="2795"/>
      <c r="DTW37" s="2795"/>
      <c r="DTX37" s="2795"/>
      <c r="DTY37" s="2795"/>
      <c r="DTZ37" s="2795"/>
      <c r="DUA37" s="2795"/>
      <c r="DUB37" s="2795"/>
      <c r="DUC37" s="2795"/>
      <c r="DUD37" s="2795"/>
      <c r="DUE37" s="2795"/>
      <c r="DUF37" s="2795"/>
      <c r="DUG37" s="2795"/>
      <c r="DUH37" s="2795"/>
      <c r="DUI37" s="2795"/>
      <c r="DUJ37" s="2795"/>
      <c r="DUK37" s="2795"/>
      <c r="DUL37" s="2795"/>
      <c r="DUM37" s="2795"/>
      <c r="DUN37" s="2795"/>
      <c r="DUO37" s="2795"/>
      <c r="DUP37" s="2795"/>
      <c r="DUQ37" s="2795"/>
      <c r="DUR37" s="2795"/>
      <c r="DUS37" s="2795"/>
      <c r="DUT37" s="2795"/>
      <c r="DUU37" s="2795"/>
      <c r="DUV37" s="2795"/>
      <c r="DUW37" s="2795"/>
      <c r="DUX37" s="2795"/>
      <c r="DUY37" s="2795"/>
      <c r="DUZ37" s="2795"/>
      <c r="DVA37" s="2795"/>
      <c r="DVB37" s="2795"/>
      <c r="DVC37" s="2795"/>
      <c r="DVD37" s="2795"/>
      <c r="DVE37" s="2795"/>
      <c r="DVF37" s="2795"/>
      <c r="DVG37" s="2795"/>
      <c r="DVH37" s="2795"/>
      <c r="DVI37" s="2795"/>
      <c r="DVJ37" s="2795"/>
      <c r="DVK37" s="2795"/>
      <c r="DVL37" s="2795"/>
      <c r="DVM37" s="2795"/>
      <c r="DVN37" s="2795"/>
      <c r="DVO37" s="2795"/>
      <c r="DVP37" s="2795"/>
      <c r="DVQ37" s="2795"/>
      <c r="DVR37" s="2795"/>
      <c r="DVS37" s="2795"/>
      <c r="DVT37" s="2795"/>
      <c r="DVU37" s="2795"/>
      <c r="DVV37" s="2795"/>
      <c r="DVW37" s="2795"/>
      <c r="DVX37" s="2795"/>
      <c r="DVY37" s="2795"/>
      <c r="DVZ37" s="2795"/>
      <c r="DWA37" s="2795"/>
      <c r="DWB37" s="2795"/>
      <c r="DWC37" s="2795"/>
      <c r="DWD37" s="2795"/>
      <c r="DWE37" s="2795"/>
      <c r="DWF37" s="2795"/>
      <c r="DWG37" s="2795"/>
      <c r="DWH37" s="2795"/>
      <c r="DWI37" s="2795"/>
      <c r="DWJ37" s="2795"/>
      <c r="DWK37" s="2795"/>
      <c r="DWL37" s="2795"/>
      <c r="DWM37" s="2795"/>
      <c r="DWN37" s="2795"/>
      <c r="DWO37" s="2795"/>
      <c r="DWP37" s="2795"/>
      <c r="DWQ37" s="2795"/>
      <c r="DWR37" s="2795"/>
      <c r="DWS37" s="2795"/>
      <c r="DWT37" s="2795"/>
      <c r="DWU37" s="2795"/>
      <c r="DWV37" s="2795"/>
      <c r="DWW37" s="2795"/>
      <c r="DWX37" s="2795"/>
      <c r="DWY37" s="2795"/>
      <c r="DWZ37" s="2795"/>
      <c r="DXA37" s="2795"/>
      <c r="DXB37" s="2795"/>
      <c r="DXC37" s="2795"/>
      <c r="DXD37" s="2795"/>
      <c r="DXE37" s="2795"/>
      <c r="DXF37" s="2795"/>
      <c r="DXG37" s="2795"/>
      <c r="DXH37" s="2795"/>
      <c r="DXI37" s="2795"/>
      <c r="DXJ37" s="2795"/>
      <c r="DXK37" s="2795"/>
      <c r="DXL37" s="2795"/>
      <c r="DXM37" s="2795"/>
      <c r="DXN37" s="2795"/>
      <c r="DXO37" s="2795"/>
      <c r="DXP37" s="2795"/>
      <c r="DXQ37" s="2795"/>
      <c r="DXR37" s="2795"/>
      <c r="DXS37" s="2795"/>
      <c r="DXT37" s="2795"/>
      <c r="DXU37" s="2795"/>
      <c r="DXV37" s="2795"/>
      <c r="DXW37" s="2795"/>
      <c r="DXX37" s="2795"/>
      <c r="DXY37" s="2795"/>
      <c r="DXZ37" s="2795"/>
      <c r="DYA37" s="2795"/>
      <c r="DYB37" s="2795"/>
      <c r="DYC37" s="2795"/>
      <c r="DYD37" s="2795"/>
      <c r="DYE37" s="2795"/>
      <c r="DYF37" s="2795"/>
      <c r="DYG37" s="2795"/>
      <c r="DYH37" s="2795"/>
      <c r="DYI37" s="2795"/>
      <c r="DYJ37" s="2795"/>
      <c r="DYK37" s="2795"/>
      <c r="DYL37" s="2795"/>
      <c r="DYM37" s="2795"/>
      <c r="DYN37" s="2795"/>
      <c r="DYO37" s="2795"/>
      <c r="DYP37" s="2795"/>
      <c r="DYQ37" s="2795"/>
      <c r="DYR37" s="2795"/>
      <c r="DYS37" s="2795"/>
      <c r="DYT37" s="2795"/>
      <c r="DYU37" s="2795"/>
      <c r="DYV37" s="2795"/>
      <c r="DYW37" s="2795"/>
      <c r="DYX37" s="2795"/>
      <c r="DYY37" s="2795"/>
      <c r="DYZ37" s="2795"/>
      <c r="DZA37" s="2795"/>
      <c r="DZB37" s="2795"/>
      <c r="DZC37" s="2795"/>
      <c r="DZD37" s="2795"/>
      <c r="DZE37" s="2795"/>
      <c r="DZF37" s="2795"/>
      <c r="DZG37" s="2795"/>
      <c r="DZH37" s="2795"/>
      <c r="DZI37" s="2795"/>
      <c r="DZJ37" s="2795"/>
      <c r="DZK37" s="2795"/>
      <c r="DZL37" s="2795"/>
      <c r="DZM37" s="2795"/>
      <c r="DZN37" s="2795"/>
      <c r="DZO37" s="2795"/>
      <c r="DZP37" s="2795"/>
      <c r="DZQ37" s="2795"/>
      <c r="DZR37" s="2795"/>
      <c r="DZS37" s="2795"/>
      <c r="DZT37" s="2795"/>
      <c r="DZU37" s="2795"/>
      <c r="DZV37" s="2795"/>
      <c r="DZW37" s="2795"/>
      <c r="DZX37" s="2795"/>
      <c r="DZY37" s="2795"/>
      <c r="DZZ37" s="2795"/>
      <c r="EAA37" s="2795"/>
      <c r="EAB37" s="2795"/>
      <c r="EAC37" s="2795"/>
      <c r="EAD37" s="2795"/>
      <c r="EAE37" s="2795"/>
      <c r="EAF37" s="2795"/>
      <c r="EAG37" s="2795"/>
      <c r="EAH37" s="2795"/>
      <c r="EAI37" s="2795"/>
      <c r="EAJ37" s="2795"/>
      <c r="EAK37" s="2795"/>
      <c r="EAL37" s="2795"/>
      <c r="EAM37" s="2795"/>
      <c r="EAN37" s="2795"/>
      <c r="EAO37" s="2795"/>
      <c r="EAP37" s="2795"/>
      <c r="EAQ37" s="2795"/>
      <c r="EAR37" s="2795"/>
      <c r="EAS37" s="2795"/>
      <c r="EAT37" s="2795"/>
      <c r="EAU37" s="2795"/>
      <c r="EAV37" s="2795"/>
      <c r="EAW37" s="2795"/>
      <c r="EAX37" s="2795"/>
      <c r="EAY37" s="2795"/>
      <c r="EAZ37" s="2795"/>
      <c r="EBA37" s="2795"/>
      <c r="EBB37" s="2795"/>
      <c r="EBC37" s="2795"/>
      <c r="EBD37" s="2795"/>
      <c r="EBE37" s="2795"/>
      <c r="EBF37" s="2795"/>
      <c r="EBG37" s="2795"/>
      <c r="EBH37" s="2795"/>
      <c r="EBI37" s="2795"/>
      <c r="EBJ37" s="2795"/>
      <c r="EBK37" s="2795"/>
      <c r="EBL37" s="2795"/>
      <c r="EBM37" s="2795"/>
      <c r="EBN37" s="2795"/>
      <c r="EBO37" s="2795"/>
      <c r="EBP37" s="2795"/>
      <c r="EBQ37" s="2795"/>
      <c r="EBR37" s="2795"/>
      <c r="EBS37" s="2795"/>
      <c r="EBT37" s="2795"/>
      <c r="EBU37" s="2795"/>
      <c r="EBV37" s="2795"/>
      <c r="EBW37" s="2795"/>
      <c r="EBX37" s="2795"/>
      <c r="EBY37" s="2795"/>
      <c r="EBZ37" s="2795"/>
      <c r="ECA37" s="2795"/>
      <c r="ECB37" s="2795"/>
      <c r="ECC37" s="2795"/>
      <c r="ECD37" s="2795"/>
      <c r="ECE37" s="2795"/>
      <c r="ECF37" s="2795"/>
      <c r="ECG37" s="2795"/>
      <c r="ECH37" s="2795"/>
      <c r="ECI37" s="2795"/>
      <c r="ECJ37" s="2795"/>
      <c r="ECK37" s="2795"/>
      <c r="ECL37" s="2795"/>
      <c r="ECM37" s="2795"/>
      <c r="ECN37" s="2795"/>
      <c r="ECO37" s="2795"/>
      <c r="ECP37" s="2795"/>
      <c r="ECQ37" s="2795"/>
      <c r="ECR37" s="2795"/>
      <c r="ECS37" s="2795"/>
      <c r="ECT37" s="2795"/>
      <c r="ECU37" s="2795"/>
      <c r="ECV37" s="2795"/>
      <c r="ECW37" s="2795"/>
      <c r="ECX37" s="2795"/>
      <c r="ECY37" s="2795"/>
      <c r="ECZ37" s="2795"/>
      <c r="EDA37" s="2795"/>
      <c r="EDB37" s="2795"/>
      <c r="EDC37" s="2795"/>
      <c r="EDD37" s="2795"/>
      <c r="EDE37" s="2795"/>
      <c r="EDF37" s="2795"/>
      <c r="EDG37" s="2795"/>
      <c r="EDH37" s="2795"/>
      <c r="EDI37" s="2795"/>
      <c r="EDJ37" s="2795"/>
      <c r="EDK37" s="2795"/>
      <c r="EDL37" s="2795"/>
      <c r="EDM37" s="2795"/>
      <c r="EDN37" s="2795"/>
      <c r="EDO37" s="2795"/>
      <c r="EDP37" s="2795"/>
      <c r="EDQ37" s="2795"/>
      <c r="EDR37" s="2795"/>
      <c r="EDS37" s="2795"/>
      <c r="EDT37" s="2795"/>
      <c r="EDU37" s="2795"/>
      <c r="EDV37" s="2795"/>
      <c r="EDW37" s="2795"/>
      <c r="EDX37" s="2795"/>
      <c r="EDY37" s="2795"/>
      <c r="EDZ37" s="2795"/>
      <c r="EEA37" s="2795"/>
      <c r="EEB37" s="2795"/>
      <c r="EEC37" s="2795"/>
      <c r="EED37" s="2795"/>
      <c r="EEE37" s="2795"/>
      <c r="EEF37" s="2795"/>
      <c r="EEG37" s="2795"/>
      <c r="EEH37" s="2795"/>
      <c r="EEI37" s="2795"/>
      <c r="EEJ37" s="2795"/>
      <c r="EEK37" s="2795"/>
      <c r="EEL37" s="2795"/>
      <c r="EEM37" s="2795"/>
      <c r="EEN37" s="2795"/>
      <c r="EEO37" s="2795"/>
      <c r="EEP37" s="2795"/>
      <c r="EEQ37" s="2795"/>
      <c r="EER37" s="2795"/>
      <c r="EES37" s="2795"/>
      <c r="EET37" s="2795"/>
      <c r="EEU37" s="2795"/>
      <c r="EEV37" s="2795"/>
      <c r="EEW37" s="2795"/>
      <c r="EEX37" s="2795"/>
      <c r="EEY37" s="2795"/>
      <c r="EEZ37" s="2795"/>
      <c r="EFA37" s="2795"/>
      <c r="EFB37" s="2795"/>
      <c r="EFC37" s="2795"/>
      <c r="EFD37" s="2795"/>
      <c r="EFE37" s="2795"/>
      <c r="EFF37" s="2795"/>
      <c r="EFG37" s="2795"/>
      <c r="EFH37" s="2795"/>
      <c r="EFI37" s="2795"/>
      <c r="EFJ37" s="2795"/>
      <c r="EFK37" s="2795"/>
      <c r="EFL37" s="2795"/>
      <c r="EFM37" s="2795"/>
      <c r="EFN37" s="2795"/>
      <c r="EFO37" s="2795"/>
      <c r="EFP37" s="2795"/>
      <c r="EFQ37" s="2795"/>
      <c r="EFR37" s="2795"/>
      <c r="EFS37" s="2795"/>
      <c r="EFT37" s="2795"/>
      <c r="EFU37" s="2795"/>
      <c r="EFV37" s="2795"/>
      <c r="EFW37" s="2795"/>
      <c r="EFX37" s="2795"/>
      <c r="EFY37" s="2795"/>
      <c r="EFZ37" s="2795"/>
      <c r="EGA37" s="2795"/>
      <c r="EGB37" s="2795"/>
      <c r="EGC37" s="2795"/>
      <c r="EGD37" s="2795"/>
      <c r="EGE37" s="2795"/>
      <c r="EGF37" s="2795"/>
      <c r="EGG37" s="2795"/>
      <c r="EGH37" s="2795"/>
      <c r="EGI37" s="2795"/>
      <c r="EGJ37" s="2795"/>
      <c r="EGK37" s="2795"/>
      <c r="EGL37" s="2795"/>
      <c r="EGM37" s="2795"/>
      <c r="EGN37" s="2795"/>
      <c r="EGO37" s="2795"/>
      <c r="EGP37" s="2795"/>
      <c r="EGQ37" s="2795"/>
      <c r="EGR37" s="2795"/>
      <c r="EGS37" s="2795"/>
      <c r="EGT37" s="2795"/>
      <c r="EGU37" s="2795"/>
      <c r="EGV37" s="2795"/>
      <c r="EGW37" s="2795"/>
      <c r="EGX37" s="2795"/>
      <c r="EGY37" s="2795"/>
      <c r="EGZ37" s="2795"/>
      <c r="EHA37" s="2795"/>
      <c r="EHB37" s="2795"/>
      <c r="EHC37" s="2795"/>
      <c r="EHD37" s="2795"/>
      <c r="EHE37" s="2795"/>
      <c r="EHF37" s="2795"/>
      <c r="EHG37" s="2795"/>
      <c r="EHH37" s="2795"/>
      <c r="EHI37" s="2795"/>
      <c r="EHJ37" s="2795"/>
      <c r="EHK37" s="2795"/>
      <c r="EHL37" s="2795"/>
      <c r="EHM37" s="2795"/>
      <c r="EHN37" s="2795"/>
      <c r="EHO37" s="2795"/>
      <c r="EHP37" s="2795"/>
      <c r="EHQ37" s="2795"/>
      <c r="EHR37" s="2795"/>
      <c r="EHS37" s="2795"/>
      <c r="EHT37" s="2795"/>
      <c r="EHU37" s="2795"/>
      <c r="EHV37" s="2795"/>
      <c r="EHW37" s="2795"/>
      <c r="EHX37" s="2795"/>
      <c r="EHY37" s="2795"/>
      <c r="EHZ37" s="2795"/>
      <c r="EIA37" s="2795"/>
      <c r="EIB37" s="2795"/>
      <c r="EIC37" s="2795"/>
      <c r="EID37" s="2795"/>
      <c r="EIE37" s="2795"/>
      <c r="EIF37" s="2795"/>
      <c r="EIG37" s="2795"/>
      <c r="EIH37" s="2795"/>
      <c r="EII37" s="2795"/>
      <c r="EIJ37" s="2795"/>
      <c r="EIK37" s="2795"/>
      <c r="EIL37" s="2795"/>
      <c r="EIM37" s="2795"/>
      <c r="EIN37" s="2795"/>
      <c r="EIO37" s="2795"/>
      <c r="EIP37" s="2795"/>
      <c r="EIQ37" s="2795"/>
      <c r="EIR37" s="2795"/>
      <c r="EIS37" s="2795"/>
      <c r="EIT37" s="2795"/>
      <c r="EIU37" s="2795"/>
      <c r="EIV37" s="2795"/>
      <c r="EIW37" s="2795"/>
      <c r="EIX37" s="2795"/>
      <c r="EIY37" s="2795"/>
      <c r="EIZ37" s="2795"/>
      <c r="EJA37" s="2795"/>
      <c r="EJB37" s="2795"/>
      <c r="EJC37" s="2795"/>
      <c r="EJD37" s="2795"/>
      <c r="EJE37" s="2795"/>
      <c r="EJF37" s="2795"/>
      <c r="EJG37" s="2795"/>
      <c r="EJH37" s="2795"/>
      <c r="EJI37" s="2795"/>
      <c r="EJJ37" s="2795"/>
      <c r="EJK37" s="2795"/>
      <c r="EJL37" s="2795"/>
      <c r="EJM37" s="2795"/>
      <c r="EJN37" s="2795"/>
      <c r="EJO37" s="2795"/>
      <c r="EJP37" s="2795"/>
      <c r="EJQ37" s="2795"/>
      <c r="EJR37" s="2795"/>
      <c r="EJS37" s="2795"/>
      <c r="EJT37" s="2795"/>
      <c r="EJU37" s="2795"/>
      <c r="EJV37" s="2795"/>
      <c r="EJW37" s="2795"/>
      <c r="EJX37" s="2795"/>
      <c r="EJY37" s="2795"/>
      <c r="EJZ37" s="2795"/>
      <c r="EKA37" s="2795"/>
      <c r="EKB37" s="2795"/>
      <c r="EKC37" s="2795"/>
      <c r="EKD37" s="2795"/>
      <c r="EKE37" s="2795"/>
      <c r="EKF37" s="2795"/>
      <c r="EKG37" s="2795"/>
      <c r="EKH37" s="2795"/>
      <c r="EKI37" s="2795"/>
      <c r="EKJ37" s="2795"/>
      <c r="EKK37" s="2795"/>
      <c r="EKL37" s="2795"/>
      <c r="EKM37" s="2795"/>
      <c r="EKN37" s="2795"/>
      <c r="EKO37" s="2795"/>
      <c r="EKP37" s="2795"/>
      <c r="EKQ37" s="2795"/>
      <c r="EKR37" s="2795"/>
      <c r="EKS37" s="2795"/>
      <c r="EKT37" s="2795"/>
      <c r="EKU37" s="2795"/>
      <c r="EKV37" s="2795"/>
      <c r="EKW37" s="2795"/>
      <c r="EKX37" s="2795"/>
      <c r="EKY37" s="2795"/>
      <c r="EKZ37" s="2795"/>
      <c r="ELA37" s="2795"/>
      <c r="ELB37" s="2795"/>
      <c r="ELC37" s="2795"/>
      <c r="ELD37" s="2795"/>
      <c r="ELE37" s="2795"/>
      <c r="ELF37" s="2795"/>
      <c r="ELG37" s="2795"/>
      <c r="ELH37" s="2795"/>
      <c r="ELI37" s="2795"/>
      <c r="ELJ37" s="2795"/>
      <c r="ELK37" s="2795"/>
      <c r="ELL37" s="2795"/>
      <c r="ELM37" s="2795"/>
      <c r="ELN37" s="2795"/>
      <c r="ELO37" s="2795"/>
      <c r="ELP37" s="2795"/>
      <c r="ELQ37" s="2795"/>
      <c r="ELR37" s="2795"/>
      <c r="ELS37" s="2795"/>
      <c r="ELT37" s="2795"/>
      <c r="ELU37" s="2795"/>
      <c r="ELV37" s="2795"/>
      <c r="ELW37" s="2795"/>
      <c r="ELX37" s="2795"/>
      <c r="ELY37" s="2795"/>
      <c r="ELZ37" s="2795"/>
      <c r="EMA37" s="2795"/>
      <c r="EMB37" s="2795"/>
      <c r="EMC37" s="2795"/>
      <c r="EMD37" s="2795"/>
      <c r="EME37" s="2795"/>
      <c r="EMF37" s="2795"/>
      <c r="EMG37" s="2795"/>
      <c r="EMH37" s="2795"/>
      <c r="EMI37" s="2795"/>
      <c r="EMJ37" s="2795"/>
      <c r="EMK37" s="2795"/>
      <c r="EML37" s="2795"/>
      <c r="EMM37" s="2795"/>
      <c r="EMN37" s="2795"/>
      <c r="EMO37" s="2795"/>
      <c r="EMP37" s="2795"/>
      <c r="EMQ37" s="2795"/>
      <c r="EMR37" s="2795"/>
      <c r="EMS37" s="2795"/>
      <c r="EMT37" s="2795"/>
      <c r="EMU37" s="2795"/>
      <c r="EMV37" s="2795"/>
      <c r="EMW37" s="2795"/>
      <c r="EMX37" s="2795"/>
      <c r="EMY37" s="2795"/>
      <c r="EMZ37" s="2795"/>
      <c r="ENA37" s="2795"/>
      <c r="ENB37" s="2795"/>
      <c r="ENC37" s="2795"/>
      <c r="END37" s="2795"/>
      <c r="ENE37" s="2795"/>
      <c r="ENF37" s="2795"/>
      <c r="ENG37" s="2795"/>
      <c r="ENH37" s="2795"/>
      <c r="ENI37" s="2795"/>
      <c r="ENJ37" s="2795"/>
      <c r="ENK37" s="2795"/>
      <c r="ENL37" s="2795"/>
      <c r="ENM37" s="2795"/>
      <c r="ENN37" s="2795"/>
      <c r="ENO37" s="2795"/>
      <c r="ENP37" s="2795"/>
      <c r="ENQ37" s="2795"/>
      <c r="ENR37" s="2795"/>
      <c r="ENS37" s="2795"/>
      <c r="ENT37" s="2795"/>
      <c r="ENU37" s="2795"/>
      <c r="ENV37" s="2795"/>
      <c r="ENW37" s="2795"/>
      <c r="ENX37" s="2795"/>
      <c r="ENY37" s="2795"/>
      <c r="ENZ37" s="2795"/>
      <c r="EOA37" s="2795"/>
      <c r="EOB37" s="2795"/>
      <c r="EOC37" s="2795"/>
      <c r="EOD37" s="2795"/>
      <c r="EOE37" s="2795"/>
      <c r="EOF37" s="2795"/>
      <c r="EOG37" s="2795"/>
      <c r="EOH37" s="2795"/>
      <c r="EOI37" s="2795"/>
      <c r="EOJ37" s="2795"/>
      <c r="EOK37" s="2795"/>
      <c r="EOL37" s="2795"/>
      <c r="EOM37" s="2795"/>
      <c r="EON37" s="2795"/>
      <c r="EOO37" s="2795"/>
      <c r="EOP37" s="2795"/>
      <c r="EOQ37" s="2795"/>
      <c r="EOR37" s="2795"/>
      <c r="EOS37" s="2795"/>
      <c r="EOT37" s="2795"/>
      <c r="EOU37" s="2795"/>
      <c r="EOV37" s="2795"/>
      <c r="EOW37" s="2795"/>
      <c r="EOX37" s="2795"/>
      <c r="EOY37" s="2795"/>
      <c r="EOZ37" s="2795"/>
      <c r="EPA37" s="2795"/>
      <c r="EPB37" s="2795"/>
      <c r="EPC37" s="2795"/>
      <c r="EPD37" s="2795"/>
      <c r="EPE37" s="2795"/>
      <c r="EPF37" s="2795"/>
      <c r="EPG37" s="2795"/>
      <c r="EPH37" s="2795"/>
      <c r="EPI37" s="2795"/>
      <c r="EPJ37" s="2795"/>
      <c r="EPK37" s="2795"/>
      <c r="EPL37" s="2795"/>
      <c r="EPM37" s="2795"/>
      <c r="EPN37" s="2795"/>
      <c r="EPO37" s="2795"/>
      <c r="EPP37" s="2795"/>
      <c r="EPQ37" s="2795"/>
      <c r="EPR37" s="2795"/>
      <c r="EPS37" s="2795"/>
      <c r="EPT37" s="2795"/>
      <c r="EPU37" s="2795"/>
      <c r="EPV37" s="2795"/>
      <c r="EPW37" s="2795"/>
      <c r="EPX37" s="2795"/>
      <c r="EPY37" s="2795"/>
      <c r="EPZ37" s="2795"/>
      <c r="EQA37" s="2795"/>
      <c r="EQB37" s="2795"/>
      <c r="EQC37" s="2795"/>
      <c r="EQD37" s="2795"/>
      <c r="EQE37" s="2795"/>
      <c r="EQF37" s="2795"/>
      <c r="EQG37" s="2795"/>
      <c r="EQH37" s="2795"/>
      <c r="EQI37" s="2795"/>
      <c r="EQJ37" s="2795"/>
      <c r="EQK37" s="2795"/>
      <c r="EQL37" s="2795"/>
      <c r="EQM37" s="2795"/>
      <c r="EQN37" s="2795"/>
      <c r="EQO37" s="2795"/>
      <c r="EQP37" s="2795"/>
      <c r="EQQ37" s="2795"/>
      <c r="EQR37" s="2795"/>
      <c r="EQS37" s="2795"/>
      <c r="EQT37" s="2795"/>
      <c r="EQU37" s="2795"/>
      <c r="EQV37" s="2795"/>
      <c r="EQW37" s="2795"/>
      <c r="EQX37" s="2795"/>
      <c r="EQY37" s="2795"/>
      <c r="EQZ37" s="2795"/>
      <c r="ERA37" s="2795"/>
      <c r="ERB37" s="2795"/>
      <c r="ERC37" s="2795"/>
      <c r="ERD37" s="2795"/>
      <c r="ERE37" s="2795"/>
      <c r="ERF37" s="2795"/>
      <c r="ERG37" s="2795"/>
      <c r="ERH37" s="2795"/>
      <c r="ERI37" s="2795"/>
      <c r="ERJ37" s="2795"/>
      <c r="ERK37" s="2795"/>
      <c r="ERL37" s="2795"/>
      <c r="ERM37" s="2795"/>
      <c r="ERN37" s="2795"/>
      <c r="ERO37" s="2795"/>
      <c r="ERP37" s="2795"/>
      <c r="ERQ37" s="2795"/>
      <c r="ERR37" s="2795"/>
      <c r="ERS37" s="2795"/>
      <c r="ERT37" s="2795"/>
      <c r="ERU37" s="2795"/>
      <c r="ERV37" s="2795"/>
      <c r="ERW37" s="2795"/>
      <c r="ERX37" s="2795"/>
      <c r="ERY37" s="2795"/>
      <c r="ERZ37" s="2795"/>
      <c r="ESA37" s="2795"/>
      <c r="ESB37" s="2795"/>
      <c r="ESC37" s="2795"/>
      <c r="ESD37" s="2795"/>
      <c r="ESE37" s="2795"/>
      <c r="ESF37" s="2795"/>
      <c r="ESG37" s="2795"/>
      <c r="ESH37" s="2795"/>
      <c r="ESI37" s="2795"/>
      <c r="ESJ37" s="2795"/>
      <c r="ESK37" s="2795"/>
      <c r="ESL37" s="2795"/>
      <c r="ESM37" s="2795"/>
      <c r="ESN37" s="2795"/>
      <c r="ESO37" s="2795"/>
      <c r="ESP37" s="2795"/>
      <c r="ESQ37" s="2795"/>
      <c r="ESR37" s="2795"/>
      <c r="ESS37" s="2795"/>
      <c r="EST37" s="2795"/>
      <c r="ESU37" s="2795"/>
      <c r="ESV37" s="2795"/>
      <c r="ESW37" s="2795"/>
      <c r="ESX37" s="2795"/>
      <c r="ESY37" s="2795"/>
      <c r="ESZ37" s="2795"/>
      <c r="ETA37" s="2795"/>
      <c r="ETB37" s="2795"/>
      <c r="ETC37" s="2795"/>
      <c r="ETD37" s="2795"/>
      <c r="ETE37" s="2795"/>
      <c r="ETF37" s="2795"/>
      <c r="ETG37" s="2795"/>
      <c r="ETH37" s="2795"/>
      <c r="ETI37" s="2795"/>
      <c r="ETJ37" s="2795"/>
      <c r="ETK37" s="2795"/>
      <c r="ETL37" s="2795"/>
      <c r="ETM37" s="2795"/>
      <c r="ETN37" s="2795"/>
      <c r="ETO37" s="2795"/>
      <c r="ETP37" s="2795"/>
      <c r="ETQ37" s="2795"/>
      <c r="ETR37" s="2795"/>
      <c r="ETS37" s="2795"/>
      <c r="ETT37" s="2795"/>
      <c r="ETU37" s="2795"/>
      <c r="ETV37" s="2795"/>
      <c r="ETW37" s="2795"/>
      <c r="ETX37" s="2795"/>
      <c r="ETY37" s="2795"/>
      <c r="ETZ37" s="2795"/>
      <c r="EUA37" s="2795"/>
      <c r="EUB37" s="2795"/>
      <c r="EUC37" s="2795"/>
      <c r="EUD37" s="2795"/>
      <c r="EUE37" s="2795"/>
      <c r="EUF37" s="2795"/>
      <c r="EUG37" s="2795"/>
      <c r="EUH37" s="2795"/>
      <c r="EUI37" s="2795"/>
      <c r="EUJ37" s="2795"/>
      <c r="EUK37" s="2795"/>
      <c r="EUL37" s="2795"/>
      <c r="EUM37" s="2795"/>
      <c r="EUN37" s="2795"/>
      <c r="EUO37" s="2795"/>
      <c r="EUP37" s="2795"/>
      <c r="EUQ37" s="2795"/>
      <c r="EUR37" s="2795"/>
      <c r="EUS37" s="2795"/>
      <c r="EUT37" s="2795"/>
      <c r="EUU37" s="2795"/>
      <c r="EUV37" s="2795"/>
      <c r="EUW37" s="2795"/>
      <c r="EUX37" s="2795"/>
      <c r="EUY37" s="2795"/>
      <c r="EUZ37" s="2795"/>
      <c r="EVA37" s="2795"/>
      <c r="EVB37" s="2795"/>
      <c r="EVC37" s="2795"/>
      <c r="EVD37" s="2795"/>
      <c r="EVE37" s="2795"/>
      <c r="EVF37" s="2795"/>
      <c r="EVG37" s="2795"/>
      <c r="EVH37" s="2795"/>
      <c r="EVI37" s="2795"/>
      <c r="EVJ37" s="2795"/>
      <c r="EVK37" s="2795"/>
      <c r="EVL37" s="2795"/>
      <c r="EVM37" s="2795"/>
      <c r="EVN37" s="2795"/>
      <c r="EVO37" s="2795"/>
      <c r="EVP37" s="2795"/>
      <c r="EVQ37" s="2795"/>
      <c r="EVR37" s="2795"/>
      <c r="EVS37" s="2795"/>
      <c r="EVT37" s="2795"/>
      <c r="EVU37" s="2795"/>
      <c r="EVV37" s="2795"/>
      <c r="EVW37" s="2795"/>
      <c r="EVX37" s="2795"/>
      <c r="EVY37" s="2795"/>
      <c r="EVZ37" s="2795"/>
      <c r="EWA37" s="2795"/>
      <c r="EWB37" s="2795"/>
      <c r="EWC37" s="2795"/>
      <c r="EWD37" s="2795"/>
      <c r="EWE37" s="2795"/>
      <c r="EWF37" s="2795"/>
      <c r="EWG37" s="2795"/>
      <c r="EWH37" s="2795"/>
      <c r="EWI37" s="2795"/>
      <c r="EWJ37" s="2795"/>
      <c r="EWK37" s="2795"/>
      <c r="EWL37" s="2795"/>
      <c r="EWM37" s="2795"/>
      <c r="EWN37" s="2795"/>
      <c r="EWO37" s="2795"/>
      <c r="EWP37" s="2795"/>
      <c r="EWQ37" s="2795"/>
      <c r="EWR37" s="2795"/>
      <c r="EWS37" s="2795"/>
      <c r="EWT37" s="2795"/>
      <c r="EWU37" s="2795"/>
      <c r="EWV37" s="2795"/>
      <c r="EWW37" s="2795"/>
      <c r="EWX37" s="2795"/>
      <c r="EWY37" s="2795"/>
      <c r="EWZ37" s="2795"/>
      <c r="EXA37" s="2795"/>
      <c r="EXB37" s="2795"/>
      <c r="EXC37" s="2795"/>
      <c r="EXD37" s="2795"/>
      <c r="EXE37" s="2795"/>
      <c r="EXF37" s="2795"/>
      <c r="EXG37" s="2795"/>
      <c r="EXH37" s="2795"/>
      <c r="EXI37" s="2795"/>
      <c r="EXJ37" s="2795"/>
      <c r="EXK37" s="2795"/>
      <c r="EXL37" s="2795"/>
      <c r="EXM37" s="2795"/>
      <c r="EXN37" s="2795"/>
      <c r="EXO37" s="2795"/>
      <c r="EXP37" s="2795"/>
      <c r="EXQ37" s="2795"/>
      <c r="EXR37" s="2795"/>
      <c r="EXS37" s="2795"/>
      <c r="EXT37" s="2795"/>
      <c r="EXU37" s="2795"/>
      <c r="EXV37" s="2795"/>
      <c r="EXW37" s="2795"/>
      <c r="EXX37" s="2795"/>
      <c r="EXY37" s="2795"/>
      <c r="EXZ37" s="2795"/>
      <c r="EYA37" s="2795"/>
      <c r="EYB37" s="2795"/>
      <c r="EYC37" s="2795"/>
      <c r="EYD37" s="2795"/>
      <c r="EYE37" s="2795"/>
      <c r="EYF37" s="2795"/>
      <c r="EYG37" s="2795"/>
      <c r="EYH37" s="2795"/>
      <c r="EYI37" s="2795"/>
      <c r="EYJ37" s="2795"/>
      <c r="EYK37" s="2795"/>
      <c r="EYL37" s="2795"/>
      <c r="EYM37" s="2795"/>
      <c r="EYN37" s="2795"/>
      <c r="EYO37" s="2795"/>
      <c r="EYP37" s="2795"/>
      <c r="EYQ37" s="2795"/>
      <c r="EYR37" s="2795"/>
      <c r="EYS37" s="2795"/>
      <c r="EYT37" s="2795"/>
      <c r="EYU37" s="2795"/>
      <c r="EYV37" s="2795"/>
      <c r="EYW37" s="2795"/>
      <c r="EYX37" s="2795"/>
      <c r="EYY37" s="2795"/>
      <c r="EYZ37" s="2795"/>
      <c r="EZA37" s="2795"/>
      <c r="EZB37" s="2795"/>
      <c r="EZC37" s="2795"/>
      <c r="EZD37" s="2795"/>
      <c r="EZE37" s="2795"/>
      <c r="EZF37" s="2795"/>
      <c r="EZG37" s="2795"/>
      <c r="EZH37" s="2795"/>
      <c r="EZI37" s="2795"/>
      <c r="EZJ37" s="2795"/>
      <c r="EZK37" s="2795"/>
      <c r="EZL37" s="2795"/>
      <c r="EZM37" s="2795"/>
      <c r="EZN37" s="2795"/>
      <c r="EZO37" s="2795"/>
      <c r="EZP37" s="2795"/>
      <c r="EZQ37" s="2795"/>
      <c r="EZR37" s="2795"/>
      <c r="EZS37" s="2795"/>
      <c r="EZT37" s="2795"/>
      <c r="EZU37" s="2795"/>
      <c r="EZV37" s="2795"/>
      <c r="EZW37" s="2795"/>
      <c r="EZX37" s="2795"/>
      <c r="EZY37" s="2795"/>
      <c r="EZZ37" s="2795"/>
      <c r="FAA37" s="2795"/>
      <c r="FAB37" s="2795"/>
      <c r="FAC37" s="2795"/>
      <c r="FAD37" s="2795"/>
      <c r="FAE37" s="2795"/>
      <c r="FAF37" s="2795"/>
      <c r="FAG37" s="2795"/>
      <c r="FAH37" s="2795"/>
      <c r="FAI37" s="2795"/>
      <c r="FAJ37" s="2795"/>
      <c r="FAK37" s="2795"/>
      <c r="FAL37" s="2795"/>
      <c r="FAM37" s="2795"/>
      <c r="FAN37" s="2795"/>
      <c r="FAO37" s="2795"/>
      <c r="FAP37" s="2795"/>
      <c r="FAQ37" s="2795"/>
      <c r="FAR37" s="2795"/>
      <c r="FAS37" s="2795"/>
      <c r="FAT37" s="2795"/>
      <c r="FAU37" s="2795"/>
      <c r="FAV37" s="2795"/>
      <c r="FAW37" s="2795"/>
      <c r="FAX37" s="2795"/>
      <c r="FAY37" s="2795"/>
      <c r="FAZ37" s="2795"/>
      <c r="FBA37" s="2795"/>
      <c r="FBB37" s="2795"/>
      <c r="FBC37" s="2795"/>
      <c r="FBD37" s="2795"/>
      <c r="FBE37" s="2795"/>
      <c r="FBF37" s="2795"/>
      <c r="FBG37" s="2795"/>
      <c r="FBH37" s="2795"/>
      <c r="FBI37" s="2795"/>
      <c r="FBJ37" s="2795"/>
      <c r="FBK37" s="2795"/>
      <c r="FBL37" s="2795"/>
      <c r="FBM37" s="2795"/>
      <c r="FBN37" s="2795"/>
      <c r="FBO37" s="2795"/>
      <c r="FBP37" s="2795"/>
      <c r="FBQ37" s="2795"/>
      <c r="FBR37" s="2795"/>
      <c r="FBS37" s="2795"/>
      <c r="FBT37" s="2795"/>
      <c r="FBU37" s="2795"/>
      <c r="FBV37" s="2795"/>
      <c r="FBW37" s="2795"/>
      <c r="FBX37" s="2795"/>
      <c r="FBY37" s="2795"/>
      <c r="FBZ37" s="2795"/>
      <c r="FCA37" s="2795"/>
      <c r="FCB37" s="2795"/>
      <c r="FCC37" s="2795"/>
      <c r="FCD37" s="2795"/>
      <c r="FCE37" s="2795"/>
      <c r="FCF37" s="2795"/>
      <c r="FCG37" s="2795"/>
      <c r="FCH37" s="2795"/>
      <c r="FCI37" s="2795"/>
      <c r="FCJ37" s="2795"/>
      <c r="FCK37" s="2795"/>
      <c r="FCL37" s="2795"/>
      <c r="FCM37" s="2795"/>
      <c r="FCN37" s="2795"/>
      <c r="FCO37" s="2795"/>
      <c r="FCP37" s="2795"/>
      <c r="FCQ37" s="2795"/>
      <c r="FCR37" s="2795"/>
      <c r="FCS37" s="2795"/>
      <c r="FCT37" s="2795"/>
      <c r="FCU37" s="2795"/>
      <c r="FCV37" s="2795"/>
      <c r="FCW37" s="2795"/>
      <c r="FCX37" s="2795"/>
      <c r="FCY37" s="2795"/>
      <c r="FCZ37" s="2795"/>
      <c r="FDA37" s="2795"/>
      <c r="FDB37" s="2795"/>
      <c r="FDC37" s="2795"/>
      <c r="FDD37" s="2795"/>
      <c r="FDE37" s="2795"/>
      <c r="FDF37" s="2795"/>
      <c r="FDG37" s="2795"/>
      <c r="FDH37" s="2795"/>
      <c r="FDI37" s="2795"/>
      <c r="FDJ37" s="2795"/>
      <c r="FDK37" s="2795"/>
      <c r="FDL37" s="2795"/>
      <c r="FDM37" s="2795"/>
      <c r="FDN37" s="2795"/>
      <c r="FDO37" s="2795"/>
      <c r="FDP37" s="2795"/>
      <c r="FDQ37" s="2795"/>
      <c r="FDR37" s="2795"/>
      <c r="FDS37" s="2795"/>
      <c r="FDT37" s="2795"/>
      <c r="FDU37" s="2795"/>
      <c r="FDV37" s="2795"/>
      <c r="FDW37" s="2795"/>
      <c r="FDX37" s="2795"/>
      <c r="FDY37" s="2795"/>
      <c r="FDZ37" s="2795"/>
      <c r="FEA37" s="2795"/>
      <c r="FEB37" s="2795"/>
      <c r="FEC37" s="2795"/>
      <c r="FED37" s="2795"/>
      <c r="FEE37" s="2795"/>
      <c r="FEF37" s="2795"/>
      <c r="FEG37" s="2795"/>
      <c r="FEH37" s="2795"/>
      <c r="FEI37" s="2795"/>
      <c r="FEJ37" s="2795"/>
      <c r="FEK37" s="2795"/>
      <c r="FEL37" s="2795"/>
      <c r="FEM37" s="2795"/>
      <c r="FEN37" s="2795"/>
      <c r="FEO37" s="2795"/>
      <c r="FEP37" s="2795"/>
      <c r="FEQ37" s="2795"/>
      <c r="FER37" s="2795"/>
      <c r="FES37" s="2795"/>
      <c r="FET37" s="2795"/>
      <c r="FEU37" s="2795"/>
      <c r="FEV37" s="2795"/>
      <c r="FEW37" s="2795"/>
      <c r="FEX37" s="2795"/>
      <c r="FEY37" s="2795"/>
      <c r="FEZ37" s="2795"/>
      <c r="FFA37" s="2795"/>
      <c r="FFB37" s="2795"/>
      <c r="FFC37" s="2795"/>
      <c r="FFD37" s="2795"/>
      <c r="FFE37" s="2795"/>
      <c r="FFF37" s="2795"/>
      <c r="FFG37" s="2795"/>
      <c r="FFH37" s="2795"/>
      <c r="FFI37" s="2795"/>
      <c r="FFJ37" s="2795"/>
      <c r="FFK37" s="2795"/>
      <c r="FFL37" s="2795"/>
      <c r="FFM37" s="2795"/>
      <c r="FFN37" s="2795"/>
      <c r="FFO37" s="2795"/>
      <c r="FFP37" s="2795"/>
      <c r="FFQ37" s="2795"/>
      <c r="FFR37" s="2795"/>
      <c r="FFS37" s="2795"/>
      <c r="FFT37" s="2795"/>
      <c r="FFU37" s="2795"/>
      <c r="FFV37" s="2795"/>
      <c r="FFW37" s="2795"/>
      <c r="FFX37" s="2795"/>
      <c r="FFY37" s="2795"/>
      <c r="FFZ37" s="2795"/>
      <c r="FGA37" s="2795"/>
      <c r="FGB37" s="2795"/>
      <c r="FGC37" s="2795"/>
      <c r="FGD37" s="2795"/>
      <c r="FGE37" s="2795"/>
      <c r="FGF37" s="2795"/>
      <c r="FGG37" s="2795"/>
      <c r="FGH37" s="2795"/>
      <c r="FGI37" s="2795"/>
      <c r="FGJ37" s="2795"/>
      <c r="FGK37" s="2795"/>
      <c r="FGL37" s="2795"/>
      <c r="FGM37" s="2795"/>
      <c r="FGN37" s="2795"/>
      <c r="FGO37" s="2795"/>
      <c r="FGP37" s="2795"/>
      <c r="FGQ37" s="2795"/>
      <c r="FGR37" s="2795"/>
      <c r="FGS37" s="2795"/>
      <c r="FGT37" s="2795"/>
      <c r="FGU37" s="2795"/>
      <c r="FGV37" s="2795"/>
      <c r="FGW37" s="2795"/>
      <c r="FGX37" s="2795"/>
      <c r="FGY37" s="2795"/>
      <c r="FGZ37" s="2795"/>
      <c r="FHA37" s="2795"/>
      <c r="FHB37" s="2795"/>
      <c r="FHC37" s="2795"/>
      <c r="FHD37" s="2795"/>
      <c r="FHE37" s="2795"/>
      <c r="FHF37" s="2795"/>
      <c r="FHG37" s="2795"/>
      <c r="FHH37" s="2795"/>
      <c r="FHI37" s="2795"/>
      <c r="FHJ37" s="2795"/>
      <c r="FHK37" s="2795"/>
      <c r="FHL37" s="2795"/>
      <c r="FHM37" s="2795"/>
      <c r="FHN37" s="2795"/>
      <c r="FHO37" s="2795"/>
      <c r="FHP37" s="2795"/>
      <c r="FHQ37" s="2795"/>
      <c r="FHR37" s="2795"/>
      <c r="FHS37" s="2795"/>
      <c r="FHT37" s="2795"/>
      <c r="FHU37" s="2795"/>
      <c r="FHV37" s="2795"/>
      <c r="FHW37" s="2795"/>
      <c r="FHX37" s="2795"/>
      <c r="FHY37" s="2795"/>
      <c r="FHZ37" s="2795"/>
      <c r="FIA37" s="2795"/>
      <c r="FIB37" s="2795"/>
      <c r="FIC37" s="2795"/>
      <c r="FID37" s="2795"/>
      <c r="FIE37" s="2795"/>
      <c r="FIF37" s="2795"/>
      <c r="FIG37" s="2795"/>
      <c r="FIH37" s="2795"/>
      <c r="FII37" s="2795"/>
      <c r="FIJ37" s="2795"/>
      <c r="FIK37" s="2795"/>
      <c r="FIL37" s="2795"/>
      <c r="FIM37" s="2795"/>
      <c r="FIN37" s="2795"/>
      <c r="FIO37" s="2795"/>
      <c r="FIP37" s="2795"/>
      <c r="FIQ37" s="2795"/>
      <c r="FIR37" s="2795"/>
      <c r="FIS37" s="2795"/>
      <c r="FIT37" s="2795"/>
      <c r="FIU37" s="2795"/>
      <c r="FIV37" s="2795"/>
      <c r="FIW37" s="2795"/>
      <c r="FIX37" s="2795"/>
      <c r="FIY37" s="2795"/>
      <c r="FIZ37" s="2795"/>
      <c r="FJA37" s="2795"/>
      <c r="FJB37" s="2795"/>
      <c r="FJC37" s="2795"/>
      <c r="FJD37" s="2795"/>
      <c r="FJE37" s="2795"/>
      <c r="FJF37" s="2795"/>
      <c r="FJG37" s="2795"/>
      <c r="FJH37" s="2795"/>
      <c r="FJI37" s="2795"/>
      <c r="FJJ37" s="2795"/>
      <c r="FJK37" s="2795"/>
      <c r="FJL37" s="2795"/>
      <c r="FJM37" s="2795"/>
      <c r="FJN37" s="2795"/>
      <c r="FJO37" s="2795"/>
      <c r="FJP37" s="2795"/>
      <c r="FJQ37" s="2795"/>
      <c r="FJR37" s="2795"/>
      <c r="FJS37" s="2795"/>
      <c r="FJT37" s="2795"/>
      <c r="FJU37" s="2795"/>
      <c r="FJV37" s="2795"/>
      <c r="FJW37" s="2795"/>
      <c r="FJX37" s="2795"/>
      <c r="FJY37" s="2795"/>
      <c r="FJZ37" s="2795"/>
      <c r="FKA37" s="2795"/>
      <c r="FKB37" s="2795"/>
      <c r="FKC37" s="2795"/>
      <c r="FKD37" s="2795"/>
      <c r="FKE37" s="2795"/>
      <c r="FKF37" s="2795"/>
      <c r="FKG37" s="2795"/>
      <c r="FKH37" s="2795"/>
      <c r="FKI37" s="2795"/>
      <c r="FKJ37" s="2795"/>
      <c r="FKK37" s="2795"/>
      <c r="FKL37" s="2795"/>
      <c r="FKM37" s="2795"/>
      <c r="FKN37" s="2795"/>
      <c r="FKO37" s="2795"/>
      <c r="FKP37" s="2795"/>
      <c r="FKQ37" s="2795"/>
      <c r="FKR37" s="2795"/>
      <c r="FKS37" s="2795"/>
      <c r="FKT37" s="2795"/>
      <c r="FKU37" s="2795"/>
      <c r="FKV37" s="2795"/>
      <c r="FKW37" s="2795"/>
      <c r="FKX37" s="2795"/>
      <c r="FKY37" s="2795"/>
      <c r="FKZ37" s="2795"/>
      <c r="FLA37" s="2795"/>
      <c r="FLB37" s="2795"/>
      <c r="FLC37" s="2795"/>
      <c r="FLD37" s="2795"/>
      <c r="FLE37" s="2795"/>
      <c r="FLF37" s="2795"/>
      <c r="FLG37" s="2795"/>
      <c r="FLH37" s="2795"/>
      <c r="FLI37" s="2795"/>
      <c r="FLJ37" s="2795"/>
      <c r="FLK37" s="2795"/>
      <c r="FLL37" s="2795"/>
      <c r="FLM37" s="2795"/>
      <c r="FLN37" s="2795"/>
      <c r="FLO37" s="2795"/>
      <c r="FLP37" s="2795"/>
      <c r="FLQ37" s="2795"/>
      <c r="FLR37" s="2795"/>
      <c r="FLS37" s="2795"/>
      <c r="FLT37" s="2795"/>
      <c r="FLU37" s="2795"/>
      <c r="FLV37" s="2795"/>
      <c r="FLW37" s="2795"/>
      <c r="FLX37" s="2795"/>
      <c r="FLY37" s="2795"/>
      <c r="FLZ37" s="2795"/>
      <c r="FMA37" s="2795"/>
      <c r="FMB37" s="2795"/>
      <c r="FMC37" s="2795"/>
      <c r="FMD37" s="2795"/>
      <c r="FME37" s="2795"/>
      <c r="FMF37" s="2795"/>
      <c r="FMG37" s="2795"/>
      <c r="FMH37" s="2795"/>
      <c r="FMI37" s="2795"/>
      <c r="FMJ37" s="2795"/>
      <c r="FMK37" s="2795"/>
      <c r="FML37" s="2795"/>
      <c r="FMM37" s="2795"/>
      <c r="FMN37" s="2795"/>
      <c r="FMO37" s="2795"/>
      <c r="FMP37" s="2795"/>
      <c r="FMQ37" s="2795"/>
      <c r="FMR37" s="2795"/>
      <c r="FMS37" s="2795"/>
      <c r="FMT37" s="2795"/>
      <c r="FMU37" s="2795"/>
      <c r="FMV37" s="2795"/>
      <c r="FMW37" s="2795"/>
      <c r="FMX37" s="2795"/>
      <c r="FMY37" s="2795"/>
      <c r="FMZ37" s="2795"/>
      <c r="FNA37" s="2795"/>
      <c r="FNB37" s="2795"/>
      <c r="FNC37" s="2795"/>
      <c r="FND37" s="2795"/>
      <c r="FNE37" s="2795"/>
      <c r="FNF37" s="2795"/>
      <c r="FNG37" s="2795"/>
      <c r="FNH37" s="2795"/>
      <c r="FNI37" s="2795"/>
      <c r="FNJ37" s="2795"/>
      <c r="FNK37" s="2795"/>
      <c r="FNL37" s="2795"/>
      <c r="FNM37" s="2795"/>
      <c r="FNN37" s="2795"/>
      <c r="FNO37" s="2795"/>
      <c r="FNP37" s="2795"/>
      <c r="FNQ37" s="2795"/>
      <c r="FNR37" s="2795"/>
      <c r="FNS37" s="2795"/>
      <c r="FNT37" s="2795"/>
      <c r="FNU37" s="2795"/>
      <c r="FNV37" s="2795"/>
      <c r="FNW37" s="2795"/>
      <c r="FNX37" s="2795"/>
      <c r="FNY37" s="2795"/>
      <c r="FNZ37" s="2795"/>
      <c r="FOA37" s="2795"/>
      <c r="FOB37" s="2795"/>
      <c r="FOC37" s="2795"/>
      <c r="FOD37" s="2795"/>
      <c r="FOE37" s="2795"/>
      <c r="FOF37" s="2795"/>
      <c r="FOG37" s="2795"/>
      <c r="FOH37" s="2795"/>
      <c r="FOI37" s="2795"/>
      <c r="FOJ37" s="2795"/>
      <c r="FOK37" s="2795"/>
      <c r="FOL37" s="2795"/>
      <c r="FOM37" s="2795"/>
      <c r="FON37" s="2795"/>
      <c r="FOO37" s="2795"/>
      <c r="FOP37" s="2795"/>
      <c r="FOQ37" s="2795"/>
      <c r="FOR37" s="2795"/>
      <c r="FOS37" s="2795"/>
      <c r="FOT37" s="2795"/>
      <c r="FOU37" s="2795"/>
      <c r="FOV37" s="2795"/>
      <c r="FOW37" s="2795"/>
      <c r="FOX37" s="2795"/>
      <c r="FOY37" s="2795"/>
      <c r="FOZ37" s="2795"/>
      <c r="FPA37" s="2795"/>
      <c r="FPB37" s="2795"/>
      <c r="FPC37" s="2795"/>
      <c r="FPD37" s="2795"/>
      <c r="FPE37" s="2795"/>
      <c r="FPF37" s="2795"/>
      <c r="FPG37" s="2795"/>
      <c r="FPH37" s="2795"/>
      <c r="FPI37" s="2795"/>
      <c r="FPJ37" s="2795"/>
      <c r="FPK37" s="2795"/>
      <c r="FPL37" s="2795"/>
      <c r="FPM37" s="2795"/>
      <c r="FPN37" s="2795"/>
      <c r="FPO37" s="2795"/>
      <c r="FPP37" s="2795"/>
      <c r="FPQ37" s="2795"/>
      <c r="FPR37" s="2795"/>
      <c r="FPS37" s="2795"/>
      <c r="FPT37" s="2795"/>
      <c r="FPU37" s="2795"/>
      <c r="FPV37" s="2795"/>
      <c r="FPW37" s="2795"/>
      <c r="FPX37" s="2795"/>
      <c r="FPY37" s="2795"/>
      <c r="FPZ37" s="2795"/>
      <c r="FQA37" s="2795"/>
      <c r="FQB37" s="2795"/>
      <c r="FQC37" s="2795"/>
      <c r="FQD37" s="2795"/>
      <c r="FQE37" s="2795"/>
      <c r="FQF37" s="2795"/>
      <c r="FQG37" s="2795"/>
      <c r="FQH37" s="2795"/>
      <c r="FQI37" s="2795"/>
      <c r="FQJ37" s="2795"/>
      <c r="FQK37" s="2795"/>
      <c r="FQL37" s="2795"/>
      <c r="FQM37" s="2795"/>
      <c r="FQN37" s="2795"/>
      <c r="FQO37" s="2795"/>
      <c r="FQP37" s="2795"/>
      <c r="FQQ37" s="2795"/>
      <c r="FQR37" s="2795"/>
      <c r="FQS37" s="2795"/>
      <c r="FQT37" s="2795"/>
      <c r="FQU37" s="2795"/>
      <c r="FQV37" s="2795"/>
      <c r="FQW37" s="2795"/>
      <c r="FQX37" s="2795"/>
      <c r="FQY37" s="2795"/>
      <c r="FQZ37" s="2795"/>
      <c r="FRA37" s="2795"/>
      <c r="FRB37" s="2795"/>
      <c r="FRC37" s="2795"/>
      <c r="FRD37" s="2795"/>
      <c r="FRE37" s="2795"/>
      <c r="FRF37" s="2795"/>
      <c r="FRG37" s="2795"/>
      <c r="FRH37" s="2795"/>
      <c r="FRI37" s="2795"/>
      <c r="FRJ37" s="2795"/>
      <c r="FRK37" s="2795"/>
      <c r="FRL37" s="2795"/>
      <c r="FRM37" s="2795"/>
      <c r="FRN37" s="2795"/>
      <c r="FRO37" s="2795"/>
      <c r="FRP37" s="2795"/>
      <c r="FRQ37" s="2795"/>
      <c r="FRR37" s="2795"/>
      <c r="FRS37" s="2795"/>
      <c r="FRT37" s="2795"/>
      <c r="FRU37" s="2795"/>
      <c r="FRV37" s="2795"/>
      <c r="FRW37" s="2795"/>
      <c r="FRX37" s="2795"/>
      <c r="FRY37" s="2795"/>
      <c r="FRZ37" s="2795"/>
      <c r="FSA37" s="2795"/>
      <c r="FSB37" s="2795"/>
      <c r="FSC37" s="2795"/>
      <c r="FSD37" s="2795"/>
      <c r="FSE37" s="2795"/>
      <c r="FSF37" s="2795"/>
      <c r="FSG37" s="2795"/>
      <c r="FSH37" s="2795"/>
      <c r="FSI37" s="2795"/>
      <c r="FSJ37" s="2795"/>
      <c r="FSK37" s="2795"/>
      <c r="FSL37" s="2795"/>
      <c r="FSM37" s="2795"/>
      <c r="FSN37" s="2795"/>
      <c r="FSO37" s="2795"/>
      <c r="FSP37" s="2795"/>
      <c r="FSQ37" s="2795"/>
      <c r="FSR37" s="2795"/>
      <c r="FSS37" s="2795"/>
      <c r="FST37" s="2795"/>
      <c r="FSU37" s="2795"/>
      <c r="FSV37" s="2795"/>
      <c r="FSW37" s="2795"/>
      <c r="FSX37" s="2795"/>
      <c r="FSY37" s="2795"/>
      <c r="FSZ37" s="2795"/>
      <c r="FTA37" s="2795"/>
      <c r="FTB37" s="2795"/>
      <c r="FTC37" s="2795"/>
      <c r="FTD37" s="2795"/>
      <c r="FTE37" s="2795"/>
      <c r="FTF37" s="2795"/>
      <c r="FTG37" s="2795"/>
      <c r="FTH37" s="2795"/>
      <c r="FTI37" s="2795"/>
      <c r="FTJ37" s="2795"/>
      <c r="FTK37" s="2795"/>
      <c r="FTL37" s="2795"/>
      <c r="FTM37" s="2795"/>
      <c r="FTN37" s="2795"/>
      <c r="FTO37" s="2795"/>
      <c r="FTP37" s="2795"/>
      <c r="FTQ37" s="2795"/>
      <c r="FTR37" s="2795"/>
      <c r="FTS37" s="2795"/>
      <c r="FTT37" s="2795"/>
      <c r="FTU37" s="2795"/>
      <c r="FTV37" s="2795"/>
      <c r="FTW37" s="2795"/>
      <c r="FTX37" s="2795"/>
      <c r="FTY37" s="2795"/>
      <c r="FTZ37" s="2795"/>
      <c r="FUA37" s="2795"/>
      <c r="FUB37" s="2795"/>
      <c r="FUC37" s="2795"/>
      <c r="FUD37" s="2795"/>
      <c r="FUE37" s="2795"/>
      <c r="FUF37" s="2795"/>
      <c r="FUG37" s="2795"/>
      <c r="FUH37" s="2795"/>
      <c r="FUI37" s="2795"/>
      <c r="FUJ37" s="2795"/>
      <c r="FUK37" s="2795"/>
      <c r="FUL37" s="2795"/>
      <c r="FUM37" s="2795"/>
      <c r="FUN37" s="2795"/>
      <c r="FUO37" s="2795"/>
      <c r="FUP37" s="2795"/>
      <c r="FUQ37" s="2795"/>
      <c r="FUR37" s="2795"/>
      <c r="FUS37" s="2795"/>
      <c r="FUT37" s="2795"/>
      <c r="FUU37" s="2795"/>
      <c r="FUV37" s="2795"/>
      <c r="FUW37" s="2795"/>
      <c r="FUX37" s="2795"/>
      <c r="FUY37" s="2795"/>
      <c r="FUZ37" s="2795"/>
      <c r="FVA37" s="2795"/>
      <c r="FVB37" s="2795"/>
      <c r="FVC37" s="2795"/>
      <c r="FVD37" s="2795"/>
      <c r="FVE37" s="2795"/>
      <c r="FVF37" s="2795"/>
      <c r="FVG37" s="2795"/>
      <c r="FVH37" s="2795"/>
      <c r="FVI37" s="2795"/>
      <c r="FVJ37" s="2795"/>
      <c r="FVK37" s="2795"/>
      <c r="FVL37" s="2795"/>
      <c r="FVM37" s="2795"/>
      <c r="FVN37" s="2795"/>
      <c r="FVO37" s="2795"/>
      <c r="FVP37" s="2795"/>
      <c r="FVQ37" s="2795"/>
      <c r="FVR37" s="2795"/>
      <c r="FVS37" s="2795"/>
      <c r="FVT37" s="2795"/>
      <c r="FVU37" s="2795"/>
      <c r="FVV37" s="2795"/>
      <c r="FVW37" s="2795"/>
      <c r="FVX37" s="2795"/>
      <c r="FVY37" s="2795"/>
      <c r="FVZ37" s="2795"/>
      <c r="FWA37" s="2795"/>
      <c r="FWB37" s="2795"/>
      <c r="FWC37" s="2795"/>
      <c r="FWD37" s="2795"/>
      <c r="FWE37" s="2795"/>
      <c r="FWF37" s="2795"/>
      <c r="FWG37" s="2795"/>
      <c r="FWH37" s="2795"/>
      <c r="FWI37" s="2795"/>
      <c r="FWJ37" s="2795"/>
      <c r="FWK37" s="2795"/>
      <c r="FWL37" s="2795"/>
      <c r="FWM37" s="2795"/>
      <c r="FWN37" s="2795"/>
      <c r="FWO37" s="2795"/>
      <c r="FWP37" s="2795"/>
      <c r="FWQ37" s="2795"/>
      <c r="FWR37" s="2795"/>
      <c r="FWS37" s="2795"/>
      <c r="FWT37" s="2795"/>
      <c r="FWU37" s="2795"/>
      <c r="FWV37" s="2795"/>
      <c r="FWW37" s="2795"/>
      <c r="FWX37" s="2795"/>
      <c r="FWY37" s="2795"/>
      <c r="FWZ37" s="2795"/>
      <c r="FXA37" s="2795"/>
      <c r="FXB37" s="2795"/>
      <c r="FXC37" s="2795"/>
      <c r="FXD37" s="2795"/>
      <c r="FXE37" s="2795"/>
      <c r="FXF37" s="2795"/>
      <c r="FXG37" s="2795"/>
      <c r="FXH37" s="2795"/>
      <c r="FXI37" s="2795"/>
      <c r="FXJ37" s="2795"/>
      <c r="FXK37" s="2795"/>
      <c r="FXL37" s="2795"/>
      <c r="FXM37" s="2795"/>
      <c r="FXN37" s="2795"/>
      <c r="FXO37" s="2795"/>
      <c r="FXP37" s="2795"/>
      <c r="FXQ37" s="2795"/>
      <c r="FXR37" s="2795"/>
      <c r="FXS37" s="2795"/>
      <c r="FXT37" s="2795"/>
      <c r="FXU37" s="2795"/>
      <c r="FXV37" s="2795"/>
      <c r="FXW37" s="2795"/>
      <c r="FXX37" s="2795"/>
      <c r="FXY37" s="2795"/>
      <c r="FXZ37" s="2795"/>
      <c r="FYA37" s="2795"/>
      <c r="FYB37" s="2795"/>
      <c r="FYC37" s="2795"/>
      <c r="FYD37" s="2795"/>
      <c r="FYE37" s="2795"/>
      <c r="FYF37" s="2795"/>
      <c r="FYG37" s="2795"/>
      <c r="FYH37" s="2795"/>
      <c r="FYI37" s="2795"/>
      <c r="FYJ37" s="2795"/>
      <c r="FYK37" s="2795"/>
      <c r="FYL37" s="2795"/>
      <c r="FYM37" s="2795"/>
      <c r="FYN37" s="2795"/>
      <c r="FYO37" s="2795"/>
      <c r="FYP37" s="2795"/>
      <c r="FYQ37" s="2795"/>
      <c r="FYR37" s="2795"/>
      <c r="FYS37" s="2795"/>
      <c r="FYT37" s="2795"/>
      <c r="FYU37" s="2795"/>
      <c r="FYV37" s="2795"/>
      <c r="FYW37" s="2795"/>
      <c r="FYX37" s="2795"/>
      <c r="FYY37" s="2795"/>
      <c r="FYZ37" s="2795"/>
      <c r="FZA37" s="2795"/>
      <c r="FZB37" s="2795"/>
      <c r="FZC37" s="2795"/>
      <c r="FZD37" s="2795"/>
      <c r="FZE37" s="2795"/>
      <c r="FZF37" s="2795"/>
      <c r="FZG37" s="2795"/>
      <c r="FZH37" s="2795"/>
      <c r="FZI37" s="2795"/>
      <c r="FZJ37" s="2795"/>
      <c r="FZK37" s="2795"/>
      <c r="FZL37" s="2795"/>
      <c r="FZM37" s="2795"/>
      <c r="FZN37" s="2795"/>
      <c r="FZO37" s="2795"/>
      <c r="FZP37" s="2795"/>
      <c r="FZQ37" s="2795"/>
      <c r="FZR37" s="2795"/>
      <c r="FZS37" s="2795"/>
      <c r="FZT37" s="2795"/>
      <c r="FZU37" s="2795"/>
      <c r="FZV37" s="2795"/>
      <c r="FZW37" s="2795"/>
      <c r="FZX37" s="2795"/>
      <c r="FZY37" s="2795"/>
      <c r="FZZ37" s="2795"/>
      <c r="GAA37" s="2795"/>
      <c r="GAB37" s="2795"/>
      <c r="GAC37" s="2795"/>
      <c r="GAD37" s="2795"/>
      <c r="GAE37" s="2795"/>
      <c r="GAF37" s="2795"/>
      <c r="GAG37" s="2795"/>
      <c r="GAH37" s="2795"/>
      <c r="GAI37" s="2795"/>
      <c r="GAJ37" s="2795"/>
      <c r="GAK37" s="2795"/>
      <c r="GAL37" s="2795"/>
      <c r="GAM37" s="2795"/>
      <c r="GAN37" s="2795"/>
      <c r="GAO37" s="2795"/>
      <c r="GAP37" s="2795"/>
      <c r="GAQ37" s="2795"/>
      <c r="GAR37" s="2795"/>
      <c r="GAS37" s="2795"/>
      <c r="GAT37" s="2795"/>
      <c r="GAU37" s="2795"/>
      <c r="GAV37" s="2795"/>
      <c r="GAW37" s="2795"/>
      <c r="GAX37" s="2795"/>
      <c r="GAY37" s="2795"/>
      <c r="GAZ37" s="2795"/>
      <c r="GBA37" s="2795"/>
      <c r="GBB37" s="2795"/>
      <c r="GBC37" s="2795"/>
      <c r="GBD37" s="2795"/>
      <c r="GBE37" s="2795"/>
      <c r="GBF37" s="2795"/>
      <c r="GBG37" s="2795"/>
      <c r="GBH37" s="2795"/>
      <c r="GBI37" s="2795"/>
      <c r="GBJ37" s="2795"/>
      <c r="GBK37" s="2795"/>
      <c r="GBL37" s="2795"/>
      <c r="GBM37" s="2795"/>
      <c r="GBN37" s="2795"/>
      <c r="GBO37" s="2795"/>
      <c r="GBP37" s="2795"/>
      <c r="GBQ37" s="2795"/>
      <c r="GBR37" s="2795"/>
      <c r="GBS37" s="2795"/>
      <c r="GBT37" s="2795"/>
      <c r="GBU37" s="2795"/>
      <c r="GBV37" s="2795"/>
      <c r="GBW37" s="2795"/>
      <c r="GBX37" s="2795"/>
      <c r="GBY37" s="2795"/>
      <c r="GBZ37" s="2795"/>
      <c r="GCA37" s="2795"/>
      <c r="GCB37" s="2795"/>
      <c r="GCC37" s="2795"/>
      <c r="GCD37" s="2795"/>
      <c r="GCE37" s="2795"/>
      <c r="GCF37" s="2795"/>
      <c r="GCG37" s="2795"/>
      <c r="GCH37" s="2795"/>
      <c r="GCI37" s="2795"/>
      <c r="GCJ37" s="2795"/>
      <c r="GCK37" s="2795"/>
      <c r="GCL37" s="2795"/>
      <c r="GCM37" s="2795"/>
      <c r="GCN37" s="2795"/>
      <c r="GCO37" s="2795"/>
      <c r="GCP37" s="2795"/>
      <c r="GCQ37" s="2795"/>
      <c r="GCR37" s="2795"/>
      <c r="GCS37" s="2795"/>
      <c r="GCT37" s="2795"/>
      <c r="GCU37" s="2795"/>
      <c r="GCV37" s="2795"/>
      <c r="GCW37" s="2795"/>
      <c r="GCX37" s="2795"/>
      <c r="GCY37" s="2795"/>
      <c r="GCZ37" s="2795"/>
      <c r="GDA37" s="2795"/>
      <c r="GDB37" s="2795"/>
      <c r="GDC37" s="2795"/>
      <c r="GDD37" s="2795"/>
      <c r="GDE37" s="2795"/>
      <c r="GDF37" s="2795"/>
      <c r="GDG37" s="2795"/>
      <c r="GDH37" s="2795"/>
      <c r="GDI37" s="2795"/>
      <c r="GDJ37" s="2795"/>
      <c r="GDK37" s="2795"/>
      <c r="GDL37" s="2795"/>
      <c r="GDM37" s="2795"/>
      <c r="GDN37" s="2795"/>
      <c r="GDO37" s="2795"/>
      <c r="GDP37" s="2795"/>
      <c r="GDQ37" s="2795"/>
      <c r="GDR37" s="2795"/>
      <c r="GDS37" s="2795"/>
      <c r="GDT37" s="2795"/>
      <c r="GDU37" s="2795"/>
      <c r="GDV37" s="2795"/>
      <c r="GDW37" s="2795"/>
      <c r="GDX37" s="2795"/>
      <c r="GDY37" s="2795"/>
      <c r="GDZ37" s="2795"/>
      <c r="GEA37" s="2795"/>
      <c r="GEB37" s="2795"/>
      <c r="GEC37" s="2795"/>
      <c r="GED37" s="2795"/>
      <c r="GEE37" s="2795"/>
      <c r="GEF37" s="2795"/>
      <c r="GEG37" s="2795"/>
      <c r="GEH37" s="2795"/>
      <c r="GEI37" s="2795"/>
      <c r="GEJ37" s="2795"/>
      <c r="GEK37" s="2795"/>
      <c r="GEL37" s="2795"/>
      <c r="GEM37" s="2795"/>
      <c r="GEN37" s="2795"/>
      <c r="GEO37" s="2795"/>
      <c r="GEP37" s="2795"/>
      <c r="GEQ37" s="2795"/>
      <c r="GER37" s="2795"/>
      <c r="GES37" s="2795"/>
      <c r="GET37" s="2795"/>
      <c r="GEU37" s="2795"/>
      <c r="GEV37" s="2795"/>
      <c r="GEW37" s="2795"/>
      <c r="GEX37" s="2795"/>
      <c r="GEY37" s="2795"/>
      <c r="GEZ37" s="2795"/>
      <c r="GFA37" s="2795"/>
      <c r="GFB37" s="2795"/>
      <c r="GFC37" s="2795"/>
      <c r="GFD37" s="2795"/>
      <c r="GFE37" s="2795"/>
      <c r="GFF37" s="2795"/>
      <c r="GFG37" s="2795"/>
      <c r="GFH37" s="2795"/>
      <c r="GFI37" s="2795"/>
      <c r="GFJ37" s="2795"/>
      <c r="GFK37" s="2795"/>
      <c r="GFL37" s="2795"/>
      <c r="GFM37" s="2795"/>
      <c r="GFN37" s="2795"/>
      <c r="GFO37" s="2795"/>
      <c r="GFP37" s="2795"/>
      <c r="GFQ37" s="2795"/>
      <c r="GFR37" s="2795"/>
      <c r="GFS37" s="2795"/>
      <c r="GFT37" s="2795"/>
      <c r="GFU37" s="2795"/>
      <c r="GFV37" s="2795"/>
      <c r="GFW37" s="2795"/>
      <c r="GFX37" s="2795"/>
      <c r="GFY37" s="2795"/>
      <c r="GFZ37" s="2795"/>
      <c r="GGA37" s="2795"/>
      <c r="GGB37" s="2795"/>
      <c r="GGC37" s="2795"/>
      <c r="GGD37" s="2795"/>
      <c r="GGE37" s="2795"/>
      <c r="GGF37" s="2795"/>
      <c r="GGG37" s="2795"/>
      <c r="GGH37" s="2795"/>
      <c r="GGI37" s="2795"/>
      <c r="GGJ37" s="2795"/>
      <c r="GGK37" s="2795"/>
      <c r="GGL37" s="2795"/>
      <c r="GGM37" s="2795"/>
      <c r="GGN37" s="2795"/>
      <c r="GGO37" s="2795"/>
      <c r="GGP37" s="2795"/>
      <c r="GGQ37" s="2795"/>
      <c r="GGR37" s="2795"/>
      <c r="GGS37" s="2795"/>
      <c r="GGT37" s="2795"/>
      <c r="GGU37" s="2795"/>
      <c r="GGV37" s="2795"/>
      <c r="GGW37" s="2795"/>
      <c r="GGX37" s="2795"/>
      <c r="GGY37" s="2795"/>
      <c r="GGZ37" s="2795"/>
      <c r="GHA37" s="2795"/>
      <c r="GHB37" s="2795"/>
      <c r="GHC37" s="2795"/>
      <c r="GHD37" s="2795"/>
      <c r="GHE37" s="2795"/>
      <c r="GHF37" s="2795"/>
      <c r="GHG37" s="2795"/>
      <c r="GHH37" s="2795"/>
      <c r="GHI37" s="2795"/>
      <c r="GHJ37" s="2795"/>
      <c r="GHK37" s="2795"/>
      <c r="GHL37" s="2795"/>
      <c r="GHM37" s="2795"/>
      <c r="GHN37" s="2795"/>
      <c r="GHO37" s="2795"/>
      <c r="GHP37" s="2795"/>
      <c r="GHQ37" s="2795"/>
      <c r="GHR37" s="2795"/>
      <c r="GHS37" s="2795"/>
      <c r="GHT37" s="2795"/>
      <c r="GHU37" s="2795"/>
      <c r="GHV37" s="2795"/>
      <c r="GHW37" s="2795"/>
      <c r="GHX37" s="2795"/>
      <c r="GHY37" s="2795"/>
      <c r="GHZ37" s="2795"/>
      <c r="GIA37" s="2795"/>
      <c r="GIB37" s="2795"/>
      <c r="GIC37" s="2795"/>
      <c r="GID37" s="2795"/>
      <c r="GIE37" s="2795"/>
      <c r="GIF37" s="2795"/>
      <c r="GIG37" s="2795"/>
      <c r="GIH37" s="2795"/>
      <c r="GII37" s="2795"/>
      <c r="GIJ37" s="2795"/>
      <c r="GIK37" s="2795"/>
      <c r="GIL37" s="2795"/>
      <c r="GIM37" s="2795"/>
      <c r="GIN37" s="2795"/>
      <c r="GIO37" s="2795"/>
      <c r="GIP37" s="2795"/>
      <c r="GIQ37" s="2795"/>
      <c r="GIR37" s="2795"/>
      <c r="GIS37" s="2795"/>
      <c r="GIT37" s="2795"/>
      <c r="GIU37" s="2795"/>
      <c r="GIV37" s="2795"/>
      <c r="GIW37" s="2795"/>
      <c r="GIX37" s="2795"/>
      <c r="GIY37" s="2795"/>
      <c r="GIZ37" s="2795"/>
      <c r="GJA37" s="2795"/>
      <c r="GJB37" s="2795"/>
      <c r="GJC37" s="2795"/>
      <c r="GJD37" s="2795"/>
      <c r="GJE37" s="2795"/>
      <c r="GJF37" s="2795"/>
      <c r="GJG37" s="2795"/>
      <c r="GJH37" s="2795"/>
      <c r="GJI37" s="2795"/>
      <c r="GJJ37" s="2795"/>
      <c r="GJK37" s="2795"/>
      <c r="GJL37" s="2795"/>
      <c r="GJM37" s="2795"/>
      <c r="GJN37" s="2795"/>
      <c r="GJO37" s="2795"/>
      <c r="GJP37" s="2795"/>
      <c r="GJQ37" s="2795"/>
      <c r="GJR37" s="2795"/>
      <c r="GJS37" s="2795"/>
      <c r="GJT37" s="2795"/>
      <c r="GJU37" s="2795"/>
      <c r="GJV37" s="2795"/>
      <c r="GJW37" s="2795"/>
      <c r="GJX37" s="2795"/>
      <c r="GJY37" s="2795"/>
      <c r="GJZ37" s="2795"/>
      <c r="GKA37" s="2795"/>
      <c r="GKB37" s="2795"/>
      <c r="GKC37" s="2795"/>
      <c r="GKD37" s="2795"/>
      <c r="GKE37" s="2795"/>
      <c r="GKF37" s="2795"/>
      <c r="GKG37" s="2795"/>
      <c r="GKH37" s="2795"/>
      <c r="GKI37" s="2795"/>
      <c r="GKJ37" s="2795"/>
      <c r="GKK37" s="2795"/>
      <c r="GKL37" s="2795"/>
      <c r="GKM37" s="2795"/>
      <c r="GKN37" s="2795"/>
      <c r="GKO37" s="2795"/>
      <c r="GKP37" s="2795"/>
      <c r="GKQ37" s="2795"/>
      <c r="GKR37" s="2795"/>
      <c r="GKS37" s="2795"/>
      <c r="GKT37" s="2795"/>
      <c r="GKU37" s="2795"/>
      <c r="GKV37" s="2795"/>
      <c r="GKW37" s="2795"/>
      <c r="GKX37" s="2795"/>
      <c r="GKY37" s="2795"/>
      <c r="GKZ37" s="2795"/>
      <c r="GLA37" s="2795"/>
      <c r="GLB37" s="2795"/>
      <c r="GLC37" s="2795"/>
      <c r="GLD37" s="2795"/>
      <c r="GLE37" s="2795"/>
      <c r="GLF37" s="2795"/>
      <c r="GLG37" s="2795"/>
      <c r="GLH37" s="2795"/>
      <c r="GLI37" s="2795"/>
      <c r="GLJ37" s="2795"/>
      <c r="GLK37" s="2795"/>
      <c r="GLL37" s="2795"/>
      <c r="GLM37" s="2795"/>
      <c r="GLN37" s="2795"/>
      <c r="GLO37" s="2795"/>
      <c r="GLP37" s="2795"/>
      <c r="GLQ37" s="2795"/>
      <c r="GLR37" s="2795"/>
      <c r="GLS37" s="2795"/>
      <c r="GLT37" s="2795"/>
      <c r="GLU37" s="2795"/>
      <c r="GLV37" s="2795"/>
      <c r="GLW37" s="2795"/>
      <c r="GLX37" s="2795"/>
      <c r="GLY37" s="2795"/>
      <c r="GLZ37" s="2795"/>
      <c r="GMA37" s="2795"/>
      <c r="GMB37" s="2795"/>
      <c r="GMC37" s="2795"/>
      <c r="GMD37" s="2795"/>
      <c r="GME37" s="2795"/>
      <c r="GMF37" s="2795"/>
      <c r="GMG37" s="2795"/>
      <c r="GMH37" s="2795"/>
      <c r="GMI37" s="2795"/>
      <c r="GMJ37" s="2795"/>
      <c r="GMK37" s="2795"/>
      <c r="GML37" s="2795"/>
      <c r="GMM37" s="2795"/>
      <c r="GMN37" s="2795"/>
      <c r="GMO37" s="2795"/>
      <c r="GMP37" s="2795"/>
      <c r="GMQ37" s="2795"/>
      <c r="GMR37" s="2795"/>
      <c r="GMS37" s="2795"/>
      <c r="GMT37" s="2795"/>
      <c r="GMU37" s="2795"/>
      <c r="GMV37" s="2795"/>
      <c r="GMW37" s="2795"/>
      <c r="GMX37" s="2795"/>
      <c r="GMY37" s="2795"/>
      <c r="GMZ37" s="2795"/>
      <c r="GNA37" s="2795"/>
      <c r="GNB37" s="2795"/>
      <c r="GNC37" s="2795"/>
      <c r="GND37" s="2795"/>
      <c r="GNE37" s="2795"/>
      <c r="GNF37" s="2795"/>
      <c r="GNG37" s="2795"/>
      <c r="GNH37" s="2795"/>
      <c r="GNI37" s="2795"/>
      <c r="GNJ37" s="2795"/>
      <c r="GNK37" s="2795"/>
      <c r="GNL37" s="2795"/>
      <c r="GNM37" s="2795"/>
      <c r="GNN37" s="2795"/>
      <c r="GNO37" s="2795"/>
      <c r="GNP37" s="2795"/>
      <c r="GNQ37" s="2795"/>
      <c r="GNR37" s="2795"/>
      <c r="GNS37" s="2795"/>
      <c r="GNT37" s="2795"/>
      <c r="GNU37" s="2795"/>
      <c r="GNV37" s="2795"/>
      <c r="GNW37" s="2795"/>
      <c r="GNX37" s="2795"/>
      <c r="GNY37" s="2795"/>
      <c r="GNZ37" s="2795"/>
      <c r="GOA37" s="2795"/>
      <c r="GOB37" s="2795"/>
      <c r="GOC37" s="2795"/>
      <c r="GOD37" s="2795"/>
      <c r="GOE37" s="2795"/>
      <c r="GOF37" s="2795"/>
      <c r="GOG37" s="2795"/>
      <c r="GOH37" s="2795"/>
      <c r="GOI37" s="2795"/>
      <c r="GOJ37" s="2795"/>
      <c r="GOK37" s="2795"/>
      <c r="GOL37" s="2795"/>
      <c r="GOM37" s="2795"/>
      <c r="GON37" s="2795"/>
      <c r="GOO37" s="2795"/>
      <c r="GOP37" s="2795"/>
      <c r="GOQ37" s="2795"/>
      <c r="GOR37" s="2795"/>
      <c r="GOS37" s="2795"/>
      <c r="GOT37" s="2795"/>
      <c r="GOU37" s="2795"/>
      <c r="GOV37" s="2795"/>
      <c r="GOW37" s="2795"/>
      <c r="GOX37" s="2795"/>
      <c r="GOY37" s="2795"/>
      <c r="GOZ37" s="2795"/>
      <c r="GPA37" s="2795"/>
      <c r="GPB37" s="2795"/>
      <c r="GPC37" s="2795"/>
      <c r="GPD37" s="2795"/>
      <c r="GPE37" s="2795"/>
      <c r="GPF37" s="2795"/>
      <c r="GPG37" s="2795"/>
      <c r="GPH37" s="2795"/>
      <c r="GPI37" s="2795"/>
      <c r="GPJ37" s="2795"/>
      <c r="GPK37" s="2795"/>
      <c r="GPL37" s="2795"/>
      <c r="GPM37" s="2795"/>
      <c r="GPN37" s="2795"/>
      <c r="GPO37" s="2795"/>
      <c r="GPP37" s="2795"/>
      <c r="GPQ37" s="2795"/>
      <c r="GPR37" s="2795"/>
      <c r="GPS37" s="2795"/>
      <c r="GPT37" s="2795"/>
      <c r="GPU37" s="2795"/>
      <c r="GPV37" s="2795"/>
      <c r="GPW37" s="2795"/>
      <c r="GPX37" s="2795"/>
      <c r="GPY37" s="2795"/>
      <c r="GPZ37" s="2795"/>
      <c r="GQA37" s="2795"/>
      <c r="GQB37" s="2795"/>
      <c r="GQC37" s="2795"/>
      <c r="GQD37" s="2795"/>
      <c r="GQE37" s="2795"/>
      <c r="GQF37" s="2795"/>
      <c r="GQG37" s="2795"/>
      <c r="GQH37" s="2795"/>
      <c r="GQI37" s="2795"/>
      <c r="GQJ37" s="2795"/>
      <c r="GQK37" s="2795"/>
      <c r="GQL37" s="2795"/>
      <c r="GQM37" s="2795"/>
      <c r="GQN37" s="2795"/>
      <c r="GQO37" s="2795"/>
      <c r="GQP37" s="2795"/>
      <c r="GQQ37" s="2795"/>
      <c r="GQR37" s="2795"/>
      <c r="GQS37" s="2795"/>
      <c r="GQT37" s="2795"/>
      <c r="GQU37" s="2795"/>
      <c r="GQV37" s="2795"/>
      <c r="GQW37" s="2795"/>
      <c r="GQX37" s="2795"/>
      <c r="GQY37" s="2795"/>
      <c r="GQZ37" s="2795"/>
      <c r="GRA37" s="2795"/>
      <c r="GRB37" s="2795"/>
      <c r="GRC37" s="2795"/>
      <c r="GRD37" s="2795"/>
      <c r="GRE37" s="2795"/>
      <c r="GRF37" s="2795"/>
      <c r="GRG37" s="2795"/>
      <c r="GRH37" s="2795"/>
      <c r="GRI37" s="2795"/>
      <c r="GRJ37" s="2795"/>
      <c r="GRK37" s="2795"/>
      <c r="GRL37" s="2795"/>
      <c r="GRM37" s="2795"/>
      <c r="GRN37" s="2795"/>
      <c r="GRO37" s="2795"/>
      <c r="GRP37" s="2795"/>
      <c r="GRQ37" s="2795"/>
      <c r="GRR37" s="2795"/>
      <c r="GRS37" s="2795"/>
      <c r="GRT37" s="2795"/>
      <c r="GRU37" s="2795"/>
      <c r="GRV37" s="2795"/>
      <c r="GRW37" s="2795"/>
      <c r="GRX37" s="2795"/>
      <c r="GRY37" s="2795"/>
      <c r="GRZ37" s="2795"/>
      <c r="GSA37" s="2795"/>
      <c r="GSB37" s="2795"/>
      <c r="GSC37" s="2795"/>
      <c r="GSD37" s="2795"/>
      <c r="GSE37" s="2795"/>
      <c r="GSF37" s="2795"/>
      <c r="GSG37" s="2795"/>
      <c r="GSH37" s="2795"/>
      <c r="GSI37" s="2795"/>
      <c r="GSJ37" s="2795"/>
      <c r="GSK37" s="2795"/>
      <c r="GSL37" s="2795"/>
      <c r="GSM37" s="2795"/>
      <c r="GSN37" s="2795"/>
      <c r="GSO37" s="2795"/>
      <c r="GSP37" s="2795"/>
      <c r="GSQ37" s="2795"/>
      <c r="GSR37" s="2795"/>
      <c r="GSS37" s="2795"/>
      <c r="GST37" s="2795"/>
      <c r="GSU37" s="2795"/>
      <c r="GSV37" s="2795"/>
      <c r="GSW37" s="2795"/>
      <c r="GSX37" s="2795"/>
      <c r="GSY37" s="2795"/>
      <c r="GSZ37" s="2795"/>
      <c r="GTA37" s="2795"/>
      <c r="GTB37" s="2795"/>
      <c r="GTC37" s="2795"/>
      <c r="GTD37" s="2795"/>
      <c r="GTE37" s="2795"/>
      <c r="GTF37" s="2795"/>
      <c r="GTG37" s="2795"/>
      <c r="GTH37" s="2795"/>
      <c r="GTI37" s="2795"/>
      <c r="GTJ37" s="2795"/>
      <c r="GTK37" s="2795"/>
      <c r="GTL37" s="2795"/>
      <c r="GTM37" s="2795"/>
      <c r="GTN37" s="2795"/>
      <c r="GTO37" s="2795"/>
      <c r="GTP37" s="2795"/>
      <c r="GTQ37" s="2795"/>
      <c r="GTR37" s="2795"/>
      <c r="GTS37" s="2795"/>
      <c r="GTT37" s="2795"/>
      <c r="GTU37" s="2795"/>
      <c r="GTV37" s="2795"/>
      <c r="GTW37" s="2795"/>
      <c r="GTX37" s="2795"/>
      <c r="GTY37" s="2795"/>
      <c r="GTZ37" s="2795"/>
      <c r="GUA37" s="2795"/>
      <c r="GUB37" s="2795"/>
      <c r="GUC37" s="2795"/>
      <c r="GUD37" s="2795"/>
      <c r="GUE37" s="2795"/>
      <c r="GUF37" s="2795"/>
      <c r="GUG37" s="2795"/>
      <c r="GUH37" s="2795"/>
      <c r="GUI37" s="2795"/>
      <c r="GUJ37" s="2795"/>
      <c r="GUK37" s="2795"/>
      <c r="GUL37" s="2795"/>
      <c r="GUM37" s="2795"/>
      <c r="GUN37" s="2795"/>
      <c r="GUO37" s="2795"/>
      <c r="GUP37" s="2795"/>
      <c r="GUQ37" s="2795"/>
      <c r="GUR37" s="2795"/>
      <c r="GUS37" s="2795"/>
      <c r="GUT37" s="2795"/>
      <c r="GUU37" s="2795"/>
      <c r="GUV37" s="2795"/>
      <c r="GUW37" s="2795"/>
      <c r="GUX37" s="2795"/>
      <c r="GUY37" s="2795"/>
      <c r="GUZ37" s="2795"/>
      <c r="GVA37" s="2795"/>
      <c r="GVB37" s="2795"/>
      <c r="GVC37" s="2795"/>
      <c r="GVD37" s="2795"/>
      <c r="GVE37" s="2795"/>
      <c r="GVF37" s="2795"/>
      <c r="GVG37" s="2795"/>
      <c r="GVH37" s="2795"/>
      <c r="GVI37" s="2795"/>
      <c r="GVJ37" s="2795"/>
      <c r="GVK37" s="2795"/>
      <c r="GVL37" s="2795"/>
      <c r="GVM37" s="2795"/>
      <c r="GVN37" s="2795"/>
      <c r="GVO37" s="2795"/>
      <c r="GVP37" s="2795"/>
      <c r="GVQ37" s="2795"/>
      <c r="GVR37" s="2795"/>
      <c r="GVS37" s="2795"/>
      <c r="GVT37" s="2795"/>
      <c r="GVU37" s="2795"/>
      <c r="GVV37" s="2795"/>
      <c r="GVW37" s="2795"/>
      <c r="GVX37" s="2795"/>
      <c r="GVY37" s="2795"/>
      <c r="GVZ37" s="2795"/>
      <c r="GWA37" s="2795"/>
      <c r="GWB37" s="2795"/>
      <c r="GWC37" s="2795"/>
      <c r="GWD37" s="2795"/>
      <c r="GWE37" s="2795"/>
      <c r="GWF37" s="2795"/>
      <c r="GWG37" s="2795"/>
      <c r="GWH37" s="2795"/>
      <c r="GWI37" s="2795"/>
      <c r="GWJ37" s="2795"/>
      <c r="GWK37" s="2795"/>
      <c r="GWL37" s="2795"/>
      <c r="GWM37" s="2795"/>
      <c r="GWN37" s="2795"/>
      <c r="GWO37" s="2795"/>
      <c r="GWP37" s="2795"/>
      <c r="GWQ37" s="2795"/>
      <c r="GWR37" s="2795"/>
      <c r="GWS37" s="2795"/>
      <c r="GWT37" s="2795"/>
      <c r="GWU37" s="2795"/>
      <c r="GWV37" s="2795"/>
      <c r="GWW37" s="2795"/>
      <c r="GWX37" s="2795"/>
      <c r="GWY37" s="2795"/>
      <c r="GWZ37" s="2795"/>
      <c r="GXA37" s="2795"/>
      <c r="GXB37" s="2795"/>
      <c r="GXC37" s="2795"/>
      <c r="GXD37" s="2795"/>
      <c r="GXE37" s="2795"/>
      <c r="GXF37" s="2795"/>
      <c r="GXG37" s="2795"/>
      <c r="GXH37" s="2795"/>
      <c r="GXI37" s="2795"/>
      <c r="GXJ37" s="2795"/>
      <c r="GXK37" s="2795"/>
      <c r="GXL37" s="2795"/>
      <c r="GXM37" s="2795"/>
      <c r="GXN37" s="2795"/>
      <c r="GXO37" s="2795"/>
      <c r="GXP37" s="2795"/>
      <c r="GXQ37" s="2795"/>
      <c r="GXR37" s="2795"/>
      <c r="GXS37" s="2795"/>
      <c r="GXT37" s="2795"/>
      <c r="GXU37" s="2795"/>
      <c r="GXV37" s="2795"/>
      <c r="GXW37" s="2795"/>
      <c r="GXX37" s="2795"/>
      <c r="GXY37" s="2795"/>
      <c r="GXZ37" s="2795"/>
      <c r="GYA37" s="2795"/>
      <c r="GYB37" s="2795"/>
      <c r="GYC37" s="2795"/>
      <c r="GYD37" s="2795"/>
      <c r="GYE37" s="2795"/>
      <c r="GYF37" s="2795"/>
      <c r="GYG37" s="2795"/>
      <c r="GYH37" s="2795"/>
      <c r="GYI37" s="2795"/>
      <c r="GYJ37" s="2795"/>
      <c r="GYK37" s="2795"/>
      <c r="GYL37" s="2795"/>
      <c r="GYM37" s="2795"/>
      <c r="GYN37" s="2795"/>
      <c r="GYO37" s="2795"/>
      <c r="GYP37" s="2795"/>
      <c r="GYQ37" s="2795"/>
      <c r="GYR37" s="2795"/>
      <c r="GYS37" s="2795"/>
      <c r="GYT37" s="2795"/>
      <c r="GYU37" s="2795"/>
      <c r="GYV37" s="2795"/>
      <c r="GYW37" s="2795"/>
      <c r="GYX37" s="2795"/>
      <c r="GYY37" s="2795"/>
      <c r="GYZ37" s="2795"/>
      <c r="GZA37" s="2795"/>
      <c r="GZB37" s="2795"/>
      <c r="GZC37" s="2795"/>
      <c r="GZD37" s="2795"/>
      <c r="GZE37" s="2795"/>
      <c r="GZF37" s="2795"/>
      <c r="GZG37" s="2795"/>
      <c r="GZH37" s="2795"/>
      <c r="GZI37" s="2795"/>
      <c r="GZJ37" s="2795"/>
      <c r="GZK37" s="2795"/>
      <c r="GZL37" s="2795"/>
      <c r="GZM37" s="2795"/>
      <c r="GZN37" s="2795"/>
      <c r="GZO37" s="2795"/>
      <c r="GZP37" s="2795"/>
      <c r="GZQ37" s="2795"/>
      <c r="GZR37" s="2795"/>
      <c r="GZS37" s="2795"/>
      <c r="GZT37" s="2795"/>
      <c r="GZU37" s="2795"/>
      <c r="GZV37" s="2795"/>
      <c r="GZW37" s="2795"/>
      <c r="GZX37" s="2795"/>
      <c r="GZY37" s="2795"/>
      <c r="GZZ37" s="2795"/>
      <c r="HAA37" s="2795"/>
      <c r="HAB37" s="2795"/>
      <c r="HAC37" s="2795"/>
      <c r="HAD37" s="2795"/>
      <c r="HAE37" s="2795"/>
      <c r="HAF37" s="2795"/>
      <c r="HAG37" s="2795"/>
      <c r="HAH37" s="2795"/>
      <c r="HAI37" s="2795"/>
      <c r="HAJ37" s="2795"/>
      <c r="HAK37" s="2795"/>
      <c r="HAL37" s="2795"/>
      <c r="HAM37" s="2795"/>
      <c r="HAN37" s="2795"/>
      <c r="HAO37" s="2795"/>
      <c r="HAP37" s="2795"/>
      <c r="HAQ37" s="2795"/>
      <c r="HAR37" s="2795"/>
      <c r="HAS37" s="2795"/>
      <c r="HAT37" s="2795"/>
      <c r="HAU37" s="2795"/>
      <c r="HAV37" s="2795"/>
      <c r="HAW37" s="2795"/>
      <c r="HAX37" s="2795"/>
      <c r="HAY37" s="2795"/>
      <c r="HAZ37" s="2795"/>
      <c r="HBA37" s="2795"/>
      <c r="HBB37" s="2795"/>
      <c r="HBC37" s="2795"/>
      <c r="HBD37" s="2795"/>
      <c r="HBE37" s="2795"/>
      <c r="HBF37" s="2795"/>
      <c r="HBG37" s="2795"/>
      <c r="HBH37" s="2795"/>
      <c r="HBI37" s="2795"/>
      <c r="HBJ37" s="2795"/>
      <c r="HBK37" s="2795"/>
      <c r="HBL37" s="2795"/>
      <c r="HBM37" s="2795"/>
      <c r="HBN37" s="2795"/>
      <c r="HBO37" s="2795"/>
      <c r="HBP37" s="2795"/>
      <c r="HBQ37" s="2795"/>
      <c r="HBR37" s="2795"/>
      <c r="HBS37" s="2795"/>
      <c r="HBT37" s="2795"/>
      <c r="HBU37" s="2795"/>
      <c r="HBV37" s="2795"/>
      <c r="HBW37" s="2795"/>
      <c r="HBX37" s="2795"/>
      <c r="HBY37" s="2795"/>
      <c r="HBZ37" s="2795"/>
      <c r="HCA37" s="2795"/>
      <c r="HCB37" s="2795"/>
      <c r="HCC37" s="2795"/>
      <c r="HCD37" s="2795"/>
      <c r="HCE37" s="2795"/>
      <c r="HCF37" s="2795"/>
      <c r="HCG37" s="2795"/>
      <c r="HCH37" s="2795"/>
      <c r="HCI37" s="2795"/>
      <c r="HCJ37" s="2795"/>
      <c r="HCK37" s="2795"/>
      <c r="HCL37" s="2795"/>
      <c r="HCM37" s="2795"/>
      <c r="HCN37" s="2795"/>
      <c r="HCO37" s="2795"/>
      <c r="HCP37" s="2795"/>
      <c r="HCQ37" s="2795"/>
      <c r="HCR37" s="2795"/>
      <c r="HCS37" s="2795"/>
      <c r="HCT37" s="2795"/>
      <c r="HCU37" s="2795"/>
      <c r="HCV37" s="2795"/>
      <c r="HCW37" s="2795"/>
      <c r="HCX37" s="2795"/>
      <c r="HCY37" s="2795"/>
      <c r="HCZ37" s="2795"/>
      <c r="HDA37" s="2795"/>
      <c r="HDB37" s="2795"/>
      <c r="HDC37" s="2795"/>
      <c r="HDD37" s="2795"/>
      <c r="HDE37" s="2795"/>
      <c r="HDF37" s="2795"/>
      <c r="HDG37" s="2795"/>
      <c r="HDH37" s="2795"/>
      <c r="HDI37" s="2795"/>
      <c r="HDJ37" s="2795"/>
      <c r="HDK37" s="2795"/>
      <c r="HDL37" s="2795"/>
      <c r="HDM37" s="2795"/>
      <c r="HDN37" s="2795"/>
      <c r="HDO37" s="2795"/>
      <c r="HDP37" s="2795"/>
      <c r="HDQ37" s="2795"/>
      <c r="HDR37" s="2795"/>
      <c r="HDS37" s="2795"/>
      <c r="HDT37" s="2795"/>
      <c r="HDU37" s="2795"/>
      <c r="HDV37" s="2795"/>
      <c r="HDW37" s="2795"/>
      <c r="HDX37" s="2795"/>
      <c r="HDY37" s="2795"/>
      <c r="HDZ37" s="2795"/>
      <c r="HEA37" s="2795"/>
      <c r="HEB37" s="2795"/>
      <c r="HEC37" s="2795"/>
      <c r="HED37" s="2795"/>
      <c r="HEE37" s="2795"/>
      <c r="HEF37" s="2795"/>
      <c r="HEG37" s="2795"/>
      <c r="HEH37" s="2795"/>
      <c r="HEI37" s="2795"/>
      <c r="HEJ37" s="2795"/>
      <c r="HEK37" s="2795"/>
      <c r="HEL37" s="2795"/>
      <c r="HEM37" s="2795"/>
      <c r="HEN37" s="2795"/>
      <c r="HEO37" s="2795"/>
      <c r="HEP37" s="2795"/>
      <c r="HEQ37" s="2795"/>
      <c r="HER37" s="2795"/>
      <c r="HES37" s="2795"/>
      <c r="HET37" s="2795"/>
      <c r="HEU37" s="2795"/>
      <c r="HEV37" s="2795"/>
      <c r="HEW37" s="2795"/>
      <c r="HEX37" s="2795"/>
      <c r="HEY37" s="2795"/>
      <c r="HEZ37" s="2795"/>
      <c r="HFA37" s="2795"/>
      <c r="HFB37" s="2795"/>
      <c r="HFC37" s="2795"/>
      <c r="HFD37" s="2795"/>
      <c r="HFE37" s="2795"/>
      <c r="HFF37" s="2795"/>
      <c r="HFG37" s="2795"/>
      <c r="HFH37" s="2795"/>
      <c r="HFI37" s="2795"/>
      <c r="HFJ37" s="2795"/>
      <c r="HFK37" s="2795"/>
      <c r="HFL37" s="2795"/>
      <c r="HFM37" s="2795"/>
      <c r="HFN37" s="2795"/>
      <c r="HFO37" s="2795"/>
      <c r="HFP37" s="2795"/>
      <c r="HFQ37" s="2795"/>
      <c r="HFR37" s="2795"/>
      <c r="HFS37" s="2795"/>
      <c r="HFT37" s="2795"/>
      <c r="HFU37" s="2795"/>
      <c r="HFV37" s="2795"/>
      <c r="HFW37" s="2795"/>
      <c r="HFX37" s="2795"/>
      <c r="HFY37" s="2795"/>
      <c r="HFZ37" s="2795"/>
      <c r="HGA37" s="2795"/>
      <c r="HGB37" s="2795"/>
      <c r="HGC37" s="2795"/>
      <c r="HGD37" s="2795"/>
      <c r="HGE37" s="2795"/>
      <c r="HGF37" s="2795"/>
      <c r="HGG37" s="2795"/>
      <c r="HGH37" s="2795"/>
      <c r="HGI37" s="2795"/>
      <c r="HGJ37" s="2795"/>
      <c r="HGK37" s="2795"/>
      <c r="HGL37" s="2795"/>
      <c r="HGM37" s="2795"/>
      <c r="HGN37" s="2795"/>
      <c r="HGO37" s="2795"/>
      <c r="HGP37" s="2795"/>
      <c r="HGQ37" s="2795"/>
      <c r="HGR37" s="2795"/>
      <c r="HGS37" s="2795"/>
      <c r="HGT37" s="2795"/>
      <c r="HGU37" s="2795"/>
      <c r="HGV37" s="2795"/>
      <c r="HGW37" s="2795"/>
      <c r="HGX37" s="2795"/>
      <c r="HGY37" s="2795"/>
      <c r="HGZ37" s="2795"/>
      <c r="HHA37" s="2795"/>
      <c r="HHB37" s="2795"/>
      <c r="HHC37" s="2795"/>
      <c r="HHD37" s="2795"/>
      <c r="HHE37" s="2795"/>
      <c r="HHF37" s="2795"/>
      <c r="HHG37" s="2795"/>
      <c r="HHH37" s="2795"/>
      <c r="HHI37" s="2795"/>
      <c r="HHJ37" s="2795"/>
      <c r="HHK37" s="2795"/>
      <c r="HHL37" s="2795"/>
      <c r="HHM37" s="2795"/>
      <c r="HHN37" s="2795"/>
      <c r="HHO37" s="2795"/>
      <c r="HHP37" s="2795"/>
      <c r="HHQ37" s="2795"/>
      <c r="HHR37" s="2795"/>
      <c r="HHS37" s="2795"/>
      <c r="HHT37" s="2795"/>
      <c r="HHU37" s="2795"/>
      <c r="HHV37" s="2795"/>
      <c r="HHW37" s="2795"/>
      <c r="HHX37" s="2795"/>
      <c r="HHY37" s="2795"/>
      <c r="HHZ37" s="2795"/>
      <c r="HIA37" s="2795"/>
      <c r="HIB37" s="2795"/>
      <c r="HIC37" s="2795"/>
      <c r="HID37" s="2795"/>
      <c r="HIE37" s="2795"/>
      <c r="HIF37" s="2795"/>
      <c r="HIG37" s="2795"/>
      <c r="HIH37" s="2795"/>
      <c r="HII37" s="2795"/>
      <c r="HIJ37" s="2795"/>
      <c r="HIK37" s="2795"/>
      <c r="HIL37" s="2795"/>
      <c r="HIM37" s="2795"/>
      <c r="HIN37" s="2795"/>
      <c r="HIO37" s="2795"/>
      <c r="HIP37" s="2795"/>
      <c r="HIQ37" s="2795"/>
      <c r="HIR37" s="2795"/>
      <c r="HIS37" s="2795"/>
      <c r="HIT37" s="2795"/>
      <c r="HIU37" s="2795"/>
      <c r="HIV37" s="2795"/>
      <c r="HIW37" s="2795"/>
      <c r="HIX37" s="2795"/>
      <c r="HIY37" s="2795"/>
      <c r="HIZ37" s="2795"/>
      <c r="HJA37" s="2795"/>
      <c r="HJB37" s="2795"/>
      <c r="HJC37" s="2795"/>
      <c r="HJD37" s="2795"/>
      <c r="HJE37" s="2795"/>
      <c r="HJF37" s="2795"/>
      <c r="HJG37" s="2795"/>
      <c r="HJH37" s="2795"/>
      <c r="HJI37" s="2795"/>
      <c r="HJJ37" s="2795"/>
      <c r="HJK37" s="2795"/>
      <c r="HJL37" s="2795"/>
      <c r="HJM37" s="2795"/>
      <c r="HJN37" s="2795"/>
      <c r="HJO37" s="2795"/>
      <c r="HJP37" s="2795"/>
      <c r="HJQ37" s="2795"/>
      <c r="HJR37" s="2795"/>
      <c r="HJS37" s="2795"/>
      <c r="HJT37" s="2795"/>
      <c r="HJU37" s="2795"/>
      <c r="HJV37" s="2795"/>
      <c r="HJW37" s="2795"/>
      <c r="HJX37" s="2795"/>
      <c r="HJY37" s="2795"/>
      <c r="HJZ37" s="2795"/>
      <c r="HKA37" s="2795"/>
      <c r="HKB37" s="2795"/>
      <c r="HKC37" s="2795"/>
      <c r="HKD37" s="2795"/>
      <c r="HKE37" s="2795"/>
      <c r="HKF37" s="2795"/>
      <c r="HKG37" s="2795"/>
      <c r="HKH37" s="2795"/>
      <c r="HKI37" s="2795"/>
      <c r="HKJ37" s="2795"/>
      <c r="HKK37" s="2795"/>
      <c r="HKL37" s="2795"/>
      <c r="HKM37" s="2795"/>
      <c r="HKN37" s="2795"/>
      <c r="HKO37" s="2795"/>
      <c r="HKP37" s="2795"/>
      <c r="HKQ37" s="2795"/>
      <c r="HKR37" s="2795"/>
      <c r="HKS37" s="2795"/>
      <c r="HKT37" s="2795"/>
      <c r="HKU37" s="2795"/>
      <c r="HKV37" s="2795"/>
      <c r="HKW37" s="2795"/>
      <c r="HKX37" s="2795"/>
      <c r="HKY37" s="2795"/>
      <c r="HKZ37" s="2795"/>
      <c r="HLA37" s="2795"/>
      <c r="HLB37" s="2795"/>
      <c r="HLC37" s="2795"/>
      <c r="HLD37" s="2795"/>
      <c r="HLE37" s="2795"/>
      <c r="HLF37" s="2795"/>
      <c r="HLG37" s="2795"/>
      <c r="HLH37" s="2795"/>
      <c r="HLI37" s="2795"/>
      <c r="HLJ37" s="2795"/>
      <c r="HLK37" s="2795"/>
      <c r="HLL37" s="2795"/>
      <c r="HLM37" s="2795"/>
      <c r="HLN37" s="2795"/>
      <c r="HLO37" s="2795"/>
      <c r="HLP37" s="2795"/>
      <c r="HLQ37" s="2795"/>
      <c r="HLR37" s="2795"/>
      <c r="HLS37" s="2795"/>
      <c r="HLT37" s="2795"/>
      <c r="HLU37" s="2795"/>
      <c r="HLV37" s="2795"/>
      <c r="HLW37" s="2795"/>
      <c r="HLX37" s="2795"/>
      <c r="HLY37" s="2795"/>
      <c r="HLZ37" s="2795"/>
      <c r="HMA37" s="2795"/>
      <c r="HMB37" s="2795"/>
      <c r="HMC37" s="2795"/>
      <c r="HMD37" s="2795"/>
      <c r="HME37" s="2795"/>
      <c r="HMF37" s="2795"/>
      <c r="HMG37" s="2795"/>
      <c r="HMH37" s="2795"/>
      <c r="HMI37" s="2795"/>
      <c r="HMJ37" s="2795"/>
      <c r="HMK37" s="2795"/>
      <c r="HML37" s="2795"/>
      <c r="HMM37" s="2795"/>
      <c r="HMN37" s="2795"/>
      <c r="HMO37" s="2795"/>
      <c r="HMP37" s="2795"/>
      <c r="HMQ37" s="2795"/>
      <c r="HMR37" s="2795"/>
      <c r="HMS37" s="2795"/>
      <c r="HMT37" s="2795"/>
      <c r="HMU37" s="2795"/>
      <c r="HMV37" s="2795"/>
      <c r="HMW37" s="2795"/>
      <c r="HMX37" s="2795"/>
      <c r="HMY37" s="2795"/>
      <c r="HMZ37" s="2795"/>
      <c r="HNA37" s="2795"/>
      <c r="HNB37" s="2795"/>
      <c r="HNC37" s="2795"/>
      <c r="HND37" s="2795"/>
      <c r="HNE37" s="2795"/>
      <c r="HNF37" s="2795"/>
      <c r="HNG37" s="2795"/>
      <c r="HNH37" s="2795"/>
      <c r="HNI37" s="2795"/>
      <c r="HNJ37" s="2795"/>
      <c r="HNK37" s="2795"/>
      <c r="HNL37" s="2795"/>
      <c r="HNM37" s="2795"/>
      <c r="HNN37" s="2795"/>
      <c r="HNO37" s="2795"/>
      <c r="HNP37" s="2795"/>
      <c r="HNQ37" s="2795"/>
      <c r="HNR37" s="2795"/>
      <c r="HNS37" s="2795"/>
      <c r="HNT37" s="2795"/>
      <c r="HNU37" s="2795"/>
      <c r="HNV37" s="2795"/>
      <c r="HNW37" s="2795"/>
      <c r="HNX37" s="2795"/>
      <c r="HNY37" s="2795"/>
      <c r="HNZ37" s="2795"/>
      <c r="HOA37" s="2795"/>
      <c r="HOB37" s="2795"/>
      <c r="HOC37" s="2795"/>
      <c r="HOD37" s="2795"/>
      <c r="HOE37" s="2795"/>
      <c r="HOF37" s="2795"/>
      <c r="HOG37" s="2795"/>
      <c r="HOH37" s="2795"/>
      <c r="HOI37" s="2795"/>
      <c r="HOJ37" s="2795"/>
      <c r="HOK37" s="2795"/>
      <c r="HOL37" s="2795"/>
      <c r="HOM37" s="2795"/>
      <c r="HON37" s="2795"/>
      <c r="HOO37" s="2795"/>
      <c r="HOP37" s="2795"/>
      <c r="HOQ37" s="2795"/>
      <c r="HOR37" s="2795"/>
      <c r="HOS37" s="2795"/>
      <c r="HOT37" s="2795"/>
      <c r="HOU37" s="2795"/>
      <c r="HOV37" s="2795"/>
      <c r="HOW37" s="2795"/>
      <c r="HOX37" s="2795"/>
      <c r="HOY37" s="2795"/>
      <c r="HOZ37" s="2795"/>
      <c r="HPA37" s="2795"/>
      <c r="HPB37" s="2795"/>
      <c r="HPC37" s="2795"/>
      <c r="HPD37" s="2795"/>
      <c r="HPE37" s="2795"/>
      <c r="HPF37" s="2795"/>
      <c r="HPG37" s="2795"/>
      <c r="HPH37" s="2795"/>
      <c r="HPI37" s="2795"/>
      <c r="HPJ37" s="2795"/>
      <c r="HPK37" s="2795"/>
      <c r="HPL37" s="2795"/>
      <c r="HPM37" s="2795"/>
      <c r="HPN37" s="2795"/>
      <c r="HPO37" s="2795"/>
      <c r="HPP37" s="2795"/>
      <c r="HPQ37" s="2795"/>
      <c r="HPR37" s="2795"/>
      <c r="HPS37" s="2795"/>
      <c r="HPT37" s="2795"/>
      <c r="HPU37" s="2795"/>
      <c r="HPV37" s="2795"/>
      <c r="HPW37" s="2795"/>
      <c r="HPX37" s="2795"/>
      <c r="HPY37" s="2795"/>
      <c r="HPZ37" s="2795"/>
      <c r="HQA37" s="2795"/>
      <c r="HQB37" s="2795"/>
      <c r="HQC37" s="2795"/>
      <c r="HQD37" s="2795"/>
      <c r="HQE37" s="2795"/>
      <c r="HQF37" s="2795"/>
      <c r="HQG37" s="2795"/>
      <c r="HQH37" s="2795"/>
      <c r="HQI37" s="2795"/>
      <c r="HQJ37" s="2795"/>
      <c r="HQK37" s="2795"/>
      <c r="HQL37" s="2795"/>
      <c r="HQM37" s="2795"/>
      <c r="HQN37" s="2795"/>
      <c r="HQO37" s="2795"/>
      <c r="HQP37" s="2795"/>
      <c r="HQQ37" s="2795"/>
      <c r="HQR37" s="2795"/>
      <c r="HQS37" s="2795"/>
      <c r="HQT37" s="2795"/>
      <c r="HQU37" s="2795"/>
      <c r="HQV37" s="2795"/>
      <c r="HQW37" s="2795"/>
      <c r="HQX37" s="2795"/>
      <c r="HQY37" s="2795"/>
      <c r="HQZ37" s="2795"/>
      <c r="HRA37" s="2795"/>
      <c r="HRB37" s="2795"/>
      <c r="HRC37" s="2795"/>
      <c r="HRD37" s="2795"/>
      <c r="HRE37" s="2795"/>
      <c r="HRF37" s="2795"/>
      <c r="HRG37" s="2795"/>
      <c r="HRH37" s="2795"/>
      <c r="HRI37" s="2795"/>
      <c r="HRJ37" s="2795"/>
      <c r="HRK37" s="2795"/>
      <c r="HRL37" s="2795"/>
      <c r="HRM37" s="2795"/>
      <c r="HRN37" s="2795"/>
      <c r="HRO37" s="2795"/>
      <c r="HRP37" s="2795"/>
      <c r="HRQ37" s="2795"/>
      <c r="HRR37" s="2795"/>
      <c r="HRS37" s="2795"/>
      <c r="HRT37" s="2795"/>
      <c r="HRU37" s="2795"/>
      <c r="HRV37" s="2795"/>
      <c r="HRW37" s="2795"/>
      <c r="HRX37" s="2795"/>
      <c r="HRY37" s="2795"/>
      <c r="HRZ37" s="2795"/>
      <c r="HSA37" s="2795"/>
      <c r="HSB37" s="2795"/>
      <c r="HSC37" s="2795"/>
      <c r="HSD37" s="2795"/>
      <c r="HSE37" s="2795"/>
      <c r="HSF37" s="2795"/>
      <c r="HSG37" s="2795"/>
      <c r="HSH37" s="2795"/>
      <c r="HSI37" s="2795"/>
      <c r="HSJ37" s="2795"/>
      <c r="HSK37" s="2795"/>
      <c r="HSL37" s="2795"/>
      <c r="HSM37" s="2795"/>
      <c r="HSN37" s="2795"/>
      <c r="HSO37" s="2795"/>
      <c r="HSP37" s="2795"/>
      <c r="HSQ37" s="2795"/>
      <c r="HSR37" s="2795"/>
      <c r="HSS37" s="2795"/>
      <c r="HST37" s="2795"/>
      <c r="HSU37" s="2795"/>
      <c r="HSV37" s="2795"/>
      <c r="HSW37" s="2795"/>
      <c r="HSX37" s="2795"/>
      <c r="HSY37" s="2795"/>
      <c r="HSZ37" s="2795"/>
      <c r="HTA37" s="2795"/>
      <c r="HTB37" s="2795"/>
      <c r="HTC37" s="2795"/>
      <c r="HTD37" s="2795"/>
      <c r="HTE37" s="2795"/>
      <c r="HTF37" s="2795"/>
      <c r="HTG37" s="2795"/>
      <c r="HTH37" s="2795"/>
      <c r="HTI37" s="2795"/>
      <c r="HTJ37" s="2795"/>
      <c r="HTK37" s="2795"/>
      <c r="HTL37" s="2795"/>
      <c r="HTM37" s="2795"/>
      <c r="HTN37" s="2795"/>
      <c r="HTO37" s="2795"/>
      <c r="HTP37" s="2795"/>
      <c r="HTQ37" s="2795"/>
      <c r="HTR37" s="2795"/>
      <c r="HTS37" s="2795"/>
      <c r="HTT37" s="2795"/>
      <c r="HTU37" s="2795"/>
      <c r="HTV37" s="2795"/>
      <c r="HTW37" s="2795"/>
      <c r="HTX37" s="2795"/>
      <c r="HTY37" s="2795"/>
      <c r="HTZ37" s="2795"/>
      <c r="HUA37" s="2795"/>
      <c r="HUB37" s="2795"/>
      <c r="HUC37" s="2795"/>
      <c r="HUD37" s="2795"/>
      <c r="HUE37" s="2795"/>
      <c r="HUF37" s="2795"/>
      <c r="HUG37" s="2795"/>
      <c r="HUH37" s="2795"/>
      <c r="HUI37" s="2795"/>
      <c r="HUJ37" s="2795"/>
      <c r="HUK37" s="2795"/>
      <c r="HUL37" s="2795"/>
      <c r="HUM37" s="2795"/>
      <c r="HUN37" s="2795"/>
      <c r="HUO37" s="2795"/>
      <c r="HUP37" s="2795"/>
      <c r="HUQ37" s="2795"/>
      <c r="HUR37" s="2795"/>
      <c r="HUS37" s="2795"/>
      <c r="HUT37" s="2795"/>
      <c r="HUU37" s="2795"/>
      <c r="HUV37" s="2795"/>
      <c r="HUW37" s="2795"/>
      <c r="HUX37" s="2795"/>
      <c r="HUY37" s="2795"/>
      <c r="HUZ37" s="2795"/>
      <c r="HVA37" s="2795"/>
      <c r="HVB37" s="2795"/>
      <c r="HVC37" s="2795"/>
      <c r="HVD37" s="2795"/>
      <c r="HVE37" s="2795"/>
      <c r="HVF37" s="2795"/>
      <c r="HVG37" s="2795"/>
      <c r="HVH37" s="2795"/>
      <c r="HVI37" s="2795"/>
      <c r="HVJ37" s="2795"/>
      <c r="HVK37" s="2795"/>
      <c r="HVL37" s="2795"/>
      <c r="HVM37" s="2795"/>
      <c r="HVN37" s="2795"/>
      <c r="HVO37" s="2795"/>
      <c r="HVP37" s="2795"/>
      <c r="HVQ37" s="2795"/>
      <c r="HVR37" s="2795"/>
      <c r="HVS37" s="2795"/>
      <c r="HVT37" s="2795"/>
      <c r="HVU37" s="2795"/>
      <c r="HVV37" s="2795"/>
      <c r="HVW37" s="2795"/>
      <c r="HVX37" s="2795"/>
      <c r="HVY37" s="2795"/>
      <c r="HVZ37" s="2795"/>
      <c r="HWA37" s="2795"/>
      <c r="HWB37" s="2795"/>
      <c r="HWC37" s="2795"/>
      <c r="HWD37" s="2795"/>
      <c r="HWE37" s="2795"/>
      <c r="HWF37" s="2795"/>
      <c r="HWG37" s="2795"/>
      <c r="HWH37" s="2795"/>
      <c r="HWI37" s="2795"/>
      <c r="HWJ37" s="2795"/>
      <c r="HWK37" s="2795"/>
      <c r="HWL37" s="2795"/>
      <c r="HWM37" s="2795"/>
      <c r="HWN37" s="2795"/>
      <c r="HWO37" s="2795"/>
      <c r="HWP37" s="2795"/>
      <c r="HWQ37" s="2795"/>
      <c r="HWR37" s="2795"/>
      <c r="HWS37" s="2795"/>
      <c r="HWT37" s="2795"/>
      <c r="HWU37" s="2795"/>
      <c r="HWV37" s="2795"/>
      <c r="HWW37" s="2795"/>
      <c r="HWX37" s="2795"/>
      <c r="HWY37" s="2795"/>
      <c r="HWZ37" s="2795"/>
      <c r="HXA37" s="2795"/>
      <c r="HXB37" s="2795"/>
      <c r="HXC37" s="2795"/>
      <c r="HXD37" s="2795"/>
      <c r="HXE37" s="2795"/>
      <c r="HXF37" s="2795"/>
      <c r="HXG37" s="2795"/>
      <c r="HXH37" s="2795"/>
      <c r="HXI37" s="2795"/>
      <c r="HXJ37" s="2795"/>
      <c r="HXK37" s="2795"/>
      <c r="HXL37" s="2795"/>
      <c r="HXM37" s="2795"/>
      <c r="HXN37" s="2795"/>
      <c r="HXO37" s="2795"/>
      <c r="HXP37" s="2795"/>
      <c r="HXQ37" s="2795"/>
      <c r="HXR37" s="2795"/>
      <c r="HXS37" s="2795"/>
      <c r="HXT37" s="2795"/>
      <c r="HXU37" s="2795"/>
      <c r="HXV37" s="2795"/>
      <c r="HXW37" s="2795"/>
      <c r="HXX37" s="2795"/>
      <c r="HXY37" s="2795"/>
      <c r="HXZ37" s="2795"/>
      <c r="HYA37" s="2795"/>
      <c r="HYB37" s="2795"/>
      <c r="HYC37" s="2795"/>
      <c r="HYD37" s="2795"/>
      <c r="HYE37" s="2795"/>
      <c r="HYF37" s="2795"/>
      <c r="HYG37" s="2795"/>
      <c r="HYH37" s="2795"/>
      <c r="HYI37" s="2795"/>
      <c r="HYJ37" s="2795"/>
      <c r="HYK37" s="2795"/>
      <c r="HYL37" s="2795"/>
      <c r="HYM37" s="2795"/>
      <c r="HYN37" s="2795"/>
      <c r="HYO37" s="2795"/>
      <c r="HYP37" s="2795"/>
      <c r="HYQ37" s="2795"/>
      <c r="HYR37" s="2795"/>
      <c r="HYS37" s="2795"/>
      <c r="HYT37" s="2795"/>
      <c r="HYU37" s="2795"/>
      <c r="HYV37" s="2795"/>
      <c r="HYW37" s="2795"/>
      <c r="HYX37" s="2795"/>
      <c r="HYY37" s="2795"/>
      <c r="HYZ37" s="2795"/>
      <c r="HZA37" s="2795"/>
      <c r="HZB37" s="2795"/>
      <c r="HZC37" s="2795"/>
      <c r="HZD37" s="2795"/>
      <c r="HZE37" s="2795"/>
      <c r="HZF37" s="2795"/>
      <c r="HZG37" s="2795"/>
      <c r="HZH37" s="2795"/>
      <c r="HZI37" s="2795"/>
      <c r="HZJ37" s="2795"/>
      <c r="HZK37" s="2795"/>
      <c r="HZL37" s="2795"/>
      <c r="HZM37" s="2795"/>
      <c r="HZN37" s="2795"/>
      <c r="HZO37" s="2795"/>
      <c r="HZP37" s="2795"/>
      <c r="HZQ37" s="2795"/>
      <c r="HZR37" s="2795"/>
      <c r="HZS37" s="2795"/>
      <c r="HZT37" s="2795"/>
      <c r="HZU37" s="2795"/>
      <c r="HZV37" s="2795"/>
      <c r="HZW37" s="2795"/>
      <c r="HZX37" s="2795"/>
      <c r="HZY37" s="2795"/>
      <c r="HZZ37" s="2795"/>
      <c r="IAA37" s="2795"/>
      <c r="IAB37" s="2795"/>
      <c r="IAC37" s="2795"/>
      <c r="IAD37" s="2795"/>
      <c r="IAE37" s="2795"/>
      <c r="IAF37" s="2795"/>
      <c r="IAG37" s="2795"/>
      <c r="IAH37" s="2795"/>
      <c r="IAI37" s="2795"/>
      <c r="IAJ37" s="2795"/>
      <c r="IAK37" s="2795"/>
      <c r="IAL37" s="2795"/>
      <c r="IAM37" s="2795"/>
      <c r="IAN37" s="2795"/>
      <c r="IAO37" s="2795"/>
      <c r="IAP37" s="2795"/>
      <c r="IAQ37" s="2795"/>
      <c r="IAR37" s="2795"/>
      <c r="IAS37" s="2795"/>
      <c r="IAT37" s="2795"/>
      <c r="IAU37" s="2795"/>
      <c r="IAV37" s="2795"/>
      <c r="IAW37" s="2795"/>
      <c r="IAX37" s="2795"/>
      <c r="IAY37" s="2795"/>
      <c r="IAZ37" s="2795"/>
      <c r="IBA37" s="2795"/>
      <c r="IBB37" s="2795"/>
      <c r="IBC37" s="2795"/>
      <c r="IBD37" s="2795"/>
      <c r="IBE37" s="2795"/>
      <c r="IBF37" s="2795"/>
      <c r="IBG37" s="2795"/>
      <c r="IBH37" s="2795"/>
      <c r="IBI37" s="2795"/>
      <c r="IBJ37" s="2795"/>
      <c r="IBK37" s="2795"/>
      <c r="IBL37" s="2795"/>
      <c r="IBM37" s="2795"/>
      <c r="IBN37" s="2795"/>
      <c r="IBO37" s="2795"/>
      <c r="IBP37" s="2795"/>
      <c r="IBQ37" s="2795"/>
      <c r="IBR37" s="2795"/>
      <c r="IBS37" s="2795"/>
      <c r="IBT37" s="2795"/>
      <c r="IBU37" s="2795"/>
      <c r="IBV37" s="2795"/>
      <c r="IBW37" s="2795"/>
      <c r="IBX37" s="2795"/>
      <c r="IBY37" s="2795"/>
      <c r="IBZ37" s="2795"/>
      <c r="ICA37" s="2795"/>
      <c r="ICB37" s="2795"/>
      <c r="ICC37" s="2795"/>
      <c r="ICD37" s="2795"/>
      <c r="ICE37" s="2795"/>
      <c r="ICF37" s="2795"/>
      <c r="ICG37" s="2795"/>
      <c r="ICH37" s="2795"/>
      <c r="ICI37" s="2795"/>
      <c r="ICJ37" s="2795"/>
      <c r="ICK37" s="2795"/>
      <c r="ICL37" s="2795"/>
      <c r="ICM37" s="2795"/>
      <c r="ICN37" s="2795"/>
      <c r="ICO37" s="2795"/>
      <c r="ICP37" s="2795"/>
      <c r="ICQ37" s="2795"/>
      <c r="ICR37" s="2795"/>
      <c r="ICS37" s="2795"/>
      <c r="ICT37" s="2795"/>
      <c r="ICU37" s="2795"/>
      <c r="ICV37" s="2795"/>
      <c r="ICW37" s="2795"/>
      <c r="ICX37" s="2795"/>
      <c r="ICY37" s="2795"/>
      <c r="ICZ37" s="2795"/>
      <c r="IDA37" s="2795"/>
      <c r="IDB37" s="2795"/>
      <c r="IDC37" s="2795"/>
      <c r="IDD37" s="2795"/>
      <c r="IDE37" s="2795"/>
      <c r="IDF37" s="2795"/>
      <c r="IDG37" s="2795"/>
      <c r="IDH37" s="2795"/>
      <c r="IDI37" s="2795"/>
      <c r="IDJ37" s="2795"/>
      <c r="IDK37" s="2795"/>
      <c r="IDL37" s="2795"/>
      <c r="IDM37" s="2795"/>
      <c r="IDN37" s="2795"/>
      <c r="IDO37" s="2795"/>
      <c r="IDP37" s="2795"/>
      <c r="IDQ37" s="2795"/>
      <c r="IDR37" s="2795"/>
      <c r="IDS37" s="2795"/>
      <c r="IDT37" s="2795"/>
      <c r="IDU37" s="2795"/>
      <c r="IDV37" s="2795"/>
      <c r="IDW37" s="2795"/>
      <c r="IDX37" s="2795"/>
      <c r="IDY37" s="2795"/>
      <c r="IDZ37" s="2795"/>
      <c r="IEA37" s="2795"/>
      <c r="IEB37" s="2795"/>
      <c r="IEC37" s="2795"/>
      <c r="IED37" s="2795"/>
      <c r="IEE37" s="2795"/>
      <c r="IEF37" s="2795"/>
      <c r="IEG37" s="2795"/>
      <c r="IEH37" s="2795"/>
      <c r="IEI37" s="2795"/>
      <c r="IEJ37" s="2795"/>
      <c r="IEK37" s="2795"/>
      <c r="IEL37" s="2795"/>
      <c r="IEM37" s="2795"/>
      <c r="IEN37" s="2795"/>
      <c r="IEO37" s="2795"/>
      <c r="IEP37" s="2795"/>
      <c r="IEQ37" s="2795"/>
      <c r="IER37" s="2795"/>
      <c r="IES37" s="2795"/>
      <c r="IET37" s="2795"/>
      <c r="IEU37" s="2795"/>
      <c r="IEV37" s="2795"/>
      <c r="IEW37" s="2795"/>
      <c r="IEX37" s="2795"/>
      <c r="IEY37" s="2795"/>
      <c r="IEZ37" s="2795"/>
      <c r="IFA37" s="2795"/>
      <c r="IFB37" s="2795"/>
      <c r="IFC37" s="2795"/>
      <c r="IFD37" s="2795"/>
      <c r="IFE37" s="2795"/>
      <c r="IFF37" s="2795"/>
      <c r="IFG37" s="2795"/>
      <c r="IFH37" s="2795"/>
      <c r="IFI37" s="2795"/>
      <c r="IFJ37" s="2795"/>
      <c r="IFK37" s="2795"/>
      <c r="IFL37" s="2795"/>
      <c r="IFM37" s="2795"/>
      <c r="IFN37" s="2795"/>
      <c r="IFO37" s="2795"/>
      <c r="IFP37" s="2795"/>
      <c r="IFQ37" s="2795"/>
      <c r="IFR37" s="2795"/>
      <c r="IFS37" s="2795"/>
      <c r="IFT37" s="2795"/>
      <c r="IFU37" s="2795"/>
      <c r="IFV37" s="2795"/>
      <c r="IFW37" s="2795"/>
      <c r="IFX37" s="2795"/>
      <c r="IFY37" s="2795"/>
      <c r="IFZ37" s="2795"/>
      <c r="IGA37" s="2795"/>
      <c r="IGB37" s="2795"/>
      <c r="IGC37" s="2795"/>
      <c r="IGD37" s="2795"/>
      <c r="IGE37" s="2795"/>
      <c r="IGF37" s="2795"/>
      <c r="IGG37" s="2795"/>
      <c r="IGH37" s="2795"/>
      <c r="IGI37" s="2795"/>
      <c r="IGJ37" s="2795"/>
      <c r="IGK37" s="2795"/>
      <c r="IGL37" s="2795"/>
      <c r="IGM37" s="2795"/>
      <c r="IGN37" s="2795"/>
      <c r="IGO37" s="2795"/>
      <c r="IGP37" s="2795"/>
      <c r="IGQ37" s="2795"/>
      <c r="IGR37" s="2795"/>
      <c r="IGS37" s="2795"/>
      <c r="IGT37" s="2795"/>
      <c r="IGU37" s="2795"/>
      <c r="IGV37" s="2795"/>
      <c r="IGW37" s="2795"/>
      <c r="IGX37" s="2795"/>
      <c r="IGY37" s="2795"/>
      <c r="IGZ37" s="2795"/>
      <c r="IHA37" s="2795"/>
      <c r="IHB37" s="2795"/>
      <c r="IHC37" s="2795"/>
      <c r="IHD37" s="2795"/>
      <c r="IHE37" s="2795"/>
      <c r="IHF37" s="2795"/>
      <c r="IHG37" s="2795"/>
      <c r="IHH37" s="2795"/>
      <c r="IHI37" s="2795"/>
      <c r="IHJ37" s="2795"/>
      <c r="IHK37" s="2795"/>
      <c r="IHL37" s="2795"/>
      <c r="IHM37" s="2795"/>
      <c r="IHN37" s="2795"/>
      <c r="IHO37" s="2795"/>
      <c r="IHP37" s="2795"/>
      <c r="IHQ37" s="2795"/>
      <c r="IHR37" s="2795"/>
      <c r="IHS37" s="2795"/>
      <c r="IHT37" s="2795"/>
      <c r="IHU37" s="2795"/>
      <c r="IHV37" s="2795"/>
      <c r="IHW37" s="2795"/>
      <c r="IHX37" s="2795"/>
      <c r="IHY37" s="2795"/>
      <c r="IHZ37" s="2795"/>
      <c r="IIA37" s="2795"/>
      <c r="IIB37" s="2795"/>
      <c r="IIC37" s="2795"/>
      <c r="IID37" s="2795"/>
      <c r="IIE37" s="2795"/>
      <c r="IIF37" s="2795"/>
      <c r="IIG37" s="2795"/>
      <c r="IIH37" s="2795"/>
      <c r="III37" s="2795"/>
      <c r="IIJ37" s="2795"/>
      <c r="IIK37" s="2795"/>
      <c r="IIL37" s="2795"/>
      <c r="IIM37" s="2795"/>
      <c r="IIN37" s="2795"/>
      <c r="IIO37" s="2795"/>
      <c r="IIP37" s="2795"/>
      <c r="IIQ37" s="2795"/>
      <c r="IIR37" s="2795"/>
      <c r="IIS37" s="2795"/>
      <c r="IIT37" s="2795"/>
      <c r="IIU37" s="2795"/>
      <c r="IIV37" s="2795"/>
      <c r="IIW37" s="2795"/>
      <c r="IIX37" s="2795"/>
      <c r="IIY37" s="2795"/>
      <c r="IIZ37" s="2795"/>
      <c r="IJA37" s="2795"/>
      <c r="IJB37" s="2795"/>
      <c r="IJC37" s="2795"/>
      <c r="IJD37" s="2795"/>
      <c r="IJE37" s="2795"/>
      <c r="IJF37" s="2795"/>
      <c r="IJG37" s="2795"/>
      <c r="IJH37" s="2795"/>
      <c r="IJI37" s="2795"/>
      <c r="IJJ37" s="2795"/>
      <c r="IJK37" s="2795"/>
      <c r="IJL37" s="2795"/>
      <c r="IJM37" s="2795"/>
      <c r="IJN37" s="2795"/>
      <c r="IJO37" s="2795"/>
      <c r="IJP37" s="2795"/>
      <c r="IJQ37" s="2795"/>
      <c r="IJR37" s="2795"/>
      <c r="IJS37" s="2795"/>
      <c r="IJT37" s="2795"/>
      <c r="IJU37" s="2795"/>
      <c r="IJV37" s="2795"/>
      <c r="IJW37" s="2795"/>
      <c r="IJX37" s="2795"/>
      <c r="IJY37" s="2795"/>
      <c r="IJZ37" s="2795"/>
      <c r="IKA37" s="2795"/>
      <c r="IKB37" s="2795"/>
      <c r="IKC37" s="2795"/>
      <c r="IKD37" s="2795"/>
      <c r="IKE37" s="2795"/>
      <c r="IKF37" s="2795"/>
      <c r="IKG37" s="2795"/>
      <c r="IKH37" s="2795"/>
      <c r="IKI37" s="2795"/>
      <c r="IKJ37" s="2795"/>
      <c r="IKK37" s="2795"/>
      <c r="IKL37" s="2795"/>
      <c r="IKM37" s="2795"/>
      <c r="IKN37" s="2795"/>
      <c r="IKO37" s="2795"/>
      <c r="IKP37" s="2795"/>
      <c r="IKQ37" s="2795"/>
      <c r="IKR37" s="2795"/>
      <c r="IKS37" s="2795"/>
      <c r="IKT37" s="2795"/>
      <c r="IKU37" s="2795"/>
      <c r="IKV37" s="2795"/>
      <c r="IKW37" s="2795"/>
      <c r="IKX37" s="2795"/>
      <c r="IKY37" s="2795"/>
      <c r="IKZ37" s="2795"/>
      <c r="ILA37" s="2795"/>
      <c r="ILB37" s="2795"/>
      <c r="ILC37" s="2795"/>
      <c r="ILD37" s="2795"/>
      <c r="ILE37" s="2795"/>
      <c r="ILF37" s="2795"/>
      <c r="ILG37" s="2795"/>
      <c r="ILH37" s="2795"/>
      <c r="ILI37" s="2795"/>
      <c r="ILJ37" s="2795"/>
      <c r="ILK37" s="2795"/>
      <c r="ILL37" s="2795"/>
      <c r="ILM37" s="2795"/>
      <c r="ILN37" s="2795"/>
      <c r="ILO37" s="2795"/>
      <c r="ILP37" s="2795"/>
      <c r="ILQ37" s="2795"/>
      <c r="ILR37" s="2795"/>
      <c r="ILS37" s="2795"/>
      <c r="ILT37" s="2795"/>
      <c r="ILU37" s="2795"/>
      <c r="ILV37" s="2795"/>
      <c r="ILW37" s="2795"/>
      <c r="ILX37" s="2795"/>
      <c r="ILY37" s="2795"/>
      <c r="ILZ37" s="2795"/>
      <c r="IMA37" s="2795"/>
      <c r="IMB37" s="2795"/>
      <c r="IMC37" s="2795"/>
      <c r="IMD37" s="2795"/>
      <c r="IME37" s="2795"/>
      <c r="IMF37" s="2795"/>
      <c r="IMG37" s="2795"/>
      <c r="IMH37" s="2795"/>
      <c r="IMI37" s="2795"/>
      <c r="IMJ37" s="2795"/>
      <c r="IMK37" s="2795"/>
      <c r="IML37" s="2795"/>
      <c r="IMM37" s="2795"/>
      <c r="IMN37" s="2795"/>
      <c r="IMO37" s="2795"/>
      <c r="IMP37" s="2795"/>
      <c r="IMQ37" s="2795"/>
      <c r="IMR37" s="2795"/>
      <c r="IMS37" s="2795"/>
      <c r="IMT37" s="2795"/>
      <c r="IMU37" s="2795"/>
      <c r="IMV37" s="2795"/>
      <c r="IMW37" s="2795"/>
      <c r="IMX37" s="2795"/>
      <c r="IMY37" s="2795"/>
      <c r="IMZ37" s="2795"/>
      <c r="INA37" s="2795"/>
      <c r="INB37" s="2795"/>
      <c r="INC37" s="2795"/>
      <c r="IND37" s="2795"/>
      <c r="INE37" s="2795"/>
      <c r="INF37" s="2795"/>
      <c r="ING37" s="2795"/>
      <c r="INH37" s="2795"/>
      <c r="INI37" s="2795"/>
      <c r="INJ37" s="2795"/>
      <c r="INK37" s="2795"/>
      <c r="INL37" s="2795"/>
      <c r="INM37" s="2795"/>
      <c r="INN37" s="2795"/>
      <c r="INO37" s="2795"/>
      <c r="INP37" s="2795"/>
      <c r="INQ37" s="2795"/>
      <c r="INR37" s="2795"/>
      <c r="INS37" s="2795"/>
      <c r="INT37" s="2795"/>
      <c r="INU37" s="2795"/>
      <c r="INV37" s="2795"/>
      <c r="INW37" s="2795"/>
      <c r="INX37" s="2795"/>
      <c r="INY37" s="2795"/>
      <c r="INZ37" s="2795"/>
      <c r="IOA37" s="2795"/>
      <c r="IOB37" s="2795"/>
      <c r="IOC37" s="2795"/>
      <c r="IOD37" s="2795"/>
      <c r="IOE37" s="2795"/>
      <c r="IOF37" s="2795"/>
      <c r="IOG37" s="2795"/>
      <c r="IOH37" s="2795"/>
      <c r="IOI37" s="2795"/>
      <c r="IOJ37" s="2795"/>
      <c r="IOK37" s="2795"/>
      <c r="IOL37" s="2795"/>
      <c r="IOM37" s="2795"/>
      <c r="ION37" s="2795"/>
      <c r="IOO37" s="2795"/>
      <c r="IOP37" s="2795"/>
      <c r="IOQ37" s="2795"/>
      <c r="IOR37" s="2795"/>
      <c r="IOS37" s="2795"/>
      <c r="IOT37" s="2795"/>
      <c r="IOU37" s="2795"/>
      <c r="IOV37" s="2795"/>
      <c r="IOW37" s="2795"/>
      <c r="IOX37" s="2795"/>
      <c r="IOY37" s="2795"/>
      <c r="IOZ37" s="2795"/>
      <c r="IPA37" s="2795"/>
      <c r="IPB37" s="2795"/>
      <c r="IPC37" s="2795"/>
      <c r="IPD37" s="2795"/>
      <c r="IPE37" s="2795"/>
      <c r="IPF37" s="2795"/>
      <c r="IPG37" s="2795"/>
      <c r="IPH37" s="2795"/>
      <c r="IPI37" s="2795"/>
      <c r="IPJ37" s="2795"/>
      <c r="IPK37" s="2795"/>
      <c r="IPL37" s="2795"/>
      <c r="IPM37" s="2795"/>
      <c r="IPN37" s="2795"/>
      <c r="IPO37" s="2795"/>
      <c r="IPP37" s="2795"/>
      <c r="IPQ37" s="2795"/>
      <c r="IPR37" s="2795"/>
      <c r="IPS37" s="2795"/>
      <c r="IPT37" s="2795"/>
      <c r="IPU37" s="2795"/>
      <c r="IPV37" s="2795"/>
      <c r="IPW37" s="2795"/>
      <c r="IPX37" s="2795"/>
      <c r="IPY37" s="2795"/>
      <c r="IPZ37" s="2795"/>
      <c r="IQA37" s="2795"/>
      <c r="IQB37" s="2795"/>
      <c r="IQC37" s="2795"/>
      <c r="IQD37" s="2795"/>
      <c r="IQE37" s="2795"/>
      <c r="IQF37" s="2795"/>
      <c r="IQG37" s="2795"/>
      <c r="IQH37" s="2795"/>
      <c r="IQI37" s="2795"/>
      <c r="IQJ37" s="2795"/>
      <c r="IQK37" s="2795"/>
      <c r="IQL37" s="2795"/>
      <c r="IQM37" s="2795"/>
      <c r="IQN37" s="2795"/>
      <c r="IQO37" s="2795"/>
      <c r="IQP37" s="2795"/>
      <c r="IQQ37" s="2795"/>
      <c r="IQR37" s="2795"/>
      <c r="IQS37" s="2795"/>
      <c r="IQT37" s="2795"/>
      <c r="IQU37" s="2795"/>
      <c r="IQV37" s="2795"/>
      <c r="IQW37" s="2795"/>
      <c r="IQX37" s="2795"/>
      <c r="IQY37" s="2795"/>
      <c r="IQZ37" s="2795"/>
      <c r="IRA37" s="2795"/>
      <c r="IRB37" s="2795"/>
      <c r="IRC37" s="2795"/>
      <c r="IRD37" s="2795"/>
      <c r="IRE37" s="2795"/>
      <c r="IRF37" s="2795"/>
      <c r="IRG37" s="2795"/>
      <c r="IRH37" s="2795"/>
      <c r="IRI37" s="2795"/>
      <c r="IRJ37" s="2795"/>
      <c r="IRK37" s="2795"/>
      <c r="IRL37" s="2795"/>
      <c r="IRM37" s="2795"/>
      <c r="IRN37" s="2795"/>
      <c r="IRO37" s="2795"/>
      <c r="IRP37" s="2795"/>
      <c r="IRQ37" s="2795"/>
      <c r="IRR37" s="2795"/>
      <c r="IRS37" s="2795"/>
      <c r="IRT37" s="2795"/>
      <c r="IRU37" s="2795"/>
      <c r="IRV37" s="2795"/>
      <c r="IRW37" s="2795"/>
      <c r="IRX37" s="2795"/>
      <c r="IRY37" s="2795"/>
      <c r="IRZ37" s="2795"/>
      <c r="ISA37" s="2795"/>
      <c r="ISB37" s="2795"/>
      <c r="ISC37" s="2795"/>
      <c r="ISD37" s="2795"/>
      <c r="ISE37" s="2795"/>
      <c r="ISF37" s="2795"/>
      <c r="ISG37" s="2795"/>
      <c r="ISH37" s="2795"/>
      <c r="ISI37" s="2795"/>
      <c r="ISJ37" s="2795"/>
      <c r="ISK37" s="2795"/>
      <c r="ISL37" s="2795"/>
      <c r="ISM37" s="2795"/>
      <c r="ISN37" s="2795"/>
      <c r="ISO37" s="2795"/>
      <c r="ISP37" s="2795"/>
      <c r="ISQ37" s="2795"/>
      <c r="ISR37" s="2795"/>
      <c r="ISS37" s="2795"/>
      <c r="IST37" s="2795"/>
      <c r="ISU37" s="2795"/>
      <c r="ISV37" s="2795"/>
      <c r="ISW37" s="2795"/>
      <c r="ISX37" s="2795"/>
      <c r="ISY37" s="2795"/>
      <c r="ISZ37" s="2795"/>
      <c r="ITA37" s="2795"/>
      <c r="ITB37" s="2795"/>
      <c r="ITC37" s="2795"/>
      <c r="ITD37" s="2795"/>
      <c r="ITE37" s="2795"/>
      <c r="ITF37" s="2795"/>
      <c r="ITG37" s="2795"/>
      <c r="ITH37" s="2795"/>
      <c r="ITI37" s="2795"/>
      <c r="ITJ37" s="2795"/>
      <c r="ITK37" s="2795"/>
      <c r="ITL37" s="2795"/>
      <c r="ITM37" s="2795"/>
      <c r="ITN37" s="2795"/>
      <c r="ITO37" s="2795"/>
      <c r="ITP37" s="2795"/>
      <c r="ITQ37" s="2795"/>
      <c r="ITR37" s="2795"/>
      <c r="ITS37" s="2795"/>
      <c r="ITT37" s="2795"/>
      <c r="ITU37" s="2795"/>
      <c r="ITV37" s="2795"/>
      <c r="ITW37" s="2795"/>
      <c r="ITX37" s="2795"/>
      <c r="ITY37" s="2795"/>
      <c r="ITZ37" s="2795"/>
      <c r="IUA37" s="2795"/>
      <c r="IUB37" s="2795"/>
      <c r="IUC37" s="2795"/>
      <c r="IUD37" s="2795"/>
      <c r="IUE37" s="2795"/>
      <c r="IUF37" s="2795"/>
      <c r="IUG37" s="2795"/>
      <c r="IUH37" s="2795"/>
      <c r="IUI37" s="2795"/>
      <c r="IUJ37" s="2795"/>
      <c r="IUK37" s="2795"/>
      <c r="IUL37" s="2795"/>
      <c r="IUM37" s="2795"/>
      <c r="IUN37" s="2795"/>
      <c r="IUO37" s="2795"/>
      <c r="IUP37" s="2795"/>
      <c r="IUQ37" s="2795"/>
      <c r="IUR37" s="2795"/>
      <c r="IUS37" s="2795"/>
      <c r="IUT37" s="2795"/>
      <c r="IUU37" s="2795"/>
      <c r="IUV37" s="2795"/>
      <c r="IUW37" s="2795"/>
      <c r="IUX37" s="2795"/>
      <c r="IUY37" s="2795"/>
      <c r="IUZ37" s="2795"/>
      <c r="IVA37" s="2795"/>
      <c r="IVB37" s="2795"/>
      <c r="IVC37" s="2795"/>
      <c r="IVD37" s="2795"/>
      <c r="IVE37" s="2795"/>
      <c r="IVF37" s="2795"/>
      <c r="IVG37" s="2795"/>
      <c r="IVH37" s="2795"/>
      <c r="IVI37" s="2795"/>
      <c r="IVJ37" s="2795"/>
      <c r="IVK37" s="2795"/>
      <c r="IVL37" s="2795"/>
      <c r="IVM37" s="2795"/>
      <c r="IVN37" s="2795"/>
      <c r="IVO37" s="2795"/>
      <c r="IVP37" s="2795"/>
      <c r="IVQ37" s="2795"/>
      <c r="IVR37" s="2795"/>
      <c r="IVS37" s="2795"/>
      <c r="IVT37" s="2795"/>
      <c r="IVU37" s="2795"/>
      <c r="IVV37" s="2795"/>
      <c r="IVW37" s="2795"/>
      <c r="IVX37" s="2795"/>
      <c r="IVY37" s="2795"/>
      <c r="IVZ37" s="2795"/>
      <c r="IWA37" s="2795"/>
      <c r="IWB37" s="2795"/>
      <c r="IWC37" s="2795"/>
      <c r="IWD37" s="2795"/>
      <c r="IWE37" s="2795"/>
      <c r="IWF37" s="2795"/>
      <c r="IWG37" s="2795"/>
      <c r="IWH37" s="2795"/>
      <c r="IWI37" s="2795"/>
      <c r="IWJ37" s="2795"/>
      <c r="IWK37" s="2795"/>
      <c r="IWL37" s="2795"/>
      <c r="IWM37" s="2795"/>
      <c r="IWN37" s="2795"/>
      <c r="IWO37" s="2795"/>
      <c r="IWP37" s="2795"/>
      <c r="IWQ37" s="2795"/>
      <c r="IWR37" s="2795"/>
      <c r="IWS37" s="2795"/>
      <c r="IWT37" s="2795"/>
      <c r="IWU37" s="2795"/>
      <c r="IWV37" s="2795"/>
      <c r="IWW37" s="2795"/>
      <c r="IWX37" s="2795"/>
      <c r="IWY37" s="2795"/>
      <c r="IWZ37" s="2795"/>
      <c r="IXA37" s="2795"/>
      <c r="IXB37" s="2795"/>
      <c r="IXC37" s="2795"/>
      <c r="IXD37" s="2795"/>
      <c r="IXE37" s="2795"/>
      <c r="IXF37" s="2795"/>
      <c r="IXG37" s="2795"/>
      <c r="IXH37" s="2795"/>
      <c r="IXI37" s="2795"/>
      <c r="IXJ37" s="2795"/>
      <c r="IXK37" s="2795"/>
      <c r="IXL37" s="2795"/>
      <c r="IXM37" s="2795"/>
      <c r="IXN37" s="2795"/>
      <c r="IXO37" s="2795"/>
      <c r="IXP37" s="2795"/>
      <c r="IXQ37" s="2795"/>
      <c r="IXR37" s="2795"/>
      <c r="IXS37" s="2795"/>
      <c r="IXT37" s="2795"/>
      <c r="IXU37" s="2795"/>
      <c r="IXV37" s="2795"/>
      <c r="IXW37" s="2795"/>
      <c r="IXX37" s="2795"/>
      <c r="IXY37" s="2795"/>
      <c r="IXZ37" s="2795"/>
      <c r="IYA37" s="2795"/>
      <c r="IYB37" s="2795"/>
      <c r="IYC37" s="2795"/>
      <c r="IYD37" s="2795"/>
      <c r="IYE37" s="2795"/>
      <c r="IYF37" s="2795"/>
      <c r="IYG37" s="2795"/>
      <c r="IYH37" s="2795"/>
      <c r="IYI37" s="2795"/>
      <c r="IYJ37" s="2795"/>
      <c r="IYK37" s="2795"/>
      <c r="IYL37" s="2795"/>
      <c r="IYM37" s="2795"/>
      <c r="IYN37" s="2795"/>
      <c r="IYO37" s="2795"/>
      <c r="IYP37" s="2795"/>
      <c r="IYQ37" s="2795"/>
      <c r="IYR37" s="2795"/>
      <c r="IYS37" s="2795"/>
      <c r="IYT37" s="2795"/>
      <c r="IYU37" s="2795"/>
      <c r="IYV37" s="2795"/>
      <c r="IYW37" s="2795"/>
      <c r="IYX37" s="2795"/>
      <c r="IYY37" s="2795"/>
      <c r="IYZ37" s="2795"/>
      <c r="IZA37" s="2795"/>
      <c r="IZB37" s="2795"/>
      <c r="IZC37" s="2795"/>
      <c r="IZD37" s="2795"/>
      <c r="IZE37" s="2795"/>
      <c r="IZF37" s="2795"/>
      <c r="IZG37" s="2795"/>
      <c r="IZH37" s="2795"/>
      <c r="IZI37" s="2795"/>
      <c r="IZJ37" s="2795"/>
      <c r="IZK37" s="2795"/>
      <c r="IZL37" s="2795"/>
      <c r="IZM37" s="2795"/>
      <c r="IZN37" s="2795"/>
      <c r="IZO37" s="2795"/>
      <c r="IZP37" s="2795"/>
      <c r="IZQ37" s="2795"/>
      <c r="IZR37" s="2795"/>
      <c r="IZS37" s="2795"/>
      <c r="IZT37" s="2795"/>
      <c r="IZU37" s="2795"/>
      <c r="IZV37" s="2795"/>
      <c r="IZW37" s="2795"/>
      <c r="IZX37" s="2795"/>
      <c r="IZY37" s="2795"/>
      <c r="IZZ37" s="2795"/>
      <c r="JAA37" s="2795"/>
      <c r="JAB37" s="2795"/>
      <c r="JAC37" s="2795"/>
      <c r="JAD37" s="2795"/>
      <c r="JAE37" s="2795"/>
      <c r="JAF37" s="2795"/>
      <c r="JAG37" s="2795"/>
      <c r="JAH37" s="2795"/>
      <c r="JAI37" s="2795"/>
      <c r="JAJ37" s="2795"/>
      <c r="JAK37" s="2795"/>
      <c r="JAL37" s="2795"/>
      <c r="JAM37" s="2795"/>
      <c r="JAN37" s="2795"/>
      <c r="JAO37" s="2795"/>
      <c r="JAP37" s="2795"/>
      <c r="JAQ37" s="2795"/>
      <c r="JAR37" s="2795"/>
      <c r="JAS37" s="2795"/>
      <c r="JAT37" s="2795"/>
      <c r="JAU37" s="2795"/>
      <c r="JAV37" s="2795"/>
      <c r="JAW37" s="2795"/>
      <c r="JAX37" s="2795"/>
      <c r="JAY37" s="2795"/>
      <c r="JAZ37" s="2795"/>
      <c r="JBA37" s="2795"/>
      <c r="JBB37" s="2795"/>
      <c r="JBC37" s="2795"/>
      <c r="JBD37" s="2795"/>
      <c r="JBE37" s="2795"/>
      <c r="JBF37" s="2795"/>
      <c r="JBG37" s="2795"/>
      <c r="JBH37" s="2795"/>
      <c r="JBI37" s="2795"/>
      <c r="JBJ37" s="2795"/>
      <c r="JBK37" s="2795"/>
      <c r="JBL37" s="2795"/>
      <c r="JBM37" s="2795"/>
      <c r="JBN37" s="2795"/>
      <c r="JBO37" s="2795"/>
      <c r="JBP37" s="2795"/>
      <c r="JBQ37" s="2795"/>
      <c r="JBR37" s="2795"/>
      <c r="JBS37" s="2795"/>
      <c r="JBT37" s="2795"/>
      <c r="JBU37" s="2795"/>
      <c r="JBV37" s="2795"/>
      <c r="JBW37" s="2795"/>
      <c r="JBX37" s="2795"/>
      <c r="JBY37" s="2795"/>
      <c r="JBZ37" s="2795"/>
      <c r="JCA37" s="2795"/>
      <c r="JCB37" s="2795"/>
      <c r="JCC37" s="2795"/>
      <c r="JCD37" s="2795"/>
      <c r="JCE37" s="2795"/>
      <c r="JCF37" s="2795"/>
      <c r="JCG37" s="2795"/>
      <c r="JCH37" s="2795"/>
      <c r="JCI37" s="2795"/>
      <c r="JCJ37" s="2795"/>
      <c r="JCK37" s="2795"/>
      <c r="JCL37" s="2795"/>
      <c r="JCM37" s="2795"/>
      <c r="JCN37" s="2795"/>
      <c r="JCO37" s="2795"/>
      <c r="JCP37" s="2795"/>
      <c r="JCQ37" s="2795"/>
      <c r="JCR37" s="2795"/>
      <c r="JCS37" s="2795"/>
      <c r="JCT37" s="2795"/>
      <c r="JCU37" s="2795"/>
      <c r="JCV37" s="2795"/>
      <c r="JCW37" s="2795"/>
      <c r="JCX37" s="2795"/>
      <c r="JCY37" s="2795"/>
      <c r="JCZ37" s="2795"/>
      <c r="JDA37" s="2795"/>
      <c r="JDB37" s="2795"/>
      <c r="JDC37" s="2795"/>
      <c r="JDD37" s="2795"/>
      <c r="JDE37" s="2795"/>
      <c r="JDF37" s="2795"/>
      <c r="JDG37" s="2795"/>
      <c r="JDH37" s="2795"/>
      <c r="JDI37" s="2795"/>
      <c r="JDJ37" s="2795"/>
      <c r="JDK37" s="2795"/>
      <c r="JDL37" s="2795"/>
      <c r="JDM37" s="2795"/>
      <c r="JDN37" s="2795"/>
      <c r="JDO37" s="2795"/>
      <c r="JDP37" s="2795"/>
      <c r="JDQ37" s="2795"/>
      <c r="JDR37" s="2795"/>
      <c r="JDS37" s="2795"/>
      <c r="JDT37" s="2795"/>
      <c r="JDU37" s="2795"/>
      <c r="JDV37" s="2795"/>
      <c r="JDW37" s="2795"/>
      <c r="JDX37" s="2795"/>
      <c r="JDY37" s="2795"/>
      <c r="JDZ37" s="2795"/>
      <c r="JEA37" s="2795"/>
      <c r="JEB37" s="2795"/>
      <c r="JEC37" s="2795"/>
      <c r="JED37" s="2795"/>
      <c r="JEE37" s="2795"/>
      <c r="JEF37" s="2795"/>
      <c r="JEG37" s="2795"/>
      <c r="JEH37" s="2795"/>
      <c r="JEI37" s="2795"/>
      <c r="JEJ37" s="2795"/>
      <c r="JEK37" s="2795"/>
      <c r="JEL37" s="2795"/>
      <c r="JEM37" s="2795"/>
      <c r="JEN37" s="2795"/>
      <c r="JEO37" s="2795"/>
      <c r="JEP37" s="2795"/>
      <c r="JEQ37" s="2795"/>
      <c r="JER37" s="2795"/>
      <c r="JES37" s="2795"/>
      <c r="JET37" s="2795"/>
      <c r="JEU37" s="2795"/>
      <c r="JEV37" s="2795"/>
      <c r="JEW37" s="2795"/>
      <c r="JEX37" s="2795"/>
      <c r="JEY37" s="2795"/>
      <c r="JEZ37" s="2795"/>
      <c r="JFA37" s="2795"/>
      <c r="JFB37" s="2795"/>
      <c r="JFC37" s="2795"/>
      <c r="JFD37" s="2795"/>
      <c r="JFE37" s="2795"/>
      <c r="JFF37" s="2795"/>
      <c r="JFG37" s="2795"/>
      <c r="JFH37" s="2795"/>
      <c r="JFI37" s="2795"/>
      <c r="JFJ37" s="2795"/>
      <c r="JFK37" s="2795"/>
      <c r="JFL37" s="2795"/>
      <c r="JFM37" s="2795"/>
      <c r="JFN37" s="2795"/>
      <c r="JFO37" s="2795"/>
      <c r="JFP37" s="2795"/>
      <c r="JFQ37" s="2795"/>
      <c r="JFR37" s="2795"/>
      <c r="JFS37" s="2795"/>
      <c r="JFT37" s="2795"/>
      <c r="JFU37" s="2795"/>
      <c r="JFV37" s="2795"/>
      <c r="JFW37" s="2795"/>
      <c r="JFX37" s="2795"/>
      <c r="JFY37" s="2795"/>
      <c r="JFZ37" s="2795"/>
      <c r="JGA37" s="2795"/>
      <c r="JGB37" s="2795"/>
      <c r="JGC37" s="2795"/>
      <c r="JGD37" s="2795"/>
      <c r="JGE37" s="2795"/>
      <c r="JGF37" s="2795"/>
      <c r="JGG37" s="2795"/>
      <c r="JGH37" s="2795"/>
      <c r="JGI37" s="2795"/>
      <c r="JGJ37" s="2795"/>
      <c r="JGK37" s="2795"/>
      <c r="JGL37" s="2795"/>
      <c r="JGM37" s="2795"/>
      <c r="JGN37" s="2795"/>
      <c r="JGO37" s="2795"/>
      <c r="JGP37" s="2795"/>
      <c r="JGQ37" s="2795"/>
      <c r="JGR37" s="2795"/>
      <c r="JGS37" s="2795"/>
      <c r="JGT37" s="2795"/>
      <c r="JGU37" s="2795"/>
      <c r="JGV37" s="2795"/>
      <c r="JGW37" s="2795"/>
      <c r="JGX37" s="2795"/>
      <c r="JGY37" s="2795"/>
      <c r="JGZ37" s="2795"/>
      <c r="JHA37" s="2795"/>
      <c r="JHB37" s="2795"/>
      <c r="JHC37" s="2795"/>
      <c r="JHD37" s="2795"/>
      <c r="JHE37" s="2795"/>
      <c r="JHF37" s="2795"/>
      <c r="JHG37" s="2795"/>
      <c r="JHH37" s="2795"/>
      <c r="JHI37" s="2795"/>
      <c r="JHJ37" s="2795"/>
      <c r="JHK37" s="2795"/>
      <c r="JHL37" s="2795"/>
      <c r="JHM37" s="2795"/>
      <c r="JHN37" s="2795"/>
      <c r="JHO37" s="2795"/>
      <c r="JHP37" s="2795"/>
      <c r="JHQ37" s="2795"/>
      <c r="JHR37" s="2795"/>
      <c r="JHS37" s="2795"/>
      <c r="JHT37" s="2795"/>
      <c r="JHU37" s="2795"/>
      <c r="JHV37" s="2795"/>
      <c r="JHW37" s="2795"/>
      <c r="JHX37" s="2795"/>
      <c r="JHY37" s="2795"/>
      <c r="JHZ37" s="2795"/>
      <c r="JIA37" s="2795"/>
      <c r="JIB37" s="2795"/>
      <c r="JIC37" s="2795"/>
      <c r="JID37" s="2795"/>
      <c r="JIE37" s="2795"/>
      <c r="JIF37" s="2795"/>
      <c r="JIG37" s="2795"/>
      <c r="JIH37" s="2795"/>
      <c r="JII37" s="2795"/>
      <c r="JIJ37" s="2795"/>
      <c r="JIK37" s="2795"/>
      <c r="JIL37" s="2795"/>
      <c r="JIM37" s="2795"/>
      <c r="JIN37" s="2795"/>
      <c r="JIO37" s="2795"/>
      <c r="JIP37" s="2795"/>
      <c r="JIQ37" s="2795"/>
      <c r="JIR37" s="2795"/>
      <c r="JIS37" s="2795"/>
      <c r="JIT37" s="2795"/>
      <c r="JIU37" s="2795"/>
      <c r="JIV37" s="2795"/>
      <c r="JIW37" s="2795"/>
      <c r="JIX37" s="2795"/>
      <c r="JIY37" s="2795"/>
      <c r="JIZ37" s="2795"/>
      <c r="JJA37" s="2795"/>
      <c r="JJB37" s="2795"/>
      <c r="JJC37" s="2795"/>
      <c r="JJD37" s="2795"/>
      <c r="JJE37" s="2795"/>
      <c r="JJF37" s="2795"/>
      <c r="JJG37" s="2795"/>
      <c r="JJH37" s="2795"/>
      <c r="JJI37" s="2795"/>
      <c r="JJJ37" s="2795"/>
      <c r="JJK37" s="2795"/>
      <c r="JJL37" s="2795"/>
      <c r="JJM37" s="2795"/>
      <c r="JJN37" s="2795"/>
      <c r="JJO37" s="2795"/>
      <c r="JJP37" s="2795"/>
      <c r="JJQ37" s="2795"/>
      <c r="JJR37" s="2795"/>
      <c r="JJS37" s="2795"/>
      <c r="JJT37" s="2795"/>
      <c r="JJU37" s="2795"/>
      <c r="JJV37" s="2795"/>
      <c r="JJW37" s="2795"/>
      <c r="JJX37" s="2795"/>
      <c r="JJY37" s="2795"/>
      <c r="JJZ37" s="2795"/>
      <c r="JKA37" s="2795"/>
      <c r="JKB37" s="2795"/>
      <c r="JKC37" s="2795"/>
      <c r="JKD37" s="2795"/>
      <c r="JKE37" s="2795"/>
      <c r="JKF37" s="2795"/>
      <c r="JKG37" s="2795"/>
      <c r="JKH37" s="2795"/>
      <c r="JKI37" s="2795"/>
      <c r="JKJ37" s="2795"/>
      <c r="JKK37" s="2795"/>
      <c r="JKL37" s="2795"/>
      <c r="JKM37" s="2795"/>
      <c r="JKN37" s="2795"/>
      <c r="JKO37" s="2795"/>
      <c r="JKP37" s="2795"/>
      <c r="JKQ37" s="2795"/>
      <c r="JKR37" s="2795"/>
      <c r="JKS37" s="2795"/>
      <c r="JKT37" s="2795"/>
      <c r="JKU37" s="2795"/>
      <c r="JKV37" s="2795"/>
      <c r="JKW37" s="2795"/>
      <c r="JKX37" s="2795"/>
      <c r="JKY37" s="2795"/>
      <c r="JKZ37" s="2795"/>
      <c r="JLA37" s="2795"/>
      <c r="JLB37" s="2795"/>
      <c r="JLC37" s="2795"/>
      <c r="JLD37" s="2795"/>
      <c r="JLE37" s="2795"/>
      <c r="JLF37" s="2795"/>
      <c r="JLG37" s="2795"/>
      <c r="JLH37" s="2795"/>
      <c r="JLI37" s="2795"/>
      <c r="JLJ37" s="2795"/>
      <c r="JLK37" s="2795"/>
      <c r="JLL37" s="2795"/>
      <c r="JLM37" s="2795"/>
      <c r="JLN37" s="2795"/>
      <c r="JLO37" s="2795"/>
      <c r="JLP37" s="2795"/>
      <c r="JLQ37" s="2795"/>
      <c r="JLR37" s="2795"/>
      <c r="JLS37" s="2795"/>
      <c r="JLT37" s="2795"/>
      <c r="JLU37" s="2795"/>
      <c r="JLV37" s="2795"/>
      <c r="JLW37" s="2795"/>
      <c r="JLX37" s="2795"/>
      <c r="JLY37" s="2795"/>
      <c r="JLZ37" s="2795"/>
      <c r="JMA37" s="2795"/>
      <c r="JMB37" s="2795"/>
      <c r="JMC37" s="2795"/>
      <c r="JMD37" s="2795"/>
      <c r="JME37" s="2795"/>
      <c r="JMF37" s="2795"/>
      <c r="JMG37" s="2795"/>
      <c r="JMH37" s="2795"/>
      <c r="JMI37" s="2795"/>
      <c r="JMJ37" s="2795"/>
      <c r="JMK37" s="2795"/>
      <c r="JML37" s="2795"/>
      <c r="JMM37" s="2795"/>
      <c r="JMN37" s="2795"/>
      <c r="JMO37" s="2795"/>
      <c r="JMP37" s="2795"/>
      <c r="JMQ37" s="2795"/>
      <c r="JMR37" s="2795"/>
      <c r="JMS37" s="2795"/>
      <c r="JMT37" s="2795"/>
      <c r="JMU37" s="2795"/>
      <c r="JMV37" s="2795"/>
      <c r="JMW37" s="2795"/>
      <c r="JMX37" s="2795"/>
      <c r="JMY37" s="2795"/>
      <c r="JMZ37" s="2795"/>
      <c r="JNA37" s="2795"/>
      <c r="JNB37" s="2795"/>
      <c r="JNC37" s="2795"/>
      <c r="JND37" s="2795"/>
      <c r="JNE37" s="2795"/>
      <c r="JNF37" s="2795"/>
      <c r="JNG37" s="2795"/>
      <c r="JNH37" s="2795"/>
      <c r="JNI37" s="2795"/>
      <c r="JNJ37" s="2795"/>
      <c r="JNK37" s="2795"/>
      <c r="JNL37" s="2795"/>
      <c r="JNM37" s="2795"/>
      <c r="JNN37" s="2795"/>
      <c r="JNO37" s="2795"/>
      <c r="JNP37" s="2795"/>
      <c r="JNQ37" s="2795"/>
      <c r="JNR37" s="2795"/>
      <c r="JNS37" s="2795"/>
      <c r="JNT37" s="2795"/>
      <c r="JNU37" s="2795"/>
      <c r="JNV37" s="2795"/>
      <c r="JNW37" s="2795"/>
      <c r="JNX37" s="2795"/>
      <c r="JNY37" s="2795"/>
      <c r="JNZ37" s="2795"/>
      <c r="JOA37" s="2795"/>
      <c r="JOB37" s="2795"/>
      <c r="JOC37" s="2795"/>
      <c r="JOD37" s="2795"/>
      <c r="JOE37" s="2795"/>
      <c r="JOF37" s="2795"/>
      <c r="JOG37" s="2795"/>
      <c r="JOH37" s="2795"/>
      <c r="JOI37" s="2795"/>
      <c r="JOJ37" s="2795"/>
      <c r="JOK37" s="2795"/>
      <c r="JOL37" s="2795"/>
      <c r="JOM37" s="2795"/>
      <c r="JON37" s="2795"/>
      <c r="JOO37" s="2795"/>
      <c r="JOP37" s="2795"/>
      <c r="JOQ37" s="2795"/>
      <c r="JOR37" s="2795"/>
      <c r="JOS37" s="2795"/>
      <c r="JOT37" s="2795"/>
      <c r="JOU37" s="2795"/>
      <c r="JOV37" s="2795"/>
      <c r="JOW37" s="2795"/>
      <c r="JOX37" s="2795"/>
      <c r="JOY37" s="2795"/>
      <c r="JOZ37" s="2795"/>
      <c r="JPA37" s="2795"/>
      <c r="JPB37" s="2795"/>
      <c r="JPC37" s="2795"/>
      <c r="JPD37" s="2795"/>
      <c r="JPE37" s="2795"/>
      <c r="JPF37" s="2795"/>
      <c r="JPG37" s="2795"/>
      <c r="JPH37" s="2795"/>
      <c r="JPI37" s="2795"/>
      <c r="JPJ37" s="2795"/>
      <c r="JPK37" s="2795"/>
      <c r="JPL37" s="2795"/>
      <c r="JPM37" s="2795"/>
      <c r="JPN37" s="2795"/>
      <c r="JPO37" s="2795"/>
      <c r="JPP37" s="2795"/>
      <c r="JPQ37" s="2795"/>
      <c r="JPR37" s="2795"/>
      <c r="JPS37" s="2795"/>
      <c r="JPT37" s="2795"/>
      <c r="JPU37" s="2795"/>
      <c r="JPV37" s="2795"/>
      <c r="JPW37" s="2795"/>
      <c r="JPX37" s="2795"/>
      <c r="JPY37" s="2795"/>
      <c r="JPZ37" s="2795"/>
      <c r="JQA37" s="2795"/>
      <c r="JQB37" s="2795"/>
      <c r="JQC37" s="2795"/>
      <c r="JQD37" s="2795"/>
      <c r="JQE37" s="2795"/>
      <c r="JQF37" s="2795"/>
      <c r="JQG37" s="2795"/>
      <c r="JQH37" s="2795"/>
      <c r="JQI37" s="2795"/>
      <c r="JQJ37" s="2795"/>
      <c r="JQK37" s="2795"/>
      <c r="JQL37" s="2795"/>
      <c r="JQM37" s="2795"/>
      <c r="JQN37" s="2795"/>
      <c r="JQO37" s="2795"/>
      <c r="JQP37" s="2795"/>
      <c r="JQQ37" s="2795"/>
      <c r="JQR37" s="2795"/>
      <c r="JQS37" s="2795"/>
      <c r="JQT37" s="2795"/>
      <c r="JQU37" s="2795"/>
      <c r="JQV37" s="2795"/>
      <c r="JQW37" s="2795"/>
      <c r="JQX37" s="2795"/>
      <c r="JQY37" s="2795"/>
      <c r="JQZ37" s="2795"/>
      <c r="JRA37" s="2795"/>
      <c r="JRB37" s="2795"/>
      <c r="JRC37" s="2795"/>
      <c r="JRD37" s="2795"/>
      <c r="JRE37" s="2795"/>
      <c r="JRF37" s="2795"/>
      <c r="JRG37" s="2795"/>
      <c r="JRH37" s="2795"/>
      <c r="JRI37" s="2795"/>
      <c r="JRJ37" s="2795"/>
      <c r="JRK37" s="2795"/>
      <c r="JRL37" s="2795"/>
      <c r="JRM37" s="2795"/>
      <c r="JRN37" s="2795"/>
      <c r="JRO37" s="2795"/>
      <c r="JRP37" s="2795"/>
      <c r="JRQ37" s="2795"/>
      <c r="JRR37" s="2795"/>
      <c r="JRS37" s="2795"/>
      <c r="JRT37" s="2795"/>
      <c r="JRU37" s="2795"/>
      <c r="JRV37" s="2795"/>
      <c r="JRW37" s="2795"/>
      <c r="JRX37" s="2795"/>
      <c r="JRY37" s="2795"/>
      <c r="JRZ37" s="2795"/>
      <c r="JSA37" s="2795"/>
      <c r="JSB37" s="2795"/>
      <c r="JSC37" s="2795"/>
      <c r="JSD37" s="2795"/>
      <c r="JSE37" s="2795"/>
      <c r="JSF37" s="2795"/>
      <c r="JSG37" s="2795"/>
      <c r="JSH37" s="2795"/>
      <c r="JSI37" s="2795"/>
      <c r="JSJ37" s="2795"/>
      <c r="JSK37" s="2795"/>
      <c r="JSL37" s="2795"/>
      <c r="JSM37" s="2795"/>
      <c r="JSN37" s="2795"/>
      <c r="JSO37" s="2795"/>
      <c r="JSP37" s="2795"/>
      <c r="JSQ37" s="2795"/>
      <c r="JSR37" s="2795"/>
      <c r="JSS37" s="2795"/>
      <c r="JST37" s="2795"/>
      <c r="JSU37" s="2795"/>
      <c r="JSV37" s="2795"/>
      <c r="JSW37" s="2795"/>
      <c r="JSX37" s="2795"/>
      <c r="JSY37" s="2795"/>
      <c r="JSZ37" s="2795"/>
      <c r="JTA37" s="2795"/>
      <c r="JTB37" s="2795"/>
      <c r="JTC37" s="2795"/>
      <c r="JTD37" s="2795"/>
      <c r="JTE37" s="2795"/>
      <c r="JTF37" s="2795"/>
      <c r="JTG37" s="2795"/>
      <c r="JTH37" s="2795"/>
      <c r="JTI37" s="2795"/>
      <c r="JTJ37" s="2795"/>
      <c r="JTK37" s="2795"/>
      <c r="JTL37" s="2795"/>
      <c r="JTM37" s="2795"/>
      <c r="JTN37" s="2795"/>
      <c r="JTO37" s="2795"/>
      <c r="JTP37" s="2795"/>
      <c r="JTQ37" s="2795"/>
      <c r="JTR37" s="2795"/>
      <c r="JTS37" s="2795"/>
      <c r="JTT37" s="2795"/>
      <c r="JTU37" s="2795"/>
      <c r="JTV37" s="2795"/>
      <c r="JTW37" s="2795"/>
      <c r="JTX37" s="2795"/>
      <c r="JTY37" s="2795"/>
      <c r="JTZ37" s="2795"/>
      <c r="JUA37" s="2795"/>
      <c r="JUB37" s="2795"/>
      <c r="JUC37" s="2795"/>
      <c r="JUD37" s="2795"/>
      <c r="JUE37" s="2795"/>
      <c r="JUF37" s="2795"/>
      <c r="JUG37" s="2795"/>
      <c r="JUH37" s="2795"/>
      <c r="JUI37" s="2795"/>
      <c r="JUJ37" s="2795"/>
      <c r="JUK37" s="2795"/>
      <c r="JUL37" s="2795"/>
      <c r="JUM37" s="2795"/>
      <c r="JUN37" s="2795"/>
      <c r="JUO37" s="2795"/>
      <c r="JUP37" s="2795"/>
      <c r="JUQ37" s="2795"/>
      <c r="JUR37" s="2795"/>
      <c r="JUS37" s="2795"/>
      <c r="JUT37" s="2795"/>
      <c r="JUU37" s="2795"/>
      <c r="JUV37" s="2795"/>
      <c r="JUW37" s="2795"/>
      <c r="JUX37" s="2795"/>
      <c r="JUY37" s="2795"/>
      <c r="JUZ37" s="2795"/>
      <c r="JVA37" s="2795"/>
      <c r="JVB37" s="2795"/>
      <c r="JVC37" s="2795"/>
      <c r="JVD37" s="2795"/>
      <c r="JVE37" s="2795"/>
      <c r="JVF37" s="2795"/>
      <c r="JVG37" s="2795"/>
      <c r="JVH37" s="2795"/>
      <c r="JVI37" s="2795"/>
      <c r="JVJ37" s="2795"/>
      <c r="JVK37" s="2795"/>
      <c r="JVL37" s="2795"/>
      <c r="JVM37" s="2795"/>
      <c r="JVN37" s="2795"/>
      <c r="JVO37" s="2795"/>
      <c r="JVP37" s="2795"/>
      <c r="JVQ37" s="2795"/>
      <c r="JVR37" s="2795"/>
      <c r="JVS37" s="2795"/>
      <c r="JVT37" s="2795"/>
      <c r="JVU37" s="2795"/>
      <c r="JVV37" s="2795"/>
      <c r="JVW37" s="2795"/>
      <c r="JVX37" s="2795"/>
      <c r="JVY37" s="2795"/>
      <c r="JVZ37" s="2795"/>
      <c r="JWA37" s="2795"/>
      <c r="JWB37" s="2795"/>
      <c r="JWC37" s="2795"/>
      <c r="JWD37" s="2795"/>
      <c r="JWE37" s="2795"/>
      <c r="JWF37" s="2795"/>
      <c r="JWG37" s="2795"/>
      <c r="JWH37" s="2795"/>
      <c r="JWI37" s="2795"/>
      <c r="JWJ37" s="2795"/>
      <c r="JWK37" s="2795"/>
      <c r="JWL37" s="2795"/>
      <c r="JWM37" s="2795"/>
      <c r="JWN37" s="2795"/>
      <c r="JWO37" s="2795"/>
      <c r="JWP37" s="2795"/>
      <c r="JWQ37" s="2795"/>
      <c r="JWR37" s="2795"/>
      <c r="JWS37" s="2795"/>
      <c r="JWT37" s="2795"/>
      <c r="JWU37" s="2795"/>
      <c r="JWV37" s="2795"/>
      <c r="JWW37" s="2795"/>
      <c r="JWX37" s="2795"/>
      <c r="JWY37" s="2795"/>
      <c r="JWZ37" s="2795"/>
      <c r="JXA37" s="2795"/>
      <c r="JXB37" s="2795"/>
      <c r="JXC37" s="2795"/>
      <c r="JXD37" s="2795"/>
      <c r="JXE37" s="2795"/>
      <c r="JXF37" s="2795"/>
      <c r="JXG37" s="2795"/>
      <c r="JXH37" s="2795"/>
      <c r="JXI37" s="2795"/>
      <c r="JXJ37" s="2795"/>
      <c r="JXK37" s="2795"/>
      <c r="JXL37" s="2795"/>
      <c r="JXM37" s="2795"/>
      <c r="JXN37" s="2795"/>
      <c r="JXO37" s="2795"/>
      <c r="JXP37" s="2795"/>
      <c r="JXQ37" s="2795"/>
      <c r="JXR37" s="2795"/>
      <c r="JXS37" s="2795"/>
      <c r="JXT37" s="2795"/>
      <c r="JXU37" s="2795"/>
      <c r="JXV37" s="2795"/>
      <c r="JXW37" s="2795"/>
      <c r="JXX37" s="2795"/>
      <c r="JXY37" s="2795"/>
      <c r="JXZ37" s="2795"/>
      <c r="JYA37" s="2795"/>
      <c r="JYB37" s="2795"/>
      <c r="JYC37" s="2795"/>
      <c r="JYD37" s="2795"/>
      <c r="JYE37" s="2795"/>
      <c r="JYF37" s="2795"/>
      <c r="JYG37" s="2795"/>
      <c r="JYH37" s="2795"/>
      <c r="JYI37" s="2795"/>
      <c r="JYJ37" s="2795"/>
      <c r="JYK37" s="2795"/>
      <c r="JYL37" s="2795"/>
      <c r="JYM37" s="2795"/>
      <c r="JYN37" s="2795"/>
      <c r="JYO37" s="2795"/>
      <c r="JYP37" s="2795"/>
      <c r="JYQ37" s="2795"/>
      <c r="JYR37" s="2795"/>
      <c r="JYS37" s="2795"/>
      <c r="JYT37" s="2795"/>
      <c r="JYU37" s="2795"/>
      <c r="JYV37" s="2795"/>
      <c r="JYW37" s="2795"/>
      <c r="JYX37" s="2795"/>
      <c r="JYY37" s="2795"/>
      <c r="JYZ37" s="2795"/>
      <c r="JZA37" s="2795"/>
      <c r="JZB37" s="2795"/>
      <c r="JZC37" s="2795"/>
      <c r="JZD37" s="2795"/>
      <c r="JZE37" s="2795"/>
      <c r="JZF37" s="2795"/>
      <c r="JZG37" s="2795"/>
      <c r="JZH37" s="2795"/>
      <c r="JZI37" s="2795"/>
      <c r="JZJ37" s="2795"/>
      <c r="JZK37" s="2795"/>
      <c r="JZL37" s="2795"/>
      <c r="JZM37" s="2795"/>
      <c r="JZN37" s="2795"/>
      <c r="JZO37" s="2795"/>
      <c r="JZP37" s="2795"/>
      <c r="JZQ37" s="2795"/>
      <c r="JZR37" s="2795"/>
      <c r="JZS37" s="2795"/>
      <c r="JZT37" s="2795"/>
      <c r="JZU37" s="2795"/>
      <c r="JZV37" s="2795"/>
      <c r="JZW37" s="2795"/>
      <c r="JZX37" s="2795"/>
      <c r="JZY37" s="2795"/>
      <c r="JZZ37" s="2795"/>
      <c r="KAA37" s="2795"/>
      <c r="KAB37" s="2795"/>
      <c r="KAC37" s="2795"/>
      <c r="KAD37" s="2795"/>
      <c r="KAE37" s="2795"/>
      <c r="KAF37" s="2795"/>
      <c r="KAG37" s="2795"/>
      <c r="KAH37" s="2795"/>
      <c r="KAI37" s="2795"/>
      <c r="KAJ37" s="2795"/>
      <c r="KAK37" s="2795"/>
      <c r="KAL37" s="2795"/>
      <c r="KAM37" s="2795"/>
      <c r="KAN37" s="2795"/>
      <c r="KAO37" s="2795"/>
      <c r="KAP37" s="2795"/>
      <c r="KAQ37" s="2795"/>
      <c r="KAR37" s="2795"/>
      <c r="KAS37" s="2795"/>
      <c r="KAT37" s="2795"/>
      <c r="KAU37" s="2795"/>
      <c r="KAV37" s="2795"/>
      <c r="KAW37" s="2795"/>
      <c r="KAX37" s="2795"/>
      <c r="KAY37" s="2795"/>
      <c r="KAZ37" s="2795"/>
      <c r="KBA37" s="2795"/>
      <c r="KBB37" s="2795"/>
      <c r="KBC37" s="2795"/>
      <c r="KBD37" s="2795"/>
      <c r="KBE37" s="2795"/>
      <c r="KBF37" s="2795"/>
      <c r="KBG37" s="2795"/>
      <c r="KBH37" s="2795"/>
      <c r="KBI37" s="2795"/>
      <c r="KBJ37" s="2795"/>
      <c r="KBK37" s="2795"/>
      <c r="KBL37" s="2795"/>
      <c r="KBM37" s="2795"/>
      <c r="KBN37" s="2795"/>
      <c r="KBO37" s="2795"/>
      <c r="KBP37" s="2795"/>
      <c r="KBQ37" s="2795"/>
      <c r="KBR37" s="2795"/>
      <c r="KBS37" s="2795"/>
      <c r="KBT37" s="2795"/>
      <c r="KBU37" s="2795"/>
      <c r="KBV37" s="2795"/>
      <c r="KBW37" s="2795"/>
      <c r="KBX37" s="2795"/>
      <c r="KBY37" s="2795"/>
      <c r="KBZ37" s="2795"/>
      <c r="KCA37" s="2795"/>
      <c r="KCB37" s="2795"/>
      <c r="KCC37" s="2795"/>
      <c r="KCD37" s="2795"/>
      <c r="KCE37" s="2795"/>
      <c r="KCF37" s="2795"/>
      <c r="KCG37" s="2795"/>
      <c r="KCH37" s="2795"/>
      <c r="KCI37" s="2795"/>
      <c r="KCJ37" s="2795"/>
      <c r="KCK37" s="2795"/>
      <c r="KCL37" s="2795"/>
      <c r="KCM37" s="2795"/>
      <c r="KCN37" s="2795"/>
      <c r="KCO37" s="2795"/>
      <c r="KCP37" s="2795"/>
      <c r="KCQ37" s="2795"/>
      <c r="KCR37" s="2795"/>
      <c r="KCS37" s="2795"/>
      <c r="KCT37" s="2795"/>
      <c r="KCU37" s="2795"/>
      <c r="KCV37" s="2795"/>
      <c r="KCW37" s="2795"/>
      <c r="KCX37" s="2795"/>
      <c r="KCY37" s="2795"/>
      <c r="KCZ37" s="2795"/>
      <c r="KDA37" s="2795"/>
      <c r="KDB37" s="2795"/>
      <c r="KDC37" s="2795"/>
      <c r="KDD37" s="2795"/>
      <c r="KDE37" s="2795"/>
      <c r="KDF37" s="2795"/>
      <c r="KDG37" s="2795"/>
      <c r="KDH37" s="2795"/>
      <c r="KDI37" s="2795"/>
      <c r="KDJ37" s="2795"/>
      <c r="KDK37" s="2795"/>
      <c r="KDL37" s="2795"/>
      <c r="KDM37" s="2795"/>
      <c r="KDN37" s="2795"/>
      <c r="KDO37" s="2795"/>
      <c r="KDP37" s="2795"/>
      <c r="KDQ37" s="2795"/>
      <c r="KDR37" s="2795"/>
      <c r="KDS37" s="2795"/>
      <c r="KDT37" s="2795"/>
      <c r="KDU37" s="2795"/>
      <c r="KDV37" s="2795"/>
      <c r="KDW37" s="2795"/>
      <c r="KDX37" s="2795"/>
      <c r="KDY37" s="2795"/>
      <c r="KDZ37" s="2795"/>
      <c r="KEA37" s="2795"/>
      <c r="KEB37" s="2795"/>
      <c r="KEC37" s="2795"/>
      <c r="KED37" s="2795"/>
      <c r="KEE37" s="2795"/>
      <c r="KEF37" s="2795"/>
      <c r="KEG37" s="2795"/>
      <c r="KEH37" s="2795"/>
      <c r="KEI37" s="2795"/>
      <c r="KEJ37" s="2795"/>
      <c r="KEK37" s="2795"/>
      <c r="KEL37" s="2795"/>
      <c r="KEM37" s="2795"/>
      <c r="KEN37" s="2795"/>
      <c r="KEO37" s="2795"/>
      <c r="KEP37" s="2795"/>
      <c r="KEQ37" s="2795"/>
      <c r="KER37" s="2795"/>
      <c r="KES37" s="2795"/>
      <c r="KET37" s="2795"/>
      <c r="KEU37" s="2795"/>
      <c r="KEV37" s="2795"/>
      <c r="KEW37" s="2795"/>
      <c r="KEX37" s="2795"/>
      <c r="KEY37" s="2795"/>
      <c r="KEZ37" s="2795"/>
      <c r="KFA37" s="2795"/>
      <c r="KFB37" s="2795"/>
      <c r="KFC37" s="2795"/>
      <c r="KFD37" s="2795"/>
      <c r="KFE37" s="2795"/>
      <c r="KFF37" s="2795"/>
      <c r="KFG37" s="2795"/>
      <c r="KFH37" s="2795"/>
      <c r="KFI37" s="2795"/>
      <c r="KFJ37" s="2795"/>
      <c r="KFK37" s="2795"/>
      <c r="KFL37" s="2795"/>
      <c r="KFM37" s="2795"/>
      <c r="KFN37" s="2795"/>
      <c r="KFO37" s="2795"/>
      <c r="KFP37" s="2795"/>
      <c r="KFQ37" s="2795"/>
      <c r="KFR37" s="2795"/>
      <c r="KFS37" s="2795"/>
      <c r="KFT37" s="2795"/>
      <c r="KFU37" s="2795"/>
      <c r="KFV37" s="2795"/>
      <c r="KFW37" s="2795"/>
      <c r="KFX37" s="2795"/>
      <c r="KFY37" s="2795"/>
      <c r="KFZ37" s="2795"/>
      <c r="KGA37" s="2795"/>
      <c r="KGB37" s="2795"/>
      <c r="KGC37" s="2795"/>
      <c r="KGD37" s="2795"/>
      <c r="KGE37" s="2795"/>
      <c r="KGF37" s="2795"/>
      <c r="KGG37" s="2795"/>
      <c r="KGH37" s="2795"/>
      <c r="KGI37" s="2795"/>
      <c r="KGJ37" s="2795"/>
      <c r="KGK37" s="2795"/>
      <c r="KGL37" s="2795"/>
      <c r="KGM37" s="2795"/>
      <c r="KGN37" s="2795"/>
      <c r="KGO37" s="2795"/>
      <c r="KGP37" s="2795"/>
      <c r="KGQ37" s="2795"/>
      <c r="KGR37" s="2795"/>
      <c r="KGS37" s="2795"/>
      <c r="KGT37" s="2795"/>
      <c r="KGU37" s="2795"/>
      <c r="KGV37" s="2795"/>
      <c r="KGW37" s="2795"/>
      <c r="KGX37" s="2795"/>
      <c r="KGY37" s="2795"/>
      <c r="KGZ37" s="2795"/>
      <c r="KHA37" s="2795"/>
      <c r="KHB37" s="2795"/>
      <c r="KHC37" s="2795"/>
      <c r="KHD37" s="2795"/>
      <c r="KHE37" s="2795"/>
      <c r="KHF37" s="2795"/>
      <c r="KHG37" s="2795"/>
      <c r="KHH37" s="2795"/>
      <c r="KHI37" s="2795"/>
      <c r="KHJ37" s="2795"/>
      <c r="KHK37" s="2795"/>
      <c r="KHL37" s="2795"/>
      <c r="KHM37" s="2795"/>
      <c r="KHN37" s="2795"/>
      <c r="KHO37" s="2795"/>
      <c r="KHP37" s="2795"/>
      <c r="KHQ37" s="2795"/>
      <c r="KHR37" s="2795"/>
      <c r="KHS37" s="2795"/>
      <c r="KHT37" s="2795"/>
      <c r="KHU37" s="2795"/>
      <c r="KHV37" s="2795"/>
      <c r="KHW37" s="2795"/>
      <c r="KHX37" s="2795"/>
      <c r="KHY37" s="2795"/>
      <c r="KHZ37" s="2795"/>
      <c r="KIA37" s="2795"/>
      <c r="KIB37" s="2795"/>
      <c r="KIC37" s="2795"/>
      <c r="KID37" s="2795"/>
      <c r="KIE37" s="2795"/>
      <c r="KIF37" s="2795"/>
      <c r="KIG37" s="2795"/>
      <c r="KIH37" s="2795"/>
      <c r="KII37" s="2795"/>
      <c r="KIJ37" s="2795"/>
      <c r="KIK37" s="2795"/>
      <c r="KIL37" s="2795"/>
      <c r="KIM37" s="2795"/>
      <c r="KIN37" s="2795"/>
      <c r="KIO37" s="2795"/>
      <c r="KIP37" s="2795"/>
      <c r="KIQ37" s="2795"/>
      <c r="KIR37" s="2795"/>
      <c r="KIS37" s="2795"/>
      <c r="KIT37" s="2795"/>
      <c r="KIU37" s="2795"/>
      <c r="KIV37" s="2795"/>
      <c r="KIW37" s="2795"/>
      <c r="KIX37" s="2795"/>
      <c r="KIY37" s="2795"/>
      <c r="KIZ37" s="2795"/>
      <c r="KJA37" s="2795"/>
      <c r="KJB37" s="2795"/>
      <c r="KJC37" s="2795"/>
      <c r="KJD37" s="2795"/>
      <c r="KJE37" s="2795"/>
      <c r="KJF37" s="2795"/>
      <c r="KJG37" s="2795"/>
      <c r="KJH37" s="2795"/>
      <c r="KJI37" s="2795"/>
      <c r="KJJ37" s="2795"/>
      <c r="KJK37" s="2795"/>
      <c r="KJL37" s="2795"/>
      <c r="KJM37" s="2795"/>
      <c r="KJN37" s="2795"/>
      <c r="KJO37" s="2795"/>
      <c r="KJP37" s="2795"/>
      <c r="KJQ37" s="2795"/>
      <c r="KJR37" s="2795"/>
      <c r="KJS37" s="2795"/>
      <c r="KJT37" s="2795"/>
      <c r="KJU37" s="2795"/>
      <c r="KJV37" s="2795"/>
      <c r="KJW37" s="2795"/>
      <c r="KJX37" s="2795"/>
      <c r="KJY37" s="2795"/>
      <c r="KJZ37" s="2795"/>
      <c r="KKA37" s="2795"/>
      <c r="KKB37" s="2795"/>
      <c r="KKC37" s="2795"/>
      <c r="KKD37" s="2795"/>
      <c r="KKE37" s="2795"/>
      <c r="KKF37" s="2795"/>
      <c r="KKG37" s="2795"/>
      <c r="KKH37" s="2795"/>
      <c r="KKI37" s="2795"/>
      <c r="KKJ37" s="2795"/>
      <c r="KKK37" s="2795"/>
      <c r="KKL37" s="2795"/>
      <c r="KKM37" s="2795"/>
      <c r="KKN37" s="2795"/>
      <c r="KKO37" s="2795"/>
      <c r="KKP37" s="2795"/>
      <c r="KKQ37" s="2795"/>
      <c r="KKR37" s="2795"/>
      <c r="KKS37" s="2795"/>
      <c r="KKT37" s="2795"/>
      <c r="KKU37" s="2795"/>
      <c r="KKV37" s="2795"/>
      <c r="KKW37" s="2795"/>
      <c r="KKX37" s="2795"/>
      <c r="KKY37" s="2795"/>
      <c r="KKZ37" s="2795"/>
      <c r="KLA37" s="2795"/>
      <c r="KLB37" s="2795"/>
      <c r="KLC37" s="2795"/>
      <c r="KLD37" s="2795"/>
      <c r="KLE37" s="2795"/>
      <c r="KLF37" s="2795"/>
      <c r="KLG37" s="2795"/>
      <c r="KLH37" s="2795"/>
      <c r="KLI37" s="2795"/>
      <c r="KLJ37" s="2795"/>
      <c r="KLK37" s="2795"/>
      <c r="KLL37" s="2795"/>
      <c r="KLM37" s="2795"/>
      <c r="KLN37" s="2795"/>
      <c r="KLO37" s="2795"/>
      <c r="KLP37" s="2795"/>
      <c r="KLQ37" s="2795"/>
      <c r="KLR37" s="2795"/>
      <c r="KLS37" s="2795"/>
      <c r="KLT37" s="2795"/>
      <c r="KLU37" s="2795"/>
      <c r="KLV37" s="2795"/>
      <c r="KLW37" s="2795"/>
      <c r="KLX37" s="2795"/>
      <c r="KLY37" s="2795"/>
      <c r="KLZ37" s="2795"/>
      <c r="KMA37" s="2795"/>
      <c r="KMB37" s="2795"/>
      <c r="KMC37" s="2795"/>
      <c r="KMD37" s="2795"/>
      <c r="KME37" s="2795"/>
      <c r="KMF37" s="2795"/>
      <c r="KMG37" s="2795"/>
      <c r="KMH37" s="2795"/>
      <c r="KMI37" s="2795"/>
      <c r="KMJ37" s="2795"/>
      <c r="KMK37" s="2795"/>
      <c r="KML37" s="2795"/>
      <c r="KMM37" s="2795"/>
      <c r="KMN37" s="2795"/>
      <c r="KMO37" s="2795"/>
      <c r="KMP37" s="2795"/>
      <c r="KMQ37" s="2795"/>
      <c r="KMR37" s="2795"/>
      <c r="KMS37" s="2795"/>
      <c r="KMT37" s="2795"/>
      <c r="KMU37" s="2795"/>
      <c r="KMV37" s="2795"/>
      <c r="KMW37" s="2795"/>
      <c r="KMX37" s="2795"/>
      <c r="KMY37" s="2795"/>
      <c r="KMZ37" s="2795"/>
      <c r="KNA37" s="2795"/>
      <c r="KNB37" s="2795"/>
      <c r="KNC37" s="2795"/>
      <c r="KND37" s="2795"/>
      <c r="KNE37" s="2795"/>
      <c r="KNF37" s="2795"/>
      <c r="KNG37" s="2795"/>
      <c r="KNH37" s="2795"/>
      <c r="KNI37" s="2795"/>
      <c r="KNJ37" s="2795"/>
      <c r="KNK37" s="2795"/>
      <c r="KNL37" s="2795"/>
      <c r="KNM37" s="2795"/>
      <c r="KNN37" s="2795"/>
      <c r="KNO37" s="2795"/>
      <c r="KNP37" s="2795"/>
      <c r="KNQ37" s="2795"/>
      <c r="KNR37" s="2795"/>
      <c r="KNS37" s="2795"/>
      <c r="KNT37" s="2795"/>
      <c r="KNU37" s="2795"/>
      <c r="KNV37" s="2795"/>
      <c r="KNW37" s="2795"/>
      <c r="KNX37" s="2795"/>
      <c r="KNY37" s="2795"/>
      <c r="KNZ37" s="2795"/>
      <c r="KOA37" s="2795"/>
      <c r="KOB37" s="2795"/>
      <c r="KOC37" s="2795"/>
      <c r="KOD37" s="2795"/>
      <c r="KOE37" s="2795"/>
      <c r="KOF37" s="2795"/>
      <c r="KOG37" s="2795"/>
      <c r="KOH37" s="2795"/>
      <c r="KOI37" s="2795"/>
      <c r="KOJ37" s="2795"/>
      <c r="KOK37" s="2795"/>
      <c r="KOL37" s="2795"/>
      <c r="KOM37" s="2795"/>
      <c r="KON37" s="2795"/>
      <c r="KOO37" s="2795"/>
      <c r="KOP37" s="2795"/>
      <c r="KOQ37" s="2795"/>
      <c r="KOR37" s="2795"/>
      <c r="KOS37" s="2795"/>
      <c r="KOT37" s="2795"/>
      <c r="KOU37" s="2795"/>
      <c r="KOV37" s="2795"/>
      <c r="KOW37" s="2795"/>
      <c r="KOX37" s="2795"/>
      <c r="KOY37" s="2795"/>
      <c r="KOZ37" s="2795"/>
      <c r="KPA37" s="2795"/>
      <c r="KPB37" s="2795"/>
      <c r="KPC37" s="2795"/>
      <c r="KPD37" s="2795"/>
      <c r="KPE37" s="2795"/>
      <c r="KPF37" s="2795"/>
      <c r="KPG37" s="2795"/>
      <c r="KPH37" s="2795"/>
      <c r="KPI37" s="2795"/>
      <c r="KPJ37" s="2795"/>
      <c r="KPK37" s="2795"/>
      <c r="KPL37" s="2795"/>
      <c r="KPM37" s="2795"/>
      <c r="KPN37" s="2795"/>
      <c r="KPO37" s="2795"/>
      <c r="KPP37" s="2795"/>
      <c r="KPQ37" s="2795"/>
      <c r="KPR37" s="2795"/>
      <c r="KPS37" s="2795"/>
      <c r="KPT37" s="2795"/>
      <c r="KPU37" s="2795"/>
      <c r="KPV37" s="2795"/>
      <c r="KPW37" s="2795"/>
      <c r="KPX37" s="2795"/>
      <c r="KPY37" s="2795"/>
      <c r="KPZ37" s="2795"/>
      <c r="KQA37" s="2795"/>
      <c r="KQB37" s="2795"/>
      <c r="KQC37" s="2795"/>
      <c r="KQD37" s="2795"/>
      <c r="KQE37" s="2795"/>
      <c r="KQF37" s="2795"/>
      <c r="KQG37" s="2795"/>
      <c r="KQH37" s="2795"/>
      <c r="KQI37" s="2795"/>
      <c r="KQJ37" s="2795"/>
      <c r="KQK37" s="2795"/>
      <c r="KQL37" s="2795"/>
      <c r="KQM37" s="2795"/>
      <c r="KQN37" s="2795"/>
      <c r="KQO37" s="2795"/>
      <c r="KQP37" s="2795"/>
      <c r="KQQ37" s="2795"/>
      <c r="KQR37" s="2795"/>
      <c r="KQS37" s="2795"/>
      <c r="KQT37" s="2795"/>
      <c r="KQU37" s="2795"/>
      <c r="KQV37" s="2795"/>
      <c r="KQW37" s="2795"/>
      <c r="KQX37" s="2795"/>
      <c r="KQY37" s="2795"/>
      <c r="KQZ37" s="2795"/>
      <c r="KRA37" s="2795"/>
      <c r="KRB37" s="2795"/>
      <c r="KRC37" s="2795"/>
      <c r="KRD37" s="2795"/>
      <c r="KRE37" s="2795"/>
      <c r="KRF37" s="2795"/>
      <c r="KRG37" s="2795"/>
      <c r="KRH37" s="2795"/>
      <c r="KRI37" s="2795"/>
      <c r="KRJ37" s="2795"/>
      <c r="KRK37" s="2795"/>
      <c r="KRL37" s="2795"/>
      <c r="KRM37" s="2795"/>
      <c r="KRN37" s="2795"/>
      <c r="KRO37" s="2795"/>
      <c r="KRP37" s="2795"/>
      <c r="KRQ37" s="2795"/>
      <c r="KRR37" s="2795"/>
      <c r="KRS37" s="2795"/>
      <c r="KRT37" s="2795"/>
      <c r="KRU37" s="2795"/>
      <c r="KRV37" s="2795"/>
      <c r="KRW37" s="2795"/>
      <c r="KRX37" s="2795"/>
      <c r="KRY37" s="2795"/>
      <c r="KRZ37" s="2795"/>
      <c r="KSA37" s="2795"/>
      <c r="KSB37" s="2795"/>
      <c r="KSC37" s="2795"/>
      <c r="KSD37" s="2795"/>
      <c r="KSE37" s="2795"/>
      <c r="KSF37" s="2795"/>
      <c r="KSG37" s="2795"/>
      <c r="KSH37" s="2795"/>
      <c r="KSI37" s="2795"/>
      <c r="KSJ37" s="2795"/>
      <c r="KSK37" s="2795"/>
      <c r="KSL37" s="2795"/>
      <c r="KSM37" s="2795"/>
      <c r="KSN37" s="2795"/>
      <c r="KSO37" s="2795"/>
      <c r="KSP37" s="2795"/>
      <c r="KSQ37" s="2795"/>
      <c r="KSR37" s="2795"/>
      <c r="KSS37" s="2795"/>
      <c r="KST37" s="2795"/>
      <c r="KSU37" s="2795"/>
      <c r="KSV37" s="2795"/>
      <c r="KSW37" s="2795"/>
      <c r="KSX37" s="2795"/>
      <c r="KSY37" s="2795"/>
      <c r="KSZ37" s="2795"/>
      <c r="KTA37" s="2795"/>
      <c r="KTB37" s="2795"/>
      <c r="KTC37" s="2795"/>
      <c r="KTD37" s="2795"/>
      <c r="KTE37" s="2795"/>
      <c r="KTF37" s="2795"/>
      <c r="KTG37" s="2795"/>
      <c r="KTH37" s="2795"/>
      <c r="KTI37" s="2795"/>
      <c r="KTJ37" s="2795"/>
      <c r="KTK37" s="2795"/>
      <c r="KTL37" s="2795"/>
      <c r="KTM37" s="2795"/>
      <c r="KTN37" s="2795"/>
      <c r="KTO37" s="2795"/>
      <c r="KTP37" s="2795"/>
      <c r="KTQ37" s="2795"/>
      <c r="KTR37" s="2795"/>
      <c r="KTS37" s="2795"/>
      <c r="KTT37" s="2795"/>
      <c r="KTU37" s="2795"/>
      <c r="KTV37" s="2795"/>
      <c r="KTW37" s="2795"/>
      <c r="KTX37" s="2795"/>
      <c r="KTY37" s="2795"/>
      <c r="KTZ37" s="2795"/>
      <c r="KUA37" s="2795"/>
      <c r="KUB37" s="2795"/>
      <c r="KUC37" s="2795"/>
      <c r="KUD37" s="2795"/>
      <c r="KUE37" s="2795"/>
      <c r="KUF37" s="2795"/>
      <c r="KUG37" s="2795"/>
      <c r="KUH37" s="2795"/>
      <c r="KUI37" s="2795"/>
      <c r="KUJ37" s="2795"/>
      <c r="KUK37" s="2795"/>
      <c r="KUL37" s="2795"/>
      <c r="KUM37" s="2795"/>
      <c r="KUN37" s="2795"/>
      <c r="KUO37" s="2795"/>
      <c r="KUP37" s="2795"/>
      <c r="KUQ37" s="2795"/>
      <c r="KUR37" s="2795"/>
      <c r="KUS37" s="2795"/>
      <c r="KUT37" s="2795"/>
      <c r="KUU37" s="2795"/>
      <c r="KUV37" s="2795"/>
      <c r="KUW37" s="2795"/>
      <c r="KUX37" s="2795"/>
      <c r="KUY37" s="2795"/>
      <c r="KUZ37" s="2795"/>
      <c r="KVA37" s="2795"/>
      <c r="KVB37" s="2795"/>
      <c r="KVC37" s="2795"/>
      <c r="KVD37" s="2795"/>
      <c r="KVE37" s="2795"/>
      <c r="KVF37" s="2795"/>
      <c r="KVG37" s="2795"/>
      <c r="KVH37" s="2795"/>
      <c r="KVI37" s="2795"/>
      <c r="KVJ37" s="2795"/>
      <c r="KVK37" s="2795"/>
      <c r="KVL37" s="2795"/>
      <c r="KVM37" s="2795"/>
      <c r="KVN37" s="2795"/>
      <c r="KVO37" s="2795"/>
      <c r="KVP37" s="2795"/>
      <c r="KVQ37" s="2795"/>
      <c r="KVR37" s="2795"/>
      <c r="KVS37" s="2795"/>
      <c r="KVT37" s="2795"/>
      <c r="KVU37" s="2795"/>
      <c r="KVV37" s="2795"/>
      <c r="KVW37" s="2795"/>
      <c r="KVX37" s="2795"/>
      <c r="KVY37" s="2795"/>
      <c r="KVZ37" s="2795"/>
      <c r="KWA37" s="2795"/>
      <c r="KWB37" s="2795"/>
      <c r="KWC37" s="2795"/>
      <c r="KWD37" s="2795"/>
      <c r="KWE37" s="2795"/>
      <c r="KWF37" s="2795"/>
      <c r="KWG37" s="2795"/>
      <c r="KWH37" s="2795"/>
      <c r="KWI37" s="2795"/>
      <c r="KWJ37" s="2795"/>
      <c r="KWK37" s="2795"/>
      <c r="KWL37" s="2795"/>
      <c r="KWM37" s="2795"/>
      <c r="KWN37" s="2795"/>
      <c r="KWO37" s="2795"/>
      <c r="KWP37" s="2795"/>
      <c r="KWQ37" s="2795"/>
      <c r="KWR37" s="2795"/>
      <c r="KWS37" s="2795"/>
      <c r="KWT37" s="2795"/>
      <c r="KWU37" s="2795"/>
      <c r="KWV37" s="2795"/>
      <c r="KWW37" s="2795"/>
      <c r="KWX37" s="2795"/>
      <c r="KWY37" s="2795"/>
      <c r="KWZ37" s="2795"/>
      <c r="KXA37" s="2795"/>
      <c r="KXB37" s="2795"/>
      <c r="KXC37" s="2795"/>
      <c r="KXD37" s="2795"/>
      <c r="KXE37" s="2795"/>
      <c r="KXF37" s="2795"/>
      <c r="KXG37" s="2795"/>
      <c r="KXH37" s="2795"/>
      <c r="KXI37" s="2795"/>
      <c r="KXJ37" s="2795"/>
      <c r="KXK37" s="2795"/>
      <c r="KXL37" s="2795"/>
      <c r="KXM37" s="2795"/>
      <c r="KXN37" s="2795"/>
      <c r="KXO37" s="2795"/>
      <c r="KXP37" s="2795"/>
      <c r="KXQ37" s="2795"/>
      <c r="KXR37" s="2795"/>
      <c r="KXS37" s="2795"/>
      <c r="KXT37" s="2795"/>
      <c r="KXU37" s="2795"/>
      <c r="KXV37" s="2795"/>
      <c r="KXW37" s="2795"/>
      <c r="KXX37" s="2795"/>
      <c r="KXY37" s="2795"/>
      <c r="KXZ37" s="2795"/>
      <c r="KYA37" s="2795"/>
      <c r="KYB37" s="2795"/>
      <c r="KYC37" s="2795"/>
      <c r="KYD37" s="2795"/>
      <c r="KYE37" s="2795"/>
      <c r="KYF37" s="2795"/>
      <c r="KYG37" s="2795"/>
      <c r="KYH37" s="2795"/>
      <c r="KYI37" s="2795"/>
      <c r="KYJ37" s="2795"/>
      <c r="KYK37" s="2795"/>
      <c r="KYL37" s="2795"/>
      <c r="KYM37" s="2795"/>
      <c r="KYN37" s="2795"/>
      <c r="KYO37" s="2795"/>
      <c r="KYP37" s="2795"/>
      <c r="KYQ37" s="2795"/>
      <c r="KYR37" s="2795"/>
      <c r="KYS37" s="2795"/>
      <c r="KYT37" s="2795"/>
      <c r="KYU37" s="2795"/>
      <c r="KYV37" s="2795"/>
      <c r="KYW37" s="2795"/>
      <c r="KYX37" s="2795"/>
      <c r="KYY37" s="2795"/>
      <c r="KYZ37" s="2795"/>
      <c r="KZA37" s="2795"/>
      <c r="KZB37" s="2795"/>
      <c r="KZC37" s="2795"/>
      <c r="KZD37" s="2795"/>
      <c r="KZE37" s="2795"/>
      <c r="KZF37" s="2795"/>
      <c r="KZG37" s="2795"/>
      <c r="KZH37" s="2795"/>
      <c r="KZI37" s="2795"/>
      <c r="KZJ37" s="2795"/>
      <c r="KZK37" s="2795"/>
      <c r="KZL37" s="2795"/>
      <c r="KZM37" s="2795"/>
      <c r="KZN37" s="2795"/>
      <c r="KZO37" s="2795"/>
      <c r="KZP37" s="2795"/>
      <c r="KZQ37" s="2795"/>
      <c r="KZR37" s="2795"/>
      <c r="KZS37" s="2795"/>
      <c r="KZT37" s="2795"/>
      <c r="KZU37" s="2795"/>
      <c r="KZV37" s="2795"/>
      <c r="KZW37" s="2795"/>
      <c r="KZX37" s="2795"/>
      <c r="KZY37" s="2795"/>
      <c r="KZZ37" s="2795"/>
      <c r="LAA37" s="2795"/>
      <c r="LAB37" s="2795"/>
      <c r="LAC37" s="2795"/>
      <c r="LAD37" s="2795"/>
      <c r="LAE37" s="2795"/>
      <c r="LAF37" s="2795"/>
      <c r="LAG37" s="2795"/>
      <c r="LAH37" s="2795"/>
      <c r="LAI37" s="2795"/>
      <c r="LAJ37" s="2795"/>
      <c r="LAK37" s="2795"/>
      <c r="LAL37" s="2795"/>
      <c r="LAM37" s="2795"/>
      <c r="LAN37" s="2795"/>
      <c r="LAO37" s="2795"/>
      <c r="LAP37" s="2795"/>
      <c r="LAQ37" s="2795"/>
      <c r="LAR37" s="2795"/>
      <c r="LAS37" s="2795"/>
      <c r="LAT37" s="2795"/>
      <c r="LAU37" s="2795"/>
      <c r="LAV37" s="2795"/>
      <c r="LAW37" s="2795"/>
      <c r="LAX37" s="2795"/>
      <c r="LAY37" s="2795"/>
      <c r="LAZ37" s="2795"/>
      <c r="LBA37" s="2795"/>
      <c r="LBB37" s="2795"/>
      <c r="LBC37" s="2795"/>
      <c r="LBD37" s="2795"/>
      <c r="LBE37" s="2795"/>
      <c r="LBF37" s="2795"/>
      <c r="LBG37" s="2795"/>
      <c r="LBH37" s="2795"/>
      <c r="LBI37" s="2795"/>
      <c r="LBJ37" s="2795"/>
      <c r="LBK37" s="2795"/>
      <c r="LBL37" s="2795"/>
      <c r="LBM37" s="2795"/>
      <c r="LBN37" s="2795"/>
      <c r="LBO37" s="2795"/>
      <c r="LBP37" s="2795"/>
      <c r="LBQ37" s="2795"/>
      <c r="LBR37" s="2795"/>
      <c r="LBS37" s="2795"/>
      <c r="LBT37" s="2795"/>
      <c r="LBU37" s="2795"/>
      <c r="LBV37" s="2795"/>
      <c r="LBW37" s="2795"/>
      <c r="LBX37" s="2795"/>
      <c r="LBY37" s="2795"/>
      <c r="LBZ37" s="2795"/>
      <c r="LCA37" s="2795"/>
      <c r="LCB37" s="2795"/>
      <c r="LCC37" s="2795"/>
      <c r="LCD37" s="2795"/>
      <c r="LCE37" s="2795"/>
      <c r="LCF37" s="2795"/>
      <c r="LCG37" s="2795"/>
      <c r="LCH37" s="2795"/>
      <c r="LCI37" s="2795"/>
      <c r="LCJ37" s="2795"/>
      <c r="LCK37" s="2795"/>
      <c r="LCL37" s="2795"/>
      <c r="LCM37" s="2795"/>
      <c r="LCN37" s="2795"/>
      <c r="LCO37" s="2795"/>
      <c r="LCP37" s="2795"/>
      <c r="LCQ37" s="2795"/>
      <c r="LCR37" s="2795"/>
      <c r="LCS37" s="2795"/>
      <c r="LCT37" s="2795"/>
      <c r="LCU37" s="2795"/>
      <c r="LCV37" s="2795"/>
      <c r="LCW37" s="2795"/>
      <c r="LCX37" s="2795"/>
      <c r="LCY37" s="2795"/>
      <c r="LCZ37" s="2795"/>
      <c r="LDA37" s="2795"/>
      <c r="LDB37" s="2795"/>
      <c r="LDC37" s="2795"/>
      <c r="LDD37" s="2795"/>
      <c r="LDE37" s="2795"/>
      <c r="LDF37" s="2795"/>
      <c r="LDG37" s="2795"/>
      <c r="LDH37" s="2795"/>
      <c r="LDI37" s="2795"/>
      <c r="LDJ37" s="2795"/>
      <c r="LDK37" s="2795"/>
      <c r="LDL37" s="2795"/>
      <c r="LDM37" s="2795"/>
      <c r="LDN37" s="2795"/>
      <c r="LDO37" s="2795"/>
      <c r="LDP37" s="2795"/>
      <c r="LDQ37" s="2795"/>
      <c r="LDR37" s="2795"/>
      <c r="LDS37" s="2795"/>
      <c r="LDT37" s="2795"/>
      <c r="LDU37" s="2795"/>
      <c r="LDV37" s="2795"/>
      <c r="LDW37" s="2795"/>
      <c r="LDX37" s="2795"/>
      <c r="LDY37" s="2795"/>
      <c r="LDZ37" s="2795"/>
      <c r="LEA37" s="2795"/>
      <c r="LEB37" s="2795"/>
      <c r="LEC37" s="2795"/>
      <c r="LED37" s="2795"/>
      <c r="LEE37" s="2795"/>
      <c r="LEF37" s="2795"/>
      <c r="LEG37" s="2795"/>
      <c r="LEH37" s="2795"/>
      <c r="LEI37" s="2795"/>
      <c r="LEJ37" s="2795"/>
      <c r="LEK37" s="2795"/>
      <c r="LEL37" s="2795"/>
      <c r="LEM37" s="2795"/>
      <c r="LEN37" s="2795"/>
      <c r="LEO37" s="2795"/>
      <c r="LEP37" s="2795"/>
      <c r="LEQ37" s="2795"/>
      <c r="LER37" s="2795"/>
      <c r="LES37" s="2795"/>
      <c r="LET37" s="2795"/>
      <c r="LEU37" s="2795"/>
      <c r="LEV37" s="2795"/>
      <c r="LEW37" s="2795"/>
      <c r="LEX37" s="2795"/>
      <c r="LEY37" s="2795"/>
      <c r="LEZ37" s="2795"/>
      <c r="LFA37" s="2795"/>
      <c r="LFB37" s="2795"/>
      <c r="LFC37" s="2795"/>
      <c r="LFD37" s="2795"/>
      <c r="LFE37" s="2795"/>
      <c r="LFF37" s="2795"/>
      <c r="LFG37" s="2795"/>
      <c r="LFH37" s="2795"/>
      <c r="LFI37" s="2795"/>
      <c r="LFJ37" s="2795"/>
      <c r="LFK37" s="2795"/>
      <c r="LFL37" s="2795"/>
      <c r="LFM37" s="2795"/>
      <c r="LFN37" s="2795"/>
      <c r="LFO37" s="2795"/>
      <c r="LFP37" s="2795"/>
      <c r="LFQ37" s="2795"/>
      <c r="LFR37" s="2795"/>
      <c r="LFS37" s="2795"/>
      <c r="LFT37" s="2795"/>
      <c r="LFU37" s="2795"/>
      <c r="LFV37" s="2795"/>
      <c r="LFW37" s="2795"/>
      <c r="LFX37" s="2795"/>
      <c r="LFY37" s="2795"/>
      <c r="LFZ37" s="2795"/>
      <c r="LGA37" s="2795"/>
      <c r="LGB37" s="2795"/>
      <c r="LGC37" s="2795"/>
      <c r="LGD37" s="2795"/>
      <c r="LGE37" s="2795"/>
      <c r="LGF37" s="2795"/>
      <c r="LGG37" s="2795"/>
      <c r="LGH37" s="2795"/>
      <c r="LGI37" s="2795"/>
      <c r="LGJ37" s="2795"/>
      <c r="LGK37" s="2795"/>
      <c r="LGL37" s="2795"/>
      <c r="LGM37" s="2795"/>
      <c r="LGN37" s="2795"/>
      <c r="LGO37" s="2795"/>
      <c r="LGP37" s="2795"/>
      <c r="LGQ37" s="2795"/>
      <c r="LGR37" s="2795"/>
      <c r="LGS37" s="2795"/>
      <c r="LGT37" s="2795"/>
      <c r="LGU37" s="2795"/>
      <c r="LGV37" s="2795"/>
      <c r="LGW37" s="2795"/>
      <c r="LGX37" s="2795"/>
      <c r="LGY37" s="2795"/>
      <c r="LGZ37" s="2795"/>
      <c r="LHA37" s="2795"/>
      <c r="LHB37" s="2795"/>
      <c r="LHC37" s="2795"/>
      <c r="LHD37" s="2795"/>
      <c r="LHE37" s="2795"/>
      <c r="LHF37" s="2795"/>
      <c r="LHG37" s="2795"/>
      <c r="LHH37" s="2795"/>
      <c r="LHI37" s="2795"/>
      <c r="LHJ37" s="2795"/>
      <c r="LHK37" s="2795"/>
      <c r="LHL37" s="2795"/>
      <c r="LHM37" s="2795"/>
      <c r="LHN37" s="2795"/>
      <c r="LHO37" s="2795"/>
      <c r="LHP37" s="2795"/>
      <c r="LHQ37" s="2795"/>
      <c r="LHR37" s="2795"/>
      <c r="LHS37" s="2795"/>
      <c r="LHT37" s="2795"/>
      <c r="LHU37" s="2795"/>
      <c r="LHV37" s="2795"/>
      <c r="LHW37" s="2795"/>
      <c r="LHX37" s="2795"/>
      <c r="LHY37" s="2795"/>
      <c r="LHZ37" s="2795"/>
      <c r="LIA37" s="2795"/>
      <c r="LIB37" s="2795"/>
      <c r="LIC37" s="2795"/>
      <c r="LID37" s="2795"/>
      <c r="LIE37" s="2795"/>
      <c r="LIF37" s="2795"/>
      <c r="LIG37" s="2795"/>
      <c r="LIH37" s="2795"/>
      <c r="LII37" s="2795"/>
      <c r="LIJ37" s="2795"/>
      <c r="LIK37" s="2795"/>
      <c r="LIL37" s="2795"/>
      <c r="LIM37" s="2795"/>
      <c r="LIN37" s="2795"/>
      <c r="LIO37" s="2795"/>
      <c r="LIP37" s="2795"/>
      <c r="LIQ37" s="2795"/>
      <c r="LIR37" s="2795"/>
      <c r="LIS37" s="2795"/>
      <c r="LIT37" s="2795"/>
      <c r="LIU37" s="2795"/>
      <c r="LIV37" s="2795"/>
      <c r="LIW37" s="2795"/>
      <c r="LIX37" s="2795"/>
      <c r="LIY37" s="2795"/>
      <c r="LIZ37" s="2795"/>
      <c r="LJA37" s="2795"/>
      <c r="LJB37" s="2795"/>
      <c r="LJC37" s="2795"/>
      <c r="LJD37" s="2795"/>
      <c r="LJE37" s="2795"/>
      <c r="LJF37" s="2795"/>
      <c r="LJG37" s="2795"/>
      <c r="LJH37" s="2795"/>
      <c r="LJI37" s="2795"/>
      <c r="LJJ37" s="2795"/>
      <c r="LJK37" s="2795"/>
      <c r="LJL37" s="2795"/>
      <c r="LJM37" s="2795"/>
      <c r="LJN37" s="2795"/>
      <c r="LJO37" s="2795"/>
      <c r="LJP37" s="2795"/>
      <c r="LJQ37" s="2795"/>
      <c r="LJR37" s="2795"/>
      <c r="LJS37" s="2795"/>
      <c r="LJT37" s="2795"/>
      <c r="LJU37" s="2795"/>
      <c r="LJV37" s="2795"/>
      <c r="LJW37" s="2795"/>
      <c r="LJX37" s="2795"/>
      <c r="LJY37" s="2795"/>
      <c r="LJZ37" s="2795"/>
      <c r="LKA37" s="2795"/>
      <c r="LKB37" s="2795"/>
      <c r="LKC37" s="2795"/>
      <c r="LKD37" s="2795"/>
      <c r="LKE37" s="2795"/>
      <c r="LKF37" s="2795"/>
      <c r="LKG37" s="2795"/>
      <c r="LKH37" s="2795"/>
      <c r="LKI37" s="2795"/>
      <c r="LKJ37" s="2795"/>
      <c r="LKK37" s="2795"/>
      <c r="LKL37" s="2795"/>
      <c r="LKM37" s="2795"/>
      <c r="LKN37" s="2795"/>
      <c r="LKO37" s="2795"/>
      <c r="LKP37" s="2795"/>
      <c r="LKQ37" s="2795"/>
      <c r="LKR37" s="2795"/>
      <c r="LKS37" s="2795"/>
      <c r="LKT37" s="2795"/>
      <c r="LKU37" s="2795"/>
      <c r="LKV37" s="2795"/>
      <c r="LKW37" s="2795"/>
      <c r="LKX37" s="2795"/>
      <c r="LKY37" s="2795"/>
      <c r="LKZ37" s="2795"/>
      <c r="LLA37" s="2795"/>
      <c r="LLB37" s="2795"/>
      <c r="LLC37" s="2795"/>
      <c r="LLD37" s="2795"/>
      <c r="LLE37" s="2795"/>
      <c r="LLF37" s="2795"/>
      <c r="LLG37" s="2795"/>
      <c r="LLH37" s="2795"/>
      <c r="LLI37" s="2795"/>
      <c r="LLJ37" s="2795"/>
      <c r="LLK37" s="2795"/>
      <c r="LLL37" s="2795"/>
      <c r="LLM37" s="2795"/>
      <c r="LLN37" s="2795"/>
      <c r="LLO37" s="2795"/>
      <c r="LLP37" s="2795"/>
      <c r="LLQ37" s="2795"/>
      <c r="LLR37" s="2795"/>
      <c r="LLS37" s="2795"/>
      <c r="LLT37" s="2795"/>
      <c r="LLU37" s="2795"/>
      <c r="LLV37" s="2795"/>
      <c r="LLW37" s="2795"/>
      <c r="LLX37" s="2795"/>
      <c r="LLY37" s="2795"/>
      <c r="LLZ37" s="2795"/>
      <c r="LMA37" s="2795"/>
      <c r="LMB37" s="2795"/>
      <c r="LMC37" s="2795"/>
      <c r="LMD37" s="2795"/>
      <c r="LME37" s="2795"/>
      <c r="LMF37" s="2795"/>
      <c r="LMG37" s="2795"/>
      <c r="LMH37" s="2795"/>
      <c r="LMI37" s="2795"/>
      <c r="LMJ37" s="2795"/>
      <c r="LMK37" s="2795"/>
      <c r="LML37" s="2795"/>
      <c r="LMM37" s="2795"/>
      <c r="LMN37" s="2795"/>
      <c r="LMO37" s="2795"/>
      <c r="LMP37" s="2795"/>
      <c r="LMQ37" s="2795"/>
      <c r="LMR37" s="2795"/>
      <c r="LMS37" s="2795"/>
      <c r="LMT37" s="2795"/>
      <c r="LMU37" s="2795"/>
      <c r="LMV37" s="2795"/>
      <c r="LMW37" s="2795"/>
      <c r="LMX37" s="2795"/>
      <c r="LMY37" s="2795"/>
      <c r="LMZ37" s="2795"/>
      <c r="LNA37" s="2795"/>
      <c r="LNB37" s="2795"/>
      <c r="LNC37" s="2795"/>
      <c r="LND37" s="2795"/>
      <c r="LNE37" s="2795"/>
      <c r="LNF37" s="2795"/>
      <c r="LNG37" s="2795"/>
      <c r="LNH37" s="2795"/>
      <c r="LNI37" s="2795"/>
      <c r="LNJ37" s="2795"/>
      <c r="LNK37" s="2795"/>
      <c r="LNL37" s="2795"/>
      <c r="LNM37" s="2795"/>
      <c r="LNN37" s="2795"/>
      <c r="LNO37" s="2795"/>
      <c r="LNP37" s="2795"/>
      <c r="LNQ37" s="2795"/>
      <c r="LNR37" s="2795"/>
      <c r="LNS37" s="2795"/>
      <c r="LNT37" s="2795"/>
      <c r="LNU37" s="2795"/>
      <c r="LNV37" s="2795"/>
      <c r="LNW37" s="2795"/>
      <c r="LNX37" s="2795"/>
      <c r="LNY37" s="2795"/>
      <c r="LNZ37" s="2795"/>
      <c r="LOA37" s="2795"/>
      <c r="LOB37" s="2795"/>
      <c r="LOC37" s="2795"/>
      <c r="LOD37" s="2795"/>
      <c r="LOE37" s="2795"/>
      <c r="LOF37" s="2795"/>
      <c r="LOG37" s="2795"/>
      <c r="LOH37" s="2795"/>
      <c r="LOI37" s="2795"/>
      <c r="LOJ37" s="2795"/>
      <c r="LOK37" s="2795"/>
      <c r="LOL37" s="2795"/>
      <c r="LOM37" s="2795"/>
      <c r="LON37" s="2795"/>
      <c r="LOO37" s="2795"/>
      <c r="LOP37" s="2795"/>
      <c r="LOQ37" s="2795"/>
      <c r="LOR37" s="2795"/>
      <c r="LOS37" s="2795"/>
      <c r="LOT37" s="2795"/>
      <c r="LOU37" s="2795"/>
      <c r="LOV37" s="2795"/>
      <c r="LOW37" s="2795"/>
      <c r="LOX37" s="2795"/>
      <c r="LOY37" s="2795"/>
      <c r="LOZ37" s="2795"/>
      <c r="LPA37" s="2795"/>
      <c r="LPB37" s="2795"/>
      <c r="LPC37" s="2795"/>
      <c r="LPD37" s="2795"/>
      <c r="LPE37" s="2795"/>
      <c r="LPF37" s="2795"/>
      <c r="LPG37" s="2795"/>
      <c r="LPH37" s="2795"/>
      <c r="LPI37" s="2795"/>
      <c r="LPJ37" s="2795"/>
      <c r="LPK37" s="2795"/>
      <c r="LPL37" s="2795"/>
      <c r="LPM37" s="2795"/>
      <c r="LPN37" s="2795"/>
      <c r="LPO37" s="2795"/>
      <c r="LPP37" s="2795"/>
      <c r="LPQ37" s="2795"/>
      <c r="LPR37" s="2795"/>
      <c r="LPS37" s="2795"/>
      <c r="LPT37" s="2795"/>
      <c r="LPU37" s="2795"/>
      <c r="LPV37" s="2795"/>
      <c r="LPW37" s="2795"/>
      <c r="LPX37" s="2795"/>
      <c r="LPY37" s="2795"/>
      <c r="LPZ37" s="2795"/>
      <c r="LQA37" s="2795"/>
      <c r="LQB37" s="2795"/>
      <c r="LQC37" s="2795"/>
      <c r="LQD37" s="2795"/>
      <c r="LQE37" s="2795"/>
      <c r="LQF37" s="2795"/>
      <c r="LQG37" s="2795"/>
      <c r="LQH37" s="2795"/>
      <c r="LQI37" s="2795"/>
      <c r="LQJ37" s="2795"/>
      <c r="LQK37" s="2795"/>
      <c r="LQL37" s="2795"/>
      <c r="LQM37" s="2795"/>
      <c r="LQN37" s="2795"/>
      <c r="LQO37" s="2795"/>
      <c r="LQP37" s="2795"/>
      <c r="LQQ37" s="2795"/>
      <c r="LQR37" s="2795"/>
      <c r="LQS37" s="2795"/>
      <c r="LQT37" s="2795"/>
      <c r="LQU37" s="2795"/>
      <c r="LQV37" s="2795"/>
      <c r="LQW37" s="2795"/>
      <c r="LQX37" s="2795"/>
      <c r="LQY37" s="2795"/>
      <c r="LQZ37" s="2795"/>
      <c r="LRA37" s="2795"/>
      <c r="LRB37" s="2795"/>
      <c r="LRC37" s="2795"/>
      <c r="LRD37" s="2795"/>
      <c r="LRE37" s="2795"/>
      <c r="LRF37" s="2795"/>
      <c r="LRG37" s="2795"/>
      <c r="LRH37" s="2795"/>
      <c r="LRI37" s="2795"/>
      <c r="LRJ37" s="2795"/>
      <c r="LRK37" s="2795"/>
      <c r="LRL37" s="2795"/>
      <c r="LRM37" s="2795"/>
      <c r="LRN37" s="2795"/>
      <c r="LRO37" s="2795"/>
      <c r="LRP37" s="2795"/>
      <c r="LRQ37" s="2795"/>
      <c r="LRR37" s="2795"/>
      <c r="LRS37" s="2795"/>
      <c r="LRT37" s="2795"/>
      <c r="LRU37" s="2795"/>
      <c r="LRV37" s="2795"/>
      <c r="LRW37" s="2795"/>
      <c r="LRX37" s="2795"/>
      <c r="LRY37" s="2795"/>
      <c r="LRZ37" s="2795"/>
      <c r="LSA37" s="2795"/>
      <c r="LSB37" s="2795"/>
      <c r="LSC37" s="2795"/>
      <c r="LSD37" s="2795"/>
      <c r="LSE37" s="2795"/>
      <c r="LSF37" s="2795"/>
      <c r="LSG37" s="2795"/>
      <c r="LSH37" s="2795"/>
      <c r="LSI37" s="2795"/>
      <c r="LSJ37" s="2795"/>
      <c r="LSK37" s="2795"/>
      <c r="LSL37" s="2795"/>
      <c r="LSM37" s="2795"/>
      <c r="LSN37" s="2795"/>
      <c r="LSO37" s="2795"/>
      <c r="LSP37" s="2795"/>
      <c r="LSQ37" s="2795"/>
      <c r="LSR37" s="2795"/>
      <c r="LSS37" s="2795"/>
      <c r="LST37" s="2795"/>
      <c r="LSU37" s="2795"/>
      <c r="LSV37" s="2795"/>
      <c r="LSW37" s="2795"/>
      <c r="LSX37" s="2795"/>
      <c r="LSY37" s="2795"/>
      <c r="LSZ37" s="2795"/>
      <c r="LTA37" s="2795"/>
      <c r="LTB37" s="2795"/>
      <c r="LTC37" s="2795"/>
      <c r="LTD37" s="2795"/>
      <c r="LTE37" s="2795"/>
      <c r="LTF37" s="2795"/>
      <c r="LTG37" s="2795"/>
      <c r="LTH37" s="2795"/>
      <c r="LTI37" s="2795"/>
      <c r="LTJ37" s="2795"/>
      <c r="LTK37" s="2795"/>
      <c r="LTL37" s="2795"/>
      <c r="LTM37" s="2795"/>
      <c r="LTN37" s="2795"/>
      <c r="LTO37" s="2795"/>
      <c r="LTP37" s="2795"/>
      <c r="LTQ37" s="2795"/>
      <c r="LTR37" s="2795"/>
      <c r="LTS37" s="2795"/>
      <c r="LTT37" s="2795"/>
      <c r="LTU37" s="2795"/>
      <c r="LTV37" s="2795"/>
      <c r="LTW37" s="2795"/>
      <c r="LTX37" s="2795"/>
      <c r="LTY37" s="2795"/>
      <c r="LTZ37" s="2795"/>
      <c r="LUA37" s="2795"/>
      <c r="LUB37" s="2795"/>
      <c r="LUC37" s="2795"/>
      <c r="LUD37" s="2795"/>
      <c r="LUE37" s="2795"/>
      <c r="LUF37" s="2795"/>
      <c r="LUG37" s="2795"/>
      <c r="LUH37" s="2795"/>
      <c r="LUI37" s="2795"/>
      <c r="LUJ37" s="2795"/>
      <c r="LUK37" s="2795"/>
      <c r="LUL37" s="2795"/>
      <c r="LUM37" s="2795"/>
      <c r="LUN37" s="2795"/>
      <c r="LUO37" s="2795"/>
      <c r="LUP37" s="2795"/>
      <c r="LUQ37" s="2795"/>
      <c r="LUR37" s="2795"/>
      <c r="LUS37" s="2795"/>
      <c r="LUT37" s="2795"/>
      <c r="LUU37" s="2795"/>
      <c r="LUV37" s="2795"/>
      <c r="LUW37" s="2795"/>
      <c r="LUX37" s="2795"/>
      <c r="LUY37" s="2795"/>
      <c r="LUZ37" s="2795"/>
      <c r="LVA37" s="2795"/>
      <c r="LVB37" s="2795"/>
      <c r="LVC37" s="2795"/>
      <c r="LVD37" s="2795"/>
      <c r="LVE37" s="2795"/>
      <c r="LVF37" s="2795"/>
      <c r="LVG37" s="2795"/>
      <c r="LVH37" s="2795"/>
      <c r="LVI37" s="2795"/>
      <c r="LVJ37" s="2795"/>
      <c r="LVK37" s="2795"/>
      <c r="LVL37" s="2795"/>
      <c r="LVM37" s="2795"/>
      <c r="LVN37" s="2795"/>
      <c r="LVO37" s="2795"/>
      <c r="LVP37" s="2795"/>
      <c r="LVQ37" s="2795"/>
      <c r="LVR37" s="2795"/>
      <c r="LVS37" s="2795"/>
      <c r="LVT37" s="2795"/>
      <c r="LVU37" s="2795"/>
      <c r="LVV37" s="2795"/>
      <c r="LVW37" s="2795"/>
      <c r="LVX37" s="2795"/>
      <c r="LVY37" s="2795"/>
      <c r="LVZ37" s="2795"/>
      <c r="LWA37" s="2795"/>
      <c r="LWB37" s="2795"/>
      <c r="LWC37" s="2795"/>
      <c r="LWD37" s="2795"/>
      <c r="LWE37" s="2795"/>
      <c r="LWF37" s="2795"/>
      <c r="LWG37" s="2795"/>
      <c r="LWH37" s="2795"/>
      <c r="LWI37" s="2795"/>
      <c r="LWJ37" s="2795"/>
      <c r="LWK37" s="2795"/>
      <c r="LWL37" s="2795"/>
      <c r="LWM37" s="2795"/>
      <c r="LWN37" s="2795"/>
      <c r="LWO37" s="2795"/>
      <c r="LWP37" s="2795"/>
      <c r="LWQ37" s="2795"/>
      <c r="LWR37" s="2795"/>
      <c r="LWS37" s="2795"/>
      <c r="LWT37" s="2795"/>
      <c r="LWU37" s="2795"/>
      <c r="LWV37" s="2795"/>
      <c r="LWW37" s="2795"/>
      <c r="LWX37" s="2795"/>
      <c r="LWY37" s="2795"/>
      <c r="LWZ37" s="2795"/>
      <c r="LXA37" s="2795"/>
      <c r="LXB37" s="2795"/>
      <c r="LXC37" s="2795"/>
      <c r="LXD37" s="2795"/>
      <c r="LXE37" s="2795"/>
      <c r="LXF37" s="2795"/>
      <c r="LXG37" s="2795"/>
      <c r="LXH37" s="2795"/>
      <c r="LXI37" s="2795"/>
      <c r="LXJ37" s="2795"/>
      <c r="LXK37" s="2795"/>
      <c r="LXL37" s="2795"/>
      <c r="LXM37" s="2795"/>
      <c r="LXN37" s="2795"/>
      <c r="LXO37" s="2795"/>
      <c r="LXP37" s="2795"/>
      <c r="LXQ37" s="2795"/>
      <c r="LXR37" s="2795"/>
      <c r="LXS37" s="2795"/>
      <c r="LXT37" s="2795"/>
      <c r="LXU37" s="2795"/>
      <c r="LXV37" s="2795"/>
      <c r="LXW37" s="2795"/>
      <c r="LXX37" s="2795"/>
      <c r="LXY37" s="2795"/>
      <c r="LXZ37" s="2795"/>
      <c r="LYA37" s="2795"/>
      <c r="LYB37" s="2795"/>
      <c r="LYC37" s="2795"/>
      <c r="LYD37" s="2795"/>
      <c r="LYE37" s="2795"/>
      <c r="LYF37" s="2795"/>
      <c r="LYG37" s="2795"/>
      <c r="LYH37" s="2795"/>
      <c r="LYI37" s="2795"/>
      <c r="LYJ37" s="2795"/>
      <c r="LYK37" s="2795"/>
      <c r="LYL37" s="2795"/>
      <c r="LYM37" s="2795"/>
      <c r="LYN37" s="2795"/>
      <c r="LYO37" s="2795"/>
      <c r="LYP37" s="2795"/>
      <c r="LYQ37" s="2795"/>
      <c r="LYR37" s="2795"/>
      <c r="LYS37" s="2795"/>
      <c r="LYT37" s="2795"/>
      <c r="LYU37" s="2795"/>
      <c r="LYV37" s="2795"/>
      <c r="LYW37" s="2795"/>
      <c r="LYX37" s="2795"/>
      <c r="LYY37" s="2795"/>
      <c r="LYZ37" s="2795"/>
      <c r="LZA37" s="2795"/>
      <c r="LZB37" s="2795"/>
      <c r="LZC37" s="2795"/>
      <c r="LZD37" s="2795"/>
      <c r="LZE37" s="2795"/>
      <c r="LZF37" s="2795"/>
      <c r="LZG37" s="2795"/>
      <c r="LZH37" s="2795"/>
      <c r="LZI37" s="2795"/>
      <c r="LZJ37" s="2795"/>
      <c r="LZK37" s="2795"/>
      <c r="LZL37" s="2795"/>
      <c r="LZM37" s="2795"/>
      <c r="LZN37" s="2795"/>
      <c r="LZO37" s="2795"/>
      <c r="LZP37" s="2795"/>
      <c r="LZQ37" s="2795"/>
      <c r="LZR37" s="2795"/>
      <c r="LZS37" s="2795"/>
      <c r="LZT37" s="2795"/>
      <c r="LZU37" s="2795"/>
      <c r="LZV37" s="2795"/>
      <c r="LZW37" s="2795"/>
      <c r="LZX37" s="2795"/>
      <c r="LZY37" s="2795"/>
      <c r="LZZ37" s="2795"/>
      <c r="MAA37" s="2795"/>
      <c r="MAB37" s="2795"/>
      <c r="MAC37" s="2795"/>
      <c r="MAD37" s="2795"/>
      <c r="MAE37" s="2795"/>
      <c r="MAF37" s="2795"/>
      <c r="MAG37" s="2795"/>
      <c r="MAH37" s="2795"/>
      <c r="MAI37" s="2795"/>
      <c r="MAJ37" s="2795"/>
      <c r="MAK37" s="2795"/>
      <c r="MAL37" s="2795"/>
      <c r="MAM37" s="2795"/>
      <c r="MAN37" s="2795"/>
      <c r="MAO37" s="2795"/>
      <c r="MAP37" s="2795"/>
      <c r="MAQ37" s="2795"/>
      <c r="MAR37" s="2795"/>
      <c r="MAS37" s="2795"/>
      <c r="MAT37" s="2795"/>
      <c r="MAU37" s="2795"/>
      <c r="MAV37" s="2795"/>
      <c r="MAW37" s="2795"/>
      <c r="MAX37" s="2795"/>
      <c r="MAY37" s="2795"/>
      <c r="MAZ37" s="2795"/>
      <c r="MBA37" s="2795"/>
      <c r="MBB37" s="2795"/>
      <c r="MBC37" s="2795"/>
      <c r="MBD37" s="2795"/>
      <c r="MBE37" s="2795"/>
      <c r="MBF37" s="2795"/>
      <c r="MBG37" s="2795"/>
      <c r="MBH37" s="2795"/>
      <c r="MBI37" s="2795"/>
      <c r="MBJ37" s="2795"/>
      <c r="MBK37" s="2795"/>
      <c r="MBL37" s="2795"/>
      <c r="MBM37" s="2795"/>
      <c r="MBN37" s="2795"/>
      <c r="MBO37" s="2795"/>
      <c r="MBP37" s="2795"/>
      <c r="MBQ37" s="2795"/>
      <c r="MBR37" s="2795"/>
      <c r="MBS37" s="2795"/>
      <c r="MBT37" s="2795"/>
      <c r="MBU37" s="2795"/>
      <c r="MBV37" s="2795"/>
      <c r="MBW37" s="2795"/>
      <c r="MBX37" s="2795"/>
      <c r="MBY37" s="2795"/>
      <c r="MBZ37" s="2795"/>
      <c r="MCA37" s="2795"/>
      <c r="MCB37" s="2795"/>
      <c r="MCC37" s="2795"/>
      <c r="MCD37" s="2795"/>
      <c r="MCE37" s="2795"/>
      <c r="MCF37" s="2795"/>
      <c r="MCG37" s="2795"/>
      <c r="MCH37" s="2795"/>
      <c r="MCI37" s="2795"/>
      <c r="MCJ37" s="2795"/>
      <c r="MCK37" s="2795"/>
      <c r="MCL37" s="2795"/>
      <c r="MCM37" s="2795"/>
      <c r="MCN37" s="2795"/>
      <c r="MCO37" s="2795"/>
      <c r="MCP37" s="2795"/>
      <c r="MCQ37" s="2795"/>
      <c r="MCR37" s="2795"/>
      <c r="MCS37" s="2795"/>
      <c r="MCT37" s="2795"/>
      <c r="MCU37" s="2795"/>
      <c r="MCV37" s="2795"/>
      <c r="MCW37" s="2795"/>
      <c r="MCX37" s="2795"/>
      <c r="MCY37" s="2795"/>
      <c r="MCZ37" s="2795"/>
      <c r="MDA37" s="2795"/>
      <c r="MDB37" s="2795"/>
      <c r="MDC37" s="2795"/>
      <c r="MDD37" s="2795"/>
      <c r="MDE37" s="2795"/>
      <c r="MDF37" s="2795"/>
      <c r="MDG37" s="2795"/>
      <c r="MDH37" s="2795"/>
      <c r="MDI37" s="2795"/>
      <c r="MDJ37" s="2795"/>
      <c r="MDK37" s="2795"/>
      <c r="MDL37" s="2795"/>
      <c r="MDM37" s="2795"/>
      <c r="MDN37" s="2795"/>
      <c r="MDO37" s="2795"/>
      <c r="MDP37" s="2795"/>
      <c r="MDQ37" s="2795"/>
      <c r="MDR37" s="2795"/>
      <c r="MDS37" s="2795"/>
      <c r="MDT37" s="2795"/>
      <c r="MDU37" s="2795"/>
      <c r="MDV37" s="2795"/>
      <c r="MDW37" s="2795"/>
      <c r="MDX37" s="2795"/>
      <c r="MDY37" s="2795"/>
      <c r="MDZ37" s="2795"/>
      <c r="MEA37" s="2795"/>
      <c r="MEB37" s="2795"/>
      <c r="MEC37" s="2795"/>
      <c r="MED37" s="2795"/>
      <c r="MEE37" s="2795"/>
      <c r="MEF37" s="2795"/>
      <c r="MEG37" s="2795"/>
      <c r="MEH37" s="2795"/>
      <c r="MEI37" s="2795"/>
      <c r="MEJ37" s="2795"/>
      <c r="MEK37" s="2795"/>
      <c r="MEL37" s="2795"/>
      <c r="MEM37" s="2795"/>
      <c r="MEN37" s="2795"/>
      <c r="MEO37" s="2795"/>
      <c r="MEP37" s="2795"/>
      <c r="MEQ37" s="2795"/>
      <c r="MER37" s="2795"/>
      <c r="MES37" s="2795"/>
      <c r="MET37" s="2795"/>
      <c r="MEU37" s="2795"/>
      <c r="MEV37" s="2795"/>
      <c r="MEW37" s="2795"/>
      <c r="MEX37" s="2795"/>
      <c r="MEY37" s="2795"/>
      <c r="MEZ37" s="2795"/>
      <c r="MFA37" s="2795"/>
      <c r="MFB37" s="2795"/>
      <c r="MFC37" s="2795"/>
      <c r="MFD37" s="2795"/>
      <c r="MFE37" s="2795"/>
      <c r="MFF37" s="2795"/>
      <c r="MFG37" s="2795"/>
      <c r="MFH37" s="2795"/>
      <c r="MFI37" s="2795"/>
      <c r="MFJ37" s="2795"/>
      <c r="MFK37" s="2795"/>
      <c r="MFL37" s="2795"/>
      <c r="MFM37" s="2795"/>
      <c r="MFN37" s="2795"/>
      <c r="MFO37" s="2795"/>
      <c r="MFP37" s="2795"/>
      <c r="MFQ37" s="2795"/>
      <c r="MFR37" s="2795"/>
      <c r="MFS37" s="2795"/>
      <c r="MFT37" s="2795"/>
      <c r="MFU37" s="2795"/>
      <c r="MFV37" s="2795"/>
      <c r="MFW37" s="2795"/>
      <c r="MFX37" s="2795"/>
      <c r="MFY37" s="2795"/>
      <c r="MFZ37" s="2795"/>
      <c r="MGA37" s="2795"/>
      <c r="MGB37" s="2795"/>
      <c r="MGC37" s="2795"/>
      <c r="MGD37" s="2795"/>
      <c r="MGE37" s="2795"/>
      <c r="MGF37" s="2795"/>
      <c r="MGG37" s="2795"/>
      <c r="MGH37" s="2795"/>
      <c r="MGI37" s="2795"/>
      <c r="MGJ37" s="2795"/>
      <c r="MGK37" s="2795"/>
      <c r="MGL37" s="2795"/>
      <c r="MGM37" s="2795"/>
      <c r="MGN37" s="2795"/>
      <c r="MGO37" s="2795"/>
      <c r="MGP37" s="2795"/>
      <c r="MGQ37" s="2795"/>
      <c r="MGR37" s="2795"/>
      <c r="MGS37" s="2795"/>
      <c r="MGT37" s="2795"/>
      <c r="MGU37" s="2795"/>
      <c r="MGV37" s="2795"/>
      <c r="MGW37" s="2795"/>
      <c r="MGX37" s="2795"/>
      <c r="MGY37" s="2795"/>
      <c r="MGZ37" s="2795"/>
      <c r="MHA37" s="2795"/>
      <c r="MHB37" s="2795"/>
      <c r="MHC37" s="2795"/>
      <c r="MHD37" s="2795"/>
      <c r="MHE37" s="2795"/>
      <c r="MHF37" s="2795"/>
      <c r="MHG37" s="2795"/>
      <c r="MHH37" s="2795"/>
      <c r="MHI37" s="2795"/>
      <c r="MHJ37" s="2795"/>
      <c r="MHK37" s="2795"/>
      <c r="MHL37" s="2795"/>
      <c r="MHM37" s="2795"/>
      <c r="MHN37" s="2795"/>
      <c r="MHO37" s="2795"/>
      <c r="MHP37" s="2795"/>
      <c r="MHQ37" s="2795"/>
      <c r="MHR37" s="2795"/>
      <c r="MHS37" s="2795"/>
      <c r="MHT37" s="2795"/>
      <c r="MHU37" s="2795"/>
      <c r="MHV37" s="2795"/>
      <c r="MHW37" s="2795"/>
      <c r="MHX37" s="2795"/>
      <c r="MHY37" s="2795"/>
      <c r="MHZ37" s="2795"/>
      <c r="MIA37" s="2795"/>
      <c r="MIB37" s="2795"/>
      <c r="MIC37" s="2795"/>
      <c r="MID37" s="2795"/>
      <c r="MIE37" s="2795"/>
      <c r="MIF37" s="2795"/>
      <c r="MIG37" s="2795"/>
      <c r="MIH37" s="2795"/>
      <c r="MII37" s="2795"/>
      <c r="MIJ37" s="2795"/>
      <c r="MIK37" s="2795"/>
      <c r="MIL37" s="2795"/>
      <c r="MIM37" s="2795"/>
      <c r="MIN37" s="2795"/>
      <c r="MIO37" s="2795"/>
      <c r="MIP37" s="2795"/>
      <c r="MIQ37" s="2795"/>
      <c r="MIR37" s="2795"/>
      <c r="MIS37" s="2795"/>
      <c r="MIT37" s="2795"/>
      <c r="MIU37" s="2795"/>
      <c r="MIV37" s="2795"/>
      <c r="MIW37" s="2795"/>
      <c r="MIX37" s="2795"/>
      <c r="MIY37" s="2795"/>
      <c r="MIZ37" s="2795"/>
      <c r="MJA37" s="2795"/>
      <c r="MJB37" s="2795"/>
      <c r="MJC37" s="2795"/>
      <c r="MJD37" s="2795"/>
      <c r="MJE37" s="2795"/>
      <c r="MJF37" s="2795"/>
      <c r="MJG37" s="2795"/>
      <c r="MJH37" s="2795"/>
      <c r="MJI37" s="2795"/>
      <c r="MJJ37" s="2795"/>
      <c r="MJK37" s="2795"/>
      <c r="MJL37" s="2795"/>
      <c r="MJM37" s="2795"/>
      <c r="MJN37" s="2795"/>
      <c r="MJO37" s="2795"/>
      <c r="MJP37" s="2795"/>
      <c r="MJQ37" s="2795"/>
      <c r="MJR37" s="2795"/>
      <c r="MJS37" s="2795"/>
      <c r="MJT37" s="2795"/>
      <c r="MJU37" s="2795"/>
      <c r="MJV37" s="2795"/>
      <c r="MJW37" s="2795"/>
      <c r="MJX37" s="2795"/>
      <c r="MJY37" s="2795"/>
      <c r="MJZ37" s="2795"/>
      <c r="MKA37" s="2795"/>
      <c r="MKB37" s="2795"/>
      <c r="MKC37" s="2795"/>
      <c r="MKD37" s="2795"/>
      <c r="MKE37" s="2795"/>
      <c r="MKF37" s="2795"/>
      <c r="MKG37" s="2795"/>
      <c r="MKH37" s="2795"/>
      <c r="MKI37" s="2795"/>
      <c r="MKJ37" s="2795"/>
      <c r="MKK37" s="2795"/>
      <c r="MKL37" s="2795"/>
      <c r="MKM37" s="2795"/>
      <c r="MKN37" s="2795"/>
      <c r="MKO37" s="2795"/>
      <c r="MKP37" s="2795"/>
      <c r="MKQ37" s="2795"/>
      <c r="MKR37" s="2795"/>
      <c r="MKS37" s="2795"/>
      <c r="MKT37" s="2795"/>
      <c r="MKU37" s="2795"/>
      <c r="MKV37" s="2795"/>
      <c r="MKW37" s="2795"/>
      <c r="MKX37" s="2795"/>
      <c r="MKY37" s="2795"/>
      <c r="MKZ37" s="2795"/>
      <c r="MLA37" s="2795"/>
      <c r="MLB37" s="2795"/>
      <c r="MLC37" s="2795"/>
      <c r="MLD37" s="2795"/>
      <c r="MLE37" s="2795"/>
      <c r="MLF37" s="2795"/>
      <c r="MLG37" s="2795"/>
      <c r="MLH37" s="2795"/>
      <c r="MLI37" s="2795"/>
      <c r="MLJ37" s="2795"/>
      <c r="MLK37" s="2795"/>
      <c r="MLL37" s="2795"/>
      <c r="MLM37" s="2795"/>
      <c r="MLN37" s="2795"/>
      <c r="MLO37" s="2795"/>
      <c r="MLP37" s="2795"/>
      <c r="MLQ37" s="2795"/>
      <c r="MLR37" s="2795"/>
      <c r="MLS37" s="2795"/>
      <c r="MLT37" s="2795"/>
      <c r="MLU37" s="2795"/>
      <c r="MLV37" s="2795"/>
      <c r="MLW37" s="2795"/>
      <c r="MLX37" s="2795"/>
      <c r="MLY37" s="2795"/>
      <c r="MLZ37" s="2795"/>
      <c r="MMA37" s="2795"/>
      <c r="MMB37" s="2795"/>
      <c r="MMC37" s="2795"/>
      <c r="MMD37" s="2795"/>
      <c r="MME37" s="2795"/>
      <c r="MMF37" s="2795"/>
      <c r="MMG37" s="2795"/>
      <c r="MMH37" s="2795"/>
      <c r="MMI37" s="2795"/>
      <c r="MMJ37" s="2795"/>
      <c r="MMK37" s="2795"/>
      <c r="MML37" s="2795"/>
      <c r="MMM37" s="2795"/>
      <c r="MMN37" s="2795"/>
      <c r="MMO37" s="2795"/>
      <c r="MMP37" s="2795"/>
      <c r="MMQ37" s="2795"/>
      <c r="MMR37" s="2795"/>
      <c r="MMS37" s="2795"/>
      <c r="MMT37" s="2795"/>
      <c r="MMU37" s="2795"/>
      <c r="MMV37" s="2795"/>
      <c r="MMW37" s="2795"/>
      <c r="MMX37" s="2795"/>
      <c r="MMY37" s="2795"/>
      <c r="MMZ37" s="2795"/>
      <c r="MNA37" s="2795"/>
      <c r="MNB37" s="2795"/>
      <c r="MNC37" s="2795"/>
      <c r="MND37" s="2795"/>
      <c r="MNE37" s="2795"/>
      <c r="MNF37" s="2795"/>
      <c r="MNG37" s="2795"/>
      <c r="MNH37" s="2795"/>
      <c r="MNI37" s="2795"/>
      <c r="MNJ37" s="2795"/>
      <c r="MNK37" s="2795"/>
      <c r="MNL37" s="2795"/>
      <c r="MNM37" s="2795"/>
      <c r="MNN37" s="2795"/>
      <c r="MNO37" s="2795"/>
      <c r="MNP37" s="2795"/>
      <c r="MNQ37" s="2795"/>
      <c r="MNR37" s="2795"/>
      <c r="MNS37" s="2795"/>
      <c r="MNT37" s="2795"/>
      <c r="MNU37" s="2795"/>
      <c r="MNV37" s="2795"/>
      <c r="MNW37" s="2795"/>
      <c r="MNX37" s="2795"/>
      <c r="MNY37" s="2795"/>
      <c r="MNZ37" s="2795"/>
      <c r="MOA37" s="2795"/>
      <c r="MOB37" s="2795"/>
      <c r="MOC37" s="2795"/>
      <c r="MOD37" s="2795"/>
      <c r="MOE37" s="2795"/>
      <c r="MOF37" s="2795"/>
      <c r="MOG37" s="2795"/>
      <c r="MOH37" s="2795"/>
      <c r="MOI37" s="2795"/>
      <c r="MOJ37" s="2795"/>
      <c r="MOK37" s="2795"/>
      <c r="MOL37" s="2795"/>
      <c r="MOM37" s="2795"/>
      <c r="MON37" s="2795"/>
      <c r="MOO37" s="2795"/>
      <c r="MOP37" s="2795"/>
      <c r="MOQ37" s="2795"/>
      <c r="MOR37" s="2795"/>
      <c r="MOS37" s="2795"/>
      <c r="MOT37" s="2795"/>
      <c r="MOU37" s="2795"/>
      <c r="MOV37" s="2795"/>
      <c r="MOW37" s="2795"/>
      <c r="MOX37" s="2795"/>
      <c r="MOY37" s="2795"/>
      <c r="MOZ37" s="2795"/>
      <c r="MPA37" s="2795"/>
      <c r="MPB37" s="2795"/>
      <c r="MPC37" s="2795"/>
      <c r="MPD37" s="2795"/>
      <c r="MPE37" s="2795"/>
      <c r="MPF37" s="2795"/>
      <c r="MPG37" s="2795"/>
      <c r="MPH37" s="2795"/>
      <c r="MPI37" s="2795"/>
      <c r="MPJ37" s="2795"/>
      <c r="MPK37" s="2795"/>
      <c r="MPL37" s="2795"/>
      <c r="MPM37" s="2795"/>
      <c r="MPN37" s="2795"/>
      <c r="MPO37" s="2795"/>
      <c r="MPP37" s="2795"/>
      <c r="MPQ37" s="2795"/>
      <c r="MPR37" s="2795"/>
      <c r="MPS37" s="2795"/>
      <c r="MPT37" s="2795"/>
      <c r="MPU37" s="2795"/>
      <c r="MPV37" s="2795"/>
      <c r="MPW37" s="2795"/>
      <c r="MPX37" s="2795"/>
      <c r="MPY37" s="2795"/>
      <c r="MPZ37" s="2795"/>
      <c r="MQA37" s="2795"/>
      <c r="MQB37" s="2795"/>
      <c r="MQC37" s="2795"/>
      <c r="MQD37" s="2795"/>
      <c r="MQE37" s="2795"/>
      <c r="MQF37" s="2795"/>
      <c r="MQG37" s="2795"/>
      <c r="MQH37" s="2795"/>
      <c r="MQI37" s="2795"/>
      <c r="MQJ37" s="2795"/>
      <c r="MQK37" s="2795"/>
      <c r="MQL37" s="2795"/>
      <c r="MQM37" s="2795"/>
      <c r="MQN37" s="2795"/>
      <c r="MQO37" s="2795"/>
      <c r="MQP37" s="2795"/>
      <c r="MQQ37" s="2795"/>
      <c r="MQR37" s="2795"/>
      <c r="MQS37" s="2795"/>
      <c r="MQT37" s="2795"/>
      <c r="MQU37" s="2795"/>
      <c r="MQV37" s="2795"/>
      <c r="MQW37" s="2795"/>
      <c r="MQX37" s="2795"/>
      <c r="MQY37" s="2795"/>
      <c r="MQZ37" s="2795"/>
      <c r="MRA37" s="2795"/>
      <c r="MRB37" s="2795"/>
      <c r="MRC37" s="2795"/>
      <c r="MRD37" s="2795"/>
      <c r="MRE37" s="2795"/>
      <c r="MRF37" s="2795"/>
      <c r="MRG37" s="2795"/>
      <c r="MRH37" s="2795"/>
      <c r="MRI37" s="2795"/>
      <c r="MRJ37" s="2795"/>
      <c r="MRK37" s="2795"/>
      <c r="MRL37" s="2795"/>
      <c r="MRM37" s="2795"/>
      <c r="MRN37" s="2795"/>
      <c r="MRO37" s="2795"/>
      <c r="MRP37" s="2795"/>
      <c r="MRQ37" s="2795"/>
      <c r="MRR37" s="2795"/>
      <c r="MRS37" s="2795"/>
      <c r="MRT37" s="2795"/>
      <c r="MRU37" s="2795"/>
      <c r="MRV37" s="2795"/>
      <c r="MRW37" s="2795"/>
      <c r="MRX37" s="2795"/>
      <c r="MRY37" s="2795"/>
      <c r="MRZ37" s="2795"/>
      <c r="MSA37" s="2795"/>
      <c r="MSB37" s="2795"/>
      <c r="MSC37" s="2795"/>
      <c r="MSD37" s="2795"/>
      <c r="MSE37" s="2795"/>
      <c r="MSF37" s="2795"/>
      <c r="MSG37" s="2795"/>
      <c r="MSH37" s="2795"/>
      <c r="MSI37" s="2795"/>
      <c r="MSJ37" s="2795"/>
      <c r="MSK37" s="2795"/>
      <c r="MSL37" s="2795"/>
      <c r="MSM37" s="2795"/>
      <c r="MSN37" s="2795"/>
      <c r="MSO37" s="2795"/>
      <c r="MSP37" s="2795"/>
      <c r="MSQ37" s="2795"/>
      <c r="MSR37" s="2795"/>
      <c r="MSS37" s="2795"/>
      <c r="MST37" s="2795"/>
      <c r="MSU37" s="2795"/>
      <c r="MSV37" s="2795"/>
      <c r="MSW37" s="2795"/>
      <c r="MSX37" s="2795"/>
      <c r="MSY37" s="2795"/>
      <c r="MSZ37" s="2795"/>
      <c r="MTA37" s="2795"/>
      <c r="MTB37" s="2795"/>
      <c r="MTC37" s="2795"/>
      <c r="MTD37" s="2795"/>
      <c r="MTE37" s="2795"/>
      <c r="MTF37" s="2795"/>
      <c r="MTG37" s="2795"/>
      <c r="MTH37" s="2795"/>
      <c r="MTI37" s="2795"/>
      <c r="MTJ37" s="2795"/>
      <c r="MTK37" s="2795"/>
      <c r="MTL37" s="2795"/>
      <c r="MTM37" s="2795"/>
      <c r="MTN37" s="2795"/>
      <c r="MTO37" s="2795"/>
      <c r="MTP37" s="2795"/>
      <c r="MTQ37" s="2795"/>
      <c r="MTR37" s="2795"/>
      <c r="MTS37" s="2795"/>
      <c r="MTT37" s="2795"/>
      <c r="MTU37" s="2795"/>
      <c r="MTV37" s="2795"/>
      <c r="MTW37" s="2795"/>
      <c r="MTX37" s="2795"/>
      <c r="MTY37" s="2795"/>
      <c r="MTZ37" s="2795"/>
      <c r="MUA37" s="2795"/>
      <c r="MUB37" s="2795"/>
      <c r="MUC37" s="2795"/>
      <c r="MUD37" s="2795"/>
      <c r="MUE37" s="2795"/>
      <c r="MUF37" s="2795"/>
      <c r="MUG37" s="2795"/>
      <c r="MUH37" s="2795"/>
      <c r="MUI37" s="2795"/>
      <c r="MUJ37" s="2795"/>
      <c r="MUK37" s="2795"/>
      <c r="MUL37" s="2795"/>
      <c r="MUM37" s="2795"/>
      <c r="MUN37" s="2795"/>
      <c r="MUO37" s="2795"/>
      <c r="MUP37" s="2795"/>
      <c r="MUQ37" s="2795"/>
      <c r="MUR37" s="2795"/>
      <c r="MUS37" s="2795"/>
      <c r="MUT37" s="2795"/>
      <c r="MUU37" s="2795"/>
      <c r="MUV37" s="2795"/>
      <c r="MUW37" s="2795"/>
      <c r="MUX37" s="2795"/>
      <c r="MUY37" s="2795"/>
      <c r="MUZ37" s="2795"/>
      <c r="MVA37" s="2795"/>
      <c r="MVB37" s="2795"/>
      <c r="MVC37" s="2795"/>
      <c r="MVD37" s="2795"/>
      <c r="MVE37" s="2795"/>
      <c r="MVF37" s="2795"/>
      <c r="MVG37" s="2795"/>
      <c r="MVH37" s="2795"/>
      <c r="MVI37" s="2795"/>
      <c r="MVJ37" s="2795"/>
      <c r="MVK37" s="2795"/>
      <c r="MVL37" s="2795"/>
      <c r="MVM37" s="2795"/>
      <c r="MVN37" s="2795"/>
      <c r="MVO37" s="2795"/>
      <c r="MVP37" s="2795"/>
      <c r="MVQ37" s="2795"/>
      <c r="MVR37" s="2795"/>
      <c r="MVS37" s="2795"/>
      <c r="MVT37" s="2795"/>
      <c r="MVU37" s="2795"/>
      <c r="MVV37" s="2795"/>
      <c r="MVW37" s="2795"/>
      <c r="MVX37" s="2795"/>
      <c r="MVY37" s="2795"/>
      <c r="MVZ37" s="2795"/>
      <c r="MWA37" s="2795"/>
      <c r="MWB37" s="2795"/>
      <c r="MWC37" s="2795"/>
      <c r="MWD37" s="2795"/>
      <c r="MWE37" s="2795"/>
      <c r="MWF37" s="2795"/>
      <c r="MWG37" s="2795"/>
      <c r="MWH37" s="2795"/>
      <c r="MWI37" s="2795"/>
      <c r="MWJ37" s="2795"/>
      <c r="MWK37" s="2795"/>
      <c r="MWL37" s="2795"/>
      <c r="MWM37" s="2795"/>
      <c r="MWN37" s="2795"/>
      <c r="MWO37" s="2795"/>
      <c r="MWP37" s="2795"/>
      <c r="MWQ37" s="2795"/>
      <c r="MWR37" s="2795"/>
      <c r="MWS37" s="2795"/>
      <c r="MWT37" s="2795"/>
      <c r="MWU37" s="2795"/>
      <c r="MWV37" s="2795"/>
      <c r="MWW37" s="2795"/>
      <c r="MWX37" s="2795"/>
      <c r="MWY37" s="2795"/>
      <c r="MWZ37" s="2795"/>
      <c r="MXA37" s="2795"/>
      <c r="MXB37" s="2795"/>
      <c r="MXC37" s="2795"/>
      <c r="MXD37" s="2795"/>
      <c r="MXE37" s="2795"/>
      <c r="MXF37" s="2795"/>
      <c r="MXG37" s="2795"/>
      <c r="MXH37" s="2795"/>
      <c r="MXI37" s="2795"/>
      <c r="MXJ37" s="2795"/>
      <c r="MXK37" s="2795"/>
      <c r="MXL37" s="2795"/>
      <c r="MXM37" s="2795"/>
      <c r="MXN37" s="2795"/>
      <c r="MXO37" s="2795"/>
      <c r="MXP37" s="2795"/>
      <c r="MXQ37" s="2795"/>
      <c r="MXR37" s="2795"/>
      <c r="MXS37" s="2795"/>
      <c r="MXT37" s="2795"/>
      <c r="MXU37" s="2795"/>
      <c r="MXV37" s="2795"/>
      <c r="MXW37" s="2795"/>
      <c r="MXX37" s="2795"/>
      <c r="MXY37" s="2795"/>
      <c r="MXZ37" s="2795"/>
      <c r="MYA37" s="2795"/>
      <c r="MYB37" s="2795"/>
      <c r="MYC37" s="2795"/>
      <c r="MYD37" s="2795"/>
      <c r="MYE37" s="2795"/>
      <c r="MYF37" s="2795"/>
      <c r="MYG37" s="2795"/>
      <c r="MYH37" s="2795"/>
      <c r="MYI37" s="2795"/>
      <c r="MYJ37" s="2795"/>
      <c r="MYK37" s="2795"/>
      <c r="MYL37" s="2795"/>
      <c r="MYM37" s="2795"/>
      <c r="MYN37" s="2795"/>
      <c r="MYO37" s="2795"/>
      <c r="MYP37" s="2795"/>
      <c r="MYQ37" s="2795"/>
      <c r="MYR37" s="2795"/>
      <c r="MYS37" s="2795"/>
      <c r="MYT37" s="2795"/>
      <c r="MYU37" s="2795"/>
      <c r="MYV37" s="2795"/>
      <c r="MYW37" s="2795"/>
      <c r="MYX37" s="2795"/>
      <c r="MYY37" s="2795"/>
      <c r="MYZ37" s="2795"/>
      <c r="MZA37" s="2795"/>
      <c r="MZB37" s="2795"/>
      <c r="MZC37" s="2795"/>
      <c r="MZD37" s="2795"/>
      <c r="MZE37" s="2795"/>
      <c r="MZF37" s="2795"/>
      <c r="MZG37" s="2795"/>
      <c r="MZH37" s="2795"/>
      <c r="MZI37" s="2795"/>
      <c r="MZJ37" s="2795"/>
      <c r="MZK37" s="2795"/>
      <c r="MZL37" s="2795"/>
      <c r="MZM37" s="2795"/>
      <c r="MZN37" s="2795"/>
      <c r="MZO37" s="2795"/>
      <c r="MZP37" s="2795"/>
      <c r="MZQ37" s="2795"/>
      <c r="MZR37" s="2795"/>
      <c r="MZS37" s="2795"/>
      <c r="MZT37" s="2795"/>
      <c r="MZU37" s="2795"/>
      <c r="MZV37" s="2795"/>
      <c r="MZW37" s="2795"/>
      <c r="MZX37" s="2795"/>
      <c r="MZY37" s="2795"/>
      <c r="MZZ37" s="2795"/>
      <c r="NAA37" s="2795"/>
      <c r="NAB37" s="2795"/>
      <c r="NAC37" s="2795"/>
      <c r="NAD37" s="2795"/>
      <c r="NAE37" s="2795"/>
      <c r="NAF37" s="2795"/>
      <c r="NAG37" s="2795"/>
      <c r="NAH37" s="2795"/>
      <c r="NAI37" s="2795"/>
      <c r="NAJ37" s="2795"/>
      <c r="NAK37" s="2795"/>
      <c r="NAL37" s="2795"/>
      <c r="NAM37" s="2795"/>
      <c r="NAN37" s="2795"/>
      <c r="NAO37" s="2795"/>
      <c r="NAP37" s="2795"/>
      <c r="NAQ37" s="2795"/>
      <c r="NAR37" s="2795"/>
      <c r="NAS37" s="2795"/>
      <c r="NAT37" s="2795"/>
      <c r="NAU37" s="2795"/>
      <c r="NAV37" s="2795"/>
      <c r="NAW37" s="2795"/>
      <c r="NAX37" s="2795"/>
      <c r="NAY37" s="2795"/>
      <c r="NAZ37" s="2795"/>
      <c r="NBA37" s="2795"/>
      <c r="NBB37" s="2795"/>
      <c r="NBC37" s="2795"/>
      <c r="NBD37" s="2795"/>
      <c r="NBE37" s="2795"/>
      <c r="NBF37" s="2795"/>
      <c r="NBG37" s="2795"/>
      <c r="NBH37" s="2795"/>
      <c r="NBI37" s="2795"/>
      <c r="NBJ37" s="2795"/>
      <c r="NBK37" s="2795"/>
      <c r="NBL37" s="2795"/>
      <c r="NBM37" s="2795"/>
      <c r="NBN37" s="2795"/>
      <c r="NBO37" s="2795"/>
      <c r="NBP37" s="2795"/>
      <c r="NBQ37" s="2795"/>
      <c r="NBR37" s="2795"/>
      <c r="NBS37" s="2795"/>
      <c r="NBT37" s="2795"/>
      <c r="NBU37" s="2795"/>
      <c r="NBV37" s="2795"/>
      <c r="NBW37" s="2795"/>
      <c r="NBX37" s="2795"/>
      <c r="NBY37" s="2795"/>
      <c r="NBZ37" s="2795"/>
      <c r="NCA37" s="2795"/>
      <c r="NCB37" s="2795"/>
      <c r="NCC37" s="2795"/>
      <c r="NCD37" s="2795"/>
      <c r="NCE37" s="2795"/>
      <c r="NCF37" s="2795"/>
      <c r="NCG37" s="2795"/>
      <c r="NCH37" s="2795"/>
      <c r="NCI37" s="2795"/>
      <c r="NCJ37" s="2795"/>
      <c r="NCK37" s="2795"/>
      <c r="NCL37" s="2795"/>
      <c r="NCM37" s="2795"/>
      <c r="NCN37" s="2795"/>
      <c r="NCO37" s="2795"/>
      <c r="NCP37" s="2795"/>
      <c r="NCQ37" s="2795"/>
      <c r="NCR37" s="2795"/>
      <c r="NCS37" s="2795"/>
      <c r="NCT37" s="2795"/>
      <c r="NCU37" s="2795"/>
      <c r="NCV37" s="2795"/>
      <c r="NCW37" s="2795"/>
      <c r="NCX37" s="2795"/>
      <c r="NCY37" s="2795"/>
      <c r="NCZ37" s="2795"/>
      <c r="NDA37" s="2795"/>
      <c r="NDB37" s="2795"/>
      <c r="NDC37" s="2795"/>
      <c r="NDD37" s="2795"/>
      <c r="NDE37" s="2795"/>
      <c r="NDF37" s="2795"/>
      <c r="NDG37" s="2795"/>
      <c r="NDH37" s="2795"/>
      <c r="NDI37" s="2795"/>
      <c r="NDJ37" s="2795"/>
      <c r="NDK37" s="2795"/>
      <c r="NDL37" s="2795"/>
      <c r="NDM37" s="2795"/>
      <c r="NDN37" s="2795"/>
      <c r="NDO37" s="2795"/>
      <c r="NDP37" s="2795"/>
      <c r="NDQ37" s="2795"/>
      <c r="NDR37" s="2795"/>
      <c r="NDS37" s="2795"/>
      <c r="NDT37" s="2795"/>
      <c r="NDU37" s="2795"/>
      <c r="NDV37" s="2795"/>
      <c r="NDW37" s="2795"/>
      <c r="NDX37" s="2795"/>
      <c r="NDY37" s="2795"/>
      <c r="NDZ37" s="2795"/>
      <c r="NEA37" s="2795"/>
      <c r="NEB37" s="2795"/>
      <c r="NEC37" s="2795"/>
      <c r="NED37" s="2795"/>
      <c r="NEE37" s="2795"/>
      <c r="NEF37" s="2795"/>
      <c r="NEG37" s="2795"/>
      <c r="NEH37" s="2795"/>
      <c r="NEI37" s="2795"/>
      <c r="NEJ37" s="2795"/>
      <c r="NEK37" s="2795"/>
      <c r="NEL37" s="2795"/>
      <c r="NEM37" s="2795"/>
      <c r="NEN37" s="2795"/>
      <c r="NEO37" s="2795"/>
      <c r="NEP37" s="2795"/>
      <c r="NEQ37" s="2795"/>
      <c r="NER37" s="2795"/>
      <c r="NES37" s="2795"/>
      <c r="NET37" s="2795"/>
      <c r="NEU37" s="2795"/>
      <c r="NEV37" s="2795"/>
      <c r="NEW37" s="2795"/>
      <c r="NEX37" s="2795"/>
      <c r="NEY37" s="2795"/>
      <c r="NEZ37" s="2795"/>
      <c r="NFA37" s="2795"/>
      <c r="NFB37" s="2795"/>
      <c r="NFC37" s="2795"/>
      <c r="NFD37" s="2795"/>
      <c r="NFE37" s="2795"/>
      <c r="NFF37" s="2795"/>
      <c r="NFG37" s="2795"/>
      <c r="NFH37" s="2795"/>
      <c r="NFI37" s="2795"/>
      <c r="NFJ37" s="2795"/>
      <c r="NFK37" s="2795"/>
      <c r="NFL37" s="2795"/>
      <c r="NFM37" s="2795"/>
      <c r="NFN37" s="2795"/>
      <c r="NFO37" s="2795"/>
      <c r="NFP37" s="2795"/>
      <c r="NFQ37" s="2795"/>
      <c r="NFR37" s="2795"/>
      <c r="NFS37" s="2795"/>
      <c r="NFT37" s="2795"/>
      <c r="NFU37" s="2795"/>
      <c r="NFV37" s="2795"/>
      <c r="NFW37" s="2795"/>
      <c r="NFX37" s="2795"/>
      <c r="NFY37" s="2795"/>
      <c r="NFZ37" s="2795"/>
      <c r="NGA37" s="2795"/>
      <c r="NGB37" s="2795"/>
      <c r="NGC37" s="2795"/>
      <c r="NGD37" s="2795"/>
      <c r="NGE37" s="2795"/>
      <c r="NGF37" s="2795"/>
      <c r="NGG37" s="2795"/>
      <c r="NGH37" s="2795"/>
      <c r="NGI37" s="2795"/>
      <c r="NGJ37" s="2795"/>
      <c r="NGK37" s="2795"/>
      <c r="NGL37" s="2795"/>
      <c r="NGM37" s="2795"/>
      <c r="NGN37" s="2795"/>
      <c r="NGO37" s="2795"/>
      <c r="NGP37" s="2795"/>
      <c r="NGQ37" s="2795"/>
      <c r="NGR37" s="2795"/>
      <c r="NGS37" s="2795"/>
      <c r="NGT37" s="2795"/>
      <c r="NGU37" s="2795"/>
      <c r="NGV37" s="2795"/>
      <c r="NGW37" s="2795"/>
      <c r="NGX37" s="2795"/>
      <c r="NGY37" s="2795"/>
      <c r="NGZ37" s="2795"/>
      <c r="NHA37" s="2795"/>
      <c r="NHB37" s="2795"/>
      <c r="NHC37" s="2795"/>
      <c r="NHD37" s="2795"/>
      <c r="NHE37" s="2795"/>
      <c r="NHF37" s="2795"/>
      <c r="NHG37" s="2795"/>
      <c r="NHH37" s="2795"/>
      <c r="NHI37" s="2795"/>
      <c r="NHJ37" s="2795"/>
      <c r="NHK37" s="2795"/>
      <c r="NHL37" s="2795"/>
      <c r="NHM37" s="2795"/>
      <c r="NHN37" s="2795"/>
      <c r="NHO37" s="2795"/>
      <c r="NHP37" s="2795"/>
      <c r="NHQ37" s="2795"/>
      <c r="NHR37" s="2795"/>
      <c r="NHS37" s="2795"/>
      <c r="NHT37" s="2795"/>
      <c r="NHU37" s="2795"/>
      <c r="NHV37" s="2795"/>
      <c r="NHW37" s="2795"/>
      <c r="NHX37" s="2795"/>
      <c r="NHY37" s="2795"/>
      <c r="NHZ37" s="2795"/>
      <c r="NIA37" s="2795"/>
      <c r="NIB37" s="2795"/>
      <c r="NIC37" s="2795"/>
      <c r="NID37" s="2795"/>
      <c r="NIE37" s="2795"/>
      <c r="NIF37" s="2795"/>
      <c r="NIG37" s="2795"/>
      <c r="NIH37" s="2795"/>
      <c r="NII37" s="2795"/>
      <c r="NIJ37" s="2795"/>
      <c r="NIK37" s="2795"/>
      <c r="NIL37" s="2795"/>
      <c r="NIM37" s="2795"/>
      <c r="NIN37" s="2795"/>
      <c r="NIO37" s="2795"/>
      <c r="NIP37" s="2795"/>
      <c r="NIQ37" s="2795"/>
      <c r="NIR37" s="2795"/>
      <c r="NIS37" s="2795"/>
      <c r="NIT37" s="2795"/>
      <c r="NIU37" s="2795"/>
      <c r="NIV37" s="2795"/>
      <c r="NIW37" s="2795"/>
      <c r="NIX37" s="2795"/>
      <c r="NIY37" s="2795"/>
      <c r="NIZ37" s="2795"/>
      <c r="NJA37" s="2795"/>
      <c r="NJB37" s="2795"/>
      <c r="NJC37" s="2795"/>
      <c r="NJD37" s="2795"/>
      <c r="NJE37" s="2795"/>
      <c r="NJF37" s="2795"/>
      <c r="NJG37" s="2795"/>
      <c r="NJH37" s="2795"/>
      <c r="NJI37" s="2795"/>
      <c r="NJJ37" s="2795"/>
      <c r="NJK37" s="2795"/>
      <c r="NJL37" s="2795"/>
      <c r="NJM37" s="2795"/>
      <c r="NJN37" s="2795"/>
      <c r="NJO37" s="2795"/>
      <c r="NJP37" s="2795"/>
      <c r="NJQ37" s="2795"/>
      <c r="NJR37" s="2795"/>
      <c r="NJS37" s="2795"/>
      <c r="NJT37" s="2795"/>
      <c r="NJU37" s="2795"/>
      <c r="NJV37" s="2795"/>
      <c r="NJW37" s="2795"/>
      <c r="NJX37" s="2795"/>
      <c r="NJY37" s="2795"/>
      <c r="NJZ37" s="2795"/>
      <c r="NKA37" s="2795"/>
      <c r="NKB37" s="2795"/>
      <c r="NKC37" s="2795"/>
      <c r="NKD37" s="2795"/>
      <c r="NKE37" s="2795"/>
      <c r="NKF37" s="2795"/>
      <c r="NKG37" s="2795"/>
      <c r="NKH37" s="2795"/>
      <c r="NKI37" s="2795"/>
      <c r="NKJ37" s="2795"/>
      <c r="NKK37" s="2795"/>
      <c r="NKL37" s="2795"/>
      <c r="NKM37" s="2795"/>
      <c r="NKN37" s="2795"/>
      <c r="NKO37" s="2795"/>
      <c r="NKP37" s="2795"/>
      <c r="NKQ37" s="2795"/>
      <c r="NKR37" s="2795"/>
      <c r="NKS37" s="2795"/>
      <c r="NKT37" s="2795"/>
      <c r="NKU37" s="2795"/>
      <c r="NKV37" s="2795"/>
      <c r="NKW37" s="2795"/>
      <c r="NKX37" s="2795"/>
      <c r="NKY37" s="2795"/>
      <c r="NKZ37" s="2795"/>
      <c r="NLA37" s="2795"/>
      <c r="NLB37" s="2795"/>
      <c r="NLC37" s="2795"/>
      <c r="NLD37" s="2795"/>
      <c r="NLE37" s="2795"/>
      <c r="NLF37" s="2795"/>
      <c r="NLG37" s="2795"/>
      <c r="NLH37" s="2795"/>
      <c r="NLI37" s="2795"/>
      <c r="NLJ37" s="2795"/>
      <c r="NLK37" s="2795"/>
      <c r="NLL37" s="2795"/>
      <c r="NLM37" s="2795"/>
      <c r="NLN37" s="2795"/>
      <c r="NLO37" s="2795"/>
      <c r="NLP37" s="2795"/>
      <c r="NLQ37" s="2795"/>
      <c r="NLR37" s="2795"/>
      <c r="NLS37" s="2795"/>
      <c r="NLT37" s="2795"/>
      <c r="NLU37" s="2795"/>
      <c r="NLV37" s="2795"/>
      <c r="NLW37" s="2795"/>
      <c r="NLX37" s="2795"/>
      <c r="NLY37" s="2795"/>
      <c r="NLZ37" s="2795"/>
      <c r="NMA37" s="2795"/>
      <c r="NMB37" s="2795"/>
      <c r="NMC37" s="2795"/>
      <c r="NMD37" s="2795"/>
      <c r="NME37" s="2795"/>
      <c r="NMF37" s="2795"/>
      <c r="NMG37" s="2795"/>
      <c r="NMH37" s="2795"/>
      <c r="NMI37" s="2795"/>
      <c r="NMJ37" s="2795"/>
      <c r="NMK37" s="2795"/>
      <c r="NML37" s="2795"/>
      <c r="NMM37" s="2795"/>
      <c r="NMN37" s="2795"/>
      <c r="NMO37" s="2795"/>
      <c r="NMP37" s="2795"/>
      <c r="NMQ37" s="2795"/>
      <c r="NMR37" s="2795"/>
      <c r="NMS37" s="2795"/>
      <c r="NMT37" s="2795"/>
      <c r="NMU37" s="2795"/>
      <c r="NMV37" s="2795"/>
      <c r="NMW37" s="2795"/>
      <c r="NMX37" s="2795"/>
      <c r="NMY37" s="2795"/>
      <c r="NMZ37" s="2795"/>
      <c r="NNA37" s="2795"/>
      <c r="NNB37" s="2795"/>
      <c r="NNC37" s="2795"/>
      <c r="NND37" s="2795"/>
      <c r="NNE37" s="2795"/>
      <c r="NNF37" s="2795"/>
      <c r="NNG37" s="2795"/>
      <c r="NNH37" s="2795"/>
      <c r="NNI37" s="2795"/>
      <c r="NNJ37" s="2795"/>
      <c r="NNK37" s="2795"/>
      <c r="NNL37" s="2795"/>
      <c r="NNM37" s="2795"/>
      <c r="NNN37" s="2795"/>
      <c r="NNO37" s="2795"/>
      <c r="NNP37" s="2795"/>
      <c r="NNQ37" s="2795"/>
      <c r="NNR37" s="2795"/>
      <c r="NNS37" s="2795"/>
      <c r="NNT37" s="2795"/>
      <c r="NNU37" s="2795"/>
      <c r="NNV37" s="2795"/>
      <c r="NNW37" s="2795"/>
      <c r="NNX37" s="2795"/>
      <c r="NNY37" s="2795"/>
      <c r="NNZ37" s="2795"/>
      <c r="NOA37" s="2795"/>
      <c r="NOB37" s="2795"/>
      <c r="NOC37" s="2795"/>
      <c r="NOD37" s="2795"/>
      <c r="NOE37" s="2795"/>
      <c r="NOF37" s="2795"/>
      <c r="NOG37" s="2795"/>
      <c r="NOH37" s="2795"/>
      <c r="NOI37" s="2795"/>
      <c r="NOJ37" s="2795"/>
      <c r="NOK37" s="2795"/>
      <c r="NOL37" s="2795"/>
      <c r="NOM37" s="2795"/>
      <c r="NON37" s="2795"/>
      <c r="NOO37" s="2795"/>
      <c r="NOP37" s="2795"/>
      <c r="NOQ37" s="2795"/>
      <c r="NOR37" s="2795"/>
      <c r="NOS37" s="2795"/>
      <c r="NOT37" s="2795"/>
      <c r="NOU37" s="2795"/>
      <c r="NOV37" s="2795"/>
      <c r="NOW37" s="2795"/>
      <c r="NOX37" s="2795"/>
      <c r="NOY37" s="2795"/>
      <c r="NOZ37" s="2795"/>
      <c r="NPA37" s="2795"/>
      <c r="NPB37" s="2795"/>
      <c r="NPC37" s="2795"/>
      <c r="NPD37" s="2795"/>
      <c r="NPE37" s="2795"/>
      <c r="NPF37" s="2795"/>
      <c r="NPG37" s="2795"/>
      <c r="NPH37" s="2795"/>
      <c r="NPI37" s="2795"/>
      <c r="NPJ37" s="2795"/>
      <c r="NPK37" s="2795"/>
      <c r="NPL37" s="2795"/>
      <c r="NPM37" s="2795"/>
      <c r="NPN37" s="2795"/>
      <c r="NPO37" s="2795"/>
      <c r="NPP37" s="2795"/>
      <c r="NPQ37" s="2795"/>
      <c r="NPR37" s="2795"/>
      <c r="NPS37" s="2795"/>
      <c r="NPT37" s="2795"/>
      <c r="NPU37" s="2795"/>
      <c r="NPV37" s="2795"/>
      <c r="NPW37" s="2795"/>
      <c r="NPX37" s="2795"/>
      <c r="NPY37" s="2795"/>
      <c r="NPZ37" s="2795"/>
      <c r="NQA37" s="2795"/>
      <c r="NQB37" s="2795"/>
      <c r="NQC37" s="2795"/>
      <c r="NQD37" s="2795"/>
      <c r="NQE37" s="2795"/>
      <c r="NQF37" s="2795"/>
      <c r="NQG37" s="2795"/>
      <c r="NQH37" s="2795"/>
      <c r="NQI37" s="2795"/>
      <c r="NQJ37" s="2795"/>
      <c r="NQK37" s="2795"/>
      <c r="NQL37" s="2795"/>
      <c r="NQM37" s="2795"/>
      <c r="NQN37" s="2795"/>
      <c r="NQO37" s="2795"/>
      <c r="NQP37" s="2795"/>
      <c r="NQQ37" s="2795"/>
      <c r="NQR37" s="2795"/>
      <c r="NQS37" s="2795"/>
      <c r="NQT37" s="2795"/>
      <c r="NQU37" s="2795"/>
      <c r="NQV37" s="2795"/>
      <c r="NQW37" s="2795"/>
      <c r="NQX37" s="2795"/>
      <c r="NQY37" s="2795"/>
      <c r="NQZ37" s="2795"/>
      <c r="NRA37" s="2795"/>
      <c r="NRB37" s="2795"/>
      <c r="NRC37" s="2795"/>
      <c r="NRD37" s="2795"/>
      <c r="NRE37" s="2795"/>
      <c r="NRF37" s="2795"/>
      <c r="NRG37" s="2795"/>
      <c r="NRH37" s="2795"/>
      <c r="NRI37" s="2795"/>
      <c r="NRJ37" s="2795"/>
      <c r="NRK37" s="2795"/>
      <c r="NRL37" s="2795"/>
      <c r="NRM37" s="2795"/>
      <c r="NRN37" s="2795"/>
      <c r="NRO37" s="2795"/>
      <c r="NRP37" s="2795"/>
      <c r="NRQ37" s="2795"/>
      <c r="NRR37" s="2795"/>
      <c r="NRS37" s="2795"/>
      <c r="NRT37" s="2795"/>
      <c r="NRU37" s="2795"/>
      <c r="NRV37" s="2795"/>
      <c r="NRW37" s="2795"/>
      <c r="NRX37" s="2795"/>
      <c r="NRY37" s="2795"/>
      <c r="NRZ37" s="2795"/>
      <c r="NSA37" s="2795"/>
      <c r="NSB37" s="2795"/>
      <c r="NSC37" s="2795"/>
      <c r="NSD37" s="2795"/>
      <c r="NSE37" s="2795"/>
      <c r="NSF37" s="2795"/>
      <c r="NSG37" s="2795"/>
      <c r="NSH37" s="2795"/>
      <c r="NSI37" s="2795"/>
      <c r="NSJ37" s="2795"/>
      <c r="NSK37" s="2795"/>
      <c r="NSL37" s="2795"/>
      <c r="NSM37" s="2795"/>
      <c r="NSN37" s="2795"/>
      <c r="NSO37" s="2795"/>
      <c r="NSP37" s="2795"/>
      <c r="NSQ37" s="2795"/>
      <c r="NSR37" s="2795"/>
      <c r="NSS37" s="2795"/>
      <c r="NST37" s="2795"/>
      <c r="NSU37" s="2795"/>
      <c r="NSV37" s="2795"/>
      <c r="NSW37" s="2795"/>
      <c r="NSX37" s="2795"/>
      <c r="NSY37" s="2795"/>
      <c r="NSZ37" s="2795"/>
      <c r="NTA37" s="2795"/>
      <c r="NTB37" s="2795"/>
      <c r="NTC37" s="2795"/>
      <c r="NTD37" s="2795"/>
      <c r="NTE37" s="2795"/>
      <c r="NTF37" s="2795"/>
      <c r="NTG37" s="2795"/>
      <c r="NTH37" s="2795"/>
      <c r="NTI37" s="2795"/>
      <c r="NTJ37" s="2795"/>
      <c r="NTK37" s="2795"/>
      <c r="NTL37" s="2795"/>
      <c r="NTM37" s="2795"/>
      <c r="NTN37" s="2795"/>
      <c r="NTO37" s="2795"/>
      <c r="NTP37" s="2795"/>
      <c r="NTQ37" s="2795"/>
      <c r="NTR37" s="2795"/>
      <c r="NTS37" s="2795"/>
      <c r="NTT37" s="2795"/>
      <c r="NTU37" s="2795"/>
      <c r="NTV37" s="2795"/>
      <c r="NTW37" s="2795"/>
      <c r="NTX37" s="2795"/>
      <c r="NTY37" s="2795"/>
      <c r="NTZ37" s="2795"/>
      <c r="NUA37" s="2795"/>
      <c r="NUB37" s="2795"/>
      <c r="NUC37" s="2795"/>
      <c r="NUD37" s="2795"/>
      <c r="NUE37" s="2795"/>
      <c r="NUF37" s="2795"/>
      <c r="NUG37" s="2795"/>
      <c r="NUH37" s="2795"/>
      <c r="NUI37" s="2795"/>
      <c r="NUJ37" s="2795"/>
      <c r="NUK37" s="2795"/>
      <c r="NUL37" s="2795"/>
      <c r="NUM37" s="2795"/>
      <c r="NUN37" s="2795"/>
      <c r="NUO37" s="2795"/>
      <c r="NUP37" s="2795"/>
      <c r="NUQ37" s="2795"/>
      <c r="NUR37" s="2795"/>
      <c r="NUS37" s="2795"/>
      <c r="NUT37" s="2795"/>
      <c r="NUU37" s="2795"/>
      <c r="NUV37" s="2795"/>
      <c r="NUW37" s="2795"/>
      <c r="NUX37" s="2795"/>
      <c r="NUY37" s="2795"/>
      <c r="NUZ37" s="2795"/>
      <c r="NVA37" s="2795"/>
      <c r="NVB37" s="2795"/>
      <c r="NVC37" s="2795"/>
      <c r="NVD37" s="2795"/>
      <c r="NVE37" s="2795"/>
      <c r="NVF37" s="2795"/>
      <c r="NVG37" s="2795"/>
      <c r="NVH37" s="2795"/>
      <c r="NVI37" s="2795"/>
      <c r="NVJ37" s="2795"/>
      <c r="NVK37" s="2795"/>
      <c r="NVL37" s="2795"/>
      <c r="NVM37" s="2795"/>
      <c r="NVN37" s="2795"/>
      <c r="NVO37" s="2795"/>
      <c r="NVP37" s="2795"/>
      <c r="NVQ37" s="2795"/>
      <c r="NVR37" s="2795"/>
      <c r="NVS37" s="2795"/>
      <c r="NVT37" s="2795"/>
      <c r="NVU37" s="2795"/>
      <c r="NVV37" s="2795"/>
      <c r="NVW37" s="2795"/>
      <c r="NVX37" s="2795"/>
      <c r="NVY37" s="2795"/>
      <c r="NVZ37" s="2795"/>
      <c r="NWA37" s="2795"/>
      <c r="NWB37" s="2795"/>
      <c r="NWC37" s="2795"/>
      <c r="NWD37" s="2795"/>
      <c r="NWE37" s="2795"/>
      <c r="NWF37" s="2795"/>
      <c r="NWG37" s="2795"/>
      <c r="NWH37" s="2795"/>
      <c r="NWI37" s="2795"/>
      <c r="NWJ37" s="2795"/>
      <c r="NWK37" s="2795"/>
      <c r="NWL37" s="2795"/>
      <c r="NWM37" s="2795"/>
      <c r="NWN37" s="2795"/>
      <c r="NWO37" s="2795"/>
      <c r="NWP37" s="2795"/>
      <c r="NWQ37" s="2795"/>
      <c r="NWR37" s="2795"/>
      <c r="NWS37" s="2795"/>
      <c r="NWT37" s="2795"/>
      <c r="NWU37" s="2795"/>
      <c r="NWV37" s="2795"/>
      <c r="NWW37" s="2795"/>
      <c r="NWX37" s="2795"/>
      <c r="NWY37" s="2795"/>
      <c r="NWZ37" s="2795"/>
      <c r="NXA37" s="2795"/>
      <c r="NXB37" s="2795"/>
      <c r="NXC37" s="2795"/>
      <c r="NXD37" s="2795"/>
      <c r="NXE37" s="2795"/>
      <c r="NXF37" s="2795"/>
      <c r="NXG37" s="2795"/>
      <c r="NXH37" s="2795"/>
      <c r="NXI37" s="2795"/>
      <c r="NXJ37" s="2795"/>
      <c r="NXK37" s="2795"/>
      <c r="NXL37" s="2795"/>
      <c r="NXM37" s="2795"/>
      <c r="NXN37" s="2795"/>
      <c r="NXO37" s="2795"/>
      <c r="NXP37" s="2795"/>
      <c r="NXQ37" s="2795"/>
      <c r="NXR37" s="2795"/>
      <c r="NXS37" s="2795"/>
      <c r="NXT37" s="2795"/>
      <c r="NXU37" s="2795"/>
      <c r="NXV37" s="2795"/>
      <c r="NXW37" s="2795"/>
      <c r="NXX37" s="2795"/>
      <c r="NXY37" s="2795"/>
      <c r="NXZ37" s="2795"/>
      <c r="NYA37" s="2795"/>
      <c r="NYB37" s="2795"/>
      <c r="NYC37" s="2795"/>
      <c r="NYD37" s="2795"/>
      <c r="NYE37" s="2795"/>
      <c r="NYF37" s="2795"/>
      <c r="NYG37" s="2795"/>
      <c r="NYH37" s="2795"/>
      <c r="NYI37" s="2795"/>
      <c r="NYJ37" s="2795"/>
      <c r="NYK37" s="2795"/>
      <c r="NYL37" s="2795"/>
      <c r="NYM37" s="2795"/>
      <c r="NYN37" s="2795"/>
      <c r="NYO37" s="2795"/>
      <c r="NYP37" s="2795"/>
      <c r="NYQ37" s="2795"/>
      <c r="NYR37" s="2795"/>
      <c r="NYS37" s="2795"/>
      <c r="NYT37" s="2795"/>
      <c r="NYU37" s="2795"/>
      <c r="NYV37" s="2795"/>
      <c r="NYW37" s="2795"/>
      <c r="NYX37" s="2795"/>
      <c r="NYY37" s="2795"/>
      <c r="NYZ37" s="2795"/>
      <c r="NZA37" s="2795"/>
      <c r="NZB37" s="2795"/>
      <c r="NZC37" s="2795"/>
      <c r="NZD37" s="2795"/>
      <c r="NZE37" s="2795"/>
      <c r="NZF37" s="2795"/>
      <c r="NZG37" s="2795"/>
      <c r="NZH37" s="2795"/>
      <c r="NZI37" s="2795"/>
      <c r="NZJ37" s="2795"/>
      <c r="NZK37" s="2795"/>
      <c r="NZL37" s="2795"/>
      <c r="NZM37" s="2795"/>
      <c r="NZN37" s="2795"/>
      <c r="NZO37" s="2795"/>
      <c r="NZP37" s="2795"/>
      <c r="NZQ37" s="2795"/>
      <c r="NZR37" s="2795"/>
      <c r="NZS37" s="2795"/>
      <c r="NZT37" s="2795"/>
      <c r="NZU37" s="2795"/>
      <c r="NZV37" s="2795"/>
      <c r="NZW37" s="2795"/>
      <c r="NZX37" s="2795"/>
      <c r="NZY37" s="2795"/>
      <c r="NZZ37" s="2795"/>
      <c r="OAA37" s="2795"/>
      <c r="OAB37" s="2795"/>
      <c r="OAC37" s="2795"/>
      <c r="OAD37" s="2795"/>
      <c r="OAE37" s="2795"/>
      <c r="OAF37" s="2795"/>
      <c r="OAG37" s="2795"/>
      <c r="OAH37" s="2795"/>
      <c r="OAI37" s="2795"/>
      <c r="OAJ37" s="2795"/>
      <c r="OAK37" s="2795"/>
      <c r="OAL37" s="2795"/>
      <c r="OAM37" s="2795"/>
      <c r="OAN37" s="2795"/>
      <c r="OAO37" s="2795"/>
      <c r="OAP37" s="2795"/>
      <c r="OAQ37" s="2795"/>
      <c r="OAR37" s="2795"/>
      <c r="OAS37" s="2795"/>
      <c r="OAT37" s="2795"/>
      <c r="OAU37" s="2795"/>
      <c r="OAV37" s="2795"/>
      <c r="OAW37" s="2795"/>
      <c r="OAX37" s="2795"/>
      <c r="OAY37" s="2795"/>
      <c r="OAZ37" s="2795"/>
      <c r="OBA37" s="2795"/>
      <c r="OBB37" s="2795"/>
      <c r="OBC37" s="2795"/>
      <c r="OBD37" s="2795"/>
      <c r="OBE37" s="2795"/>
      <c r="OBF37" s="2795"/>
      <c r="OBG37" s="2795"/>
      <c r="OBH37" s="2795"/>
      <c r="OBI37" s="2795"/>
      <c r="OBJ37" s="2795"/>
      <c r="OBK37" s="2795"/>
      <c r="OBL37" s="2795"/>
      <c r="OBM37" s="2795"/>
      <c r="OBN37" s="2795"/>
      <c r="OBO37" s="2795"/>
      <c r="OBP37" s="2795"/>
      <c r="OBQ37" s="2795"/>
      <c r="OBR37" s="2795"/>
      <c r="OBS37" s="2795"/>
      <c r="OBT37" s="2795"/>
      <c r="OBU37" s="2795"/>
      <c r="OBV37" s="2795"/>
      <c r="OBW37" s="2795"/>
      <c r="OBX37" s="2795"/>
      <c r="OBY37" s="2795"/>
      <c r="OBZ37" s="2795"/>
      <c r="OCA37" s="2795"/>
      <c r="OCB37" s="2795"/>
      <c r="OCC37" s="2795"/>
      <c r="OCD37" s="2795"/>
      <c r="OCE37" s="2795"/>
      <c r="OCF37" s="2795"/>
      <c r="OCG37" s="2795"/>
      <c r="OCH37" s="2795"/>
      <c r="OCI37" s="2795"/>
      <c r="OCJ37" s="2795"/>
      <c r="OCK37" s="2795"/>
      <c r="OCL37" s="2795"/>
      <c r="OCM37" s="2795"/>
      <c r="OCN37" s="2795"/>
      <c r="OCO37" s="2795"/>
      <c r="OCP37" s="2795"/>
      <c r="OCQ37" s="2795"/>
      <c r="OCR37" s="2795"/>
      <c r="OCS37" s="2795"/>
      <c r="OCT37" s="2795"/>
      <c r="OCU37" s="2795"/>
      <c r="OCV37" s="2795"/>
      <c r="OCW37" s="2795"/>
      <c r="OCX37" s="2795"/>
      <c r="OCY37" s="2795"/>
      <c r="OCZ37" s="2795"/>
      <c r="ODA37" s="2795"/>
      <c r="ODB37" s="2795"/>
      <c r="ODC37" s="2795"/>
      <c r="ODD37" s="2795"/>
      <c r="ODE37" s="2795"/>
      <c r="ODF37" s="2795"/>
      <c r="ODG37" s="2795"/>
      <c r="ODH37" s="2795"/>
      <c r="ODI37" s="2795"/>
      <c r="ODJ37" s="2795"/>
      <c r="ODK37" s="2795"/>
      <c r="ODL37" s="2795"/>
      <c r="ODM37" s="2795"/>
      <c r="ODN37" s="2795"/>
      <c r="ODO37" s="2795"/>
      <c r="ODP37" s="2795"/>
      <c r="ODQ37" s="2795"/>
      <c r="ODR37" s="2795"/>
      <c r="ODS37" s="2795"/>
      <c r="ODT37" s="2795"/>
      <c r="ODU37" s="2795"/>
      <c r="ODV37" s="2795"/>
      <c r="ODW37" s="2795"/>
      <c r="ODX37" s="2795"/>
      <c r="ODY37" s="2795"/>
      <c r="ODZ37" s="2795"/>
      <c r="OEA37" s="2795"/>
      <c r="OEB37" s="2795"/>
      <c r="OEC37" s="2795"/>
      <c r="OED37" s="2795"/>
      <c r="OEE37" s="2795"/>
      <c r="OEF37" s="2795"/>
      <c r="OEG37" s="2795"/>
      <c r="OEH37" s="2795"/>
      <c r="OEI37" s="2795"/>
      <c r="OEJ37" s="2795"/>
      <c r="OEK37" s="2795"/>
      <c r="OEL37" s="2795"/>
      <c r="OEM37" s="2795"/>
      <c r="OEN37" s="2795"/>
      <c r="OEO37" s="2795"/>
      <c r="OEP37" s="2795"/>
      <c r="OEQ37" s="2795"/>
      <c r="OER37" s="2795"/>
      <c r="OES37" s="2795"/>
      <c r="OET37" s="2795"/>
      <c r="OEU37" s="2795"/>
      <c r="OEV37" s="2795"/>
      <c r="OEW37" s="2795"/>
      <c r="OEX37" s="2795"/>
      <c r="OEY37" s="2795"/>
      <c r="OEZ37" s="2795"/>
      <c r="OFA37" s="2795"/>
      <c r="OFB37" s="2795"/>
      <c r="OFC37" s="2795"/>
      <c r="OFD37" s="2795"/>
      <c r="OFE37" s="2795"/>
      <c r="OFF37" s="2795"/>
      <c r="OFG37" s="2795"/>
      <c r="OFH37" s="2795"/>
      <c r="OFI37" s="2795"/>
      <c r="OFJ37" s="2795"/>
      <c r="OFK37" s="2795"/>
      <c r="OFL37" s="2795"/>
      <c r="OFM37" s="2795"/>
      <c r="OFN37" s="2795"/>
      <c r="OFO37" s="2795"/>
      <c r="OFP37" s="2795"/>
      <c r="OFQ37" s="2795"/>
      <c r="OFR37" s="2795"/>
      <c r="OFS37" s="2795"/>
      <c r="OFT37" s="2795"/>
      <c r="OFU37" s="2795"/>
      <c r="OFV37" s="2795"/>
      <c r="OFW37" s="2795"/>
      <c r="OFX37" s="2795"/>
      <c r="OFY37" s="2795"/>
      <c r="OFZ37" s="2795"/>
      <c r="OGA37" s="2795"/>
      <c r="OGB37" s="2795"/>
      <c r="OGC37" s="2795"/>
      <c r="OGD37" s="2795"/>
      <c r="OGE37" s="2795"/>
      <c r="OGF37" s="2795"/>
      <c r="OGG37" s="2795"/>
      <c r="OGH37" s="2795"/>
      <c r="OGI37" s="2795"/>
      <c r="OGJ37" s="2795"/>
      <c r="OGK37" s="2795"/>
      <c r="OGL37" s="2795"/>
      <c r="OGM37" s="2795"/>
      <c r="OGN37" s="2795"/>
      <c r="OGO37" s="2795"/>
      <c r="OGP37" s="2795"/>
      <c r="OGQ37" s="2795"/>
      <c r="OGR37" s="2795"/>
      <c r="OGS37" s="2795"/>
      <c r="OGT37" s="2795"/>
      <c r="OGU37" s="2795"/>
      <c r="OGV37" s="2795"/>
      <c r="OGW37" s="2795"/>
      <c r="OGX37" s="2795"/>
      <c r="OGY37" s="2795"/>
      <c r="OGZ37" s="2795"/>
      <c r="OHA37" s="2795"/>
      <c r="OHB37" s="2795"/>
      <c r="OHC37" s="2795"/>
      <c r="OHD37" s="2795"/>
      <c r="OHE37" s="2795"/>
      <c r="OHF37" s="2795"/>
      <c r="OHG37" s="2795"/>
      <c r="OHH37" s="2795"/>
      <c r="OHI37" s="2795"/>
      <c r="OHJ37" s="2795"/>
      <c r="OHK37" s="2795"/>
      <c r="OHL37" s="2795"/>
      <c r="OHM37" s="2795"/>
      <c r="OHN37" s="2795"/>
      <c r="OHO37" s="2795"/>
      <c r="OHP37" s="2795"/>
      <c r="OHQ37" s="2795"/>
      <c r="OHR37" s="2795"/>
      <c r="OHS37" s="2795"/>
      <c r="OHT37" s="2795"/>
      <c r="OHU37" s="2795"/>
      <c r="OHV37" s="2795"/>
      <c r="OHW37" s="2795"/>
      <c r="OHX37" s="2795"/>
      <c r="OHY37" s="2795"/>
      <c r="OHZ37" s="2795"/>
      <c r="OIA37" s="2795"/>
      <c r="OIB37" s="2795"/>
      <c r="OIC37" s="2795"/>
      <c r="OID37" s="2795"/>
      <c r="OIE37" s="2795"/>
      <c r="OIF37" s="2795"/>
      <c r="OIG37" s="2795"/>
      <c r="OIH37" s="2795"/>
      <c r="OII37" s="2795"/>
      <c r="OIJ37" s="2795"/>
      <c r="OIK37" s="2795"/>
      <c r="OIL37" s="2795"/>
      <c r="OIM37" s="2795"/>
      <c r="OIN37" s="2795"/>
      <c r="OIO37" s="2795"/>
      <c r="OIP37" s="2795"/>
      <c r="OIQ37" s="2795"/>
      <c r="OIR37" s="2795"/>
      <c r="OIS37" s="2795"/>
      <c r="OIT37" s="2795"/>
      <c r="OIU37" s="2795"/>
      <c r="OIV37" s="2795"/>
      <c r="OIW37" s="2795"/>
      <c r="OIX37" s="2795"/>
      <c r="OIY37" s="2795"/>
      <c r="OIZ37" s="2795"/>
      <c r="OJA37" s="2795"/>
      <c r="OJB37" s="2795"/>
      <c r="OJC37" s="2795"/>
      <c r="OJD37" s="2795"/>
      <c r="OJE37" s="2795"/>
      <c r="OJF37" s="2795"/>
      <c r="OJG37" s="2795"/>
      <c r="OJH37" s="2795"/>
      <c r="OJI37" s="2795"/>
      <c r="OJJ37" s="2795"/>
      <c r="OJK37" s="2795"/>
      <c r="OJL37" s="2795"/>
      <c r="OJM37" s="2795"/>
      <c r="OJN37" s="2795"/>
      <c r="OJO37" s="2795"/>
      <c r="OJP37" s="2795"/>
      <c r="OJQ37" s="2795"/>
      <c r="OJR37" s="2795"/>
      <c r="OJS37" s="2795"/>
      <c r="OJT37" s="2795"/>
      <c r="OJU37" s="2795"/>
      <c r="OJV37" s="2795"/>
      <c r="OJW37" s="2795"/>
      <c r="OJX37" s="2795"/>
      <c r="OJY37" s="2795"/>
      <c r="OJZ37" s="2795"/>
      <c r="OKA37" s="2795"/>
      <c r="OKB37" s="2795"/>
      <c r="OKC37" s="2795"/>
      <c r="OKD37" s="2795"/>
      <c r="OKE37" s="2795"/>
      <c r="OKF37" s="2795"/>
      <c r="OKG37" s="2795"/>
      <c r="OKH37" s="2795"/>
      <c r="OKI37" s="2795"/>
      <c r="OKJ37" s="2795"/>
      <c r="OKK37" s="2795"/>
      <c r="OKL37" s="2795"/>
      <c r="OKM37" s="2795"/>
      <c r="OKN37" s="2795"/>
      <c r="OKO37" s="2795"/>
      <c r="OKP37" s="2795"/>
      <c r="OKQ37" s="2795"/>
      <c r="OKR37" s="2795"/>
      <c r="OKS37" s="2795"/>
      <c r="OKT37" s="2795"/>
      <c r="OKU37" s="2795"/>
      <c r="OKV37" s="2795"/>
      <c r="OKW37" s="2795"/>
      <c r="OKX37" s="2795"/>
      <c r="OKY37" s="2795"/>
      <c r="OKZ37" s="2795"/>
      <c r="OLA37" s="2795"/>
      <c r="OLB37" s="2795"/>
      <c r="OLC37" s="2795"/>
      <c r="OLD37" s="2795"/>
      <c r="OLE37" s="2795"/>
      <c r="OLF37" s="2795"/>
      <c r="OLG37" s="2795"/>
      <c r="OLH37" s="2795"/>
      <c r="OLI37" s="2795"/>
      <c r="OLJ37" s="2795"/>
      <c r="OLK37" s="2795"/>
      <c r="OLL37" s="2795"/>
      <c r="OLM37" s="2795"/>
      <c r="OLN37" s="2795"/>
      <c r="OLO37" s="2795"/>
      <c r="OLP37" s="2795"/>
      <c r="OLQ37" s="2795"/>
      <c r="OLR37" s="2795"/>
      <c r="OLS37" s="2795"/>
      <c r="OLT37" s="2795"/>
      <c r="OLU37" s="2795"/>
      <c r="OLV37" s="2795"/>
      <c r="OLW37" s="2795"/>
      <c r="OLX37" s="2795"/>
      <c r="OLY37" s="2795"/>
      <c r="OLZ37" s="2795"/>
      <c r="OMA37" s="2795"/>
      <c r="OMB37" s="2795"/>
      <c r="OMC37" s="2795"/>
      <c r="OMD37" s="2795"/>
      <c r="OME37" s="2795"/>
      <c r="OMF37" s="2795"/>
      <c r="OMG37" s="2795"/>
      <c r="OMH37" s="2795"/>
      <c r="OMI37" s="2795"/>
      <c r="OMJ37" s="2795"/>
      <c r="OMK37" s="2795"/>
      <c r="OML37" s="2795"/>
      <c r="OMM37" s="2795"/>
      <c r="OMN37" s="2795"/>
      <c r="OMO37" s="2795"/>
      <c r="OMP37" s="2795"/>
      <c r="OMQ37" s="2795"/>
      <c r="OMR37" s="2795"/>
      <c r="OMS37" s="2795"/>
      <c r="OMT37" s="2795"/>
      <c r="OMU37" s="2795"/>
      <c r="OMV37" s="2795"/>
      <c r="OMW37" s="2795"/>
      <c r="OMX37" s="2795"/>
      <c r="OMY37" s="2795"/>
      <c r="OMZ37" s="2795"/>
      <c r="ONA37" s="2795"/>
      <c r="ONB37" s="2795"/>
      <c r="ONC37" s="2795"/>
      <c r="OND37" s="2795"/>
      <c r="ONE37" s="2795"/>
      <c r="ONF37" s="2795"/>
      <c r="ONG37" s="2795"/>
      <c r="ONH37" s="2795"/>
      <c r="ONI37" s="2795"/>
      <c r="ONJ37" s="2795"/>
      <c r="ONK37" s="2795"/>
      <c r="ONL37" s="2795"/>
      <c r="ONM37" s="2795"/>
      <c r="ONN37" s="2795"/>
      <c r="ONO37" s="2795"/>
      <c r="ONP37" s="2795"/>
      <c r="ONQ37" s="2795"/>
      <c r="ONR37" s="2795"/>
      <c r="ONS37" s="2795"/>
      <c r="ONT37" s="2795"/>
      <c r="ONU37" s="2795"/>
      <c r="ONV37" s="2795"/>
      <c r="ONW37" s="2795"/>
      <c r="ONX37" s="2795"/>
      <c r="ONY37" s="2795"/>
      <c r="ONZ37" s="2795"/>
      <c r="OOA37" s="2795"/>
      <c r="OOB37" s="2795"/>
      <c r="OOC37" s="2795"/>
      <c r="OOD37" s="2795"/>
      <c r="OOE37" s="2795"/>
      <c r="OOF37" s="2795"/>
      <c r="OOG37" s="2795"/>
      <c r="OOH37" s="2795"/>
      <c r="OOI37" s="2795"/>
      <c r="OOJ37" s="2795"/>
      <c r="OOK37" s="2795"/>
      <c r="OOL37" s="2795"/>
      <c r="OOM37" s="2795"/>
      <c r="OON37" s="2795"/>
      <c r="OOO37" s="2795"/>
      <c r="OOP37" s="2795"/>
      <c r="OOQ37" s="2795"/>
      <c r="OOR37" s="2795"/>
      <c r="OOS37" s="2795"/>
      <c r="OOT37" s="2795"/>
      <c r="OOU37" s="2795"/>
      <c r="OOV37" s="2795"/>
      <c r="OOW37" s="2795"/>
      <c r="OOX37" s="2795"/>
      <c r="OOY37" s="2795"/>
      <c r="OOZ37" s="2795"/>
      <c r="OPA37" s="2795"/>
      <c r="OPB37" s="2795"/>
      <c r="OPC37" s="2795"/>
      <c r="OPD37" s="2795"/>
      <c r="OPE37" s="2795"/>
      <c r="OPF37" s="2795"/>
      <c r="OPG37" s="2795"/>
      <c r="OPH37" s="2795"/>
      <c r="OPI37" s="2795"/>
      <c r="OPJ37" s="2795"/>
      <c r="OPK37" s="2795"/>
      <c r="OPL37" s="2795"/>
      <c r="OPM37" s="2795"/>
      <c r="OPN37" s="2795"/>
      <c r="OPO37" s="2795"/>
      <c r="OPP37" s="2795"/>
      <c r="OPQ37" s="2795"/>
      <c r="OPR37" s="2795"/>
      <c r="OPS37" s="2795"/>
      <c r="OPT37" s="2795"/>
      <c r="OPU37" s="2795"/>
      <c r="OPV37" s="2795"/>
      <c r="OPW37" s="2795"/>
      <c r="OPX37" s="2795"/>
      <c r="OPY37" s="2795"/>
      <c r="OPZ37" s="2795"/>
      <c r="OQA37" s="2795"/>
      <c r="OQB37" s="2795"/>
      <c r="OQC37" s="2795"/>
      <c r="OQD37" s="2795"/>
      <c r="OQE37" s="2795"/>
      <c r="OQF37" s="2795"/>
      <c r="OQG37" s="2795"/>
      <c r="OQH37" s="2795"/>
      <c r="OQI37" s="2795"/>
      <c r="OQJ37" s="2795"/>
      <c r="OQK37" s="2795"/>
      <c r="OQL37" s="2795"/>
      <c r="OQM37" s="2795"/>
      <c r="OQN37" s="2795"/>
      <c r="OQO37" s="2795"/>
      <c r="OQP37" s="2795"/>
      <c r="OQQ37" s="2795"/>
      <c r="OQR37" s="2795"/>
      <c r="OQS37" s="2795"/>
      <c r="OQT37" s="2795"/>
      <c r="OQU37" s="2795"/>
      <c r="OQV37" s="2795"/>
      <c r="OQW37" s="2795"/>
      <c r="OQX37" s="2795"/>
      <c r="OQY37" s="2795"/>
      <c r="OQZ37" s="2795"/>
      <c r="ORA37" s="2795"/>
      <c r="ORB37" s="2795"/>
      <c r="ORC37" s="2795"/>
      <c r="ORD37" s="2795"/>
      <c r="ORE37" s="2795"/>
      <c r="ORF37" s="2795"/>
      <c r="ORG37" s="2795"/>
      <c r="ORH37" s="2795"/>
      <c r="ORI37" s="2795"/>
      <c r="ORJ37" s="2795"/>
      <c r="ORK37" s="2795"/>
      <c r="ORL37" s="2795"/>
      <c r="ORM37" s="2795"/>
      <c r="ORN37" s="2795"/>
      <c r="ORO37" s="2795"/>
      <c r="ORP37" s="2795"/>
      <c r="ORQ37" s="2795"/>
      <c r="ORR37" s="2795"/>
      <c r="ORS37" s="2795"/>
      <c r="ORT37" s="2795"/>
      <c r="ORU37" s="2795"/>
      <c r="ORV37" s="2795"/>
      <c r="ORW37" s="2795"/>
      <c r="ORX37" s="2795"/>
      <c r="ORY37" s="2795"/>
      <c r="ORZ37" s="2795"/>
      <c r="OSA37" s="2795"/>
      <c r="OSB37" s="2795"/>
      <c r="OSC37" s="2795"/>
      <c r="OSD37" s="2795"/>
      <c r="OSE37" s="2795"/>
      <c r="OSF37" s="2795"/>
      <c r="OSG37" s="2795"/>
      <c r="OSH37" s="2795"/>
      <c r="OSI37" s="2795"/>
      <c r="OSJ37" s="2795"/>
      <c r="OSK37" s="2795"/>
      <c r="OSL37" s="2795"/>
      <c r="OSM37" s="2795"/>
      <c r="OSN37" s="2795"/>
      <c r="OSO37" s="2795"/>
      <c r="OSP37" s="2795"/>
      <c r="OSQ37" s="2795"/>
      <c r="OSR37" s="2795"/>
      <c r="OSS37" s="2795"/>
      <c r="OST37" s="2795"/>
      <c r="OSU37" s="2795"/>
      <c r="OSV37" s="2795"/>
      <c r="OSW37" s="2795"/>
      <c r="OSX37" s="2795"/>
      <c r="OSY37" s="2795"/>
      <c r="OSZ37" s="2795"/>
      <c r="OTA37" s="2795"/>
      <c r="OTB37" s="2795"/>
      <c r="OTC37" s="2795"/>
      <c r="OTD37" s="2795"/>
      <c r="OTE37" s="2795"/>
      <c r="OTF37" s="2795"/>
      <c r="OTG37" s="2795"/>
      <c r="OTH37" s="2795"/>
      <c r="OTI37" s="2795"/>
      <c r="OTJ37" s="2795"/>
      <c r="OTK37" s="2795"/>
      <c r="OTL37" s="2795"/>
      <c r="OTM37" s="2795"/>
      <c r="OTN37" s="2795"/>
      <c r="OTO37" s="2795"/>
      <c r="OTP37" s="2795"/>
      <c r="OTQ37" s="2795"/>
      <c r="OTR37" s="2795"/>
      <c r="OTS37" s="2795"/>
      <c r="OTT37" s="2795"/>
      <c r="OTU37" s="2795"/>
      <c r="OTV37" s="2795"/>
      <c r="OTW37" s="2795"/>
      <c r="OTX37" s="2795"/>
      <c r="OTY37" s="2795"/>
      <c r="OTZ37" s="2795"/>
      <c r="OUA37" s="2795"/>
      <c r="OUB37" s="2795"/>
      <c r="OUC37" s="2795"/>
      <c r="OUD37" s="2795"/>
      <c r="OUE37" s="2795"/>
      <c r="OUF37" s="2795"/>
      <c r="OUG37" s="2795"/>
      <c r="OUH37" s="2795"/>
      <c r="OUI37" s="2795"/>
      <c r="OUJ37" s="2795"/>
      <c r="OUK37" s="2795"/>
      <c r="OUL37" s="2795"/>
      <c r="OUM37" s="2795"/>
      <c r="OUN37" s="2795"/>
      <c r="OUO37" s="2795"/>
      <c r="OUP37" s="2795"/>
      <c r="OUQ37" s="2795"/>
      <c r="OUR37" s="2795"/>
      <c r="OUS37" s="2795"/>
      <c r="OUT37" s="2795"/>
      <c r="OUU37" s="2795"/>
      <c r="OUV37" s="2795"/>
      <c r="OUW37" s="2795"/>
      <c r="OUX37" s="2795"/>
      <c r="OUY37" s="2795"/>
      <c r="OUZ37" s="2795"/>
      <c r="OVA37" s="2795"/>
      <c r="OVB37" s="2795"/>
      <c r="OVC37" s="2795"/>
      <c r="OVD37" s="2795"/>
      <c r="OVE37" s="2795"/>
      <c r="OVF37" s="2795"/>
      <c r="OVG37" s="2795"/>
      <c r="OVH37" s="2795"/>
      <c r="OVI37" s="2795"/>
      <c r="OVJ37" s="2795"/>
      <c r="OVK37" s="2795"/>
      <c r="OVL37" s="2795"/>
      <c r="OVM37" s="2795"/>
      <c r="OVN37" s="2795"/>
      <c r="OVO37" s="2795"/>
      <c r="OVP37" s="2795"/>
      <c r="OVQ37" s="2795"/>
      <c r="OVR37" s="2795"/>
      <c r="OVS37" s="2795"/>
      <c r="OVT37" s="2795"/>
      <c r="OVU37" s="2795"/>
      <c r="OVV37" s="2795"/>
      <c r="OVW37" s="2795"/>
      <c r="OVX37" s="2795"/>
      <c r="OVY37" s="2795"/>
      <c r="OVZ37" s="2795"/>
      <c r="OWA37" s="2795"/>
      <c r="OWB37" s="2795"/>
      <c r="OWC37" s="2795"/>
      <c r="OWD37" s="2795"/>
      <c r="OWE37" s="2795"/>
      <c r="OWF37" s="2795"/>
      <c r="OWG37" s="2795"/>
      <c r="OWH37" s="2795"/>
      <c r="OWI37" s="2795"/>
      <c r="OWJ37" s="2795"/>
      <c r="OWK37" s="2795"/>
      <c r="OWL37" s="2795"/>
      <c r="OWM37" s="2795"/>
      <c r="OWN37" s="2795"/>
      <c r="OWO37" s="2795"/>
      <c r="OWP37" s="2795"/>
      <c r="OWQ37" s="2795"/>
      <c r="OWR37" s="2795"/>
      <c r="OWS37" s="2795"/>
      <c r="OWT37" s="2795"/>
      <c r="OWU37" s="2795"/>
      <c r="OWV37" s="2795"/>
      <c r="OWW37" s="2795"/>
      <c r="OWX37" s="2795"/>
      <c r="OWY37" s="2795"/>
      <c r="OWZ37" s="2795"/>
      <c r="OXA37" s="2795"/>
      <c r="OXB37" s="2795"/>
      <c r="OXC37" s="2795"/>
      <c r="OXD37" s="2795"/>
      <c r="OXE37" s="2795"/>
      <c r="OXF37" s="2795"/>
      <c r="OXG37" s="2795"/>
      <c r="OXH37" s="2795"/>
      <c r="OXI37" s="2795"/>
      <c r="OXJ37" s="2795"/>
      <c r="OXK37" s="2795"/>
      <c r="OXL37" s="2795"/>
      <c r="OXM37" s="2795"/>
      <c r="OXN37" s="2795"/>
      <c r="OXO37" s="2795"/>
      <c r="OXP37" s="2795"/>
      <c r="OXQ37" s="2795"/>
      <c r="OXR37" s="2795"/>
      <c r="OXS37" s="2795"/>
      <c r="OXT37" s="2795"/>
      <c r="OXU37" s="2795"/>
      <c r="OXV37" s="2795"/>
      <c r="OXW37" s="2795"/>
      <c r="OXX37" s="2795"/>
      <c r="OXY37" s="2795"/>
      <c r="OXZ37" s="2795"/>
      <c r="OYA37" s="2795"/>
      <c r="OYB37" s="2795"/>
      <c r="OYC37" s="2795"/>
      <c r="OYD37" s="2795"/>
      <c r="OYE37" s="2795"/>
      <c r="OYF37" s="2795"/>
      <c r="OYG37" s="2795"/>
      <c r="OYH37" s="2795"/>
      <c r="OYI37" s="2795"/>
      <c r="OYJ37" s="2795"/>
      <c r="OYK37" s="2795"/>
      <c r="OYL37" s="2795"/>
      <c r="OYM37" s="2795"/>
      <c r="OYN37" s="2795"/>
      <c r="OYO37" s="2795"/>
      <c r="OYP37" s="2795"/>
      <c r="OYQ37" s="2795"/>
      <c r="OYR37" s="2795"/>
      <c r="OYS37" s="2795"/>
      <c r="OYT37" s="2795"/>
      <c r="OYU37" s="2795"/>
      <c r="OYV37" s="2795"/>
      <c r="OYW37" s="2795"/>
      <c r="OYX37" s="2795"/>
      <c r="OYY37" s="2795"/>
      <c r="OYZ37" s="2795"/>
      <c r="OZA37" s="2795"/>
      <c r="OZB37" s="2795"/>
      <c r="OZC37" s="2795"/>
      <c r="OZD37" s="2795"/>
      <c r="OZE37" s="2795"/>
      <c r="OZF37" s="2795"/>
      <c r="OZG37" s="2795"/>
      <c r="OZH37" s="2795"/>
      <c r="OZI37" s="2795"/>
      <c r="OZJ37" s="2795"/>
      <c r="OZK37" s="2795"/>
      <c r="OZL37" s="2795"/>
      <c r="OZM37" s="2795"/>
      <c r="OZN37" s="2795"/>
      <c r="OZO37" s="2795"/>
      <c r="OZP37" s="2795"/>
      <c r="OZQ37" s="2795"/>
      <c r="OZR37" s="2795"/>
      <c r="OZS37" s="2795"/>
      <c r="OZT37" s="2795"/>
      <c r="OZU37" s="2795"/>
      <c r="OZV37" s="2795"/>
      <c r="OZW37" s="2795"/>
      <c r="OZX37" s="2795"/>
      <c r="OZY37" s="2795"/>
      <c r="OZZ37" s="2795"/>
      <c r="PAA37" s="2795"/>
      <c r="PAB37" s="2795"/>
      <c r="PAC37" s="2795"/>
      <c r="PAD37" s="2795"/>
      <c r="PAE37" s="2795"/>
      <c r="PAF37" s="2795"/>
      <c r="PAG37" s="2795"/>
      <c r="PAH37" s="2795"/>
      <c r="PAI37" s="2795"/>
      <c r="PAJ37" s="2795"/>
      <c r="PAK37" s="2795"/>
      <c r="PAL37" s="2795"/>
      <c r="PAM37" s="2795"/>
      <c r="PAN37" s="2795"/>
      <c r="PAO37" s="2795"/>
      <c r="PAP37" s="2795"/>
      <c r="PAQ37" s="2795"/>
      <c r="PAR37" s="2795"/>
      <c r="PAS37" s="2795"/>
      <c r="PAT37" s="2795"/>
      <c r="PAU37" s="2795"/>
      <c r="PAV37" s="2795"/>
      <c r="PAW37" s="2795"/>
      <c r="PAX37" s="2795"/>
      <c r="PAY37" s="2795"/>
      <c r="PAZ37" s="2795"/>
      <c r="PBA37" s="2795"/>
      <c r="PBB37" s="2795"/>
      <c r="PBC37" s="2795"/>
      <c r="PBD37" s="2795"/>
      <c r="PBE37" s="2795"/>
      <c r="PBF37" s="2795"/>
      <c r="PBG37" s="2795"/>
      <c r="PBH37" s="2795"/>
      <c r="PBI37" s="2795"/>
      <c r="PBJ37" s="2795"/>
      <c r="PBK37" s="2795"/>
      <c r="PBL37" s="2795"/>
      <c r="PBM37" s="2795"/>
      <c r="PBN37" s="2795"/>
      <c r="PBO37" s="2795"/>
      <c r="PBP37" s="2795"/>
      <c r="PBQ37" s="2795"/>
      <c r="PBR37" s="2795"/>
      <c r="PBS37" s="2795"/>
      <c r="PBT37" s="2795"/>
      <c r="PBU37" s="2795"/>
      <c r="PBV37" s="2795"/>
      <c r="PBW37" s="2795"/>
      <c r="PBX37" s="2795"/>
      <c r="PBY37" s="2795"/>
      <c r="PBZ37" s="2795"/>
      <c r="PCA37" s="2795"/>
      <c r="PCB37" s="2795"/>
      <c r="PCC37" s="2795"/>
      <c r="PCD37" s="2795"/>
      <c r="PCE37" s="2795"/>
      <c r="PCF37" s="2795"/>
      <c r="PCG37" s="2795"/>
      <c r="PCH37" s="2795"/>
      <c r="PCI37" s="2795"/>
      <c r="PCJ37" s="2795"/>
      <c r="PCK37" s="2795"/>
      <c r="PCL37" s="2795"/>
      <c r="PCM37" s="2795"/>
      <c r="PCN37" s="2795"/>
      <c r="PCO37" s="2795"/>
      <c r="PCP37" s="2795"/>
      <c r="PCQ37" s="2795"/>
      <c r="PCR37" s="2795"/>
      <c r="PCS37" s="2795"/>
      <c r="PCT37" s="2795"/>
      <c r="PCU37" s="2795"/>
      <c r="PCV37" s="2795"/>
      <c r="PCW37" s="2795"/>
      <c r="PCX37" s="2795"/>
      <c r="PCY37" s="2795"/>
      <c r="PCZ37" s="2795"/>
      <c r="PDA37" s="2795"/>
      <c r="PDB37" s="2795"/>
      <c r="PDC37" s="2795"/>
      <c r="PDD37" s="2795"/>
      <c r="PDE37" s="2795"/>
      <c r="PDF37" s="2795"/>
      <c r="PDG37" s="2795"/>
      <c r="PDH37" s="2795"/>
      <c r="PDI37" s="2795"/>
      <c r="PDJ37" s="2795"/>
      <c r="PDK37" s="2795"/>
      <c r="PDL37" s="2795"/>
      <c r="PDM37" s="2795"/>
      <c r="PDN37" s="2795"/>
      <c r="PDO37" s="2795"/>
      <c r="PDP37" s="2795"/>
      <c r="PDQ37" s="2795"/>
      <c r="PDR37" s="2795"/>
      <c r="PDS37" s="2795"/>
      <c r="PDT37" s="2795"/>
      <c r="PDU37" s="2795"/>
      <c r="PDV37" s="2795"/>
      <c r="PDW37" s="2795"/>
      <c r="PDX37" s="2795"/>
      <c r="PDY37" s="2795"/>
      <c r="PDZ37" s="2795"/>
      <c r="PEA37" s="2795"/>
      <c r="PEB37" s="2795"/>
      <c r="PEC37" s="2795"/>
      <c r="PED37" s="2795"/>
      <c r="PEE37" s="2795"/>
      <c r="PEF37" s="2795"/>
      <c r="PEG37" s="2795"/>
      <c r="PEH37" s="2795"/>
      <c r="PEI37" s="2795"/>
      <c r="PEJ37" s="2795"/>
      <c r="PEK37" s="2795"/>
      <c r="PEL37" s="2795"/>
      <c r="PEM37" s="2795"/>
      <c r="PEN37" s="2795"/>
      <c r="PEO37" s="2795"/>
      <c r="PEP37" s="2795"/>
      <c r="PEQ37" s="2795"/>
      <c r="PER37" s="2795"/>
      <c r="PES37" s="2795"/>
      <c r="PET37" s="2795"/>
      <c r="PEU37" s="2795"/>
      <c r="PEV37" s="2795"/>
      <c r="PEW37" s="2795"/>
      <c r="PEX37" s="2795"/>
      <c r="PEY37" s="2795"/>
      <c r="PEZ37" s="2795"/>
      <c r="PFA37" s="2795"/>
      <c r="PFB37" s="2795"/>
      <c r="PFC37" s="2795"/>
      <c r="PFD37" s="2795"/>
      <c r="PFE37" s="2795"/>
      <c r="PFF37" s="2795"/>
      <c r="PFG37" s="2795"/>
      <c r="PFH37" s="2795"/>
      <c r="PFI37" s="2795"/>
      <c r="PFJ37" s="2795"/>
      <c r="PFK37" s="2795"/>
      <c r="PFL37" s="2795"/>
      <c r="PFM37" s="2795"/>
      <c r="PFN37" s="2795"/>
      <c r="PFO37" s="2795"/>
      <c r="PFP37" s="2795"/>
      <c r="PFQ37" s="2795"/>
      <c r="PFR37" s="2795"/>
      <c r="PFS37" s="2795"/>
      <c r="PFT37" s="2795"/>
      <c r="PFU37" s="2795"/>
      <c r="PFV37" s="2795"/>
      <c r="PFW37" s="2795"/>
      <c r="PFX37" s="2795"/>
      <c r="PFY37" s="2795"/>
      <c r="PFZ37" s="2795"/>
      <c r="PGA37" s="2795"/>
      <c r="PGB37" s="2795"/>
      <c r="PGC37" s="2795"/>
      <c r="PGD37" s="2795"/>
      <c r="PGE37" s="2795"/>
      <c r="PGF37" s="2795"/>
      <c r="PGG37" s="2795"/>
      <c r="PGH37" s="2795"/>
      <c r="PGI37" s="2795"/>
      <c r="PGJ37" s="2795"/>
      <c r="PGK37" s="2795"/>
      <c r="PGL37" s="2795"/>
      <c r="PGM37" s="2795"/>
      <c r="PGN37" s="2795"/>
      <c r="PGO37" s="2795"/>
      <c r="PGP37" s="2795"/>
      <c r="PGQ37" s="2795"/>
      <c r="PGR37" s="2795"/>
      <c r="PGS37" s="2795"/>
      <c r="PGT37" s="2795"/>
      <c r="PGU37" s="2795"/>
      <c r="PGV37" s="2795"/>
      <c r="PGW37" s="2795"/>
      <c r="PGX37" s="2795"/>
      <c r="PGY37" s="2795"/>
      <c r="PGZ37" s="2795"/>
      <c r="PHA37" s="2795"/>
      <c r="PHB37" s="2795"/>
      <c r="PHC37" s="2795"/>
      <c r="PHD37" s="2795"/>
      <c r="PHE37" s="2795"/>
      <c r="PHF37" s="2795"/>
      <c r="PHG37" s="2795"/>
      <c r="PHH37" s="2795"/>
      <c r="PHI37" s="2795"/>
      <c r="PHJ37" s="2795"/>
      <c r="PHK37" s="2795"/>
      <c r="PHL37" s="2795"/>
      <c r="PHM37" s="2795"/>
      <c r="PHN37" s="2795"/>
      <c r="PHO37" s="2795"/>
      <c r="PHP37" s="2795"/>
      <c r="PHQ37" s="2795"/>
      <c r="PHR37" s="2795"/>
      <c r="PHS37" s="2795"/>
      <c r="PHT37" s="2795"/>
      <c r="PHU37" s="2795"/>
      <c r="PHV37" s="2795"/>
      <c r="PHW37" s="2795"/>
      <c r="PHX37" s="2795"/>
      <c r="PHY37" s="2795"/>
      <c r="PHZ37" s="2795"/>
      <c r="PIA37" s="2795"/>
      <c r="PIB37" s="2795"/>
      <c r="PIC37" s="2795"/>
      <c r="PID37" s="2795"/>
      <c r="PIE37" s="2795"/>
      <c r="PIF37" s="2795"/>
      <c r="PIG37" s="2795"/>
      <c r="PIH37" s="2795"/>
      <c r="PII37" s="2795"/>
      <c r="PIJ37" s="2795"/>
      <c r="PIK37" s="2795"/>
      <c r="PIL37" s="2795"/>
      <c r="PIM37" s="2795"/>
      <c r="PIN37" s="2795"/>
      <c r="PIO37" s="2795"/>
      <c r="PIP37" s="2795"/>
      <c r="PIQ37" s="2795"/>
      <c r="PIR37" s="2795"/>
      <c r="PIS37" s="2795"/>
      <c r="PIT37" s="2795"/>
      <c r="PIU37" s="2795"/>
      <c r="PIV37" s="2795"/>
      <c r="PIW37" s="2795"/>
      <c r="PIX37" s="2795"/>
      <c r="PIY37" s="2795"/>
      <c r="PIZ37" s="2795"/>
      <c r="PJA37" s="2795"/>
      <c r="PJB37" s="2795"/>
      <c r="PJC37" s="2795"/>
      <c r="PJD37" s="2795"/>
      <c r="PJE37" s="2795"/>
      <c r="PJF37" s="2795"/>
      <c r="PJG37" s="2795"/>
      <c r="PJH37" s="2795"/>
      <c r="PJI37" s="2795"/>
      <c r="PJJ37" s="2795"/>
      <c r="PJK37" s="2795"/>
      <c r="PJL37" s="2795"/>
      <c r="PJM37" s="2795"/>
      <c r="PJN37" s="2795"/>
      <c r="PJO37" s="2795"/>
      <c r="PJP37" s="2795"/>
      <c r="PJQ37" s="2795"/>
      <c r="PJR37" s="2795"/>
      <c r="PJS37" s="2795"/>
      <c r="PJT37" s="2795"/>
      <c r="PJU37" s="2795"/>
      <c r="PJV37" s="2795"/>
      <c r="PJW37" s="2795"/>
      <c r="PJX37" s="2795"/>
      <c r="PJY37" s="2795"/>
      <c r="PJZ37" s="2795"/>
      <c r="PKA37" s="2795"/>
      <c r="PKB37" s="2795"/>
      <c r="PKC37" s="2795"/>
      <c r="PKD37" s="2795"/>
      <c r="PKE37" s="2795"/>
      <c r="PKF37" s="2795"/>
      <c r="PKG37" s="2795"/>
      <c r="PKH37" s="2795"/>
      <c r="PKI37" s="2795"/>
      <c r="PKJ37" s="2795"/>
      <c r="PKK37" s="2795"/>
      <c r="PKL37" s="2795"/>
      <c r="PKM37" s="2795"/>
      <c r="PKN37" s="2795"/>
      <c r="PKO37" s="2795"/>
      <c r="PKP37" s="2795"/>
      <c r="PKQ37" s="2795"/>
      <c r="PKR37" s="2795"/>
      <c r="PKS37" s="2795"/>
      <c r="PKT37" s="2795"/>
      <c r="PKU37" s="2795"/>
      <c r="PKV37" s="2795"/>
      <c r="PKW37" s="2795"/>
      <c r="PKX37" s="2795"/>
      <c r="PKY37" s="2795"/>
      <c r="PKZ37" s="2795"/>
      <c r="PLA37" s="2795"/>
      <c r="PLB37" s="2795"/>
      <c r="PLC37" s="2795"/>
      <c r="PLD37" s="2795"/>
      <c r="PLE37" s="2795"/>
      <c r="PLF37" s="2795"/>
      <c r="PLG37" s="2795"/>
      <c r="PLH37" s="2795"/>
      <c r="PLI37" s="2795"/>
      <c r="PLJ37" s="2795"/>
      <c r="PLK37" s="2795"/>
      <c r="PLL37" s="2795"/>
      <c r="PLM37" s="2795"/>
      <c r="PLN37" s="2795"/>
      <c r="PLO37" s="2795"/>
      <c r="PLP37" s="2795"/>
      <c r="PLQ37" s="2795"/>
      <c r="PLR37" s="2795"/>
      <c r="PLS37" s="2795"/>
      <c r="PLT37" s="2795"/>
      <c r="PLU37" s="2795"/>
      <c r="PLV37" s="2795"/>
      <c r="PLW37" s="2795"/>
      <c r="PLX37" s="2795"/>
      <c r="PLY37" s="2795"/>
      <c r="PLZ37" s="2795"/>
      <c r="PMA37" s="2795"/>
      <c r="PMB37" s="2795"/>
      <c r="PMC37" s="2795"/>
      <c r="PMD37" s="2795"/>
      <c r="PME37" s="2795"/>
      <c r="PMF37" s="2795"/>
      <c r="PMG37" s="2795"/>
      <c r="PMH37" s="2795"/>
      <c r="PMI37" s="2795"/>
      <c r="PMJ37" s="2795"/>
      <c r="PMK37" s="2795"/>
      <c r="PML37" s="2795"/>
      <c r="PMM37" s="2795"/>
      <c r="PMN37" s="2795"/>
      <c r="PMO37" s="2795"/>
      <c r="PMP37" s="2795"/>
      <c r="PMQ37" s="2795"/>
      <c r="PMR37" s="2795"/>
      <c r="PMS37" s="2795"/>
      <c r="PMT37" s="2795"/>
      <c r="PMU37" s="2795"/>
      <c r="PMV37" s="2795"/>
      <c r="PMW37" s="2795"/>
      <c r="PMX37" s="2795"/>
      <c r="PMY37" s="2795"/>
      <c r="PMZ37" s="2795"/>
      <c r="PNA37" s="2795"/>
      <c r="PNB37" s="2795"/>
      <c r="PNC37" s="2795"/>
      <c r="PND37" s="2795"/>
      <c r="PNE37" s="2795"/>
      <c r="PNF37" s="2795"/>
      <c r="PNG37" s="2795"/>
      <c r="PNH37" s="2795"/>
      <c r="PNI37" s="2795"/>
      <c r="PNJ37" s="2795"/>
      <c r="PNK37" s="2795"/>
      <c r="PNL37" s="2795"/>
      <c r="PNM37" s="2795"/>
      <c r="PNN37" s="2795"/>
      <c r="PNO37" s="2795"/>
      <c r="PNP37" s="2795"/>
      <c r="PNQ37" s="2795"/>
      <c r="PNR37" s="2795"/>
      <c r="PNS37" s="2795"/>
      <c r="PNT37" s="2795"/>
      <c r="PNU37" s="2795"/>
      <c r="PNV37" s="2795"/>
      <c r="PNW37" s="2795"/>
      <c r="PNX37" s="2795"/>
      <c r="PNY37" s="2795"/>
      <c r="PNZ37" s="2795"/>
      <c r="POA37" s="2795"/>
      <c r="POB37" s="2795"/>
      <c r="POC37" s="2795"/>
      <c r="POD37" s="2795"/>
      <c r="POE37" s="2795"/>
      <c r="POF37" s="2795"/>
      <c r="POG37" s="2795"/>
      <c r="POH37" s="2795"/>
      <c r="POI37" s="2795"/>
      <c r="POJ37" s="2795"/>
      <c r="POK37" s="2795"/>
      <c r="POL37" s="2795"/>
      <c r="POM37" s="2795"/>
      <c r="PON37" s="2795"/>
      <c r="POO37" s="2795"/>
      <c r="POP37" s="2795"/>
      <c r="POQ37" s="2795"/>
      <c r="POR37" s="2795"/>
      <c r="POS37" s="2795"/>
      <c r="POT37" s="2795"/>
      <c r="POU37" s="2795"/>
      <c r="POV37" s="2795"/>
      <c r="POW37" s="2795"/>
      <c r="POX37" s="2795"/>
      <c r="POY37" s="2795"/>
      <c r="POZ37" s="2795"/>
      <c r="PPA37" s="2795"/>
      <c r="PPB37" s="2795"/>
      <c r="PPC37" s="2795"/>
      <c r="PPD37" s="2795"/>
      <c r="PPE37" s="2795"/>
      <c r="PPF37" s="2795"/>
      <c r="PPG37" s="2795"/>
      <c r="PPH37" s="2795"/>
      <c r="PPI37" s="2795"/>
      <c r="PPJ37" s="2795"/>
      <c r="PPK37" s="2795"/>
      <c r="PPL37" s="2795"/>
      <c r="PPM37" s="2795"/>
      <c r="PPN37" s="2795"/>
      <c r="PPO37" s="2795"/>
      <c r="PPP37" s="2795"/>
      <c r="PPQ37" s="2795"/>
      <c r="PPR37" s="2795"/>
      <c r="PPS37" s="2795"/>
      <c r="PPT37" s="2795"/>
      <c r="PPU37" s="2795"/>
      <c r="PPV37" s="2795"/>
      <c r="PPW37" s="2795"/>
      <c r="PPX37" s="2795"/>
      <c r="PPY37" s="2795"/>
      <c r="PPZ37" s="2795"/>
      <c r="PQA37" s="2795"/>
      <c r="PQB37" s="2795"/>
      <c r="PQC37" s="2795"/>
      <c r="PQD37" s="2795"/>
      <c r="PQE37" s="2795"/>
      <c r="PQF37" s="2795"/>
      <c r="PQG37" s="2795"/>
      <c r="PQH37" s="2795"/>
      <c r="PQI37" s="2795"/>
      <c r="PQJ37" s="2795"/>
      <c r="PQK37" s="2795"/>
      <c r="PQL37" s="2795"/>
      <c r="PQM37" s="2795"/>
      <c r="PQN37" s="2795"/>
      <c r="PQO37" s="2795"/>
      <c r="PQP37" s="2795"/>
      <c r="PQQ37" s="2795"/>
      <c r="PQR37" s="2795"/>
      <c r="PQS37" s="2795"/>
      <c r="PQT37" s="2795"/>
      <c r="PQU37" s="2795"/>
      <c r="PQV37" s="2795"/>
      <c r="PQW37" s="2795"/>
      <c r="PQX37" s="2795"/>
      <c r="PQY37" s="2795"/>
      <c r="PQZ37" s="2795"/>
      <c r="PRA37" s="2795"/>
      <c r="PRB37" s="2795"/>
      <c r="PRC37" s="2795"/>
      <c r="PRD37" s="2795"/>
      <c r="PRE37" s="2795"/>
      <c r="PRF37" s="2795"/>
      <c r="PRG37" s="2795"/>
      <c r="PRH37" s="2795"/>
      <c r="PRI37" s="2795"/>
      <c r="PRJ37" s="2795"/>
      <c r="PRK37" s="2795"/>
      <c r="PRL37" s="2795"/>
      <c r="PRM37" s="2795"/>
      <c r="PRN37" s="2795"/>
      <c r="PRO37" s="2795"/>
      <c r="PRP37" s="2795"/>
      <c r="PRQ37" s="2795"/>
      <c r="PRR37" s="2795"/>
      <c r="PRS37" s="2795"/>
      <c r="PRT37" s="2795"/>
      <c r="PRU37" s="2795"/>
      <c r="PRV37" s="2795"/>
      <c r="PRW37" s="2795"/>
      <c r="PRX37" s="2795"/>
      <c r="PRY37" s="2795"/>
      <c r="PRZ37" s="2795"/>
      <c r="PSA37" s="2795"/>
      <c r="PSB37" s="2795"/>
      <c r="PSC37" s="2795"/>
      <c r="PSD37" s="2795"/>
      <c r="PSE37" s="2795"/>
      <c r="PSF37" s="2795"/>
      <c r="PSG37" s="2795"/>
      <c r="PSH37" s="2795"/>
      <c r="PSI37" s="2795"/>
      <c r="PSJ37" s="2795"/>
      <c r="PSK37" s="2795"/>
      <c r="PSL37" s="2795"/>
      <c r="PSM37" s="2795"/>
      <c r="PSN37" s="2795"/>
      <c r="PSO37" s="2795"/>
      <c r="PSP37" s="2795"/>
      <c r="PSQ37" s="2795"/>
      <c r="PSR37" s="2795"/>
      <c r="PSS37" s="2795"/>
      <c r="PST37" s="2795"/>
      <c r="PSU37" s="2795"/>
      <c r="PSV37" s="2795"/>
      <c r="PSW37" s="2795"/>
      <c r="PSX37" s="2795"/>
      <c r="PSY37" s="2795"/>
      <c r="PSZ37" s="2795"/>
      <c r="PTA37" s="2795"/>
      <c r="PTB37" s="2795"/>
      <c r="PTC37" s="2795"/>
      <c r="PTD37" s="2795"/>
      <c r="PTE37" s="2795"/>
      <c r="PTF37" s="2795"/>
      <c r="PTG37" s="2795"/>
      <c r="PTH37" s="2795"/>
      <c r="PTI37" s="2795"/>
      <c r="PTJ37" s="2795"/>
      <c r="PTK37" s="2795"/>
      <c r="PTL37" s="2795"/>
      <c r="PTM37" s="2795"/>
      <c r="PTN37" s="2795"/>
      <c r="PTO37" s="2795"/>
      <c r="PTP37" s="2795"/>
      <c r="PTQ37" s="2795"/>
      <c r="PTR37" s="2795"/>
      <c r="PTS37" s="2795"/>
      <c r="PTT37" s="2795"/>
      <c r="PTU37" s="2795"/>
      <c r="PTV37" s="2795"/>
      <c r="PTW37" s="2795"/>
      <c r="PTX37" s="2795"/>
      <c r="PTY37" s="2795"/>
      <c r="PTZ37" s="2795"/>
      <c r="PUA37" s="2795"/>
      <c r="PUB37" s="2795"/>
      <c r="PUC37" s="2795"/>
      <c r="PUD37" s="2795"/>
      <c r="PUE37" s="2795"/>
      <c r="PUF37" s="2795"/>
      <c r="PUG37" s="2795"/>
      <c r="PUH37" s="2795"/>
      <c r="PUI37" s="2795"/>
      <c r="PUJ37" s="2795"/>
      <c r="PUK37" s="2795"/>
      <c r="PUL37" s="2795"/>
      <c r="PUM37" s="2795"/>
      <c r="PUN37" s="2795"/>
      <c r="PUO37" s="2795"/>
      <c r="PUP37" s="2795"/>
      <c r="PUQ37" s="2795"/>
      <c r="PUR37" s="2795"/>
      <c r="PUS37" s="2795"/>
      <c r="PUT37" s="2795"/>
      <c r="PUU37" s="2795"/>
      <c r="PUV37" s="2795"/>
      <c r="PUW37" s="2795"/>
      <c r="PUX37" s="2795"/>
      <c r="PUY37" s="2795"/>
      <c r="PUZ37" s="2795"/>
      <c r="PVA37" s="2795"/>
      <c r="PVB37" s="2795"/>
      <c r="PVC37" s="2795"/>
      <c r="PVD37" s="2795"/>
      <c r="PVE37" s="2795"/>
      <c r="PVF37" s="2795"/>
      <c r="PVG37" s="2795"/>
      <c r="PVH37" s="2795"/>
      <c r="PVI37" s="2795"/>
      <c r="PVJ37" s="2795"/>
      <c r="PVK37" s="2795"/>
      <c r="PVL37" s="2795"/>
      <c r="PVM37" s="2795"/>
      <c r="PVN37" s="2795"/>
      <c r="PVO37" s="2795"/>
      <c r="PVP37" s="2795"/>
      <c r="PVQ37" s="2795"/>
      <c r="PVR37" s="2795"/>
      <c r="PVS37" s="2795"/>
      <c r="PVT37" s="2795"/>
      <c r="PVU37" s="2795"/>
      <c r="PVV37" s="2795"/>
      <c r="PVW37" s="2795"/>
      <c r="PVX37" s="2795"/>
      <c r="PVY37" s="2795"/>
      <c r="PVZ37" s="2795"/>
      <c r="PWA37" s="2795"/>
      <c r="PWB37" s="2795"/>
      <c r="PWC37" s="2795"/>
      <c r="PWD37" s="2795"/>
      <c r="PWE37" s="2795"/>
      <c r="PWF37" s="2795"/>
      <c r="PWG37" s="2795"/>
      <c r="PWH37" s="2795"/>
      <c r="PWI37" s="2795"/>
      <c r="PWJ37" s="2795"/>
      <c r="PWK37" s="2795"/>
      <c r="PWL37" s="2795"/>
      <c r="PWM37" s="2795"/>
      <c r="PWN37" s="2795"/>
      <c r="PWO37" s="2795"/>
      <c r="PWP37" s="2795"/>
      <c r="PWQ37" s="2795"/>
      <c r="PWR37" s="2795"/>
      <c r="PWS37" s="2795"/>
      <c r="PWT37" s="2795"/>
      <c r="PWU37" s="2795"/>
      <c r="PWV37" s="2795"/>
      <c r="PWW37" s="2795"/>
      <c r="PWX37" s="2795"/>
      <c r="PWY37" s="2795"/>
      <c r="PWZ37" s="2795"/>
      <c r="PXA37" s="2795"/>
      <c r="PXB37" s="2795"/>
      <c r="PXC37" s="2795"/>
      <c r="PXD37" s="2795"/>
      <c r="PXE37" s="2795"/>
      <c r="PXF37" s="2795"/>
      <c r="PXG37" s="2795"/>
      <c r="PXH37" s="2795"/>
      <c r="PXI37" s="2795"/>
      <c r="PXJ37" s="2795"/>
      <c r="PXK37" s="2795"/>
      <c r="PXL37" s="2795"/>
      <c r="PXM37" s="2795"/>
      <c r="PXN37" s="2795"/>
      <c r="PXO37" s="2795"/>
      <c r="PXP37" s="2795"/>
      <c r="PXQ37" s="2795"/>
      <c r="PXR37" s="2795"/>
      <c r="PXS37" s="2795"/>
      <c r="PXT37" s="2795"/>
      <c r="PXU37" s="2795"/>
      <c r="PXV37" s="2795"/>
      <c r="PXW37" s="2795"/>
      <c r="PXX37" s="2795"/>
      <c r="PXY37" s="2795"/>
      <c r="PXZ37" s="2795"/>
      <c r="PYA37" s="2795"/>
      <c r="PYB37" s="2795"/>
      <c r="PYC37" s="2795"/>
      <c r="PYD37" s="2795"/>
      <c r="PYE37" s="2795"/>
      <c r="PYF37" s="2795"/>
      <c r="PYG37" s="2795"/>
      <c r="PYH37" s="2795"/>
      <c r="PYI37" s="2795"/>
      <c r="PYJ37" s="2795"/>
      <c r="PYK37" s="2795"/>
      <c r="PYL37" s="2795"/>
      <c r="PYM37" s="2795"/>
      <c r="PYN37" s="2795"/>
      <c r="PYO37" s="2795"/>
      <c r="PYP37" s="2795"/>
      <c r="PYQ37" s="2795"/>
      <c r="PYR37" s="2795"/>
      <c r="PYS37" s="2795"/>
      <c r="PYT37" s="2795"/>
      <c r="PYU37" s="2795"/>
      <c r="PYV37" s="2795"/>
      <c r="PYW37" s="2795"/>
      <c r="PYX37" s="2795"/>
      <c r="PYY37" s="2795"/>
      <c r="PYZ37" s="2795"/>
      <c r="PZA37" s="2795"/>
      <c r="PZB37" s="2795"/>
      <c r="PZC37" s="2795"/>
      <c r="PZD37" s="2795"/>
      <c r="PZE37" s="2795"/>
      <c r="PZF37" s="2795"/>
      <c r="PZG37" s="2795"/>
      <c r="PZH37" s="2795"/>
      <c r="PZI37" s="2795"/>
      <c r="PZJ37" s="2795"/>
      <c r="PZK37" s="2795"/>
      <c r="PZL37" s="2795"/>
      <c r="PZM37" s="2795"/>
      <c r="PZN37" s="2795"/>
      <c r="PZO37" s="2795"/>
      <c r="PZP37" s="2795"/>
      <c r="PZQ37" s="2795"/>
      <c r="PZR37" s="2795"/>
      <c r="PZS37" s="2795"/>
      <c r="PZT37" s="2795"/>
      <c r="PZU37" s="2795"/>
      <c r="PZV37" s="2795"/>
      <c r="PZW37" s="2795"/>
      <c r="PZX37" s="2795"/>
      <c r="PZY37" s="2795"/>
      <c r="PZZ37" s="2795"/>
      <c r="QAA37" s="2795"/>
      <c r="QAB37" s="2795"/>
      <c r="QAC37" s="2795"/>
      <c r="QAD37" s="2795"/>
      <c r="QAE37" s="2795"/>
      <c r="QAF37" s="2795"/>
      <c r="QAG37" s="2795"/>
      <c r="QAH37" s="2795"/>
      <c r="QAI37" s="2795"/>
      <c r="QAJ37" s="2795"/>
      <c r="QAK37" s="2795"/>
      <c r="QAL37" s="2795"/>
      <c r="QAM37" s="2795"/>
      <c r="QAN37" s="2795"/>
      <c r="QAO37" s="2795"/>
      <c r="QAP37" s="2795"/>
      <c r="QAQ37" s="2795"/>
      <c r="QAR37" s="2795"/>
      <c r="QAS37" s="2795"/>
      <c r="QAT37" s="2795"/>
      <c r="QAU37" s="2795"/>
      <c r="QAV37" s="2795"/>
      <c r="QAW37" s="2795"/>
      <c r="QAX37" s="2795"/>
      <c r="QAY37" s="2795"/>
      <c r="QAZ37" s="2795"/>
      <c r="QBA37" s="2795"/>
      <c r="QBB37" s="2795"/>
      <c r="QBC37" s="2795"/>
      <c r="QBD37" s="2795"/>
      <c r="QBE37" s="2795"/>
      <c r="QBF37" s="2795"/>
      <c r="QBG37" s="2795"/>
      <c r="QBH37" s="2795"/>
      <c r="QBI37" s="2795"/>
      <c r="QBJ37" s="2795"/>
      <c r="QBK37" s="2795"/>
      <c r="QBL37" s="2795"/>
      <c r="QBM37" s="2795"/>
      <c r="QBN37" s="2795"/>
      <c r="QBO37" s="2795"/>
      <c r="QBP37" s="2795"/>
      <c r="QBQ37" s="2795"/>
      <c r="QBR37" s="2795"/>
      <c r="QBS37" s="2795"/>
      <c r="QBT37" s="2795"/>
      <c r="QBU37" s="2795"/>
      <c r="QBV37" s="2795"/>
      <c r="QBW37" s="2795"/>
      <c r="QBX37" s="2795"/>
      <c r="QBY37" s="2795"/>
      <c r="QBZ37" s="2795"/>
      <c r="QCA37" s="2795"/>
      <c r="QCB37" s="2795"/>
      <c r="QCC37" s="2795"/>
      <c r="QCD37" s="2795"/>
      <c r="QCE37" s="2795"/>
      <c r="QCF37" s="2795"/>
      <c r="QCG37" s="2795"/>
      <c r="QCH37" s="2795"/>
      <c r="QCI37" s="2795"/>
      <c r="QCJ37" s="2795"/>
      <c r="QCK37" s="2795"/>
      <c r="QCL37" s="2795"/>
      <c r="QCM37" s="2795"/>
      <c r="QCN37" s="2795"/>
      <c r="QCO37" s="2795"/>
      <c r="QCP37" s="2795"/>
      <c r="QCQ37" s="2795"/>
      <c r="QCR37" s="2795"/>
      <c r="QCS37" s="2795"/>
      <c r="QCT37" s="2795"/>
      <c r="QCU37" s="2795"/>
      <c r="QCV37" s="2795"/>
      <c r="QCW37" s="2795"/>
      <c r="QCX37" s="2795"/>
      <c r="QCY37" s="2795"/>
      <c r="QCZ37" s="2795"/>
      <c r="QDA37" s="2795"/>
      <c r="QDB37" s="2795"/>
      <c r="QDC37" s="2795"/>
      <c r="QDD37" s="2795"/>
      <c r="QDE37" s="2795"/>
      <c r="QDF37" s="2795"/>
      <c r="QDG37" s="2795"/>
      <c r="QDH37" s="2795"/>
      <c r="QDI37" s="2795"/>
      <c r="QDJ37" s="2795"/>
      <c r="QDK37" s="2795"/>
      <c r="QDL37" s="2795"/>
      <c r="QDM37" s="2795"/>
      <c r="QDN37" s="2795"/>
      <c r="QDO37" s="2795"/>
      <c r="QDP37" s="2795"/>
      <c r="QDQ37" s="2795"/>
      <c r="QDR37" s="2795"/>
      <c r="QDS37" s="2795"/>
      <c r="QDT37" s="2795"/>
      <c r="QDU37" s="2795"/>
      <c r="QDV37" s="2795"/>
      <c r="QDW37" s="2795"/>
      <c r="QDX37" s="2795"/>
      <c r="QDY37" s="2795"/>
      <c r="QDZ37" s="2795"/>
      <c r="QEA37" s="2795"/>
      <c r="QEB37" s="2795"/>
      <c r="QEC37" s="2795"/>
      <c r="QED37" s="2795"/>
      <c r="QEE37" s="2795"/>
      <c r="QEF37" s="2795"/>
      <c r="QEG37" s="2795"/>
      <c r="QEH37" s="2795"/>
      <c r="QEI37" s="2795"/>
      <c r="QEJ37" s="2795"/>
      <c r="QEK37" s="2795"/>
      <c r="QEL37" s="2795"/>
      <c r="QEM37" s="2795"/>
      <c r="QEN37" s="2795"/>
      <c r="QEO37" s="2795"/>
      <c r="QEP37" s="2795"/>
      <c r="QEQ37" s="2795"/>
      <c r="QER37" s="2795"/>
      <c r="QES37" s="2795"/>
      <c r="QET37" s="2795"/>
      <c r="QEU37" s="2795"/>
      <c r="QEV37" s="2795"/>
      <c r="QEW37" s="2795"/>
      <c r="QEX37" s="2795"/>
      <c r="QEY37" s="2795"/>
      <c r="QEZ37" s="2795"/>
      <c r="QFA37" s="2795"/>
      <c r="QFB37" s="2795"/>
      <c r="QFC37" s="2795"/>
      <c r="QFD37" s="2795"/>
      <c r="QFE37" s="2795"/>
      <c r="QFF37" s="2795"/>
      <c r="QFG37" s="2795"/>
      <c r="QFH37" s="2795"/>
      <c r="QFI37" s="2795"/>
      <c r="QFJ37" s="2795"/>
      <c r="QFK37" s="2795"/>
      <c r="QFL37" s="2795"/>
      <c r="QFM37" s="2795"/>
      <c r="QFN37" s="2795"/>
      <c r="QFO37" s="2795"/>
      <c r="QFP37" s="2795"/>
      <c r="QFQ37" s="2795"/>
      <c r="QFR37" s="2795"/>
      <c r="QFS37" s="2795"/>
      <c r="QFT37" s="2795"/>
      <c r="QFU37" s="2795"/>
      <c r="QFV37" s="2795"/>
      <c r="QFW37" s="2795"/>
      <c r="QFX37" s="2795"/>
      <c r="QFY37" s="2795"/>
      <c r="QFZ37" s="2795"/>
      <c r="QGA37" s="2795"/>
      <c r="QGB37" s="2795"/>
      <c r="QGC37" s="2795"/>
      <c r="QGD37" s="2795"/>
      <c r="QGE37" s="2795"/>
      <c r="QGF37" s="2795"/>
      <c r="QGG37" s="2795"/>
      <c r="QGH37" s="2795"/>
      <c r="QGI37" s="2795"/>
      <c r="QGJ37" s="2795"/>
      <c r="QGK37" s="2795"/>
      <c r="QGL37" s="2795"/>
      <c r="QGM37" s="2795"/>
      <c r="QGN37" s="2795"/>
      <c r="QGO37" s="2795"/>
      <c r="QGP37" s="2795"/>
      <c r="QGQ37" s="2795"/>
      <c r="QGR37" s="2795"/>
      <c r="QGS37" s="2795"/>
      <c r="QGT37" s="2795"/>
      <c r="QGU37" s="2795"/>
      <c r="QGV37" s="2795"/>
      <c r="QGW37" s="2795"/>
      <c r="QGX37" s="2795"/>
      <c r="QGY37" s="2795"/>
      <c r="QGZ37" s="2795"/>
      <c r="QHA37" s="2795"/>
      <c r="QHB37" s="2795"/>
      <c r="QHC37" s="2795"/>
      <c r="QHD37" s="2795"/>
      <c r="QHE37" s="2795"/>
      <c r="QHF37" s="2795"/>
      <c r="QHG37" s="2795"/>
      <c r="QHH37" s="2795"/>
      <c r="QHI37" s="2795"/>
      <c r="QHJ37" s="2795"/>
      <c r="QHK37" s="2795"/>
      <c r="QHL37" s="2795"/>
      <c r="QHM37" s="2795"/>
      <c r="QHN37" s="2795"/>
      <c r="QHO37" s="2795"/>
      <c r="QHP37" s="2795"/>
      <c r="QHQ37" s="2795"/>
      <c r="QHR37" s="2795"/>
      <c r="QHS37" s="2795"/>
      <c r="QHT37" s="2795"/>
      <c r="QHU37" s="2795"/>
      <c r="QHV37" s="2795"/>
      <c r="QHW37" s="2795"/>
      <c r="QHX37" s="2795"/>
      <c r="QHY37" s="2795"/>
      <c r="QHZ37" s="2795"/>
      <c r="QIA37" s="2795"/>
      <c r="QIB37" s="2795"/>
      <c r="QIC37" s="2795"/>
      <c r="QID37" s="2795"/>
      <c r="QIE37" s="2795"/>
      <c r="QIF37" s="2795"/>
      <c r="QIG37" s="2795"/>
      <c r="QIH37" s="2795"/>
      <c r="QII37" s="2795"/>
      <c r="QIJ37" s="2795"/>
      <c r="QIK37" s="2795"/>
      <c r="QIL37" s="2795"/>
      <c r="QIM37" s="2795"/>
      <c r="QIN37" s="2795"/>
      <c r="QIO37" s="2795"/>
      <c r="QIP37" s="2795"/>
      <c r="QIQ37" s="2795"/>
      <c r="QIR37" s="2795"/>
      <c r="QIS37" s="2795"/>
      <c r="QIT37" s="2795"/>
      <c r="QIU37" s="2795"/>
      <c r="QIV37" s="2795"/>
      <c r="QIW37" s="2795"/>
      <c r="QIX37" s="2795"/>
      <c r="QIY37" s="2795"/>
      <c r="QIZ37" s="2795"/>
      <c r="QJA37" s="2795"/>
      <c r="QJB37" s="2795"/>
      <c r="QJC37" s="2795"/>
      <c r="QJD37" s="2795"/>
      <c r="QJE37" s="2795"/>
      <c r="QJF37" s="2795"/>
      <c r="QJG37" s="2795"/>
      <c r="QJH37" s="2795"/>
      <c r="QJI37" s="2795"/>
      <c r="QJJ37" s="2795"/>
      <c r="QJK37" s="2795"/>
      <c r="QJL37" s="2795"/>
      <c r="QJM37" s="2795"/>
      <c r="QJN37" s="2795"/>
      <c r="QJO37" s="2795"/>
      <c r="QJP37" s="2795"/>
      <c r="QJQ37" s="2795"/>
      <c r="QJR37" s="2795"/>
      <c r="QJS37" s="2795"/>
      <c r="QJT37" s="2795"/>
      <c r="QJU37" s="2795"/>
      <c r="QJV37" s="2795"/>
      <c r="QJW37" s="2795"/>
      <c r="QJX37" s="2795"/>
      <c r="QJY37" s="2795"/>
      <c r="QJZ37" s="2795"/>
      <c r="QKA37" s="2795"/>
      <c r="QKB37" s="2795"/>
      <c r="QKC37" s="2795"/>
      <c r="QKD37" s="2795"/>
      <c r="QKE37" s="2795"/>
      <c r="QKF37" s="2795"/>
      <c r="QKG37" s="2795"/>
      <c r="QKH37" s="2795"/>
      <c r="QKI37" s="2795"/>
      <c r="QKJ37" s="2795"/>
      <c r="QKK37" s="2795"/>
      <c r="QKL37" s="2795"/>
      <c r="QKM37" s="2795"/>
      <c r="QKN37" s="2795"/>
      <c r="QKO37" s="2795"/>
      <c r="QKP37" s="2795"/>
      <c r="QKQ37" s="2795"/>
      <c r="QKR37" s="2795"/>
      <c r="QKS37" s="2795"/>
      <c r="QKT37" s="2795"/>
      <c r="QKU37" s="2795"/>
      <c r="QKV37" s="2795"/>
      <c r="QKW37" s="2795"/>
      <c r="QKX37" s="2795"/>
      <c r="QKY37" s="2795"/>
      <c r="QKZ37" s="2795"/>
      <c r="QLA37" s="2795"/>
      <c r="QLB37" s="2795"/>
      <c r="QLC37" s="2795"/>
      <c r="QLD37" s="2795"/>
      <c r="QLE37" s="2795"/>
      <c r="QLF37" s="2795"/>
      <c r="QLG37" s="2795"/>
      <c r="QLH37" s="2795"/>
      <c r="QLI37" s="2795"/>
      <c r="QLJ37" s="2795"/>
      <c r="QLK37" s="2795"/>
      <c r="QLL37" s="2795"/>
      <c r="QLM37" s="2795"/>
      <c r="QLN37" s="2795"/>
      <c r="QLO37" s="2795"/>
      <c r="QLP37" s="2795"/>
      <c r="QLQ37" s="2795"/>
      <c r="QLR37" s="2795"/>
      <c r="QLS37" s="2795"/>
      <c r="QLT37" s="2795"/>
      <c r="QLU37" s="2795"/>
      <c r="QLV37" s="2795"/>
      <c r="QLW37" s="2795"/>
      <c r="QLX37" s="2795"/>
      <c r="QLY37" s="2795"/>
      <c r="QLZ37" s="2795"/>
      <c r="QMA37" s="2795"/>
      <c r="QMB37" s="2795"/>
      <c r="QMC37" s="2795"/>
      <c r="QMD37" s="2795"/>
      <c r="QME37" s="2795"/>
      <c r="QMF37" s="2795"/>
      <c r="QMG37" s="2795"/>
      <c r="QMH37" s="2795"/>
      <c r="QMI37" s="2795"/>
      <c r="QMJ37" s="2795"/>
      <c r="QMK37" s="2795"/>
      <c r="QML37" s="2795"/>
      <c r="QMM37" s="2795"/>
      <c r="QMN37" s="2795"/>
      <c r="QMO37" s="2795"/>
      <c r="QMP37" s="2795"/>
      <c r="QMQ37" s="2795"/>
      <c r="QMR37" s="2795"/>
      <c r="QMS37" s="2795"/>
      <c r="QMT37" s="2795"/>
      <c r="QMU37" s="2795"/>
      <c r="QMV37" s="2795"/>
      <c r="QMW37" s="2795"/>
      <c r="QMX37" s="2795"/>
      <c r="QMY37" s="2795"/>
      <c r="QMZ37" s="2795"/>
      <c r="QNA37" s="2795"/>
      <c r="QNB37" s="2795"/>
      <c r="QNC37" s="2795"/>
      <c r="QND37" s="2795"/>
      <c r="QNE37" s="2795"/>
      <c r="QNF37" s="2795"/>
      <c r="QNG37" s="2795"/>
      <c r="QNH37" s="2795"/>
      <c r="QNI37" s="2795"/>
      <c r="QNJ37" s="2795"/>
      <c r="QNK37" s="2795"/>
      <c r="QNL37" s="2795"/>
      <c r="QNM37" s="2795"/>
      <c r="QNN37" s="2795"/>
      <c r="QNO37" s="2795"/>
      <c r="QNP37" s="2795"/>
      <c r="QNQ37" s="2795"/>
      <c r="QNR37" s="2795"/>
      <c r="QNS37" s="2795"/>
      <c r="QNT37" s="2795"/>
      <c r="QNU37" s="2795"/>
      <c r="QNV37" s="2795"/>
      <c r="QNW37" s="2795"/>
      <c r="QNX37" s="2795"/>
      <c r="QNY37" s="2795"/>
      <c r="QNZ37" s="2795"/>
      <c r="QOA37" s="2795"/>
      <c r="QOB37" s="2795"/>
      <c r="QOC37" s="2795"/>
      <c r="QOD37" s="2795"/>
      <c r="QOE37" s="2795"/>
      <c r="QOF37" s="2795"/>
      <c r="QOG37" s="2795"/>
      <c r="QOH37" s="2795"/>
      <c r="QOI37" s="2795"/>
      <c r="QOJ37" s="2795"/>
      <c r="QOK37" s="2795"/>
      <c r="QOL37" s="2795"/>
      <c r="QOM37" s="2795"/>
      <c r="QON37" s="2795"/>
      <c r="QOO37" s="2795"/>
      <c r="QOP37" s="2795"/>
      <c r="QOQ37" s="2795"/>
      <c r="QOR37" s="2795"/>
      <c r="QOS37" s="2795"/>
      <c r="QOT37" s="2795"/>
      <c r="QOU37" s="2795"/>
      <c r="QOV37" s="2795"/>
      <c r="QOW37" s="2795"/>
      <c r="QOX37" s="2795"/>
      <c r="QOY37" s="2795"/>
      <c r="QOZ37" s="2795"/>
      <c r="QPA37" s="2795"/>
      <c r="QPB37" s="2795"/>
      <c r="QPC37" s="2795"/>
      <c r="QPD37" s="2795"/>
      <c r="QPE37" s="2795"/>
      <c r="QPF37" s="2795"/>
      <c r="QPG37" s="2795"/>
      <c r="QPH37" s="2795"/>
      <c r="QPI37" s="2795"/>
      <c r="QPJ37" s="2795"/>
      <c r="QPK37" s="2795"/>
      <c r="QPL37" s="2795"/>
      <c r="QPM37" s="2795"/>
      <c r="QPN37" s="2795"/>
      <c r="QPO37" s="2795"/>
      <c r="QPP37" s="2795"/>
      <c r="QPQ37" s="2795"/>
      <c r="QPR37" s="2795"/>
      <c r="QPS37" s="2795"/>
      <c r="QPT37" s="2795"/>
      <c r="QPU37" s="2795"/>
      <c r="QPV37" s="2795"/>
      <c r="QPW37" s="2795"/>
      <c r="QPX37" s="2795"/>
      <c r="QPY37" s="2795"/>
      <c r="QPZ37" s="2795"/>
      <c r="QQA37" s="2795"/>
      <c r="QQB37" s="2795"/>
      <c r="QQC37" s="2795"/>
      <c r="QQD37" s="2795"/>
      <c r="QQE37" s="2795"/>
      <c r="QQF37" s="2795"/>
      <c r="QQG37" s="2795"/>
      <c r="QQH37" s="2795"/>
      <c r="QQI37" s="2795"/>
      <c r="QQJ37" s="2795"/>
      <c r="QQK37" s="2795"/>
      <c r="QQL37" s="2795"/>
      <c r="QQM37" s="2795"/>
      <c r="QQN37" s="2795"/>
      <c r="QQO37" s="2795"/>
      <c r="QQP37" s="2795"/>
      <c r="QQQ37" s="2795"/>
      <c r="QQR37" s="2795"/>
      <c r="QQS37" s="2795"/>
      <c r="QQT37" s="2795"/>
      <c r="QQU37" s="2795"/>
      <c r="QQV37" s="2795"/>
      <c r="QQW37" s="2795"/>
      <c r="QQX37" s="2795"/>
      <c r="QQY37" s="2795"/>
      <c r="QQZ37" s="2795"/>
      <c r="QRA37" s="2795"/>
      <c r="QRB37" s="2795"/>
      <c r="QRC37" s="2795"/>
      <c r="QRD37" s="2795"/>
      <c r="QRE37" s="2795"/>
      <c r="QRF37" s="2795"/>
      <c r="QRG37" s="2795"/>
      <c r="QRH37" s="2795"/>
      <c r="QRI37" s="2795"/>
      <c r="QRJ37" s="2795"/>
      <c r="QRK37" s="2795"/>
      <c r="QRL37" s="2795"/>
      <c r="QRM37" s="2795"/>
      <c r="QRN37" s="2795"/>
      <c r="QRO37" s="2795"/>
      <c r="QRP37" s="2795"/>
      <c r="QRQ37" s="2795"/>
      <c r="QRR37" s="2795"/>
      <c r="QRS37" s="2795"/>
      <c r="QRT37" s="2795"/>
      <c r="QRU37" s="2795"/>
      <c r="QRV37" s="2795"/>
      <c r="QRW37" s="2795"/>
      <c r="QRX37" s="2795"/>
      <c r="QRY37" s="2795"/>
      <c r="QRZ37" s="2795"/>
      <c r="QSA37" s="2795"/>
      <c r="QSB37" s="2795"/>
      <c r="QSC37" s="2795"/>
      <c r="QSD37" s="2795"/>
      <c r="QSE37" s="2795"/>
      <c r="QSF37" s="2795"/>
      <c r="QSG37" s="2795"/>
      <c r="QSH37" s="2795"/>
      <c r="QSI37" s="2795"/>
      <c r="QSJ37" s="2795"/>
      <c r="QSK37" s="2795"/>
      <c r="QSL37" s="2795"/>
      <c r="QSM37" s="2795"/>
      <c r="QSN37" s="2795"/>
      <c r="QSO37" s="2795"/>
      <c r="QSP37" s="2795"/>
      <c r="QSQ37" s="2795"/>
      <c r="QSR37" s="2795"/>
      <c r="QSS37" s="2795"/>
      <c r="QST37" s="2795"/>
      <c r="QSU37" s="2795"/>
      <c r="QSV37" s="2795"/>
      <c r="QSW37" s="2795"/>
      <c r="QSX37" s="2795"/>
      <c r="QSY37" s="2795"/>
      <c r="QSZ37" s="2795"/>
      <c r="QTA37" s="2795"/>
      <c r="QTB37" s="2795"/>
      <c r="QTC37" s="2795"/>
      <c r="QTD37" s="2795"/>
      <c r="QTE37" s="2795"/>
      <c r="QTF37" s="2795"/>
      <c r="QTG37" s="2795"/>
      <c r="QTH37" s="2795"/>
      <c r="QTI37" s="2795"/>
      <c r="QTJ37" s="2795"/>
      <c r="QTK37" s="2795"/>
      <c r="QTL37" s="2795"/>
      <c r="QTM37" s="2795"/>
      <c r="QTN37" s="2795"/>
      <c r="QTO37" s="2795"/>
      <c r="QTP37" s="2795"/>
      <c r="QTQ37" s="2795"/>
      <c r="QTR37" s="2795"/>
      <c r="QTS37" s="2795"/>
      <c r="QTT37" s="2795"/>
      <c r="QTU37" s="2795"/>
      <c r="QTV37" s="2795"/>
      <c r="QTW37" s="2795"/>
      <c r="QTX37" s="2795"/>
      <c r="QTY37" s="2795"/>
      <c r="QTZ37" s="2795"/>
      <c r="QUA37" s="2795"/>
      <c r="QUB37" s="2795"/>
      <c r="QUC37" s="2795"/>
      <c r="QUD37" s="2795"/>
      <c r="QUE37" s="2795"/>
      <c r="QUF37" s="2795"/>
      <c r="QUG37" s="2795"/>
      <c r="QUH37" s="2795"/>
      <c r="QUI37" s="2795"/>
      <c r="QUJ37" s="2795"/>
      <c r="QUK37" s="2795"/>
      <c r="QUL37" s="2795"/>
      <c r="QUM37" s="2795"/>
      <c r="QUN37" s="2795"/>
      <c r="QUO37" s="2795"/>
      <c r="QUP37" s="2795"/>
      <c r="QUQ37" s="2795"/>
      <c r="QUR37" s="2795"/>
      <c r="QUS37" s="2795"/>
      <c r="QUT37" s="2795"/>
      <c r="QUU37" s="2795"/>
      <c r="QUV37" s="2795"/>
      <c r="QUW37" s="2795"/>
      <c r="QUX37" s="2795"/>
      <c r="QUY37" s="2795"/>
      <c r="QUZ37" s="2795"/>
      <c r="QVA37" s="2795"/>
      <c r="QVB37" s="2795"/>
      <c r="QVC37" s="2795"/>
      <c r="QVD37" s="2795"/>
      <c r="QVE37" s="2795"/>
      <c r="QVF37" s="2795"/>
      <c r="QVG37" s="2795"/>
      <c r="QVH37" s="2795"/>
      <c r="QVI37" s="2795"/>
      <c r="QVJ37" s="2795"/>
      <c r="QVK37" s="2795"/>
      <c r="QVL37" s="2795"/>
      <c r="QVM37" s="2795"/>
      <c r="QVN37" s="2795"/>
      <c r="QVO37" s="2795"/>
      <c r="QVP37" s="2795"/>
      <c r="QVQ37" s="2795"/>
      <c r="QVR37" s="2795"/>
      <c r="QVS37" s="2795"/>
      <c r="QVT37" s="2795"/>
      <c r="QVU37" s="2795"/>
      <c r="QVV37" s="2795"/>
      <c r="QVW37" s="2795"/>
      <c r="QVX37" s="2795"/>
      <c r="QVY37" s="2795"/>
      <c r="QVZ37" s="2795"/>
      <c r="QWA37" s="2795"/>
      <c r="QWB37" s="2795"/>
      <c r="QWC37" s="2795"/>
      <c r="QWD37" s="2795"/>
      <c r="QWE37" s="2795"/>
      <c r="QWF37" s="2795"/>
      <c r="QWG37" s="2795"/>
      <c r="QWH37" s="2795"/>
      <c r="QWI37" s="2795"/>
      <c r="QWJ37" s="2795"/>
      <c r="QWK37" s="2795"/>
      <c r="QWL37" s="2795"/>
      <c r="QWM37" s="2795"/>
      <c r="QWN37" s="2795"/>
      <c r="QWO37" s="2795"/>
      <c r="QWP37" s="2795"/>
      <c r="QWQ37" s="2795"/>
      <c r="QWR37" s="2795"/>
      <c r="QWS37" s="2795"/>
      <c r="QWT37" s="2795"/>
      <c r="QWU37" s="2795"/>
      <c r="QWV37" s="2795"/>
      <c r="QWW37" s="2795"/>
      <c r="QWX37" s="2795"/>
      <c r="QWY37" s="2795"/>
      <c r="QWZ37" s="2795"/>
      <c r="QXA37" s="2795"/>
      <c r="QXB37" s="2795"/>
      <c r="QXC37" s="2795"/>
      <c r="QXD37" s="2795"/>
      <c r="QXE37" s="2795"/>
      <c r="QXF37" s="2795"/>
      <c r="QXG37" s="2795"/>
      <c r="QXH37" s="2795"/>
      <c r="QXI37" s="2795"/>
      <c r="QXJ37" s="2795"/>
      <c r="QXK37" s="2795"/>
      <c r="QXL37" s="2795"/>
      <c r="QXM37" s="2795"/>
      <c r="QXN37" s="2795"/>
      <c r="QXO37" s="2795"/>
      <c r="QXP37" s="2795"/>
      <c r="QXQ37" s="2795"/>
      <c r="QXR37" s="2795"/>
      <c r="QXS37" s="2795"/>
      <c r="QXT37" s="2795"/>
      <c r="QXU37" s="2795"/>
      <c r="QXV37" s="2795"/>
      <c r="QXW37" s="2795"/>
      <c r="QXX37" s="2795"/>
      <c r="QXY37" s="2795"/>
      <c r="QXZ37" s="2795"/>
      <c r="QYA37" s="2795"/>
      <c r="QYB37" s="2795"/>
      <c r="QYC37" s="2795"/>
      <c r="QYD37" s="2795"/>
      <c r="QYE37" s="2795"/>
      <c r="QYF37" s="2795"/>
      <c r="QYG37" s="2795"/>
      <c r="QYH37" s="2795"/>
      <c r="QYI37" s="2795"/>
      <c r="QYJ37" s="2795"/>
      <c r="QYK37" s="2795"/>
      <c r="QYL37" s="2795"/>
      <c r="QYM37" s="2795"/>
      <c r="QYN37" s="2795"/>
      <c r="QYO37" s="2795"/>
      <c r="QYP37" s="2795"/>
      <c r="QYQ37" s="2795"/>
      <c r="QYR37" s="2795"/>
      <c r="QYS37" s="2795"/>
      <c r="QYT37" s="2795"/>
      <c r="QYU37" s="2795"/>
      <c r="QYV37" s="2795"/>
      <c r="QYW37" s="2795"/>
      <c r="QYX37" s="2795"/>
      <c r="QYY37" s="2795"/>
      <c r="QYZ37" s="2795"/>
      <c r="QZA37" s="2795"/>
      <c r="QZB37" s="2795"/>
      <c r="QZC37" s="2795"/>
      <c r="QZD37" s="2795"/>
      <c r="QZE37" s="2795"/>
      <c r="QZF37" s="2795"/>
      <c r="QZG37" s="2795"/>
      <c r="QZH37" s="2795"/>
      <c r="QZI37" s="2795"/>
      <c r="QZJ37" s="2795"/>
      <c r="QZK37" s="2795"/>
      <c r="QZL37" s="2795"/>
      <c r="QZM37" s="2795"/>
      <c r="QZN37" s="2795"/>
      <c r="QZO37" s="2795"/>
      <c r="QZP37" s="2795"/>
      <c r="QZQ37" s="2795"/>
      <c r="QZR37" s="2795"/>
      <c r="QZS37" s="2795"/>
      <c r="QZT37" s="2795"/>
      <c r="QZU37" s="2795"/>
      <c r="QZV37" s="2795"/>
      <c r="QZW37" s="2795"/>
      <c r="QZX37" s="2795"/>
      <c r="QZY37" s="2795"/>
      <c r="QZZ37" s="2795"/>
      <c r="RAA37" s="2795"/>
      <c r="RAB37" s="2795"/>
      <c r="RAC37" s="2795"/>
      <c r="RAD37" s="2795"/>
      <c r="RAE37" s="2795"/>
      <c r="RAF37" s="2795"/>
      <c r="RAG37" s="2795"/>
      <c r="RAH37" s="2795"/>
      <c r="RAI37" s="2795"/>
      <c r="RAJ37" s="2795"/>
      <c r="RAK37" s="2795"/>
      <c r="RAL37" s="2795"/>
      <c r="RAM37" s="2795"/>
      <c r="RAN37" s="2795"/>
      <c r="RAO37" s="2795"/>
      <c r="RAP37" s="2795"/>
      <c r="RAQ37" s="2795"/>
      <c r="RAR37" s="2795"/>
      <c r="RAS37" s="2795"/>
      <c r="RAT37" s="2795"/>
      <c r="RAU37" s="2795"/>
      <c r="RAV37" s="2795"/>
      <c r="RAW37" s="2795"/>
      <c r="RAX37" s="2795"/>
      <c r="RAY37" s="2795"/>
      <c r="RAZ37" s="2795"/>
      <c r="RBA37" s="2795"/>
      <c r="RBB37" s="2795"/>
      <c r="RBC37" s="2795"/>
      <c r="RBD37" s="2795"/>
      <c r="RBE37" s="2795"/>
      <c r="RBF37" s="2795"/>
      <c r="RBG37" s="2795"/>
      <c r="RBH37" s="2795"/>
      <c r="RBI37" s="2795"/>
      <c r="RBJ37" s="2795"/>
      <c r="RBK37" s="2795"/>
      <c r="RBL37" s="2795"/>
      <c r="RBM37" s="2795"/>
      <c r="RBN37" s="2795"/>
      <c r="RBO37" s="2795"/>
      <c r="RBP37" s="2795"/>
      <c r="RBQ37" s="2795"/>
      <c r="RBR37" s="2795"/>
      <c r="RBS37" s="2795"/>
      <c r="RBT37" s="2795"/>
      <c r="RBU37" s="2795"/>
      <c r="RBV37" s="2795"/>
      <c r="RBW37" s="2795"/>
      <c r="RBX37" s="2795"/>
      <c r="RBY37" s="2795"/>
      <c r="RBZ37" s="2795"/>
      <c r="RCA37" s="2795"/>
      <c r="RCB37" s="2795"/>
      <c r="RCC37" s="2795"/>
      <c r="RCD37" s="2795"/>
      <c r="RCE37" s="2795"/>
      <c r="RCF37" s="2795"/>
      <c r="RCG37" s="2795"/>
      <c r="RCH37" s="2795"/>
      <c r="RCI37" s="2795"/>
      <c r="RCJ37" s="2795"/>
      <c r="RCK37" s="2795"/>
      <c r="RCL37" s="2795"/>
      <c r="RCM37" s="2795"/>
      <c r="RCN37" s="2795"/>
      <c r="RCO37" s="2795"/>
      <c r="RCP37" s="2795"/>
      <c r="RCQ37" s="2795"/>
      <c r="RCR37" s="2795"/>
      <c r="RCS37" s="2795"/>
      <c r="RCT37" s="2795"/>
      <c r="RCU37" s="2795"/>
      <c r="RCV37" s="2795"/>
      <c r="RCW37" s="2795"/>
      <c r="RCX37" s="2795"/>
      <c r="RCY37" s="2795"/>
      <c r="RCZ37" s="2795"/>
      <c r="RDA37" s="2795"/>
      <c r="RDB37" s="2795"/>
      <c r="RDC37" s="2795"/>
      <c r="RDD37" s="2795"/>
      <c r="RDE37" s="2795"/>
      <c r="RDF37" s="2795"/>
      <c r="RDG37" s="2795"/>
      <c r="RDH37" s="2795"/>
      <c r="RDI37" s="2795"/>
      <c r="RDJ37" s="2795"/>
      <c r="RDK37" s="2795"/>
      <c r="RDL37" s="2795"/>
      <c r="RDM37" s="2795"/>
      <c r="RDN37" s="2795"/>
      <c r="RDO37" s="2795"/>
      <c r="RDP37" s="2795"/>
      <c r="RDQ37" s="2795"/>
      <c r="RDR37" s="2795"/>
      <c r="RDS37" s="2795"/>
      <c r="RDT37" s="2795"/>
      <c r="RDU37" s="2795"/>
      <c r="RDV37" s="2795"/>
      <c r="RDW37" s="2795"/>
      <c r="RDX37" s="2795"/>
      <c r="RDY37" s="2795"/>
      <c r="RDZ37" s="2795"/>
      <c r="REA37" s="2795"/>
      <c r="REB37" s="2795"/>
      <c r="REC37" s="2795"/>
      <c r="RED37" s="2795"/>
      <c r="REE37" s="2795"/>
      <c r="REF37" s="2795"/>
      <c r="REG37" s="2795"/>
      <c r="REH37" s="2795"/>
      <c r="REI37" s="2795"/>
      <c r="REJ37" s="2795"/>
      <c r="REK37" s="2795"/>
      <c r="REL37" s="2795"/>
      <c r="REM37" s="2795"/>
      <c r="REN37" s="2795"/>
      <c r="REO37" s="2795"/>
      <c r="REP37" s="2795"/>
      <c r="REQ37" s="2795"/>
      <c r="RER37" s="2795"/>
      <c r="RES37" s="2795"/>
      <c r="RET37" s="2795"/>
      <c r="REU37" s="2795"/>
      <c r="REV37" s="2795"/>
      <c r="REW37" s="2795"/>
      <c r="REX37" s="2795"/>
      <c r="REY37" s="2795"/>
      <c r="REZ37" s="2795"/>
      <c r="RFA37" s="2795"/>
      <c r="RFB37" s="2795"/>
      <c r="RFC37" s="2795"/>
      <c r="RFD37" s="2795"/>
      <c r="RFE37" s="2795"/>
      <c r="RFF37" s="2795"/>
      <c r="RFG37" s="2795"/>
      <c r="RFH37" s="2795"/>
      <c r="RFI37" s="2795"/>
      <c r="RFJ37" s="2795"/>
      <c r="RFK37" s="2795"/>
      <c r="RFL37" s="2795"/>
      <c r="RFM37" s="2795"/>
      <c r="RFN37" s="2795"/>
      <c r="RFO37" s="2795"/>
      <c r="RFP37" s="2795"/>
      <c r="RFQ37" s="2795"/>
      <c r="RFR37" s="2795"/>
      <c r="RFS37" s="2795"/>
      <c r="RFT37" s="2795"/>
      <c r="RFU37" s="2795"/>
      <c r="RFV37" s="2795"/>
      <c r="RFW37" s="2795"/>
      <c r="RFX37" s="2795"/>
      <c r="RFY37" s="2795"/>
      <c r="RFZ37" s="2795"/>
      <c r="RGA37" s="2795"/>
      <c r="RGB37" s="2795"/>
      <c r="RGC37" s="2795"/>
      <c r="RGD37" s="2795"/>
      <c r="RGE37" s="2795"/>
      <c r="RGF37" s="2795"/>
      <c r="RGG37" s="2795"/>
      <c r="RGH37" s="2795"/>
      <c r="RGI37" s="2795"/>
      <c r="RGJ37" s="2795"/>
      <c r="RGK37" s="2795"/>
      <c r="RGL37" s="2795"/>
      <c r="RGM37" s="2795"/>
      <c r="RGN37" s="2795"/>
      <c r="RGO37" s="2795"/>
      <c r="RGP37" s="2795"/>
      <c r="RGQ37" s="2795"/>
      <c r="RGR37" s="2795"/>
      <c r="RGS37" s="2795"/>
      <c r="RGT37" s="2795"/>
      <c r="RGU37" s="2795"/>
      <c r="RGV37" s="2795"/>
      <c r="RGW37" s="2795"/>
      <c r="RGX37" s="2795"/>
      <c r="RGY37" s="2795"/>
      <c r="RGZ37" s="2795"/>
      <c r="RHA37" s="2795"/>
      <c r="RHB37" s="2795"/>
      <c r="RHC37" s="2795"/>
      <c r="RHD37" s="2795"/>
      <c r="RHE37" s="2795"/>
      <c r="RHF37" s="2795"/>
      <c r="RHG37" s="2795"/>
      <c r="RHH37" s="2795"/>
      <c r="RHI37" s="2795"/>
      <c r="RHJ37" s="2795"/>
      <c r="RHK37" s="2795"/>
      <c r="RHL37" s="2795"/>
      <c r="RHM37" s="2795"/>
      <c r="RHN37" s="2795"/>
      <c r="RHO37" s="2795"/>
      <c r="RHP37" s="2795"/>
      <c r="RHQ37" s="2795"/>
      <c r="RHR37" s="2795"/>
      <c r="RHS37" s="2795"/>
      <c r="RHT37" s="2795"/>
      <c r="RHU37" s="2795"/>
      <c r="RHV37" s="2795"/>
      <c r="RHW37" s="2795"/>
      <c r="RHX37" s="2795"/>
      <c r="RHY37" s="2795"/>
      <c r="RHZ37" s="2795"/>
      <c r="RIA37" s="2795"/>
      <c r="RIB37" s="2795"/>
      <c r="RIC37" s="2795"/>
      <c r="RID37" s="2795"/>
      <c r="RIE37" s="2795"/>
      <c r="RIF37" s="2795"/>
      <c r="RIG37" s="2795"/>
      <c r="RIH37" s="2795"/>
      <c r="RII37" s="2795"/>
      <c r="RIJ37" s="2795"/>
      <c r="RIK37" s="2795"/>
      <c r="RIL37" s="2795"/>
      <c r="RIM37" s="2795"/>
      <c r="RIN37" s="2795"/>
      <c r="RIO37" s="2795"/>
      <c r="RIP37" s="2795"/>
      <c r="RIQ37" s="2795"/>
      <c r="RIR37" s="2795"/>
      <c r="RIS37" s="2795"/>
      <c r="RIT37" s="2795"/>
      <c r="RIU37" s="2795"/>
      <c r="RIV37" s="2795"/>
      <c r="RIW37" s="2795"/>
      <c r="RIX37" s="2795"/>
      <c r="RIY37" s="2795"/>
      <c r="RIZ37" s="2795"/>
      <c r="RJA37" s="2795"/>
      <c r="RJB37" s="2795"/>
      <c r="RJC37" s="2795"/>
      <c r="RJD37" s="2795"/>
      <c r="RJE37" s="2795"/>
      <c r="RJF37" s="2795"/>
      <c r="RJG37" s="2795"/>
      <c r="RJH37" s="2795"/>
      <c r="RJI37" s="2795"/>
      <c r="RJJ37" s="2795"/>
      <c r="RJK37" s="2795"/>
      <c r="RJL37" s="2795"/>
      <c r="RJM37" s="2795"/>
      <c r="RJN37" s="2795"/>
      <c r="RJO37" s="2795"/>
      <c r="RJP37" s="2795"/>
      <c r="RJQ37" s="2795"/>
      <c r="RJR37" s="2795"/>
      <c r="RJS37" s="2795"/>
      <c r="RJT37" s="2795"/>
      <c r="RJU37" s="2795"/>
      <c r="RJV37" s="2795"/>
      <c r="RJW37" s="2795"/>
      <c r="RJX37" s="2795"/>
      <c r="RJY37" s="2795"/>
      <c r="RJZ37" s="2795"/>
      <c r="RKA37" s="2795"/>
      <c r="RKB37" s="2795"/>
      <c r="RKC37" s="2795"/>
      <c r="RKD37" s="2795"/>
      <c r="RKE37" s="2795"/>
      <c r="RKF37" s="2795"/>
      <c r="RKG37" s="2795"/>
      <c r="RKH37" s="2795"/>
      <c r="RKI37" s="2795"/>
      <c r="RKJ37" s="2795"/>
      <c r="RKK37" s="2795"/>
      <c r="RKL37" s="2795"/>
      <c r="RKM37" s="2795"/>
      <c r="RKN37" s="2795"/>
      <c r="RKO37" s="2795"/>
      <c r="RKP37" s="2795"/>
      <c r="RKQ37" s="2795"/>
      <c r="RKR37" s="2795"/>
      <c r="RKS37" s="2795"/>
      <c r="RKT37" s="2795"/>
      <c r="RKU37" s="2795"/>
      <c r="RKV37" s="2795"/>
      <c r="RKW37" s="2795"/>
      <c r="RKX37" s="2795"/>
      <c r="RKY37" s="2795"/>
      <c r="RKZ37" s="2795"/>
      <c r="RLA37" s="2795"/>
      <c r="RLB37" s="2795"/>
      <c r="RLC37" s="2795"/>
      <c r="RLD37" s="2795"/>
      <c r="RLE37" s="2795"/>
      <c r="RLF37" s="2795"/>
      <c r="RLG37" s="2795"/>
      <c r="RLH37" s="2795"/>
      <c r="RLI37" s="2795"/>
      <c r="RLJ37" s="2795"/>
      <c r="RLK37" s="2795"/>
      <c r="RLL37" s="2795"/>
      <c r="RLM37" s="2795"/>
      <c r="RLN37" s="2795"/>
      <c r="RLO37" s="2795"/>
      <c r="RLP37" s="2795"/>
      <c r="RLQ37" s="2795"/>
      <c r="RLR37" s="2795"/>
      <c r="RLS37" s="2795"/>
      <c r="RLT37" s="2795"/>
      <c r="RLU37" s="2795"/>
      <c r="RLV37" s="2795"/>
      <c r="RLW37" s="2795"/>
      <c r="RLX37" s="2795"/>
      <c r="RLY37" s="2795"/>
      <c r="RLZ37" s="2795"/>
      <c r="RMA37" s="2795"/>
      <c r="RMB37" s="2795"/>
      <c r="RMC37" s="2795"/>
      <c r="RMD37" s="2795"/>
      <c r="RME37" s="2795"/>
      <c r="RMF37" s="2795"/>
      <c r="RMG37" s="2795"/>
      <c r="RMH37" s="2795"/>
      <c r="RMI37" s="2795"/>
      <c r="RMJ37" s="2795"/>
      <c r="RMK37" s="2795"/>
      <c r="RML37" s="2795"/>
      <c r="RMM37" s="2795"/>
      <c r="RMN37" s="2795"/>
      <c r="RMO37" s="2795"/>
      <c r="RMP37" s="2795"/>
      <c r="RMQ37" s="2795"/>
      <c r="RMR37" s="2795"/>
      <c r="RMS37" s="2795"/>
      <c r="RMT37" s="2795"/>
      <c r="RMU37" s="2795"/>
      <c r="RMV37" s="2795"/>
      <c r="RMW37" s="2795"/>
      <c r="RMX37" s="2795"/>
      <c r="RMY37" s="2795"/>
      <c r="RMZ37" s="2795"/>
      <c r="RNA37" s="2795"/>
      <c r="RNB37" s="2795"/>
      <c r="RNC37" s="2795"/>
      <c r="RND37" s="2795"/>
      <c r="RNE37" s="2795"/>
      <c r="RNF37" s="2795"/>
      <c r="RNG37" s="2795"/>
      <c r="RNH37" s="2795"/>
      <c r="RNI37" s="2795"/>
      <c r="RNJ37" s="2795"/>
      <c r="RNK37" s="2795"/>
      <c r="RNL37" s="2795"/>
      <c r="RNM37" s="2795"/>
      <c r="RNN37" s="2795"/>
      <c r="RNO37" s="2795"/>
      <c r="RNP37" s="2795"/>
      <c r="RNQ37" s="2795"/>
      <c r="RNR37" s="2795"/>
      <c r="RNS37" s="2795"/>
      <c r="RNT37" s="2795"/>
      <c r="RNU37" s="2795"/>
      <c r="RNV37" s="2795"/>
      <c r="RNW37" s="2795"/>
      <c r="RNX37" s="2795"/>
      <c r="RNY37" s="2795"/>
      <c r="RNZ37" s="2795"/>
      <c r="ROA37" s="2795"/>
      <c r="ROB37" s="2795"/>
      <c r="ROC37" s="2795"/>
      <c r="ROD37" s="2795"/>
      <c r="ROE37" s="2795"/>
      <c r="ROF37" s="2795"/>
      <c r="ROG37" s="2795"/>
      <c r="ROH37" s="2795"/>
      <c r="ROI37" s="2795"/>
      <c r="ROJ37" s="2795"/>
      <c r="ROK37" s="2795"/>
      <c r="ROL37" s="2795"/>
      <c r="ROM37" s="2795"/>
      <c r="RON37" s="2795"/>
      <c r="ROO37" s="2795"/>
      <c r="ROP37" s="2795"/>
      <c r="ROQ37" s="2795"/>
      <c r="ROR37" s="2795"/>
      <c r="ROS37" s="2795"/>
      <c r="ROT37" s="2795"/>
      <c r="ROU37" s="2795"/>
      <c r="ROV37" s="2795"/>
      <c r="ROW37" s="2795"/>
      <c r="ROX37" s="2795"/>
      <c r="ROY37" s="2795"/>
      <c r="ROZ37" s="2795"/>
      <c r="RPA37" s="2795"/>
      <c r="RPB37" s="2795"/>
      <c r="RPC37" s="2795"/>
      <c r="RPD37" s="2795"/>
      <c r="RPE37" s="2795"/>
      <c r="RPF37" s="2795"/>
      <c r="RPG37" s="2795"/>
      <c r="RPH37" s="2795"/>
      <c r="RPI37" s="2795"/>
      <c r="RPJ37" s="2795"/>
      <c r="RPK37" s="2795"/>
      <c r="RPL37" s="2795"/>
      <c r="RPM37" s="2795"/>
      <c r="RPN37" s="2795"/>
      <c r="RPO37" s="2795"/>
      <c r="RPP37" s="2795"/>
      <c r="RPQ37" s="2795"/>
      <c r="RPR37" s="2795"/>
      <c r="RPS37" s="2795"/>
      <c r="RPT37" s="2795"/>
      <c r="RPU37" s="2795"/>
      <c r="RPV37" s="2795"/>
      <c r="RPW37" s="2795"/>
      <c r="RPX37" s="2795"/>
      <c r="RPY37" s="2795"/>
      <c r="RPZ37" s="2795"/>
      <c r="RQA37" s="2795"/>
      <c r="RQB37" s="2795"/>
      <c r="RQC37" s="2795"/>
      <c r="RQD37" s="2795"/>
      <c r="RQE37" s="2795"/>
      <c r="RQF37" s="2795"/>
      <c r="RQG37" s="2795"/>
      <c r="RQH37" s="2795"/>
      <c r="RQI37" s="2795"/>
      <c r="RQJ37" s="2795"/>
      <c r="RQK37" s="2795"/>
      <c r="RQL37" s="2795"/>
      <c r="RQM37" s="2795"/>
      <c r="RQN37" s="2795"/>
      <c r="RQO37" s="2795"/>
      <c r="RQP37" s="2795"/>
      <c r="RQQ37" s="2795"/>
      <c r="RQR37" s="2795"/>
      <c r="RQS37" s="2795"/>
      <c r="RQT37" s="2795"/>
      <c r="RQU37" s="2795"/>
      <c r="RQV37" s="2795"/>
      <c r="RQW37" s="2795"/>
      <c r="RQX37" s="2795"/>
      <c r="RQY37" s="2795"/>
      <c r="RQZ37" s="2795"/>
      <c r="RRA37" s="2795"/>
      <c r="RRB37" s="2795"/>
      <c r="RRC37" s="2795"/>
      <c r="RRD37" s="2795"/>
      <c r="RRE37" s="2795"/>
      <c r="RRF37" s="2795"/>
      <c r="RRG37" s="2795"/>
      <c r="RRH37" s="2795"/>
      <c r="RRI37" s="2795"/>
      <c r="RRJ37" s="2795"/>
      <c r="RRK37" s="2795"/>
      <c r="RRL37" s="2795"/>
      <c r="RRM37" s="2795"/>
      <c r="RRN37" s="2795"/>
      <c r="RRO37" s="2795"/>
      <c r="RRP37" s="2795"/>
      <c r="RRQ37" s="2795"/>
      <c r="RRR37" s="2795"/>
      <c r="RRS37" s="2795"/>
      <c r="RRT37" s="2795"/>
      <c r="RRU37" s="2795"/>
      <c r="RRV37" s="2795"/>
      <c r="RRW37" s="2795"/>
      <c r="RRX37" s="2795"/>
      <c r="RRY37" s="2795"/>
      <c r="RRZ37" s="2795"/>
      <c r="RSA37" s="2795"/>
      <c r="RSB37" s="2795"/>
      <c r="RSC37" s="2795"/>
      <c r="RSD37" s="2795"/>
      <c r="RSE37" s="2795"/>
      <c r="RSF37" s="2795"/>
      <c r="RSG37" s="2795"/>
      <c r="RSH37" s="2795"/>
      <c r="RSI37" s="2795"/>
      <c r="RSJ37" s="2795"/>
      <c r="RSK37" s="2795"/>
      <c r="RSL37" s="2795"/>
      <c r="RSM37" s="2795"/>
      <c r="RSN37" s="2795"/>
      <c r="RSO37" s="2795"/>
      <c r="RSP37" s="2795"/>
      <c r="RSQ37" s="2795"/>
      <c r="RSR37" s="2795"/>
      <c r="RSS37" s="2795"/>
      <c r="RST37" s="2795"/>
      <c r="RSU37" s="2795"/>
      <c r="RSV37" s="2795"/>
      <c r="RSW37" s="2795"/>
      <c r="RSX37" s="2795"/>
      <c r="RSY37" s="2795"/>
      <c r="RSZ37" s="2795"/>
      <c r="RTA37" s="2795"/>
      <c r="RTB37" s="2795"/>
      <c r="RTC37" s="2795"/>
      <c r="RTD37" s="2795"/>
      <c r="RTE37" s="2795"/>
      <c r="RTF37" s="2795"/>
      <c r="RTG37" s="2795"/>
      <c r="RTH37" s="2795"/>
      <c r="RTI37" s="2795"/>
      <c r="RTJ37" s="2795"/>
      <c r="RTK37" s="2795"/>
      <c r="RTL37" s="2795"/>
      <c r="RTM37" s="2795"/>
      <c r="RTN37" s="2795"/>
      <c r="RTO37" s="2795"/>
      <c r="RTP37" s="2795"/>
      <c r="RTQ37" s="2795"/>
      <c r="RTR37" s="2795"/>
      <c r="RTS37" s="2795"/>
      <c r="RTT37" s="2795"/>
      <c r="RTU37" s="2795"/>
      <c r="RTV37" s="2795"/>
      <c r="RTW37" s="2795"/>
      <c r="RTX37" s="2795"/>
      <c r="RTY37" s="2795"/>
      <c r="RTZ37" s="2795"/>
      <c r="RUA37" s="2795"/>
      <c r="RUB37" s="2795"/>
      <c r="RUC37" s="2795"/>
      <c r="RUD37" s="2795"/>
      <c r="RUE37" s="2795"/>
      <c r="RUF37" s="2795"/>
      <c r="RUG37" s="2795"/>
      <c r="RUH37" s="2795"/>
      <c r="RUI37" s="2795"/>
      <c r="RUJ37" s="2795"/>
      <c r="RUK37" s="2795"/>
      <c r="RUL37" s="2795"/>
      <c r="RUM37" s="2795"/>
      <c r="RUN37" s="2795"/>
      <c r="RUO37" s="2795"/>
      <c r="RUP37" s="2795"/>
      <c r="RUQ37" s="2795"/>
      <c r="RUR37" s="2795"/>
      <c r="RUS37" s="2795"/>
      <c r="RUT37" s="2795"/>
      <c r="RUU37" s="2795"/>
      <c r="RUV37" s="2795"/>
      <c r="RUW37" s="2795"/>
      <c r="RUX37" s="2795"/>
      <c r="RUY37" s="2795"/>
      <c r="RUZ37" s="2795"/>
      <c r="RVA37" s="2795"/>
      <c r="RVB37" s="2795"/>
      <c r="RVC37" s="2795"/>
      <c r="RVD37" s="2795"/>
      <c r="RVE37" s="2795"/>
      <c r="RVF37" s="2795"/>
      <c r="RVG37" s="2795"/>
      <c r="RVH37" s="2795"/>
      <c r="RVI37" s="2795"/>
      <c r="RVJ37" s="2795"/>
      <c r="RVK37" s="2795"/>
      <c r="RVL37" s="2795"/>
      <c r="RVM37" s="2795"/>
      <c r="RVN37" s="2795"/>
      <c r="RVO37" s="2795"/>
      <c r="RVP37" s="2795"/>
      <c r="RVQ37" s="2795"/>
      <c r="RVR37" s="2795"/>
      <c r="RVS37" s="2795"/>
      <c r="RVT37" s="2795"/>
      <c r="RVU37" s="2795"/>
      <c r="RVV37" s="2795"/>
      <c r="RVW37" s="2795"/>
      <c r="RVX37" s="2795"/>
      <c r="RVY37" s="2795"/>
      <c r="RVZ37" s="2795"/>
      <c r="RWA37" s="2795"/>
      <c r="RWB37" s="2795"/>
      <c r="RWC37" s="2795"/>
      <c r="RWD37" s="2795"/>
      <c r="RWE37" s="2795"/>
      <c r="RWF37" s="2795"/>
      <c r="RWG37" s="2795"/>
      <c r="RWH37" s="2795"/>
      <c r="RWI37" s="2795"/>
      <c r="RWJ37" s="2795"/>
      <c r="RWK37" s="2795"/>
      <c r="RWL37" s="2795"/>
      <c r="RWM37" s="2795"/>
      <c r="RWN37" s="2795"/>
      <c r="RWO37" s="2795"/>
      <c r="RWP37" s="2795"/>
      <c r="RWQ37" s="2795"/>
      <c r="RWR37" s="2795"/>
      <c r="RWS37" s="2795"/>
      <c r="RWT37" s="2795"/>
      <c r="RWU37" s="2795"/>
      <c r="RWV37" s="2795"/>
      <c r="RWW37" s="2795"/>
      <c r="RWX37" s="2795"/>
      <c r="RWY37" s="2795"/>
      <c r="RWZ37" s="2795"/>
      <c r="RXA37" s="2795"/>
      <c r="RXB37" s="2795"/>
      <c r="RXC37" s="2795"/>
      <c r="RXD37" s="2795"/>
      <c r="RXE37" s="2795"/>
      <c r="RXF37" s="2795"/>
      <c r="RXG37" s="2795"/>
      <c r="RXH37" s="2795"/>
      <c r="RXI37" s="2795"/>
      <c r="RXJ37" s="2795"/>
      <c r="RXK37" s="2795"/>
      <c r="RXL37" s="2795"/>
      <c r="RXM37" s="2795"/>
      <c r="RXN37" s="2795"/>
      <c r="RXO37" s="2795"/>
      <c r="RXP37" s="2795"/>
      <c r="RXQ37" s="2795"/>
      <c r="RXR37" s="2795"/>
      <c r="RXS37" s="2795"/>
      <c r="RXT37" s="2795"/>
      <c r="RXU37" s="2795"/>
      <c r="RXV37" s="2795"/>
      <c r="RXW37" s="2795"/>
      <c r="RXX37" s="2795"/>
      <c r="RXY37" s="2795"/>
      <c r="RXZ37" s="2795"/>
      <c r="RYA37" s="2795"/>
      <c r="RYB37" s="2795"/>
      <c r="RYC37" s="2795"/>
      <c r="RYD37" s="2795"/>
      <c r="RYE37" s="2795"/>
      <c r="RYF37" s="2795"/>
      <c r="RYG37" s="2795"/>
      <c r="RYH37" s="2795"/>
      <c r="RYI37" s="2795"/>
      <c r="RYJ37" s="2795"/>
      <c r="RYK37" s="2795"/>
      <c r="RYL37" s="2795"/>
      <c r="RYM37" s="2795"/>
      <c r="RYN37" s="2795"/>
      <c r="RYO37" s="2795"/>
      <c r="RYP37" s="2795"/>
      <c r="RYQ37" s="2795"/>
      <c r="RYR37" s="2795"/>
      <c r="RYS37" s="2795"/>
      <c r="RYT37" s="2795"/>
      <c r="RYU37" s="2795"/>
      <c r="RYV37" s="2795"/>
      <c r="RYW37" s="2795"/>
      <c r="RYX37" s="2795"/>
      <c r="RYY37" s="2795"/>
      <c r="RYZ37" s="2795"/>
      <c r="RZA37" s="2795"/>
      <c r="RZB37" s="2795"/>
      <c r="RZC37" s="2795"/>
      <c r="RZD37" s="2795"/>
      <c r="RZE37" s="2795"/>
      <c r="RZF37" s="2795"/>
      <c r="RZG37" s="2795"/>
      <c r="RZH37" s="2795"/>
      <c r="RZI37" s="2795"/>
      <c r="RZJ37" s="2795"/>
      <c r="RZK37" s="2795"/>
      <c r="RZL37" s="2795"/>
      <c r="RZM37" s="2795"/>
      <c r="RZN37" s="2795"/>
      <c r="RZO37" s="2795"/>
      <c r="RZP37" s="2795"/>
      <c r="RZQ37" s="2795"/>
      <c r="RZR37" s="2795"/>
      <c r="RZS37" s="2795"/>
      <c r="RZT37" s="2795"/>
      <c r="RZU37" s="2795"/>
      <c r="RZV37" s="2795"/>
      <c r="RZW37" s="2795"/>
      <c r="RZX37" s="2795"/>
      <c r="RZY37" s="2795"/>
      <c r="RZZ37" s="2795"/>
      <c r="SAA37" s="2795"/>
      <c r="SAB37" s="2795"/>
      <c r="SAC37" s="2795"/>
      <c r="SAD37" s="2795"/>
      <c r="SAE37" s="2795"/>
      <c r="SAF37" s="2795"/>
      <c r="SAG37" s="2795"/>
      <c r="SAH37" s="2795"/>
      <c r="SAI37" s="2795"/>
      <c r="SAJ37" s="2795"/>
      <c r="SAK37" s="2795"/>
      <c r="SAL37" s="2795"/>
      <c r="SAM37" s="2795"/>
      <c r="SAN37" s="2795"/>
      <c r="SAO37" s="2795"/>
      <c r="SAP37" s="2795"/>
      <c r="SAQ37" s="2795"/>
      <c r="SAR37" s="2795"/>
      <c r="SAS37" s="2795"/>
      <c r="SAT37" s="2795"/>
      <c r="SAU37" s="2795"/>
      <c r="SAV37" s="2795"/>
      <c r="SAW37" s="2795"/>
      <c r="SAX37" s="2795"/>
      <c r="SAY37" s="2795"/>
      <c r="SAZ37" s="2795"/>
      <c r="SBA37" s="2795"/>
      <c r="SBB37" s="2795"/>
      <c r="SBC37" s="2795"/>
      <c r="SBD37" s="2795"/>
      <c r="SBE37" s="2795"/>
      <c r="SBF37" s="2795"/>
      <c r="SBG37" s="2795"/>
      <c r="SBH37" s="2795"/>
      <c r="SBI37" s="2795"/>
      <c r="SBJ37" s="2795"/>
      <c r="SBK37" s="2795"/>
      <c r="SBL37" s="2795"/>
      <c r="SBM37" s="2795"/>
      <c r="SBN37" s="2795"/>
      <c r="SBO37" s="2795"/>
      <c r="SBP37" s="2795"/>
      <c r="SBQ37" s="2795"/>
      <c r="SBR37" s="2795"/>
      <c r="SBS37" s="2795"/>
      <c r="SBT37" s="2795"/>
      <c r="SBU37" s="2795"/>
      <c r="SBV37" s="2795"/>
      <c r="SBW37" s="2795"/>
      <c r="SBX37" s="2795"/>
      <c r="SBY37" s="2795"/>
      <c r="SBZ37" s="2795"/>
      <c r="SCA37" s="2795"/>
      <c r="SCB37" s="2795"/>
      <c r="SCC37" s="2795"/>
      <c r="SCD37" s="2795"/>
      <c r="SCE37" s="2795"/>
      <c r="SCF37" s="2795"/>
      <c r="SCG37" s="2795"/>
      <c r="SCH37" s="2795"/>
      <c r="SCI37" s="2795"/>
      <c r="SCJ37" s="2795"/>
      <c r="SCK37" s="2795"/>
      <c r="SCL37" s="2795"/>
      <c r="SCM37" s="2795"/>
      <c r="SCN37" s="2795"/>
      <c r="SCO37" s="2795"/>
      <c r="SCP37" s="2795"/>
      <c r="SCQ37" s="2795"/>
      <c r="SCR37" s="2795"/>
      <c r="SCS37" s="2795"/>
      <c r="SCT37" s="2795"/>
      <c r="SCU37" s="2795"/>
      <c r="SCV37" s="2795"/>
      <c r="SCW37" s="2795"/>
      <c r="SCX37" s="2795"/>
      <c r="SCY37" s="2795"/>
      <c r="SCZ37" s="2795"/>
      <c r="SDA37" s="2795"/>
      <c r="SDB37" s="2795"/>
      <c r="SDC37" s="2795"/>
      <c r="SDD37" s="2795"/>
      <c r="SDE37" s="2795"/>
      <c r="SDF37" s="2795"/>
      <c r="SDG37" s="2795"/>
      <c r="SDH37" s="2795"/>
      <c r="SDI37" s="2795"/>
      <c r="SDJ37" s="2795"/>
      <c r="SDK37" s="2795"/>
      <c r="SDL37" s="2795"/>
      <c r="SDM37" s="2795"/>
      <c r="SDN37" s="2795"/>
      <c r="SDO37" s="2795"/>
      <c r="SDP37" s="2795"/>
      <c r="SDQ37" s="2795"/>
      <c r="SDR37" s="2795"/>
      <c r="SDS37" s="2795"/>
      <c r="SDT37" s="2795"/>
      <c r="SDU37" s="2795"/>
      <c r="SDV37" s="2795"/>
      <c r="SDW37" s="2795"/>
      <c r="SDX37" s="2795"/>
      <c r="SDY37" s="2795"/>
      <c r="SDZ37" s="2795"/>
      <c r="SEA37" s="2795"/>
      <c r="SEB37" s="2795"/>
      <c r="SEC37" s="2795"/>
      <c r="SED37" s="2795"/>
      <c r="SEE37" s="2795"/>
      <c r="SEF37" s="2795"/>
      <c r="SEG37" s="2795"/>
      <c r="SEH37" s="2795"/>
      <c r="SEI37" s="2795"/>
      <c r="SEJ37" s="2795"/>
      <c r="SEK37" s="2795"/>
      <c r="SEL37" s="2795"/>
      <c r="SEM37" s="2795"/>
      <c r="SEN37" s="2795"/>
      <c r="SEO37" s="2795"/>
      <c r="SEP37" s="2795"/>
      <c r="SEQ37" s="2795"/>
      <c r="SER37" s="2795"/>
      <c r="SES37" s="2795"/>
      <c r="SET37" s="2795"/>
      <c r="SEU37" s="2795"/>
      <c r="SEV37" s="2795"/>
      <c r="SEW37" s="2795"/>
      <c r="SEX37" s="2795"/>
      <c r="SEY37" s="2795"/>
      <c r="SEZ37" s="2795"/>
      <c r="SFA37" s="2795"/>
      <c r="SFB37" s="2795"/>
      <c r="SFC37" s="2795"/>
      <c r="SFD37" s="2795"/>
      <c r="SFE37" s="2795"/>
      <c r="SFF37" s="2795"/>
      <c r="SFG37" s="2795"/>
      <c r="SFH37" s="2795"/>
      <c r="SFI37" s="2795"/>
      <c r="SFJ37" s="2795"/>
      <c r="SFK37" s="2795"/>
      <c r="SFL37" s="2795"/>
      <c r="SFM37" s="2795"/>
      <c r="SFN37" s="2795"/>
      <c r="SFO37" s="2795"/>
      <c r="SFP37" s="2795"/>
      <c r="SFQ37" s="2795"/>
      <c r="SFR37" s="2795"/>
      <c r="SFS37" s="2795"/>
      <c r="SFT37" s="2795"/>
      <c r="SFU37" s="2795"/>
      <c r="SFV37" s="2795"/>
      <c r="SFW37" s="2795"/>
      <c r="SFX37" s="2795"/>
      <c r="SFY37" s="2795"/>
      <c r="SFZ37" s="2795"/>
      <c r="SGA37" s="2795"/>
      <c r="SGB37" s="2795"/>
      <c r="SGC37" s="2795"/>
      <c r="SGD37" s="2795"/>
      <c r="SGE37" s="2795"/>
      <c r="SGF37" s="2795"/>
      <c r="SGG37" s="2795"/>
      <c r="SGH37" s="2795"/>
      <c r="SGI37" s="2795"/>
      <c r="SGJ37" s="2795"/>
      <c r="SGK37" s="2795"/>
      <c r="SGL37" s="2795"/>
      <c r="SGM37" s="2795"/>
      <c r="SGN37" s="2795"/>
      <c r="SGO37" s="2795"/>
      <c r="SGP37" s="2795"/>
      <c r="SGQ37" s="2795"/>
      <c r="SGR37" s="2795"/>
      <c r="SGS37" s="2795"/>
      <c r="SGT37" s="2795"/>
      <c r="SGU37" s="2795"/>
      <c r="SGV37" s="2795"/>
      <c r="SGW37" s="2795"/>
      <c r="SGX37" s="2795"/>
      <c r="SGY37" s="2795"/>
      <c r="SGZ37" s="2795"/>
      <c r="SHA37" s="2795"/>
      <c r="SHB37" s="2795"/>
      <c r="SHC37" s="2795"/>
      <c r="SHD37" s="2795"/>
      <c r="SHE37" s="2795"/>
      <c r="SHF37" s="2795"/>
      <c r="SHG37" s="2795"/>
      <c r="SHH37" s="2795"/>
      <c r="SHI37" s="2795"/>
      <c r="SHJ37" s="2795"/>
      <c r="SHK37" s="2795"/>
      <c r="SHL37" s="2795"/>
      <c r="SHM37" s="2795"/>
      <c r="SHN37" s="2795"/>
      <c r="SHO37" s="2795"/>
      <c r="SHP37" s="2795"/>
      <c r="SHQ37" s="2795"/>
      <c r="SHR37" s="2795"/>
      <c r="SHS37" s="2795"/>
      <c r="SHT37" s="2795"/>
      <c r="SHU37" s="2795"/>
      <c r="SHV37" s="2795"/>
      <c r="SHW37" s="2795"/>
      <c r="SHX37" s="2795"/>
      <c r="SHY37" s="2795"/>
      <c r="SHZ37" s="2795"/>
      <c r="SIA37" s="2795"/>
      <c r="SIB37" s="2795"/>
      <c r="SIC37" s="2795"/>
      <c r="SID37" s="2795"/>
      <c r="SIE37" s="2795"/>
      <c r="SIF37" s="2795"/>
      <c r="SIG37" s="2795"/>
      <c r="SIH37" s="2795"/>
      <c r="SII37" s="2795"/>
      <c r="SIJ37" s="2795"/>
      <c r="SIK37" s="2795"/>
      <c r="SIL37" s="2795"/>
      <c r="SIM37" s="2795"/>
      <c r="SIN37" s="2795"/>
      <c r="SIO37" s="2795"/>
      <c r="SIP37" s="2795"/>
      <c r="SIQ37" s="2795"/>
      <c r="SIR37" s="2795"/>
      <c r="SIS37" s="2795"/>
      <c r="SIT37" s="2795"/>
      <c r="SIU37" s="2795"/>
      <c r="SIV37" s="2795"/>
      <c r="SIW37" s="2795"/>
      <c r="SIX37" s="2795"/>
      <c r="SIY37" s="2795"/>
      <c r="SIZ37" s="2795"/>
      <c r="SJA37" s="2795"/>
      <c r="SJB37" s="2795"/>
      <c r="SJC37" s="2795"/>
      <c r="SJD37" s="2795"/>
      <c r="SJE37" s="2795"/>
      <c r="SJF37" s="2795"/>
      <c r="SJG37" s="2795"/>
      <c r="SJH37" s="2795"/>
      <c r="SJI37" s="2795"/>
      <c r="SJJ37" s="2795"/>
      <c r="SJK37" s="2795"/>
      <c r="SJL37" s="2795"/>
      <c r="SJM37" s="2795"/>
      <c r="SJN37" s="2795"/>
      <c r="SJO37" s="2795"/>
      <c r="SJP37" s="2795"/>
      <c r="SJQ37" s="2795"/>
      <c r="SJR37" s="2795"/>
      <c r="SJS37" s="2795"/>
      <c r="SJT37" s="2795"/>
      <c r="SJU37" s="2795"/>
      <c r="SJV37" s="2795"/>
      <c r="SJW37" s="2795"/>
      <c r="SJX37" s="2795"/>
      <c r="SJY37" s="2795"/>
      <c r="SJZ37" s="2795"/>
      <c r="SKA37" s="2795"/>
      <c r="SKB37" s="2795"/>
      <c r="SKC37" s="2795"/>
      <c r="SKD37" s="2795"/>
      <c r="SKE37" s="2795"/>
      <c r="SKF37" s="2795"/>
      <c r="SKG37" s="2795"/>
      <c r="SKH37" s="2795"/>
      <c r="SKI37" s="2795"/>
      <c r="SKJ37" s="2795"/>
      <c r="SKK37" s="2795"/>
      <c r="SKL37" s="2795"/>
      <c r="SKM37" s="2795"/>
      <c r="SKN37" s="2795"/>
      <c r="SKO37" s="2795"/>
      <c r="SKP37" s="2795"/>
      <c r="SKQ37" s="2795"/>
      <c r="SKR37" s="2795"/>
      <c r="SKS37" s="2795"/>
      <c r="SKT37" s="2795"/>
      <c r="SKU37" s="2795"/>
      <c r="SKV37" s="2795"/>
      <c r="SKW37" s="2795"/>
      <c r="SKX37" s="2795"/>
      <c r="SKY37" s="2795"/>
      <c r="SKZ37" s="2795"/>
      <c r="SLA37" s="2795"/>
      <c r="SLB37" s="2795"/>
      <c r="SLC37" s="2795"/>
      <c r="SLD37" s="2795"/>
      <c r="SLE37" s="2795"/>
      <c r="SLF37" s="2795"/>
      <c r="SLG37" s="2795"/>
      <c r="SLH37" s="2795"/>
      <c r="SLI37" s="2795"/>
      <c r="SLJ37" s="2795"/>
      <c r="SLK37" s="2795"/>
      <c r="SLL37" s="2795"/>
      <c r="SLM37" s="2795"/>
      <c r="SLN37" s="2795"/>
      <c r="SLO37" s="2795"/>
      <c r="SLP37" s="2795"/>
      <c r="SLQ37" s="2795"/>
      <c r="SLR37" s="2795"/>
      <c r="SLS37" s="2795"/>
      <c r="SLT37" s="2795"/>
      <c r="SLU37" s="2795"/>
      <c r="SLV37" s="2795"/>
      <c r="SLW37" s="2795"/>
      <c r="SLX37" s="2795"/>
      <c r="SLY37" s="2795"/>
      <c r="SLZ37" s="2795"/>
      <c r="SMA37" s="2795"/>
      <c r="SMB37" s="2795"/>
      <c r="SMC37" s="2795"/>
      <c r="SMD37" s="2795"/>
      <c r="SME37" s="2795"/>
      <c r="SMF37" s="2795"/>
      <c r="SMG37" s="2795"/>
      <c r="SMH37" s="2795"/>
      <c r="SMI37" s="2795"/>
      <c r="SMJ37" s="2795"/>
      <c r="SMK37" s="2795"/>
      <c r="SML37" s="2795"/>
      <c r="SMM37" s="2795"/>
      <c r="SMN37" s="2795"/>
      <c r="SMO37" s="2795"/>
      <c r="SMP37" s="2795"/>
      <c r="SMQ37" s="2795"/>
      <c r="SMR37" s="2795"/>
      <c r="SMS37" s="2795"/>
      <c r="SMT37" s="2795"/>
      <c r="SMU37" s="2795"/>
      <c r="SMV37" s="2795"/>
      <c r="SMW37" s="2795"/>
      <c r="SMX37" s="2795"/>
      <c r="SMY37" s="2795"/>
      <c r="SMZ37" s="2795"/>
      <c r="SNA37" s="2795"/>
      <c r="SNB37" s="2795"/>
      <c r="SNC37" s="2795"/>
      <c r="SND37" s="2795"/>
      <c r="SNE37" s="2795"/>
      <c r="SNF37" s="2795"/>
      <c r="SNG37" s="2795"/>
      <c r="SNH37" s="2795"/>
      <c r="SNI37" s="2795"/>
      <c r="SNJ37" s="2795"/>
      <c r="SNK37" s="2795"/>
      <c r="SNL37" s="2795"/>
      <c r="SNM37" s="2795"/>
      <c r="SNN37" s="2795"/>
      <c r="SNO37" s="2795"/>
      <c r="SNP37" s="2795"/>
      <c r="SNQ37" s="2795"/>
      <c r="SNR37" s="2795"/>
      <c r="SNS37" s="2795"/>
      <c r="SNT37" s="2795"/>
      <c r="SNU37" s="2795"/>
      <c r="SNV37" s="2795"/>
      <c r="SNW37" s="2795"/>
      <c r="SNX37" s="2795"/>
      <c r="SNY37" s="2795"/>
      <c r="SNZ37" s="2795"/>
      <c r="SOA37" s="2795"/>
      <c r="SOB37" s="2795"/>
      <c r="SOC37" s="2795"/>
      <c r="SOD37" s="2795"/>
      <c r="SOE37" s="2795"/>
      <c r="SOF37" s="2795"/>
      <c r="SOG37" s="2795"/>
      <c r="SOH37" s="2795"/>
      <c r="SOI37" s="2795"/>
      <c r="SOJ37" s="2795"/>
      <c r="SOK37" s="2795"/>
      <c r="SOL37" s="2795"/>
      <c r="SOM37" s="2795"/>
      <c r="SON37" s="2795"/>
      <c r="SOO37" s="2795"/>
      <c r="SOP37" s="2795"/>
      <c r="SOQ37" s="2795"/>
      <c r="SOR37" s="2795"/>
      <c r="SOS37" s="2795"/>
      <c r="SOT37" s="2795"/>
      <c r="SOU37" s="2795"/>
      <c r="SOV37" s="2795"/>
      <c r="SOW37" s="2795"/>
      <c r="SOX37" s="2795"/>
      <c r="SOY37" s="2795"/>
      <c r="SOZ37" s="2795"/>
      <c r="SPA37" s="2795"/>
      <c r="SPB37" s="2795"/>
      <c r="SPC37" s="2795"/>
      <c r="SPD37" s="2795"/>
      <c r="SPE37" s="2795"/>
      <c r="SPF37" s="2795"/>
      <c r="SPG37" s="2795"/>
      <c r="SPH37" s="2795"/>
      <c r="SPI37" s="2795"/>
      <c r="SPJ37" s="2795"/>
      <c r="SPK37" s="2795"/>
      <c r="SPL37" s="2795"/>
      <c r="SPM37" s="2795"/>
      <c r="SPN37" s="2795"/>
      <c r="SPO37" s="2795"/>
      <c r="SPP37" s="2795"/>
      <c r="SPQ37" s="2795"/>
      <c r="SPR37" s="2795"/>
      <c r="SPS37" s="2795"/>
      <c r="SPT37" s="2795"/>
      <c r="SPU37" s="2795"/>
      <c r="SPV37" s="2795"/>
      <c r="SPW37" s="2795"/>
      <c r="SPX37" s="2795"/>
      <c r="SPY37" s="2795"/>
      <c r="SPZ37" s="2795"/>
      <c r="SQA37" s="2795"/>
      <c r="SQB37" s="2795"/>
      <c r="SQC37" s="2795"/>
      <c r="SQD37" s="2795"/>
      <c r="SQE37" s="2795"/>
      <c r="SQF37" s="2795"/>
      <c r="SQG37" s="2795"/>
      <c r="SQH37" s="2795"/>
      <c r="SQI37" s="2795"/>
      <c r="SQJ37" s="2795"/>
      <c r="SQK37" s="2795"/>
      <c r="SQL37" s="2795"/>
      <c r="SQM37" s="2795"/>
      <c r="SQN37" s="2795"/>
      <c r="SQO37" s="2795"/>
      <c r="SQP37" s="2795"/>
      <c r="SQQ37" s="2795"/>
      <c r="SQR37" s="2795"/>
      <c r="SQS37" s="2795"/>
      <c r="SQT37" s="2795"/>
      <c r="SQU37" s="2795"/>
      <c r="SQV37" s="2795"/>
      <c r="SQW37" s="2795"/>
      <c r="SQX37" s="2795"/>
      <c r="SQY37" s="2795"/>
      <c r="SQZ37" s="2795"/>
      <c r="SRA37" s="2795"/>
      <c r="SRB37" s="2795"/>
      <c r="SRC37" s="2795"/>
      <c r="SRD37" s="2795"/>
      <c r="SRE37" s="2795"/>
      <c r="SRF37" s="2795"/>
      <c r="SRG37" s="2795"/>
      <c r="SRH37" s="2795"/>
      <c r="SRI37" s="2795"/>
      <c r="SRJ37" s="2795"/>
      <c r="SRK37" s="2795"/>
      <c r="SRL37" s="2795"/>
      <c r="SRM37" s="2795"/>
      <c r="SRN37" s="2795"/>
      <c r="SRO37" s="2795"/>
      <c r="SRP37" s="2795"/>
      <c r="SRQ37" s="2795"/>
      <c r="SRR37" s="2795"/>
      <c r="SRS37" s="2795"/>
      <c r="SRT37" s="2795"/>
      <c r="SRU37" s="2795"/>
      <c r="SRV37" s="2795"/>
      <c r="SRW37" s="2795"/>
      <c r="SRX37" s="2795"/>
      <c r="SRY37" s="2795"/>
      <c r="SRZ37" s="2795"/>
      <c r="SSA37" s="2795"/>
      <c r="SSB37" s="2795"/>
      <c r="SSC37" s="2795"/>
      <c r="SSD37" s="2795"/>
      <c r="SSE37" s="2795"/>
      <c r="SSF37" s="2795"/>
      <c r="SSG37" s="2795"/>
      <c r="SSH37" s="2795"/>
      <c r="SSI37" s="2795"/>
      <c r="SSJ37" s="2795"/>
      <c r="SSK37" s="2795"/>
      <c r="SSL37" s="2795"/>
      <c r="SSM37" s="2795"/>
      <c r="SSN37" s="2795"/>
      <c r="SSO37" s="2795"/>
      <c r="SSP37" s="2795"/>
      <c r="SSQ37" s="2795"/>
      <c r="SSR37" s="2795"/>
      <c r="SSS37" s="2795"/>
      <c r="SST37" s="2795"/>
      <c r="SSU37" s="2795"/>
      <c r="SSV37" s="2795"/>
      <c r="SSW37" s="2795"/>
      <c r="SSX37" s="2795"/>
      <c r="SSY37" s="2795"/>
      <c r="SSZ37" s="2795"/>
      <c r="STA37" s="2795"/>
      <c r="STB37" s="2795"/>
      <c r="STC37" s="2795"/>
      <c r="STD37" s="2795"/>
      <c r="STE37" s="2795"/>
      <c r="STF37" s="2795"/>
      <c r="STG37" s="2795"/>
      <c r="STH37" s="2795"/>
      <c r="STI37" s="2795"/>
      <c r="STJ37" s="2795"/>
      <c r="STK37" s="2795"/>
      <c r="STL37" s="2795"/>
      <c r="STM37" s="2795"/>
      <c r="STN37" s="2795"/>
      <c r="STO37" s="2795"/>
      <c r="STP37" s="2795"/>
      <c r="STQ37" s="2795"/>
      <c r="STR37" s="2795"/>
      <c r="STS37" s="2795"/>
      <c r="STT37" s="2795"/>
      <c r="STU37" s="2795"/>
      <c r="STV37" s="2795"/>
      <c r="STW37" s="2795"/>
      <c r="STX37" s="2795"/>
      <c r="STY37" s="2795"/>
      <c r="STZ37" s="2795"/>
      <c r="SUA37" s="2795"/>
      <c r="SUB37" s="2795"/>
      <c r="SUC37" s="2795"/>
      <c r="SUD37" s="2795"/>
      <c r="SUE37" s="2795"/>
      <c r="SUF37" s="2795"/>
      <c r="SUG37" s="2795"/>
      <c r="SUH37" s="2795"/>
      <c r="SUI37" s="2795"/>
      <c r="SUJ37" s="2795"/>
      <c r="SUK37" s="2795"/>
      <c r="SUL37" s="2795"/>
      <c r="SUM37" s="2795"/>
      <c r="SUN37" s="2795"/>
      <c r="SUO37" s="2795"/>
      <c r="SUP37" s="2795"/>
      <c r="SUQ37" s="2795"/>
      <c r="SUR37" s="2795"/>
      <c r="SUS37" s="2795"/>
      <c r="SUT37" s="2795"/>
      <c r="SUU37" s="2795"/>
      <c r="SUV37" s="2795"/>
      <c r="SUW37" s="2795"/>
      <c r="SUX37" s="2795"/>
      <c r="SUY37" s="2795"/>
      <c r="SUZ37" s="2795"/>
      <c r="SVA37" s="2795"/>
      <c r="SVB37" s="2795"/>
      <c r="SVC37" s="2795"/>
      <c r="SVD37" s="2795"/>
      <c r="SVE37" s="2795"/>
      <c r="SVF37" s="2795"/>
      <c r="SVG37" s="2795"/>
      <c r="SVH37" s="2795"/>
      <c r="SVI37" s="2795"/>
      <c r="SVJ37" s="2795"/>
      <c r="SVK37" s="2795"/>
      <c r="SVL37" s="2795"/>
      <c r="SVM37" s="2795"/>
      <c r="SVN37" s="2795"/>
      <c r="SVO37" s="2795"/>
      <c r="SVP37" s="2795"/>
      <c r="SVQ37" s="2795"/>
      <c r="SVR37" s="2795"/>
      <c r="SVS37" s="2795"/>
      <c r="SVT37" s="2795"/>
      <c r="SVU37" s="2795"/>
      <c r="SVV37" s="2795"/>
      <c r="SVW37" s="2795"/>
      <c r="SVX37" s="2795"/>
      <c r="SVY37" s="2795"/>
      <c r="SVZ37" s="2795"/>
      <c r="SWA37" s="2795"/>
      <c r="SWB37" s="2795"/>
      <c r="SWC37" s="2795"/>
      <c r="SWD37" s="2795"/>
      <c r="SWE37" s="2795"/>
      <c r="SWF37" s="2795"/>
      <c r="SWG37" s="2795"/>
      <c r="SWH37" s="2795"/>
      <c r="SWI37" s="2795"/>
      <c r="SWJ37" s="2795"/>
      <c r="SWK37" s="2795"/>
      <c r="SWL37" s="2795"/>
      <c r="SWM37" s="2795"/>
      <c r="SWN37" s="2795"/>
      <c r="SWO37" s="2795"/>
      <c r="SWP37" s="2795"/>
      <c r="SWQ37" s="2795"/>
      <c r="SWR37" s="2795"/>
      <c r="SWS37" s="2795"/>
      <c r="SWT37" s="2795"/>
      <c r="SWU37" s="2795"/>
      <c r="SWV37" s="2795"/>
      <c r="SWW37" s="2795"/>
      <c r="SWX37" s="2795"/>
      <c r="SWY37" s="2795"/>
      <c r="SWZ37" s="2795"/>
      <c r="SXA37" s="2795"/>
      <c r="SXB37" s="2795"/>
      <c r="SXC37" s="2795"/>
      <c r="SXD37" s="2795"/>
      <c r="SXE37" s="2795"/>
      <c r="SXF37" s="2795"/>
      <c r="SXG37" s="2795"/>
      <c r="SXH37" s="2795"/>
      <c r="SXI37" s="2795"/>
      <c r="SXJ37" s="2795"/>
      <c r="SXK37" s="2795"/>
      <c r="SXL37" s="2795"/>
      <c r="SXM37" s="2795"/>
      <c r="SXN37" s="2795"/>
      <c r="SXO37" s="2795"/>
      <c r="SXP37" s="2795"/>
      <c r="SXQ37" s="2795"/>
      <c r="SXR37" s="2795"/>
      <c r="SXS37" s="2795"/>
      <c r="SXT37" s="2795"/>
      <c r="SXU37" s="2795"/>
      <c r="SXV37" s="2795"/>
      <c r="SXW37" s="2795"/>
      <c r="SXX37" s="2795"/>
      <c r="SXY37" s="2795"/>
      <c r="SXZ37" s="2795"/>
      <c r="SYA37" s="2795"/>
      <c r="SYB37" s="2795"/>
      <c r="SYC37" s="2795"/>
      <c r="SYD37" s="2795"/>
      <c r="SYE37" s="2795"/>
      <c r="SYF37" s="2795"/>
      <c r="SYG37" s="2795"/>
      <c r="SYH37" s="2795"/>
      <c r="SYI37" s="2795"/>
      <c r="SYJ37" s="2795"/>
      <c r="SYK37" s="2795"/>
      <c r="SYL37" s="2795"/>
      <c r="SYM37" s="2795"/>
      <c r="SYN37" s="2795"/>
      <c r="SYO37" s="2795"/>
      <c r="SYP37" s="2795"/>
      <c r="SYQ37" s="2795"/>
      <c r="SYR37" s="2795"/>
      <c r="SYS37" s="2795"/>
      <c r="SYT37" s="2795"/>
      <c r="SYU37" s="2795"/>
      <c r="SYV37" s="2795"/>
      <c r="SYW37" s="2795"/>
      <c r="SYX37" s="2795"/>
      <c r="SYY37" s="2795"/>
      <c r="SYZ37" s="2795"/>
      <c r="SZA37" s="2795"/>
      <c r="SZB37" s="2795"/>
      <c r="SZC37" s="2795"/>
      <c r="SZD37" s="2795"/>
      <c r="SZE37" s="2795"/>
      <c r="SZF37" s="2795"/>
      <c r="SZG37" s="2795"/>
      <c r="SZH37" s="2795"/>
      <c r="SZI37" s="2795"/>
      <c r="SZJ37" s="2795"/>
      <c r="SZK37" s="2795"/>
      <c r="SZL37" s="2795"/>
      <c r="SZM37" s="2795"/>
      <c r="SZN37" s="2795"/>
      <c r="SZO37" s="2795"/>
      <c r="SZP37" s="2795"/>
      <c r="SZQ37" s="2795"/>
      <c r="SZR37" s="2795"/>
      <c r="SZS37" s="2795"/>
      <c r="SZT37" s="2795"/>
      <c r="SZU37" s="2795"/>
      <c r="SZV37" s="2795"/>
      <c r="SZW37" s="2795"/>
      <c r="SZX37" s="2795"/>
      <c r="SZY37" s="2795"/>
      <c r="SZZ37" s="2795"/>
      <c r="TAA37" s="2795"/>
      <c r="TAB37" s="2795"/>
      <c r="TAC37" s="2795"/>
      <c r="TAD37" s="2795"/>
      <c r="TAE37" s="2795"/>
      <c r="TAF37" s="2795"/>
      <c r="TAG37" s="2795"/>
      <c r="TAH37" s="2795"/>
      <c r="TAI37" s="2795"/>
      <c r="TAJ37" s="2795"/>
      <c r="TAK37" s="2795"/>
      <c r="TAL37" s="2795"/>
      <c r="TAM37" s="2795"/>
      <c r="TAN37" s="2795"/>
      <c r="TAO37" s="2795"/>
      <c r="TAP37" s="2795"/>
      <c r="TAQ37" s="2795"/>
      <c r="TAR37" s="2795"/>
      <c r="TAS37" s="2795"/>
      <c r="TAT37" s="2795"/>
      <c r="TAU37" s="2795"/>
      <c r="TAV37" s="2795"/>
      <c r="TAW37" s="2795"/>
      <c r="TAX37" s="2795"/>
      <c r="TAY37" s="2795"/>
      <c r="TAZ37" s="2795"/>
      <c r="TBA37" s="2795"/>
      <c r="TBB37" s="2795"/>
      <c r="TBC37" s="2795"/>
      <c r="TBD37" s="2795"/>
      <c r="TBE37" s="2795"/>
      <c r="TBF37" s="2795"/>
      <c r="TBG37" s="2795"/>
      <c r="TBH37" s="2795"/>
      <c r="TBI37" s="2795"/>
      <c r="TBJ37" s="2795"/>
      <c r="TBK37" s="2795"/>
      <c r="TBL37" s="2795"/>
      <c r="TBM37" s="2795"/>
      <c r="TBN37" s="2795"/>
      <c r="TBO37" s="2795"/>
      <c r="TBP37" s="2795"/>
      <c r="TBQ37" s="2795"/>
      <c r="TBR37" s="2795"/>
      <c r="TBS37" s="2795"/>
      <c r="TBT37" s="2795"/>
      <c r="TBU37" s="2795"/>
      <c r="TBV37" s="2795"/>
      <c r="TBW37" s="2795"/>
      <c r="TBX37" s="2795"/>
      <c r="TBY37" s="2795"/>
      <c r="TBZ37" s="2795"/>
      <c r="TCA37" s="2795"/>
      <c r="TCB37" s="2795"/>
      <c r="TCC37" s="2795"/>
      <c r="TCD37" s="2795"/>
      <c r="TCE37" s="2795"/>
      <c r="TCF37" s="2795"/>
      <c r="TCG37" s="2795"/>
      <c r="TCH37" s="2795"/>
      <c r="TCI37" s="2795"/>
      <c r="TCJ37" s="2795"/>
      <c r="TCK37" s="2795"/>
      <c r="TCL37" s="2795"/>
      <c r="TCM37" s="2795"/>
      <c r="TCN37" s="2795"/>
      <c r="TCO37" s="2795"/>
      <c r="TCP37" s="2795"/>
      <c r="TCQ37" s="2795"/>
      <c r="TCR37" s="2795"/>
      <c r="TCS37" s="2795"/>
      <c r="TCT37" s="2795"/>
      <c r="TCU37" s="2795"/>
      <c r="TCV37" s="2795"/>
      <c r="TCW37" s="2795"/>
      <c r="TCX37" s="2795"/>
      <c r="TCY37" s="2795"/>
      <c r="TCZ37" s="2795"/>
      <c r="TDA37" s="2795"/>
      <c r="TDB37" s="2795"/>
      <c r="TDC37" s="2795"/>
      <c r="TDD37" s="2795"/>
      <c r="TDE37" s="2795"/>
      <c r="TDF37" s="2795"/>
      <c r="TDG37" s="2795"/>
      <c r="TDH37" s="2795"/>
      <c r="TDI37" s="2795"/>
      <c r="TDJ37" s="2795"/>
      <c r="TDK37" s="2795"/>
      <c r="TDL37" s="2795"/>
      <c r="TDM37" s="2795"/>
      <c r="TDN37" s="2795"/>
      <c r="TDO37" s="2795"/>
      <c r="TDP37" s="2795"/>
      <c r="TDQ37" s="2795"/>
      <c r="TDR37" s="2795"/>
      <c r="TDS37" s="2795"/>
      <c r="TDT37" s="2795"/>
      <c r="TDU37" s="2795"/>
      <c r="TDV37" s="2795"/>
      <c r="TDW37" s="2795"/>
      <c r="TDX37" s="2795"/>
      <c r="TDY37" s="2795"/>
      <c r="TDZ37" s="2795"/>
      <c r="TEA37" s="2795"/>
      <c r="TEB37" s="2795"/>
      <c r="TEC37" s="2795"/>
      <c r="TED37" s="2795"/>
      <c r="TEE37" s="2795"/>
      <c r="TEF37" s="2795"/>
      <c r="TEG37" s="2795"/>
      <c r="TEH37" s="2795"/>
      <c r="TEI37" s="2795"/>
      <c r="TEJ37" s="2795"/>
      <c r="TEK37" s="2795"/>
      <c r="TEL37" s="2795"/>
      <c r="TEM37" s="2795"/>
      <c r="TEN37" s="2795"/>
      <c r="TEO37" s="2795"/>
      <c r="TEP37" s="2795"/>
      <c r="TEQ37" s="2795"/>
      <c r="TER37" s="2795"/>
      <c r="TES37" s="2795"/>
      <c r="TET37" s="2795"/>
      <c r="TEU37" s="2795"/>
      <c r="TEV37" s="2795"/>
      <c r="TEW37" s="2795"/>
      <c r="TEX37" s="2795"/>
      <c r="TEY37" s="2795"/>
      <c r="TEZ37" s="2795"/>
      <c r="TFA37" s="2795"/>
      <c r="TFB37" s="2795"/>
      <c r="TFC37" s="2795"/>
      <c r="TFD37" s="2795"/>
      <c r="TFE37" s="2795"/>
      <c r="TFF37" s="2795"/>
      <c r="TFG37" s="2795"/>
      <c r="TFH37" s="2795"/>
      <c r="TFI37" s="2795"/>
      <c r="TFJ37" s="2795"/>
      <c r="TFK37" s="2795"/>
      <c r="TFL37" s="2795"/>
      <c r="TFM37" s="2795"/>
      <c r="TFN37" s="2795"/>
      <c r="TFO37" s="2795"/>
      <c r="TFP37" s="2795"/>
      <c r="TFQ37" s="2795"/>
      <c r="TFR37" s="2795"/>
      <c r="TFS37" s="2795"/>
      <c r="TFT37" s="2795"/>
      <c r="TFU37" s="2795"/>
      <c r="TFV37" s="2795"/>
      <c r="TFW37" s="2795"/>
      <c r="TFX37" s="2795"/>
      <c r="TFY37" s="2795"/>
      <c r="TFZ37" s="2795"/>
      <c r="TGA37" s="2795"/>
      <c r="TGB37" s="2795"/>
      <c r="TGC37" s="2795"/>
      <c r="TGD37" s="2795"/>
      <c r="TGE37" s="2795"/>
      <c r="TGF37" s="2795"/>
      <c r="TGG37" s="2795"/>
      <c r="TGH37" s="2795"/>
      <c r="TGI37" s="2795"/>
      <c r="TGJ37" s="2795"/>
      <c r="TGK37" s="2795"/>
      <c r="TGL37" s="2795"/>
      <c r="TGM37" s="2795"/>
      <c r="TGN37" s="2795"/>
      <c r="TGO37" s="2795"/>
      <c r="TGP37" s="2795"/>
      <c r="TGQ37" s="2795"/>
      <c r="TGR37" s="2795"/>
      <c r="TGS37" s="2795"/>
      <c r="TGT37" s="2795"/>
      <c r="TGU37" s="2795"/>
      <c r="TGV37" s="2795"/>
      <c r="TGW37" s="2795"/>
      <c r="TGX37" s="2795"/>
      <c r="TGY37" s="2795"/>
      <c r="TGZ37" s="2795"/>
      <c r="THA37" s="2795"/>
      <c r="THB37" s="2795"/>
      <c r="THC37" s="2795"/>
      <c r="THD37" s="2795"/>
      <c r="THE37" s="2795"/>
      <c r="THF37" s="2795"/>
      <c r="THG37" s="2795"/>
      <c r="THH37" s="2795"/>
      <c r="THI37" s="2795"/>
      <c r="THJ37" s="2795"/>
      <c r="THK37" s="2795"/>
      <c r="THL37" s="2795"/>
      <c r="THM37" s="2795"/>
      <c r="THN37" s="2795"/>
      <c r="THO37" s="2795"/>
      <c r="THP37" s="2795"/>
      <c r="THQ37" s="2795"/>
      <c r="THR37" s="2795"/>
      <c r="THS37" s="2795"/>
      <c r="THT37" s="2795"/>
      <c r="THU37" s="2795"/>
      <c r="THV37" s="2795"/>
      <c r="THW37" s="2795"/>
      <c r="THX37" s="2795"/>
      <c r="THY37" s="2795"/>
      <c r="THZ37" s="2795"/>
      <c r="TIA37" s="2795"/>
      <c r="TIB37" s="2795"/>
      <c r="TIC37" s="2795"/>
      <c r="TID37" s="2795"/>
      <c r="TIE37" s="2795"/>
      <c r="TIF37" s="2795"/>
      <c r="TIG37" s="2795"/>
      <c r="TIH37" s="2795"/>
      <c r="TII37" s="2795"/>
      <c r="TIJ37" s="2795"/>
      <c r="TIK37" s="2795"/>
      <c r="TIL37" s="2795"/>
      <c r="TIM37" s="2795"/>
      <c r="TIN37" s="2795"/>
      <c r="TIO37" s="2795"/>
      <c r="TIP37" s="2795"/>
      <c r="TIQ37" s="2795"/>
      <c r="TIR37" s="2795"/>
      <c r="TIS37" s="2795"/>
      <c r="TIT37" s="2795"/>
      <c r="TIU37" s="2795"/>
      <c r="TIV37" s="2795"/>
      <c r="TIW37" s="2795"/>
      <c r="TIX37" s="2795"/>
      <c r="TIY37" s="2795"/>
      <c r="TIZ37" s="2795"/>
      <c r="TJA37" s="2795"/>
      <c r="TJB37" s="2795"/>
      <c r="TJC37" s="2795"/>
      <c r="TJD37" s="2795"/>
      <c r="TJE37" s="2795"/>
      <c r="TJF37" s="2795"/>
      <c r="TJG37" s="2795"/>
      <c r="TJH37" s="2795"/>
      <c r="TJI37" s="2795"/>
      <c r="TJJ37" s="2795"/>
      <c r="TJK37" s="2795"/>
      <c r="TJL37" s="2795"/>
      <c r="TJM37" s="2795"/>
      <c r="TJN37" s="2795"/>
      <c r="TJO37" s="2795"/>
      <c r="TJP37" s="2795"/>
      <c r="TJQ37" s="2795"/>
      <c r="TJR37" s="2795"/>
      <c r="TJS37" s="2795"/>
      <c r="TJT37" s="2795"/>
      <c r="TJU37" s="2795"/>
      <c r="TJV37" s="2795"/>
      <c r="TJW37" s="2795"/>
      <c r="TJX37" s="2795"/>
      <c r="TJY37" s="2795"/>
      <c r="TJZ37" s="2795"/>
      <c r="TKA37" s="2795"/>
      <c r="TKB37" s="2795"/>
      <c r="TKC37" s="2795"/>
      <c r="TKD37" s="2795"/>
      <c r="TKE37" s="2795"/>
      <c r="TKF37" s="2795"/>
      <c r="TKG37" s="2795"/>
      <c r="TKH37" s="2795"/>
      <c r="TKI37" s="2795"/>
      <c r="TKJ37" s="2795"/>
      <c r="TKK37" s="2795"/>
      <c r="TKL37" s="2795"/>
      <c r="TKM37" s="2795"/>
      <c r="TKN37" s="2795"/>
      <c r="TKO37" s="2795"/>
      <c r="TKP37" s="2795"/>
      <c r="TKQ37" s="2795"/>
      <c r="TKR37" s="2795"/>
      <c r="TKS37" s="2795"/>
      <c r="TKT37" s="2795"/>
      <c r="TKU37" s="2795"/>
      <c r="TKV37" s="2795"/>
      <c r="TKW37" s="2795"/>
      <c r="TKX37" s="2795"/>
      <c r="TKY37" s="2795"/>
      <c r="TKZ37" s="2795"/>
      <c r="TLA37" s="2795"/>
      <c r="TLB37" s="2795"/>
      <c r="TLC37" s="2795"/>
      <c r="TLD37" s="2795"/>
      <c r="TLE37" s="2795"/>
      <c r="TLF37" s="2795"/>
      <c r="TLG37" s="2795"/>
      <c r="TLH37" s="2795"/>
      <c r="TLI37" s="2795"/>
      <c r="TLJ37" s="2795"/>
      <c r="TLK37" s="2795"/>
      <c r="TLL37" s="2795"/>
      <c r="TLM37" s="2795"/>
      <c r="TLN37" s="2795"/>
      <c r="TLO37" s="2795"/>
      <c r="TLP37" s="2795"/>
      <c r="TLQ37" s="2795"/>
      <c r="TLR37" s="2795"/>
      <c r="TLS37" s="2795"/>
      <c r="TLT37" s="2795"/>
      <c r="TLU37" s="2795"/>
      <c r="TLV37" s="2795"/>
      <c r="TLW37" s="2795"/>
      <c r="TLX37" s="2795"/>
      <c r="TLY37" s="2795"/>
      <c r="TLZ37" s="2795"/>
      <c r="TMA37" s="2795"/>
      <c r="TMB37" s="2795"/>
      <c r="TMC37" s="2795"/>
      <c r="TMD37" s="2795"/>
      <c r="TME37" s="2795"/>
      <c r="TMF37" s="2795"/>
      <c r="TMG37" s="2795"/>
      <c r="TMH37" s="2795"/>
      <c r="TMI37" s="2795"/>
      <c r="TMJ37" s="2795"/>
      <c r="TMK37" s="2795"/>
      <c r="TML37" s="2795"/>
      <c r="TMM37" s="2795"/>
      <c r="TMN37" s="2795"/>
      <c r="TMO37" s="2795"/>
      <c r="TMP37" s="2795"/>
      <c r="TMQ37" s="2795"/>
      <c r="TMR37" s="2795"/>
      <c r="TMS37" s="2795"/>
      <c r="TMT37" s="2795"/>
      <c r="TMU37" s="2795"/>
      <c r="TMV37" s="2795"/>
      <c r="TMW37" s="2795"/>
      <c r="TMX37" s="2795"/>
      <c r="TMY37" s="2795"/>
      <c r="TMZ37" s="2795"/>
      <c r="TNA37" s="2795"/>
      <c r="TNB37" s="2795"/>
      <c r="TNC37" s="2795"/>
      <c r="TND37" s="2795"/>
      <c r="TNE37" s="2795"/>
      <c r="TNF37" s="2795"/>
      <c r="TNG37" s="2795"/>
      <c r="TNH37" s="2795"/>
      <c r="TNI37" s="2795"/>
      <c r="TNJ37" s="2795"/>
      <c r="TNK37" s="2795"/>
      <c r="TNL37" s="2795"/>
      <c r="TNM37" s="2795"/>
      <c r="TNN37" s="2795"/>
      <c r="TNO37" s="2795"/>
      <c r="TNP37" s="2795"/>
      <c r="TNQ37" s="2795"/>
      <c r="TNR37" s="2795"/>
      <c r="TNS37" s="2795"/>
      <c r="TNT37" s="2795"/>
      <c r="TNU37" s="2795"/>
      <c r="TNV37" s="2795"/>
      <c r="TNW37" s="2795"/>
      <c r="TNX37" s="2795"/>
      <c r="TNY37" s="2795"/>
      <c r="TNZ37" s="2795"/>
      <c r="TOA37" s="2795"/>
      <c r="TOB37" s="2795"/>
      <c r="TOC37" s="2795"/>
      <c r="TOD37" s="2795"/>
      <c r="TOE37" s="2795"/>
      <c r="TOF37" s="2795"/>
      <c r="TOG37" s="2795"/>
      <c r="TOH37" s="2795"/>
      <c r="TOI37" s="2795"/>
      <c r="TOJ37" s="2795"/>
      <c r="TOK37" s="2795"/>
      <c r="TOL37" s="2795"/>
      <c r="TOM37" s="2795"/>
      <c r="TON37" s="2795"/>
      <c r="TOO37" s="2795"/>
      <c r="TOP37" s="2795"/>
      <c r="TOQ37" s="2795"/>
      <c r="TOR37" s="2795"/>
      <c r="TOS37" s="2795"/>
      <c r="TOT37" s="2795"/>
      <c r="TOU37" s="2795"/>
      <c r="TOV37" s="2795"/>
      <c r="TOW37" s="2795"/>
      <c r="TOX37" s="2795"/>
      <c r="TOY37" s="2795"/>
      <c r="TOZ37" s="2795"/>
      <c r="TPA37" s="2795"/>
      <c r="TPB37" s="2795"/>
      <c r="TPC37" s="2795"/>
      <c r="TPD37" s="2795"/>
      <c r="TPE37" s="2795"/>
      <c r="TPF37" s="2795"/>
      <c r="TPG37" s="2795"/>
      <c r="TPH37" s="2795"/>
      <c r="TPI37" s="2795"/>
      <c r="TPJ37" s="2795"/>
      <c r="TPK37" s="2795"/>
      <c r="TPL37" s="2795"/>
      <c r="TPM37" s="2795"/>
      <c r="TPN37" s="2795"/>
      <c r="TPO37" s="2795"/>
      <c r="TPP37" s="2795"/>
      <c r="TPQ37" s="2795"/>
      <c r="TPR37" s="2795"/>
      <c r="TPS37" s="2795"/>
      <c r="TPT37" s="2795"/>
      <c r="TPU37" s="2795"/>
      <c r="TPV37" s="2795"/>
      <c r="TPW37" s="2795"/>
      <c r="TPX37" s="2795"/>
      <c r="TPY37" s="2795"/>
      <c r="TPZ37" s="2795"/>
      <c r="TQA37" s="2795"/>
      <c r="TQB37" s="2795"/>
      <c r="TQC37" s="2795"/>
      <c r="TQD37" s="2795"/>
      <c r="TQE37" s="2795"/>
      <c r="TQF37" s="2795"/>
      <c r="TQG37" s="2795"/>
      <c r="TQH37" s="2795"/>
      <c r="TQI37" s="2795"/>
      <c r="TQJ37" s="2795"/>
      <c r="TQK37" s="2795"/>
      <c r="TQL37" s="2795"/>
      <c r="TQM37" s="2795"/>
      <c r="TQN37" s="2795"/>
      <c r="TQO37" s="2795"/>
      <c r="TQP37" s="2795"/>
      <c r="TQQ37" s="2795"/>
      <c r="TQR37" s="2795"/>
      <c r="TQS37" s="2795"/>
      <c r="TQT37" s="2795"/>
      <c r="TQU37" s="2795"/>
      <c r="TQV37" s="2795"/>
      <c r="TQW37" s="2795"/>
      <c r="TQX37" s="2795"/>
      <c r="TQY37" s="2795"/>
      <c r="TQZ37" s="2795"/>
      <c r="TRA37" s="2795"/>
      <c r="TRB37" s="2795"/>
      <c r="TRC37" s="2795"/>
      <c r="TRD37" s="2795"/>
      <c r="TRE37" s="2795"/>
      <c r="TRF37" s="2795"/>
      <c r="TRG37" s="2795"/>
      <c r="TRH37" s="2795"/>
      <c r="TRI37" s="2795"/>
      <c r="TRJ37" s="2795"/>
      <c r="TRK37" s="2795"/>
      <c r="TRL37" s="2795"/>
      <c r="TRM37" s="2795"/>
      <c r="TRN37" s="2795"/>
      <c r="TRO37" s="2795"/>
      <c r="TRP37" s="2795"/>
      <c r="TRQ37" s="2795"/>
      <c r="TRR37" s="2795"/>
      <c r="TRS37" s="2795"/>
      <c r="TRT37" s="2795"/>
      <c r="TRU37" s="2795"/>
      <c r="TRV37" s="2795"/>
      <c r="TRW37" s="2795"/>
      <c r="TRX37" s="2795"/>
      <c r="TRY37" s="2795"/>
      <c r="TRZ37" s="2795"/>
      <c r="TSA37" s="2795"/>
      <c r="TSB37" s="2795"/>
      <c r="TSC37" s="2795"/>
      <c r="TSD37" s="2795"/>
      <c r="TSE37" s="2795"/>
      <c r="TSF37" s="2795"/>
      <c r="TSG37" s="2795"/>
      <c r="TSH37" s="2795"/>
      <c r="TSI37" s="2795"/>
      <c r="TSJ37" s="2795"/>
      <c r="TSK37" s="2795"/>
      <c r="TSL37" s="2795"/>
      <c r="TSM37" s="2795"/>
      <c r="TSN37" s="2795"/>
      <c r="TSO37" s="2795"/>
      <c r="TSP37" s="2795"/>
      <c r="TSQ37" s="2795"/>
      <c r="TSR37" s="2795"/>
      <c r="TSS37" s="2795"/>
      <c r="TST37" s="2795"/>
      <c r="TSU37" s="2795"/>
      <c r="TSV37" s="2795"/>
      <c r="TSW37" s="2795"/>
      <c r="TSX37" s="2795"/>
      <c r="TSY37" s="2795"/>
      <c r="TSZ37" s="2795"/>
      <c r="TTA37" s="2795"/>
      <c r="TTB37" s="2795"/>
      <c r="TTC37" s="2795"/>
      <c r="TTD37" s="2795"/>
      <c r="TTE37" s="2795"/>
      <c r="TTF37" s="2795"/>
      <c r="TTG37" s="2795"/>
      <c r="TTH37" s="2795"/>
      <c r="TTI37" s="2795"/>
      <c r="TTJ37" s="2795"/>
      <c r="TTK37" s="2795"/>
      <c r="TTL37" s="2795"/>
      <c r="TTM37" s="2795"/>
      <c r="TTN37" s="2795"/>
      <c r="TTO37" s="2795"/>
      <c r="TTP37" s="2795"/>
      <c r="TTQ37" s="2795"/>
      <c r="TTR37" s="2795"/>
      <c r="TTS37" s="2795"/>
      <c r="TTT37" s="2795"/>
      <c r="TTU37" s="2795"/>
      <c r="TTV37" s="2795"/>
      <c r="TTW37" s="2795"/>
      <c r="TTX37" s="2795"/>
      <c r="TTY37" s="2795"/>
      <c r="TTZ37" s="2795"/>
      <c r="TUA37" s="2795"/>
      <c r="TUB37" s="2795"/>
      <c r="TUC37" s="2795"/>
      <c r="TUD37" s="2795"/>
      <c r="TUE37" s="2795"/>
      <c r="TUF37" s="2795"/>
      <c r="TUG37" s="2795"/>
      <c r="TUH37" s="2795"/>
      <c r="TUI37" s="2795"/>
      <c r="TUJ37" s="2795"/>
      <c r="TUK37" s="2795"/>
      <c r="TUL37" s="2795"/>
      <c r="TUM37" s="2795"/>
      <c r="TUN37" s="2795"/>
      <c r="TUO37" s="2795"/>
      <c r="TUP37" s="2795"/>
      <c r="TUQ37" s="2795"/>
      <c r="TUR37" s="2795"/>
      <c r="TUS37" s="2795"/>
      <c r="TUT37" s="2795"/>
      <c r="TUU37" s="2795"/>
      <c r="TUV37" s="2795"/>
      <c r="TUW37" s="2795"/>
      <c r="TUX37" s="2795"/>
      <c r="TUY37" s="2795"/>
      <c r="TUZ37" s="2795"/>
      <c r="TVA37" s="2795"/>
      <c r="TVB37" s="2795"/>
      <c r="TVC37" s="2795"/>
      <c r="TVD37" s="2795"/>
      <c r="TVE37" s="2795"/>
      <c r="TVF37" s="2795"/>
      <c r="TVG37" s="2795"/>
      <c r="TVH37" s="2795"/>
      <c r="TVI37" s="2795"/>
      <c r="TVJ37" s="2795"/>
      <c r="TVK37" s="2795"/>
      <c r="TVL37" s="2795"/>
      <c r="TVM37" s="2795"/>
      <c r="TVN37" s="2795"/>
      <c r="TVO37" s="2795"/>
      <c r="TVP37" s="2795"/>
      <c r="TVQ37" s="2795"/>
      <c r="TVR37" s="2795"/>
      <c r="TVS37" s="2795"/>
      <c r="TVT37" s="2795"/>
      <c r="TVU37" s="2795"/>
      <c r="TVV37" s="2795"/>
      <c r="TVW37" s="2795"/>
      <c r="TVX37" s="2795"/>
      <c r="TVY37" s="2795"/>
      <c r="TVZ37" s="2795"/>
      <c r="TWA37" s="2795"/>
      <c r="TWB37" s="2795"/>
      <c r="TWC37" s="2795"/>
      <c r="TWD37" s="2795"/>
      <c r="TWE37" s="2795"/>
      <c r="TWF37" s="2795"/>
      <c r="TWG37" s="2795"/>
      <c r="TWH37" s="2795"/>
      <c r="TWI37" s="2795"/>
      <c r="TWJ37" s="2795"/>
      <c r="TWK37" s="2795"/>
      <c r="TWL37" s="2795"/>
      <c r="TWM37" s="2795"/>
      <c r="TWN37" s="2795"/>
      <c r="TWO37" s="2795"/>
      <c r="TWP37" s="2795"/>
      <c r="TWQ37" s="2795"/>
      <c r="TWR37" s="2795"/>
      <c r="TWS37" s="2795"/>
      <c r="TWT37" s="2795"/>
      <c r="TWU37" s="2795"/>
      <c r="TWV37" s="2795"/>
      <c r="TWW37" s="2795"/>
      <c r="TWX37" s="2795"/>
      <c r="TWY37" s="2795"/>
      <c r="TWZ37" s="2795"/>
      <c r="TXA37" s="2795"/>
      <c r="TXB37" s="2795"/>
      <c r="TXC37" s="2795"/>
      <c r="TXD37" s="2795"/>
      <c r="TXE37" s="2795"/>
      <c r="TXF37" s="2795"/>
      <c r="TXG37" s="2795"/>
      <c r="TXH37" s="2795"/>
      <c r="TXI37" s="2795"/>
      <c r="TXJ37" s="2795"/>
      <c r="TXK37" s="2795"/>
      <c r="TXL37" s="2795"/>
      <c r="TXM37" s="2795"/>
      <c r="TXN37" s="2795"/>
      <c r="TXO37" s="2795"/>
      <c r="TXP37" s="2795"/>
      <c r="TXQ37" s="2795"/>
      <c r="TXR37" s="2795"/>
      <c r="TXS37" s="2795"/>
      <c r="TXT37" s="2795"/>
      <c r="TXU37" s="2795"/>
      <c r="TXV37" s="2795"/>
      <c r="TXW37" s="2795"/>
      <c r="TXX37" s="2795"/>
      <c r="TXY37" s="2795"/>
      <c r="TXZ37" s="2795"/>
      <c r="TYA37" s="2795"/>
      <c r="TYB37" s="2795"/>
      <c r="TYC37" s="2795"/>
      <c r="TYD37" s="2795"/>
      <c r="TYE37" s="2795"/>
      <c r="TYF37" s="2795"/>
      <c r="TYG37" s="2795"/>
      <c r="TYH37" s="2795"/>
      <c r="TYI37" s="2795"/>
      <c r="TYJ37" s="2795"/>
      <c r="TYK37" s="2795"/>
      <c r="TYL37" s="2795"/>
      <c r="TYM37" s="2795"/>
      <c r="TYN37" s="2795"/>
      <c r="TYO37" s="2795"/>
      <c r="TYP37" s="2795"/>
      <c r="TYQ37" s="2795"/>
      <c r="TYR37" s="2795"/>
      <c r="TYS37" s="2795"/>
      <c r="TYT37" s="2795"/>
      <c r="TYU37" s="2795"/>
      <c r="TYV37" s="2795"/>
      <c r="TYW37" s="2795"/>
      <c r="TYX37" s="2795"/>
      <c r="TYY37" s="2795"/>
      <c r="TYZ37" s="2795"/>
      <c r="TZA37" s="2795"/>
      <c r="TZB37" s="2795"/>
      <c r="TZC37" s="2795"/>
      <c r="TZD37" s="2795"/>
      <c r="TZE37" s="2795"/>
      <c r="TZF37" s="2795"/>
      <c r="TZG37" s="2795"/>
      <c r="TZH37" s="2795"/>
      <c r="TZI37" s="2795"/>
      <c r="TZJ37" s="2795"/>
      <c r="TZK37" s="2795"/>
      <c r="TZL37" s="2795"/>
      <c r="TZM37" s="2795"/>
      <c r="TZN37" s="2795"/>
      <c r="TZO37" s="2795"/>
      <c r="TZP37" s="2795"/>
      <c r="TZQ37" s="2795"/>
      <c r="TZR37" s="2795"/>
      <c r="TZS37" s="2795"/>
      <c r="TZT37" s="2795"/>
      <c r="TZU37" s="2795"/>
      <c r="TZV37" s="2795"/>
      <c r="TZW37" s="2795"/>
      <c r="TZX37" s="2795"/>
      <c r="TZY37" s="2795"/>
      <c r="TZZ37" s="2795"/>
      <c r="UAA37" s="2795"/>
      <c r="UAB37" s="2795"/>
      <c r="UAC37" s="2795"/>
      <c r="UAD37" s="2795"/>
      <c r="UAE37" s="2795"/>
      <c r="UAF37" s="2795"/>
      <c r="UAG37" s="2795"/>
      <c r="UAH37" s="2795"/>
      <c r="UAI37" s="2795"/>
      <c r="UAJ37" s="2795"/>
      <c r="UAK37" s="2795"/>
      <c r="UAL37" s="2795"/>
      <c r="UAM37" s="2795"/>
      <c r="UAN37" s="2795"/>
      <c r="UAO37" s="2795"/>
      <c r="UAP37" s="2795"/>
      <c r="UAQ37" s="2795"/>
      <c r="UAR37" s="2795"/>
      <c r="UAS37" s="2795"/>
      <c r="UAT37" s="2795"/>
      <c r="UAU37" s="2795"/>
      <c r="UAV37" s="2795"/>
      <c r="UAW37" s="2795"/>
      <c r="UAX37" s="2795"/>
      <c r="UAY37" s="2795"/>
      <c r="UAZ37" s="2795"/>
      <c r="UBA37" s="2795"/>
      <c r="UBB37" s="2795"/>
      <c r="UBC37" s="2795"/>
      <c r="UBD37" s="2795"/>
      <c r="UBE37" s="2795"/>
      <c r="UBF37" s="2795"/>
      <c r="UBG37" s="2795"/>
      <c r="UBH37" s="2795"/>
      <c r="UBI37" s="2795"/>
      <c r="UBJ37" s="2795"/>
      <c r="UBK37" s="2795"/>
      <c r="UBL37" s="2795"/>
      <c r="UBM37" s="2795"/>
      <c r="UBN37" s="2795"/>
      <c r="UBO37" s="2795"/>
      <c r="UBP37" s="2795"/>
      <c r="UBQ37" s="2795"/>
      <c r="UBR37" s="2795"/>
      <c r="UBS37" s="2795"/>
      <c r="UBT37" s="2795"/>
      <c r="UBU37" s="2795"/>
      <c r="UBV37" s="2795"/>
      <c r="UBW37" s="2795"/>
      <c r="UBX37" s="2795"/>
      <c r="UBY37" s="2795"/>
      <c r="UBZ37" s="2795"/>
      <c r="UCA37" s="2795"/>
      <c r="UCB37" s="2795"/>
      <c r="UCC37" s="2795"/>
      <c r="UCD37" s="2795"/>
      <c r="UCE37" s="2795"/>
      <c r="UCF37" s="2795"/>
      <c r="UCG37" s="2795"/>
      <c r="UCH37" s="2795"/>
      <c r="UCI37" s="2795"/>
      <c r="UCJ37" s="2795"/>
      <c r="UCK37" s="2795"/>
      <c r="UCL37" s="2795"/>
      <c r="UCM37" s="2795"/>
      <c r="UCN37" s="2795"/>
      <c r="UCO37" s="2795"/>
      <c r="UCP37" s="2795"/>
      <c r="UCQ37" s="2795"/>
      <c r="UCR37" s="2795"/>
      <c r="UCS37" s="2795"/>
      <c r="UCT37" s="2795"/>
      <c r="UCU37" s="2795"/>
      <c r="UCV37" s="2795"/>
      <c r="UCW37" s="2795"/>
      <c r="UCX37" s="2795"/>
      <c r="UCY37" s="2795"/>
      <c r="UCZ37" s="2795"/>
      <c r="UDA37" s="2795"/>
      <c r="UDB37" s="2795"/>
      <c r="UDC37" s="2795"/>
      <c r="UDD37" s="2795"/>
      <c r="UDE37" s="2795"/>
      <c r="UDF37" s="2795"/>
      <c r="UDG37" s="2795"/>
      <c r="UDH37" s="2795"/>
      <c r="UDI37" s="2795"/>
      <c r="UDJ37" s="2795"/>
      <c r="UDK37" s="2795"/>
      <c r="UDL37" s="2795"/>
      <c r="UDM37" s="2795"/>
      <c r="UDN37" s="2795"/>
      <c r="UDO37" s="2795"/>
      <c r="UDP37" s="2795"/>
      <c r="UDQ37" s="2795"/>
      <c r="UDR37" s="2795"/>
      <c r="UDS37" s="2795"/>
      <c r="UDT37" s="2795"/>
      <c r="UDU37" s="2795"/>
      <c r="UDV37" s="2795"/>
      <c r="UDW37" s="2795"/>
      <c r="UDX37" s="2795"/>
      <c r="UDY37" s="2795"/>
      <c r="UDZ37" s="2795"/>
      <c r="UEA37" s="2795"/>
      <c r="UEB37" s="2795"/>
      <c r="UEC37" s="2795"/>
      <c r="UED37" s="2795"/>
      <c r="UEE37" s="2795"/>
      <c r="UEF37" s="2795"/>
      <c r="UEG37" s="2795"/>
      <c r="UEH37" s="2795"/>
      <c r="UEI37" s="2795"/>
      <c r="UEJ37" s="2795"/>
      <c r="UEK37" s="2795"/>
      <c r="UEL37" s="2795"/>
      <c r="UEM37" s="2795"/>
      <c r="UEN37" s="2795"/>
      <c r="UEO37" s="2795"/>
      <c r="UEP37" s="2795"/>
      <c r="UEQ37" s="2795"/>
      <c r="UER37" s="2795"/>
      <c r="UES37" s="2795"/>
      <c r="UET37" s="2795"/>
      <c r="UEU37" s="2795"/>
      <c r="UEV37" s="2795"/>
      <c r="UEW37" s="2795"/>
      <c r="UEX37" s="2795"/>
      <c r="UEY37" s="2795"/>
      <c r="UEZ37" s="2795"/>
      <c r="UFA37" s="2795"/>
      <c r="UFB37" s="2795"/>
      <c r="UFC37" s="2795"/>
      <c r="UFD37" s="2795"/>
      <c r="UFE37" s="2795"/>
      <c r="UFF37" s="2795"/>
      <c r="UFG37" s="2795"/>
      <c r="UFH37" s="2795"/>
      <c r="UFI37" s="2795"/>
      <c r="UFJ37" s="2795"/>
      <c r="UFK37" s="2795"/>
      <c r="UFL37" s="2795"/>
      <c r="UFM37" s="2795"/>
      <c r="UFN37" s="2795"/>
      <c r="UFO37" s="2795"/>
      <c r="UFP37" s="2795"/>
      <c r="UFQ37" s="2795"/>
      <c r="UFR37" s="2795"/>
      <c r="UFS37" s="2795"/>
      <c r="UFT37" s="2795"/>
      <c r="UFU37" s="2795"/>
      <c r="UFV37" s="2795"/>
      <c r="UFW37" s="2795"/>
      <c r="UFX37" s="2795"/>
      <c r="UFY37" s="2795"/>
      <c r="UFZ37" s="2795"/>
      <c r="UGA37" s="2795"/>
      <c r="UGB37" s="2795"/>
      <c r="UGC37" s="2795"/>
      <c r="UGD37" s="2795"/>
      <c r="UGE37" s="2795"/>
      <c r="UGF37" s="2795"/>
      <c r="UGG37" s="2795"/>
      <c r="UGH37" s="2795"/>
      <c r="UGI37" s="2795"/>
      <c r="UGJ37" s="2795"/>
      <c r="UGK37" s="2795"/>
      <c r="UGL37" s="2795"/>
      <c r="UGM37" s="2795"/>
      <c r="UGN37" s="2795"/>
      <c r="UGO37" s="2795"/>
      <c r="UGP37" s="2795"/>
      <c r="UGQ37" s="2795"/>
      <c r="UGR37" s="2795"/>
      <c r="UGS37" s="2795"/>
      <c r="UGT37" s="2795"/>
      <c r="UGU37" s="2795"/>
      <c r="UGV37" s="2795"/>
      <c r="UGW37" s="2795"/>
      <c r="UGX37" s="2795"/>
      <c r="UGY37" s="2795"/>
      <c r="UGZ37" s="2795"/>
      <c r="UHA37" s="2795"/>
      <c r="UHB37" s="2795"/>
      <c r="UHC37" s="2795"/>
      <c r="UHD37" s="2795"/>
      <c r="UHE37" s="2795"/>
      <c r="UHF37" s="2795"/>
      <c r="UHG37" s="2795"/>
      <c r="UHH37" s="2795"/>
      <c r="UHI37" s="2795"/>
      <c r="UHJ37" s="2795"/>
      <c r="UHK37" s="2795"/>
      <c r="UHL37" s="2795"/>
      <c r="UHM37" s="2795"/>
      <c r="UHN37" s="2795"/>
      <c r="UHO37" s="2795"/>
      <c r="UHP37" s="2795"/>
      <c r="UHQ37" s="2795"/>
      <c r="UHR37" s="2795"/>
      <c r="UHS37" s="2795"/>
      <c r="UHT37" s="2795"/>
      <c r="UHU37" s="2795"/>
      <c r="UHV37" s="2795"/>
      <c r="UHW37" s="2795"/>
      <c r="UHX37" s="2795"/>
      <c r="UHY37" s="2795"/>
      <c r="UHZ37" s="2795"/>
      <c r="UIA37" s="2795"/>
      <c r="UIB37" s="2795"/>
      <c r="UIC37" s="2795"/>
      <c r="UID37" s="2795"/>
      <c r="UIE37" s="2795"/>
      <c r="UIF37" s="2795"/>
      <c r="UIG37" s="2795"/>
      <c r="UIH37" s="2795"/>
      <c r="UII37" s="2795"/>
      <c r="UIJ37" s="2795"/>
      <c r="UIK37" s="2795"/>
      <c r="UIL37" s="2795"/>
      <c r="UIM37" s="2795"/>
      <c r="UIN37" s="2795"/>
      <c r="UIO37" s="2795"/>
      <c r="UIP37" s="2795"/>
      <c r="UIQ37" s="2795"/>
      <c r="UIR37" s="2795"/>
      <c r="UIS37" s="2795"/>
      <c r="UIT37" s="2795"/>
      <c r="UIU37" s="2795"/>
      <c r="UIV37" s="2795"/>
      <c r="UIW37" s="2795"/>
      <c r="UIX37" s="2795"/>
      <c r="UIY37" s="2795"/>
      <c r="UIZ37" s="2795"/>
      <c r="UJA37" s="2795"/>
      <c r="UJB37" s="2795"/>
      <c r="UJC37" s="2795"/>
      <c r="UJD37" s="2795"/>
      <c r="UJE37" s="2795"/>
      <c r="UJF37" s="2795"/>
      <c r="UJG37" s="2795"/>
      <c r="UJH37" s="2795"/>
      <c r="UJI37" s="2795"/>
      <c r="UJJ37" s="2795"/>
      <c r="UJK37" s="2795"/>
      <c r="UJL37" s="2795"/>
      <c r="UJM37" s="2795"/>
      <c r="UJN37" s="2795"/>
      <c r="UJO37" s="2795"/>
      <c r="UJP37" s="2795"/>
      <c r="UJQ37" s="2795"/>
      <c r="UJR37" s="2795"/>
      <c r="UJS37" s="2795"/>
      <c r="UJT37" s="2795"/>
      <c r="UJU37" s="2795"/>
      <c r="UJV37" s="2795"/>
      <c r="UJW37" s="2795"/>
      <c r="UJX37" s="2795"/>
      <c r="UJY37" s="2795"/>
      <c r="UJZ37" s="2795"/>
      <c r="UKA37" s="2795"/>
      <c r="UKB37" s="2795"/>
      <c r="UKC37" s="2795"/>
      <c r="UKD37" s="2795"/>
      <c r="UKE37" s="2795"/>
      <c r="UKF37" s="2795"/>
      <c r="UKG37" s="2795"/>
      <c r="UKH37" s="2795"/>
      <c r="UKI37" s="2795"/>
      <c r="UKJ37" s="2795"/>
      <c r="UKK37" s="2795"/>
      <c r="UKL37" s="2795"/>
      <c r="UKM37" s="2795"/>
      <c r="UKN37" s="2795"/>
      <c r="UKO37" s="2795"/>
      <c r="UKP37" s="2795"/>
      <c r="UKQ37" s="2795"/>
      <c r="UKR37" s="2795"/>
      <c r="UKS37" s="2795"/>
      <c r="UKT37" s="2795"/>
      <c r="UKU37" s="2795"/>
      <c r="UKV37" s="2795"/>
      <c r="UKW37" s="2795"/>
      <c r="UKX37" s="2795"/>
      <c r="UKY37" s="2795"/>
      <c r="UKZ37" s="2795"/>
      <c r="ULA37" s="2795"/>
      <c r="ULB37" s="2795"/>
      <c r="ULC37" s="2795"/>
      <c r="ULD37" s="2795"/>
      <c r="ULE37" s="2795"/>
      <c r="ULF37" s="2795"/>
      <c r="ULG37" s="2795"/>
      <c r="ULH37" s="2795"/>
      <c r="ULI37" s="2795"/>
      <c r="ULJ37" s="2795"/>
      <c r="ULK37" s="2795"/>
      <c r="ULL37" s="2795"/>
      <c r="ULM37" s="2795"/>
      <c r="ULN37" s="2795"/>
      <c r="ULO37" s="2795"/>
      <c r="ULP37" s="2795"/>
      <c r="ULQ37" s="2795"/>
      <c r="ULR37" s="2795"/>
      <c r="ULS37" s="2795"/>
      <c r="ULT37" s="2795"/>
      <c r="ULU37" s="2795"/>
      <c r="ULV37" s="2795"/>
      <c r="ULW37" s="2795"/>
      <c r="ULX37" s="2795"/>
      <c r="ULY37" s="2795"/>
      <c r="ULZ37" s="2795"/>
      <c r="UMA37" s="2795"/>
      <c r="UMB37" s="2795"/>
      <c r="UMC37" s="2795"/>
      <c r="UMD37" s="2795"/>
      <c r="UME37" s="2795"/>
      <c r="UMF37" s="2795"/>
      <c r="UMG37" s="2795"/>
      <c r="UMH37" s="2795"/>
      <c r="UMI37" s="2795"/>
      <c r="UMJ37" s="2795"/>
      <c r="UMK37" s="2795"/>
      <c r="UML37" s="2795"/>
      <c r="UMM37" s="2795"/>
      <c r="UMN37" s="2795"/>
      <c r="UMO37" s="2795"/>
      <c r="UMP37" s="2795"/>
      <c r="UMQ37" s="2795"/>
      <c r="UMR37" s="2795"/>
      <c r="UMS37" s="2795"/>
      <c r="UMT37" s="2795"/>
      <c r="UMU37" s="2795"/>
      <c r="UMV37" s="2795"/>
      <c r="UMW37" s="2795"/>
      <c r="UMX37" s="2795"/>
      <c r="UMY37" s="2795"/>
      <c r="UMZ37" s="2795"/>
      <c r="UNA37" s="2795"/>
      <c r="UNB37" s="2795"/>
      <c r="UNC37" s="2795"/>
      <c r="UND37" s="2795"/>
      <c r="UNE37" s="2795"/>
      <c r="UNF37" s="2795"/>
      <c r="UNG37" s="2795"/>
      <c r="UNH37" s="2795"/>
      <c r="UNI37" s="2795"/>
      <c r="UNJ37" s="2795"/>
      <c r="UNK37" s="2795"/>
      <c r="UNL37" s="2795"/>
      <c r="UNM37" s="2795"/>
      <c r="UNN37" s="2795"/>
      <c r="UNO37" s="2795"/>
      <c r="UNP37" s="2795"/>
      <c r="UNQ37" s="2795"/>
      <c r="UNR37" s="2795"/>
      <c r="UNS37" s="2795"/>
      <c r="UNT37" s="2795"/>
      <c r="UNU37" s="2795"/>
      <c r="UNV37" s="2795"/>
      <c r="UNW37" s="2795"/>
      <c r="UNX37" s="2795"/>
      <c r="UNY37" s="2795"/>
      <c r="UNZ37" s="2795"/>
      <c r="UOA37" s="2795"/>
      <c r="UOB37" s="2795"/>
      <c r="UOC37" s="2795"/>
      <c r="UOD37" s="2795"/>
      <c r="UOE37" s="2795"/>
      <c r="UOF37" s="2795"/>
      <c r="UOG37" s="2795"/>
      <c r="UOH37" s="2795"/>
      <c r="UOI37" s="2795"/>
      <c r="UOJ37" s="2795"/>
      <c r="UOK37" s="2795"/>
      <c r="UOL37" s="2795"/>
      <c r="UOM37" s="2795"/>
      <c r="UON37" s="2795"/>
      <c r="UOO37" s="2795"/>
      <c r="UOP37" s="2795"/>
      <c r="UOQ37" s="2795"/>
      <c r="UOR37" s="2795"/>
      <c r="UOS37" s="2795"/>
      <c r="UOT37" s="2795"/>
      <c r="UOU37" s="2795"/>
      <c r="UOV37" s="2795"/>
      <c r="UOW37" s="2795"/>
      <c r="UOX37" s="2795"/>
      <c r="UOY37" s="2795"/>
      <c r="UOZ37" s="2795"/>
      <c r="UPA37" s="2795"/>
      <c r="UPB37" s="2795"/>
      <c r="UPC37" s="2795"/>
      <c r="UPD37" s="2795"/>
      <c r="UPE37" s="2795"/>
      <c r="UPF37" s="2795"/>
      <c r="UPG37" s="2795"/>
      <c r="UPH37" s="2795"/>
      <c r="UPI37" s="2795"/>
      <c r="UPJ37" s="2795"/>
      <c r="UPK37" s="2795"/>
      <c r="UPL37" s="2795"/>
      <c r="UPM37" s="2795"/>
      <c r="UPN37" s="2795"/>
      <c r="UPO37" s="2795"/>
      <c r="UPP37" s="2795"/>
      <c r="UPQ37" s="2795"/>
      <c r="UPR37" s="2795"/>
      <c r="UPS37" s="2795"/>
      <c r="UPT37" s="2795"/>
      <c r="UPU37" s="2795"/>
      <c r="UPV37" s="2795"/>
      <c r="UPW37" s="2795"/>
      <c r="UPX37" s="2795"/>
      <c r="UPY37" s="2795"/>
      <c r="UPZ37" s="2795"/>
      <c r="UQA37" s="2795"/>
      <c r="UQB37" s="2795"/>
      <c r="UQC37" s="2795"/>
      <c r="UQD37" s="2795"/>
      <c r="UQE37" s="2795"/>
      <c r="UQF37" s="2795"/>
      <c r="UQG37" s="2795"/>
      <c r="UQH37" s="2795"/>
      <c r="UQI37" s="2795"/>
      <c r="UQJ37" s="2795"/>
      <c r="UQK37" s="2795"/>
      <c r="UQL37" s="2795"/>
      <c r="UQM37" s="2795"/>
      <c r="UQN37" s="2795"/>
      <c r="UQO37" s="2795"/>
      <c r="UQP37" s="2795"/>
      <c r="UQQ37" s="2795"/>
      <c r="UQR37" s="2795"/>
      <c r="UQS37" s="2795"/>
      <c r="UQT37" s="2795"/>
      <c r="UQU37" s="2795"/>
      <c r="UQV37" s="2795"/>
      <c r="UQW37" s="2795"/>
      <c r="UQX37" s="2795"/>
      <c r="UQY37" s="2795"/>
      <c r="UQZ37" s="2795"/>
      <c r="URA37" s="2795"/>
      <c r="URB37" s="2795"/>
      <c r="URC37" s="2795"/>
      <c r="URD37" s="2795"/>
      <c r="URE37" s="2795"/>
      <c r="URF37" s="2795"/>
      <c r="URG37" s="2795"/>
      <c r="URH37" s="2795"/>
      <c r="URI37" s="2795"/>
      <c r="URJ37" s="2795"/>
      <c r="URK37" s="2795"/>
      <c r="URL37" s="2795"/>
      <c r="URM37" s="2795"/>
      <c r="URN37" s="2795"/>
      <c r="URO37" s="2795"/>
      <c r="URP37" s="2795"/>
      <c r="URQ37" s="2795"/>
      <c r="URR37" s="2795"/>
      <c r="URS37" s="2795"/>
      <c r="URT37" s="2795"/>
      <c r="URU37" s="2795"/>
      <c r="URV37" s="2795"/>
      <c r="URW37" s="2795"/>
      <c r="URX37" s="2795"/>
      <c r="URY37" s="2795"/>
      <c r="URZ37" s="2795"/>
      <c r="USA37" s="2795"/>
      <c r="USB37" s="2795"/>
      <c r="USC37" s="2795"/>
      <c r="USD37" s="2795"/>
      <c r="USE37" s="2795"/>
      <c r="USF37" s="2795"/>
      <c r="USG37" s="2795"/>
      <c r="USH37" s="2795"/>
      <c r="USI37" s="2795"/>
      <c r="USJ37" s="2795"/>
      <c r="USK37" s="2795"/>
      <c r="USL37" s="2795"/>
      <c r="USM37" s="2795"/>
      <c r="USN37" s="2795"/>
      <c r="USO37" s="2795"/>
      <c r="USP37" s="2795"/>
      <c r="USQ37" s="2795"/>
      <c r="USR37" s="2795"/>
      <c r="USS37" s="2795"/>
      <c r="UST37" s="2795"/>
      <c r="USU37" s="2795"/>
      <c r="USV37" s="2795"/>
      <c r="USW37" s="2795"/>
      <c r="USX37" s="2795"/>
      <c r="USY37" s="2795"/>
      <c r="USZ37" s="2795"/>
      <c r="UTA37" s="2795"/>
      <c r="UTB37" s="2795"/>
      <c r="UTC37" s="2795"/>
      <c r="UTD37" s="2795"/>
      <c r="UTE37" s="2795"/>
      <c r="UTF37" s="2795"/>
      <c r="UTG37" s="2795"/>
      <c r="UTH37" s="2795"/>
      <c r="UTI37" s="2795"/>
      <c r="UTJ37" s="2795"/>
      <c r="UTK37" s="2795"/>
      <c r="UTL37" s="2795"/>
      <c r="UTM37" s="2795"/>
      <c r="UTN37" s="2795"/>
      <c r="UTO37" s="2795"/>
      <c r="UTP37" s="2795"/>
      <c r="UTQ37" s="2795"/>
      <c r="UTR37" s="2795"/>
      <c r="UTS37" s="2795"/>
      <c r="UTT37" s="2795"/>
      <c r="UTU37" s="2795"/>
      <c r="UTV37" s="2795"/>
      <c r="UTW37" s="2795"/>
      <c r="UTX37" s="2795"/>
      <c r="UTY37" s="2795"/>
      <c r="UTZ37" s="2795"/>
      <c r="UUA37" s="2795"/>
      <c r="UUB37" s="2795"/>
      <c r="UUC37" s="2795"/>
      <c r="UUD37" s="2795"/>
      <c r="UUE37" s="2795"/>
      <c r="UUF37" s="2795"/>
      <c r="UUG37" s="2795"/>
      <c r="UUH37" s="2795"/>
      <c r="UUI37" s="2795"/>
      <c r="UUJ37" s="2795"/>
      <c r="UUK37" s="2795"/>
      <c r="UUL37" s="2795"/>
      <c r="UUM37" s="2795"/>
      <c r="UUN37" s="2795"/>
      <c r="UUO37" s="2795"/>
      <c r="UUP37" s="2795"/>
      <c r="UUQ37" s="2795"/>
      <c r="UUR37" s="2795"/>
      <c r="UUS37" s="2795"/>
      <c r="UUT37" s="2795"/>
      <c r="UUU37" s="2795"/>
      <c r="UUV37" s="2795"/>
      <c r="UUW37" s="2795"/>
      <c r="UUX37" s="2795"/>
      <c r="UUY37" s="2795"/>
      <c r="UUZ37" s="2795"/>
      <c r="UVA37" s="2795"/>
      <c r="UVB37" s="2795"/>
      <c r="UVC37" s="2795"/>
      <c r="UVD37" s="2795"/>
      <c r="UVE37" s="2795"/>
      <c r="UVF37" s="2795"/>
      <c r="UVG37" s="2795"/>
      <c r="UVH37" s="2795"/>
      <c r="UVI37" s="2795"/>
      <c r="UVJ37" s="2795"/>
      <c r="UVK37" s="2795"/>
      <c r="UVL37" s="2795"/>
      <c r="UVM37" s="2795"/>
      <c r="UVN37" s="2795"/>
      <c r="UVO37" s="2795"/>
      <c r="UVP37" s="2795"/>
      <c r="UVQ37" s="2795"/>
      <c r="UVR37" s="2795"/>
      <c r="UVS37" s="2795"/>
      <c r="UVT37" s="2795"/>
      <c r="UVU37" s="2795"/>
      <c r="UVV37" s="2795"/>
      <c r="UVW37" s="2795"/>
      <c r="UVX37" s="2795"/>
      <c r="UVY37" s="2795"/>
      <c r="UVZ37" s="2795"/>
      <c r="UWA37" s="2795"/>
      <c r="UWB37" s="2795"/>
      <c r="UWC37" s="2795"/>
      <c r="UWD37" s="2795"/>
      <c r="UWE37" s="2795"/>
      <c r="UWF37" s="2795"/>
      <c r="UWG37" s="2795"/>
      <c r="UWH37" s="2795"/>
      <c r="UWI37" s="2795"/>
      <c r="UWJ37" s="2795"/>
      <c r="UWK37" s="2795"/>
      <c r="UWL37" s="2795"/>
      <c r="UWM37" s="2795"/>
      <c r="UWN37" s="2795"/>
      <c r="UWO37" s="2795"/>
      <c r="UWP37" s="2795"/>
      <c r="UWQ37" s="2795"/>
      <c r="UWR37" s="2795"/>
      <c r="UWS37" s="2795"/>
      <c r="UWT37" s="2795"/>
      <c r="UWU37" s="2795"/>
      <c r="UWV37" s="2795"/>
      <c r="UWW37" s="2795"/>
      <c r="UWX37" s="2795"/>
      <c r="UWY37" s="2795"/>
      <c r="UWZ37" s="2795"/>
      <c r="UXA37" s="2795"/>
      <c r="UXB37" s="2795"/>
      <c r="UXC37" s="2795"/>
      <c r="UXD37" s="2795"/>
      <c r="UXE37" s="2795"/>
      <c r="UXF37" s="2795"/>
      <c r="UXG37" s="2795"/>
      <c r="UXH37" s="2795"/>
      <c r="UXI37" s="2795"/>
      <c r="UXJ37" s="2795"/>
      <c r="UXK37" s="2795"/>
      <c r="UXL37" s="2795"/>
      <c r="UXM37" s="2795"/>
      <c r="UXN37" s="2795"/>
      <c r="UXO37" s="2795"/>
      <c r="UXP37" s="2795"/>
      <c r="UXQ37" s="2795"/>
      <c r="UXR37" s="2795"/>
      <c r="UXS37" s="2795"/>
      <c r="UXT37" s="2795"/>
      <c r="UXU37" s="2795"/>
      <c r="UXV37" s="2795"/>
      <c r="UXW37" s="2795"/>
      <c r="UXX37" s="2795"/>
      <c r="UXY37" s="2795"/>
      <c r="UXZ37" s="2795"/>
      <c r="UYA37" s="2795"/>
      <c r="UYB37" s="2795"/>
      <c r="UYC37" s="2795"/>
      <c r="UYD37" s="2795"/>
      <c r="UYE37" s="2795"/>
      <c r="UYF37" s="2795"/>
      <c r="UYG37" s="2795"/>
      <c r="UYH37" s="2795"/>
      <c r="UYI37" s="2795"/>
      <c r="UYJ37" s="2795"/>
      <c r="UYK37" s="2795"/>
      <c r="UYL37" s="2795"/>
      <c r="UYM37" s="2795"/>
      <c r="UYN37" s="2795"/>
      <c r="UYO37" s="2795"/>
      <c r="UYP37" s="2795"/>
      <c r="UYQ37" s="2795"/>
      <c r="UYR37" s="2795"/>
      <c r="UYS37" s="2795"/>
      <c r="UYT37" s="2795"/>
      <c r="UYU37" s="2795"/>
      <c r="UYV37" s="2795"/>
      <c r="UYW37" s="2795"/>
      <c r="UYX37" s="2795"/>
      <c r="UYY37" s="2795"/>
      <c r="UYZ37" s="2795"/>
      <c r="UZA37" s="2795"/>
      <c r="UZB37" s="2795"/>
      <c r="UZC37" s="2795"/>
      <c r="UZD37" s="2795"/>
      <c r="UZE37" s="2795"/>
      <c r="UZF37" s="2795"/>
      <c r="UZG37" s="2795"/>
      <c r="UZH37" s="2795"/>
      <c r="UZI37" s="2795"/>
      <c r="UZJ37" s="2795"/>
      <c r="UZK37" s="2795"/>
      <c r="UZL37" s="2795"/>
      <c r="UZM37" s="2795"/>
      <c r="UZN37" s="2795"/>
      <c r="UZO37" s="2795"/>
      <c r="UZP37" s="2795"/>
      <c r="UZQ37" s="2795"/>
      <c r="UZR37" s="2795"/>
      <c r="UZS37" s="2795"/>
      <c r="UZT37" s="2795"/>
      <c r="UZU37" s="2795"/>
      <c r="UZV37" s="2795"/>
      <c r="UZW37" s="2795"/>
      <c r="UZX37" s="2795"/>
      <c r="UZY37" s="2795"/>
      <c r="UZZ37" s="2795"/>
      <c r="VAA37" s="2795"/>
      <c r="VAB37" s="2795"/>
      <c r="VAC37" s="2795"/>
      <c r="VAD37" s="2795"/>
      <c r="VAE37" s="2795"/>
      <c r="VAF37" s="2795"/>
      <c r="VAG37" s="2795"/>
      <c r="VAH37" s="2795"/>
      <c r="VAI37" s="2795"/>
      <c r="VAJ37" s="2795"/>
      <c r="VAK37" s="2795"/>
      <c r="VAL37" s="2795"/>
      <c r="VAM37" s="2795"/>
      <c r="VAN37" s="2795"/>
      <c r="VAO37" s="2795"/>
      <c r="VAP37" s="2795"/>
      <c r="VAQ37" s="2795"/>
      <c r="VAR37" s="2795"/>
      <c r="VAS37" s="2795"/>
      <c r="VAT37" s="2795"/>
      <c r="VAU37" s="2795"/>
      <c r="VAV37" s="2795"/>
      <c r="VAW37" s="2795"/>
      <c r="VAX37" s="2795"/>
      <c r="VAY37" s="2795"/>
      <c r="VAZ37" s="2795"/>
      <c r="VBA37" s="2795"/>
      <c r="VBB37" s="2795"/>
      <c r="VBC37" s="2795"/>
      <c r="VBD37" s="2795"/>
      <c r="VBE37" s="2795"/>
      <c r="VBF37" s="2795"/>
      <c r="VBG37" s="2795"/>
      <c r="VBH37" s="2795"/>
      <c r="VBI37" s="2795"/>
      <c r="VBJ37" s="2795"/>
      <c r="VBK37" s="2795"/>
      <c r="VBL37" s="2795"/>
      <c r="VBM37" s="2795"/>
      <c r="VBN37" s="2795"/>
      <c r="VBO37" s="2795"/>
      <c r="VBP37" s="2795"/>
      <c r="VBQ37" s="2795"/>
      <c r="VBR37" s="2795"/>
      <c r="VBS37" s="2795"/>
      <c r="VBT37" s="2795"/>
      <c r="VBU37" s="2795"/>
      <c r="VBV37" s="2795"/>
      <c r="VBW37" s="2795"/>
      <c r="VBX37" s="2795"/>
      <c r="VBY37" s="2795"/>
      <c r="VBZ37" s="2795"/>
      <c r="VCA37" s="2795"/>
      <c r="VCB37" s="2795"/>
      <c r="VCC37" s="2795"/>
      <c r="VCD37" s="2795"/>
      <c r="VCE37" s="2795"/>
      <c r="VCF37" s="2795"/>
      <c r="VCG37" s="2795"/>
      <c r="VCH37" s="2795"/>
      <c r="VCI37" s="2795"/>
      <c r="VCJ37" s="2795"/>
      <c r="VCK37" s="2795"/>
      <c r="VCL37" s="2795"/>
      <c r="VCM37" s="2795"/>
      <c r="VCN37" s="2795"/>
      <c r="VCO37" s="2795"/>
      <c r="VCP37" s="2795"/>
      <c r="VCQ37" s="2795"/>
      <c r="VCR37" s="2795"/>
      <c r="VCS37" s="2795"/>
      <c r="VCT37" s="2795"/>
      <c r="VCU37" s="2795"/>
      <c r="VCV37" s="2795"/>
      <c r="VCW37" s="2795"/>
      <c r="VCX37" s="2795"/>
      <c r="VCY37" s="2795"/>
      <c r="VCZ37" s="2795"/>
      <c r="VDA37" s="2795"/>
      <c r="VDB37" s="2795"/>
      <c r="VDC37" s="2795"/>
      <c r="VDD37" s="2795"/>
      <c r="VDE37" s="2795"/>
      <c r="VDF37" s="2795"/>
      <c r="VDG37" s="2795"/>
      <c r="VDH37" s="2795"/>
      <c r="VDI37" s="2795"/>
      <c r="VDJ37" s="2795"/>
      <c r="VDK37" s="2795"/>
      <c r="VDL37" s="2795"/>
      <c r="VDM37" s="2795"/>
      <c r="VDN37" s="2795"/>
      <c r="VDO37" s="2795"/>
      <c r="VDP37" s="2795"/>
      <c r="VDQ37" s="2795"/>
      <c r="VDR37" s="2795"/>
      <c r="VDS37" s="2795"/>
      <c r="VDT37" s="2795"/>
      <c r="VDU37" s="2795"/>
      <c r="VDV37" s="2795"/>
      <c r="VDW37" s="2795"/>
      <c r="VDX37" s="2795"/>
      <c r="VDY37" s="2795"/>
      <c r="VDZ37" s="2795"/>
      <c r="VEA37" s="2795"/>
      <c r="VEB37" s="2795"/>
      <c r="VEC37" s="2795"/>
      <c r="VED37" s="2795"/>
      <c r="VEE37" s="2795"/>
      <c r="VEF37" s="2795"/>
      <c r="VEG37" s="2795"/>
      <c r="VEH37" s="2795"/>
      <c r="VEI37" s="2795"/>
      <c r="VEJ37" s="2795"/>
      <c r="VEK37" s="2795"/>
      <c r="VEL37" s="2795"/>
      <c r="VEM37" s="2795"/>
      <c r="VEN37" s="2795"/>
      <c r="VEO37" s="2795"/>
      <c r="VEP37" s="2795"/>
      <c r="VEQ37" s="2795"/>
      <c r="VER37" s="2795"/>
      <c r="VES37" s="2795"/>
      <c r="VET37" s="2795"/>
      <c r="VEU37" s="2795"/>
      <c r="VEV37" s="2795"/>
      <c r="VEW37" s="2795"/>
      <c r="VEX37" s="2795"/>
      <c r="VEY37" s="2795"/>
      <c r="VEZ37" s="2795"/>
      <c r="VFA37" s="2795"/>
      <c r="VFB37" s="2795"/>
      <c r="VFC37" s="2795"/>
      <c r="VFD37" s="2795"/>
      <c r="VFE37" s="2795"/>
      <c r="VFF37" s="2795"/>
      <c r="VFG37" s="2795"/>
      <c r="VFH37" s="2795"/>
      <c r="VFI37" s="2795"/>
      <c r="VFJ37" s="2795"/>
      <c r="VFK37" s="2795"/>
      <c r="VFL37" s="2795"/>
      <c r="VFM37" s="2795"/>
      <c r="VFN37" s="2795"/>
      <c r="VFO37" s="2795"/>
      <c r="VFP37" s="2795"/>
      <c r="VFQ37" s="2795"/>
      <c r="VFR37" s="2795"/>
      <c r="VFS37" s="2795"/>
      <c r="VFT37" s="2795"/>
      <c r="VFU37" s="2795"/>
      <c r="VFV37" s="2795"/>
      <c r="VFW37" s="2795"/>
      <c r="VFX37" s="2795"/>
      <c r="VFY37" s="2795"/>
      <c r="VFZ37" s="2795"/>
      <c r="VGA37" s="2795"/>
      <c r="VGB37" s="2795"/>
      <c r="VGC37" s="2795"/>
      <c r="VGD37" s="2795"/>
      <c r="VGE37" s="2795"/>
      <c r="VGF37" s="2795"/>
      <c r="VGG37" s="2795"/>
      <c r="VGH37" s="2795"/>
      <c r="VGI37" s="2795"/>
      <c r="VGJ37" s="2795"/>
      <c r="VGK37" s="2795"/>
      <c r="VGL37" s="2795"/>
      <c r="VGM37" s="2795"/>
      <c r="VGN37" s="2795"/>
      <c r="VGO37" s="2795"/>
      <c r="VGP37" s="2795"/>
      <c r="VGQ37" s="2795"/>
      <c r="VGR37" s="2795"/>
      <c r="VGS37" s="2795"/>
      <c r="VGT37" s="2795"/>
      <c r="VGU37" s="2795"/>
      <c r="VGV37" s="2795"/>
      <c r="VGW37" s="2795"/>
      <c r="VGX37" s="2795"/>
      <c r="VGY37" s="2795"/>
      <c r="VGZ37" s="2795"/>
      <c r="VHA37" s="2795"/>
      <c r="VHB37" s="2795"/>
      <c r="VHC37" s="2795"/>
      <c r="VHD37" s="2795"/>
      <c r="VHE37" s="2795"/>
      <c r="VHF37" s="2795"/>
      <c r="VHG37" s="2795"/>
      <c r="VHH37" s="2795"/>
      <c r="VHI37" s="2795"/>
      <c r="VHJ37" s="2795"/>
      <c r="VHK37" s="2795"/>
      <c r="VHL37" s="2795"/>
      <c r="VHM37" s="2795"/>
      <c r="VHN37" s="2795"/>
      <c r="VHO37" s="2795"/>
      <c r="VHP37" s="2795"/>
      <c r="VHQ37" s="2795"/>
      <c r="VHR37" s="2795"/>
      <c r="VHS37" s="2795"/>
      <c r="VHT37" s="2795"/>
      <c r="VHU37" s="2795"/>
      <c r="VHV37" s="2795"/>
      <c r="VHW37" s="2795"/>
      <c r="VHX37" s="2795"/>
      <c r="VHY37" s="2795"/>
      <c r="VHZ37" s="2795"/>
      <c r="VIA37" s="2795"/>
      <c r="VIB37" s="2795"/>
      <c r="VIC37" s="2795"/>
      <c r="VID37" s="2795"/>
      <c r="VIE37" s="2795"/>
      <c r="VIF37" s="2795"/>
      <c r="VIG37" s="2795"/>
      <c r="VIH37" s="2795"/>
      <c r="VII37" s="2795"/>
      <c r="VIJ37" s="2795"/>
      <c r="VIK37" s="2795"/>
      <c r="VIL37" s="2795"/>
      <c r="VIM37" s="2795"/>
      <c r="VIN37" s="2795"/>
      <c r="VIO37" s="2795"/>
      <c r="VIP37" s="2795"/>
      <c r="VIQ37" s="2795"/>
      <c r="VIR37" s="2795"/>
      <c r="VIS37" s="2795"/>
      <c r="VIT37" s="2795"/>
      <c r="VIU37" s="2795"/>
      <c r="VIV37" s="2795"/>
      <c r="VIW37" s="2795"/>
      <c r="VIX37" s="2795"/>
      <c r="VIY37" s="2795"/>
      <c r="VIZ37" s="2795"/>
      <c r="VJA37" s="2795"/>
      <c r="VJB37" s="2795"/>
      <c r="VJC37" s="2795"/>
      <c r="VJD37" s="2795"/>
      <c r="VJE37" s="2795"/>
      <c r="VJF37" s="2795"/>
      <c r="VJG37" s="2795"/>
      <c r="VJH37" s="2795"/>
      <c r="VJI37" s="2795"/>
      <c r="VJJ37" s="2795"/>
      <c r="VJK37" s="2795"/>
      <c r="VJL37" s="2795"/>
      <c r="VJM37" s="2795"/>
      <c r="VJN37" s="2795"/>
      <c r="VJO37" s="2795"/>
      <c r="VJP37" s="2795"/>
      <c r="VJQ37" s="2795"/>
      <c r="VJR37" s="2795"/>
      <c r="VJS37" s="2795"/>
      <c r="VJT37" s="2795"/>
      <c r="VJU37" s="2795"/>
      <c r="VJV37" s="2795"/>
      <c r="VJW37" s="2795"/>
      <c r="VJX37" s="2795"/>
      <c r="VJY37" s="2795"/>
      <c r="VJZ37" s="2795"/>
      <c r="VKA37" s="2795"/>
      <c r="VKB37" s="2795"/>
      <c r="VKC37" s="2795"/>
      <c r="VKD37" s="2795"/>
      <c r="VKE37" s="2795"/>
      <c r="VKF37" s="2795"/>
      <c r="VKG37" s="2795"/>
      <c r="VKH37" s="2795"/>
      <c r="VKI37" s="2795"/>
      <c r="VKJ37" s="2795"/>
      <c r="VKK37" s="2795"/>
      <c r="VKL37" s="2795"/>
      <c r="VKM37" s="2795"/>
      <c r="VKN37" s="2795"/>
      <c r="VKO37" s="2795"/>
      <c r="VKP37" s="2795"/>
      <c r="VKQ37" s="2795"/>
      <c r="VKR37" s="2795"/>
      <c r="VKS37" s="2795"/>
      <c r="VKT37" s="2795"/>
      <c r="VKU37" s="2795"/>
      <c r="VKV37" s="2795"/>
      <c r="VKW37" s="2795"/>
      <c r="VKX37" s="2795"/>
      <c r="VKY37" s="2795"/>
      <c r="VKZ37" s="2795"/>
      <c r="VLA37" s="2795"/>
      <c r="VLB37" s="2795"/>
      <c r="VLC37" s="2795"/>
      <c r="VLD37" s="2795"/>
      <c r="VLE37" s="2795"/>
      <c r="VLF37" s="2795"/>
      <c r="VLG37" s="2795"/>
      <c r="VLH37" s="2795"/>
      <c r="VLI37" s="2795"/>
      <c r="VLJ37" s="2795"/>
      <c r="VLK37" s="2795"/>
      <c r="VLL37" s="2795"/>
      <c r="VLM37" s="2795"/>
      <c r="VLN37" s="2795"/>
      <c r="VLO37" s="2795"/>
      <c r="VLP37" s="2795"/>
      <c r="VLQ37" s="2795"/>
      <c r="VLR37" s="2795"/>
      <c r="VLS37" s="2795"/>
      <c r="VLT37" s="2795"/>
      <c r="VLU37" s="2795"/>
      <c r="VLV37" s="2795"/>
      <c r="VLW37" s="2795"/>
      <c r="VLX37" s="2795"/>
      <c r="VLY37" s="2795"/>
      <c r="VLZ37" s="2795"/>
      <c r="VMA37" s="2795"/>
      <c r="VMB37" s="2795"/>
      <c r="VMC37" s="2795"/>
      <c r="VMD37" s="2795"/>
      <c r="VME37" s="2795"/>
      <c r="VMF37" s="2795"/>
      <c r="VMG37" s="2795"/>
      <c r="VMH37" s="2795"/>
      <c r="VMI37" s="2795"/>
      <c r="VMJ37" s="2795"/>
      <c r="VMK37" s="2795"/>
      <c r="VML37" s="2795"/>
      <c r="VMM37" s="2795"/>
      <c r="VMN37" s="2795"/>
      <c r="VMO37" s="2795"/>
      <c r="VMP37" s="2795"/>
      <c r="VMQ37" s="2795"/>
      <c r="VMR37" s="2795"/>
      <c r="VMS37" s="2795"/>
      <c r="VMT37" s="2795"/>
      <c r="VMU37" s="2795"/>
      <c r="VMV37" s="2795"/>
      <c r="VMW37" s="2795"/>
      <c r="VMX37" s="2795"/>
      <c r="VMY37" s="2795"/>
      <c r="VMZ37" s="2795"/>
      <c r="VNA37" s="2795"/>
      <c r="VNB37" s="2795"/>
      <c r="VNC37" s="2795"/>
      <c r="VND37" s="2795"/>
      <c r="VNE37" s="2795"/>
      <c r="VNF37" s="2795"/>
      <c r="VNG37" s="2795"/>
      <c r="VNH37" s="2795"/>
      <c r="VNI37" s="2795"/>
      <c r="VNJ37" s="2795"/>
      <c r="VNK37" s="2795"/>
      <c r="VNL37" s="2795"/>
      <c r="VNM37" s="2795"/>
      <c r="VNN37" s="2795"/>
      <c r="VNO37" s="2795"/>
      <c r="VNP37" s="2795"/>
      <c r="VNQ37" s="2795"/>
      <c r="VNR37" s="2795"/>
      <c r="VNS37" s="2795"/>
      <c r="VNT37" s="2795"/>
      <c r="VNU37" s="2795"/>
      <c r="VNV37" s="2795"/>
      <c r="VNW37" s="2795"/>
      <c r="VNX37" s="2795"/>
      <c r="VNY37" s="2795"/>
      <c r="VNZ37" s="2795"/>
      <c r="VOA37" s="2795"/>
      <c r="VOB37" s="2795"/>
      <c r="VOC37" s="2795"/>
      <c r="VOD37" s="2795"/>
      <c r="VOE37" s="2795"/>
      <c r="VOF37" s="2795"/>
      <c r="VOG37" s="2795"/>
      <c r="VOH37" s="2795"/>
      <c r="VOI37" s="2795"/>
      <c r="VOJ37" s="2795"/>
      <c r="VOK37" s="2795"/>
      <c r="VOL37" s="2795"/>
      <c r="VOM37" s="2795"/>
      <c r="VON37" s="2795"/>
      <c r="VOO37" s="2795"/>
      <c r="VOP37" s="2795"/>
      <c r="VOQ37" s="2795"/>
      <c r="VOR37" s="2795"/>
      <c r="VOS37" s="2795"/>
      <c r="VOT37" s="2795"/>
      <c r="VOU37" s="2795"/>
      <c r="VOV37" s="2795"/>
      <c r="VOW37" s="2795"/>
      <c r="VOX37" s="2795"/>
      <c r="VOY37" s="2795"/>
      <c r="VOZ37" s="2795"/>
      <c r="VPA37" s="2795"/>
      <c r="VPB37" s="2795"/>
      <c r="VPC37" s="2795"/>
      <c r="VPD37" s="2795"/>
      <c r="VPE37" s="2795"/>
      <c r="VPF37" s="2795"/>
      <c r="VPG37" s="2795"/>
      <c r="VPH37" s="2795"/>
      <c r="VPI37" s="2795"/>
      <c r="VPJ37" s="2795"/>
      <c r="VPK37" s="2795"/>
      <c r="VPL37" s="2795"/>
      <c r="VPM37" s="2795"/>
      <c r="VPN37" s="2795"/>
      <c r="VPO37" s="2795"/>
      <c r="VPP37" s="2795"/>
      <c r="VPQ37" s="2795"/>
      <c r="VPR37" s="2795"/>
      <c r="VPS37" s="2795"/>
      <c r="VPT37" s="2795"/>
      <c r="VPU37" s="2795"/>
      <c r="VPV37" s="2795"/>
      <c r="VPW37" s="2795"/>
      <c r="VPX37" s="2795"/>
      <c r="VPY37" s="2795"/>
      <c r="VPZ37" s="2795"/>
      <c r="VQA37" s="2795"/>
      <c r="VQB37" s="2795"/>
      <c r="VQC37" s="2795"/>
      <c r="VQD37" s="2795"/>
      <c r="VQE37" s="2795"/>
      <c r="VQF37" s="2795"/>
      <c r="VQG37" s="2795"/>
      <c r="VQH37" s="2795"/>
      <c r="VQI37" s="2795"/>
      <c r="VQJ37" s="2795"/>
      <c r="VQK37" s="2795"/>
      <c r="VQL37" s="2795"/>
      <c r="VQM37" s="2795"/>
      <c r="VQN37" s="2795"/>
      <c r="VQO37" s="2795"/>
      <c r="VQP37" s="2795"/>
      <c r="VQQ37" s="2795"/>
      <c r="VQR37" s="2795"/>
      <c r="VQS37" s="2795"/>
      <c r="VQT37" s="2795"/>
      <c r="VQU37" s="2795"/>
      <c r="VQV37" s="2795"/>
      <c r="VQW37" s="2795"/>
      <c r="VQX37" s="2795"/>
      <c r="VQY37" s="2795"/>
      <c r="VQZ37" s="2795"/>
      <c r="VRA37" s="2795"/>
      <c r="VRB37" s="2795"/>
      <c r="VRC37" s="2795"/>
      <c r="VRD37" s="2795"/>
      <c r="VRE37" s="2795"/>
      <c r="VRF37" s="2795"/>
      <c r="VRG37" s="2795"/>
      <c r="VRH37" s="2795"/>
      <c r="VRI37" s="2795"/>
      <c r="VRJ37" s="2795"/>
      <c r="VRK37" s="2795"/>
      <c r="VRL37" s="2795"/>
      <c r="VRM37" s="2795"/>
      <c r="VRN37" s="2795"/>
      <c r="VRO37" s="2795"/>
      <c r="VRP37" s="2795"/>
      <c r="VRQ37" s="2795"/>
      <c r="VRR37" s="2795"/>
      <c r="VRS37" s="2795"/>
      <c r="VRT37" s="2795"/>
      <c r="VRU37" s="2795"/>
      <c r="VRV37" s="2795"/>
      <c r="VRW37" s="2795"/>
      <c r="VRX37" s="2795"/>
      <c r="VRY37" s="2795"/>
      <c r="VRZ37" s="2795"/>
      <c r="VSA37" s="2795"/>
      <c r="VSB37" s="2795"/>
      <c r="VSC37" s="2795"/>
      <c r="VSD37" s="2795"/>
      <c r="VSE37" s="2795"/>
      <c r="VSF37" s="2795"/>
      <c r="VSG37" s="2795"/>
      <c r="VSH37" s="2795"/>
      <c r="VSI37" s="2795"/>
      <c r="VSJ37" s="2795"/>
      <c r="VSK37" s="2795"/>
      <c r="VSL37" s="2795"/>
      <c r="VSM37" s="2795"/>
      <c r="VSN37" s="2795"/>
      <c r="VSO37" s="2795"/>
      <c r="VSP37" s="2795"/>
      <c r="VSQ37" s="2795"/>
      <c r="VSR37" s="2795"/>
      <c r="VSS37" s="2795"/>
      <c r="VST37" s="2795"/>
      <c r="VSU37" s="2795"/>
      <c r="VSV37" s="2795"/>
      <c r="VSW37" s="2795"/>
      <c r="VSX37" s="2795"/>
      <c r="VSY37" s="2795"/>
      <c r="VSZ37" s="2795"/>
      <c r="VTA37" s="2795"/>
      <c r="VTB37" s="2795"/>
      <c r="VTC37" s="2795"/>
      <c r="VTD37" s="2795"/>
      <c r="VTE37" s="2795"/>
      <c r="VTF37" s="2795"/>
      <c r="VTG37" s="2795"/>
      <c r="VTH37" s="2795"/>
      <c r="VTI37" s="2795"/>
      <c r="VTJ37" s="2795"/>
      <c r="VTK37" s="2795"/>
      <c r="VTL37" s="2795"/>
      <c r="VTM37" s="2795"/>
      <c r="VTN37" s="2795"/>
      <c r="VTO37" s="2795"/>
      <c r="VTP37" s="2795"/>
      <c r="VTQ37" s="2795"/>
      <c r="VTR37" s="2795"/>
      <c r="VTS37" s="2795"/>
      <c r="VTT37" s="2795"/>
      <c r="VTU37" s="2795"/>
      <c r="VTV37" s="2795"/>
      <c r="VTW37" s="2795"/>
      <c r="VTX37" s="2795"/>
      <c r="VTY37" s="2795"/>
      <c r="VTZ37" s="2795"/>
      <c r="VUA37" s="2795"/>
      <c r="VUB37" s="2795"/>
      <c r="VUC37" s="2795"/>
      <c r="VUD37" s="2795"/>
      <c r="VUE37" s="2795"/>
      <c r="VUF37" s="2795"/>
      <c r="VUG37" s="2795"/>
      <c r="VUH37" s="2795"/>
      <c r="VUI37" s="2795"/>
      <c r="VUJ37" s="2795"/>
      <c r="VUK37" s="2795"/>
      <c r="VUL37" s="2795"/>
      <c r="VUM37" s="2795"/>
      <c r="VUN37" s="2795"/>
      <c r="VUO37" s="2795"/>
      <c r="VUP37" s="2795"/>
      <c r="VUQ37" s="2795"/>
      <c r="VUR37" s="2795"/>
      <c r="VUS37" s="2795"/>
      <c r="VUT37" s="2795"/>
      <c r="VUU37" s="2795"/>
      <c r="VUV37" s="2795"/>
      <c r="VUW37" s="2795"/>
      <c r="VUX37" s="2795"/>
      <c r="VUY37" s="2795"/>
      <c r="VUZ37" s="2795"/>
      <c r="VVA37" s="2795"/>
      <c r="VVB37" s="2795"/>
      <c r="VVC37" s="2795"/>
      <c r="VVD37" s="2795"/>
      <c r="VVE37" s="2795"/>
      <c r="VVF37" s="2795"/>
      <c r="VVG37" s="2795"/>
      <c r="VVH37" s="2795"/>
      <c r="VVI37" s="2795"/>
      <c r="VVJ37" s="2795"/>
      <c r="VVK37" s="2795"/>
      <c r="VVL37" s="2795"/>
      <c r="VVM37" s="2795"/>
      <c r="VVN37" s="2795"/>
      <c r="VVO37" s="2795"/>
      <c r="VVP37" s="2795"/>
      <c r="VVQ37" s="2795"/>
      <c r="VVR37" s="2795"/>
      <c r="VVS37" s="2795"/>
      <c r="VVT37" s="2795"/>
      <c r="VVU37" s="2795"/>
      <c r="VVV37" s="2795"/>
      <c r="VVW37" s="2795"/>
      <c r="VVX37" s="2795"/>
      <c r="VVY37" s="2795"/>
      <c r="VVZ37" s="2795"/>
      <c r="VWA37" s="2795"/>
      <c r="VWB37" s="2795"/>
      <c r="VWC37" s="2795"/>
      <c r="VWD37" s="2795"/>
      <c r="VWE37" s="2795"/>
      <c r="VWF37" s="2795"/>
      <c r="VWG37" s="2795"/>
      <c r="VWH37" s="2795"/>
      <c r="VWI37" s="2795"/>
      <c r="VWJ37" s="2795"/>
      <c r="VWK37" s="2795"/>
      <c r="VWL37" s="2795"/>
      <c r="VWM37" s="2795"/>
      <c r="VWN37" s="2795"/>
      <c r="VWO37" s="2795"/>
      <c r="VWP37" s="2795"/>
      <c r="VWQ37" s="2795"/>
      <c r="VWR37" s="2795"/>
      <c r="VWS37" s="2795"/>
      <c r="VWT37" s="2795"/>
      <c r="VWU37" s="2795"/>
      <c r="VWV37" s="2795"/>
      <c r="VWW37" s="2795"/>
      <c r="VWX37" s="2795"/>
      <c r="VWY37" s="2795"/>
      <c r="VWZ37" s="2795"/>
      <c r="VXA37" s="2795"/>
      <c r="VXB37" s="2795"/>
      <c r="VXC37" s="2795"/>
      <c r="VXD37" s="2795"/>
      <c r="VXE37" s="2795"/>
      <c r="VXF37" s="2795"/>
      <c r="VXG37" s="2795"/>
      <c r="VXH37" s="2795"/>
      <c r="VXI37" s="2795"/>
      <c r="VXJ37" s="2795"/>
      <c r="VXK37" s="2795"/>
      <c r="VXL37" s="2795"/>
      <c r="VXM37" s="2795"/>
      <c r="VXN37" s="2795"/>
      <c r="VXO37" s="2795"/>
      <c r="VXP37" s="2795"/>
      <c r="VXQ37" s="2795"/>
      <c r="VXR37" s="2795"/>
      <c r="VXS37" s="2795"/>
      <c r="VXT37" s="2795"/>
      <c r="VXU37" s="2795"/>
      <c r="VXV37" s="2795"/>
      <c r="VXW37" s="2795"/>
      <c r="VXX37" s="2795"/>
      <c r="VXY37" s="2795"/>
      <c r="VXZ37" s="2795"/>
      <c r="VYA37" s="2795"/>
      <c r="VYB37" s="2795"/>
      <c r="VYC37" s="2795"/>
      <c r="VYD37" s="2795"/>
      <c r="VYE37" s="2795"/>
      <c r="VYF37" s="2795"/>
      <c r="VYG37" s="2795"/>
      <c r="VYH37" s="2795"/>
      <c r="VYI37" s="2795"/>
      <c r="VYJ37" s="2795"/>
      <c r="VYK37" s="2795"/>
      <c r="VYL37" s="2795"/>
      <c r="VYM37" s="2795"/>
      <c r="VYN37" s="2795"/>
      <c r="VYO37" s="2795"/>
      <c r="VYP37" s="2795"/>
      <c r="VYQ37" s="2795"/>
      <c r="VYR37" s="2795"/>
      <c r="VYS37" s="2795"/>
      <c r="VYT37" s="2795"/>
      <c r="VYU37" s="2795"/>
      <c r="VYV37" s="2795"/>
      <c r="VYW37" s="2795"/>
      <c r="VYX37" s="2795"/>
      <c r="VYY37" s="2795"/>
      <c r="VYZ37" s="2795"/>
      <c r="VZA37" s="2795"/>
      <c r="VZB37" s="2795"/>
      <c r="VZC37" s="2795"/>
      <c r="VZD37" s="2795"/>
      <c r="VZE37" s="2795"/>
      <c r="VZF37" s="2795"/>
      <c r="VZG37" s="2795"/>
      <c r="VZH37" s="2795"/>
      <c r="VZI37" s="2795"/>
      <c r="VZJ37" s="2795"/>
      <c r="VZK37" s="2795"/>
      <c r="VZL37" s="2795"/>
      <c r="VZM37" s="2795"/>
      <c r="VZN37" s="2795"/>
      <c r="VZO37" s="2795"/>
      <c r="VZP37" s="2795"/>
      <c r="VZQ37" s="2795"/>
      <c r="VZR37" s="2795"/>
      <c r="VZS37" s="2795"/>
      <c r="VZT37" s="2795"/>
      <c r="VZU37" s="2795"/>
      <c r="VZV37" s="2795"/>
      <c r="VZW37" s="2795"/>
      <c r="VZX37" s="2795"/>
      <c r="VZY37" s="2795"/>
      <c r="VZZ37" s="2795"/>
      <c r="WAA37" s="2795"/>
      <c r="WAB37" s="2795"/>
      <c r="WAC37" s="2795"/>
      <c r="WAD37" s="2795"/>
      <c r="WAE37" s="2795"/>
      <c r="WAF37" s="2795"/>
      <c r="WAG37" s="2795"/>
      <c r="WAH37" s="2795"/>
      <c r="WAI37" s="2795"/>
      <c r="WAJ37" s="2795"/>
      <c r="WAK37" s="2795"/>
      <c r="WAL37" s="2795"/>
      <c r="WAM37" s="2795"/>
      <c r="WAN37" s="2795"/>
      <c r="WAO37" s="2795"/>
      <c r="WAP37" s="2795"/>
      <c r="WAQ37" s="2795"/>
      <c r="WAR37" s="2795"/>
      <c r="WAS37" s="2795"/>
      <c r="WAT37" s="2795"/>
      <c r="WAU37" s="2795"/>
      <c r="WAV37" s="2795"/>
      <c r="WAW37" s="2795"/>
      <c r="WAX37" s="2795"/>
      <c r="WAY37" s="2795"/>
      <c r="WAZ37" s="2795"/>
      <c r="WBA37" s="2795"/>
      <c r="WBB37" s="2795"/>
      <c r="WBC37" s="2795"/>
      <c r="WBD37" s="2795"/>
      <c r="WBE37" s="2795"/>
      <c r="WBF37" s="2795"/>
      <c r="WBG37" s="2795"/>
      <c r="WBH37" s="2795"/>
      <c r="WBI37" s="2795"/>
      <c r="WBJ37" s="2795"/>
      <c r="WBK37" s="2795"/>
      <c r="WBL37" s="2795"/>
      <c r="WBM37" s="2795"/>
      <c r="WBN37" s="2795"/>
      <c r="WBO37" s="2795"/>
      <c r="WBP37" s="2795"/>
      <c r="WBQ37" s="2795"/>
      <c r="WBR37" s="2795"/>
      <c r="WBS37" s="2795"/>
      <c r="WBT37" s="2795"/>
      <c r="WBU37" s="2795"/>
      <c r="WBV37" s="2795"/>
      <c r="WBW37" s="2795"/>
      <c r="WBX37" s="2795"/>
      <c r="WBY37" s="2795"/>
      <c r="WBZ37" s="2795"/>
      <c r="WCA37" s="2795"/>
      <c r="WCB37" s="2795"/>
      <c r="WCC37" s="2795"/>
      <c r="WCD37" s="2795"/>
      <c r="WCE37" s="2795"/>
      <c r="WCF37" s="2795"/>
      <c r="WCG37" s="2795"/>
      <c r="WCH37" s="2795"/>
      <c r="WCI37" s="2795"/>
      <c r="WCJ37" s="2795"/>
      <c r="WCK37" s="2795"/>
      <c r="WCL37" s="2795"/>
      <c r="WCM37" s="2795"/>
      <c r="WCN37" s="2795"/>
      <c r="WCO37" s="2795"/>
      <c r="WCP37" s="2795"/>
      <c r="WCQ37" s="2795"/>
      <c r="WCR37" s="2795"/>
      <c r="WCS37" s="2795"/>
      <c r="WCT37" s="2795"/>
      <c r="WCU37" s="2795"/>
      <c r="WCV37" s="2795"/>
      <c r="WCW37" s="2795"/>
      <c r="WCX37" s="2795"/>
      <c r="WCY37" s="2795"/>
      <c r="WCZ37" s="2795"/>
      <c r="WDA37" s="2795"/>
      <c r="WDB37" s="2795"/>
      <c r="WDC37" s="2795"/>
      <c r="WDD37" s="2795"/>
      <c r="WDE37" s="2795"/>
      <c r="WDF37" s="2795"/>
      <c r="WDG37" s="2795"/>
      <c r="WDH37" s="2795"/>
      <c r="WDI37" s="2795"/>
      <c r="WDJ37" s="2795"/>
      <c r="WDK37" s="2795"/>
      <c r="WDL37" s="2795"/>
      <c r="WDM37" s="2795"/>
      <c r="WDN37" s="2795"/>
      <c r="WDO37" s="2795"/>
      <c r="WDP37" s="2795"/>
      <c r="WDQ37" s="2795"/>
      <c r="WDR37" s="2795"/>
      <c r="WDS37" s="2795"/>
      <c r="WDT37" s="2795"/>
      <c r="WDU37" s="2795"/>
      <c r="WDV37" s="2795"/>
      <c r="WDW37" s="2795"/>
      <c r="WDX37" s="2795"/>
      <c r="WDY37" s="2795"/>
      <c r="WDZ37" s="2795"/>
      <c r="WEA37" s="2795"/>
      <c r="WEB37" s="2795"/>
      <c r="WEC37" s="2795"/>
      <c r="WED37" s="2795"/>
      <c r="WEE37" s="2795"/>
      <c r="WEF37" s="2795"/>
      <c r="WEG37" s="2795"/>
      <c r="WEH37" s="2795"/>
      <c r="WEI37" s="2795"/>
      <c r="WEJ37" s="2795"/>
      <c r="WEK37" s="2795"/>
      <c r="WEL37" s="2795"/>
      <c r="WEM37" s="2795"/>
      <c r="WEN37" s="2795"/>
      <c r="WEO37" s="2795"/>
      <c r="WEP37" s="2795"/>
      <c r="WEQ37" s="2795"/>
      <c r="WER37" s="2795"/>
      <c r="WES37" s="2795"/>
      <c r="WET37" s="2795"/>
      <c r="WEU37" s="2795"/>
      <c r="WEV37" s="2795"/>
      <c r="WEW37" s="2795"/>
      <c r="WEX37" s="2795"/>
      <c r="WEY37" s="2795"/>
      <c r="WEZ37" s="2795"/>
      <c r="WFA37" s="2795"/>
      <c r="WFB37" s="2795"/>
      <c r="WFC37" s="2795"/>
      <c r="WFD37" s="2795"/>
      <c r="WFE37" s="2795"/>
      <c r="WFF37" s="2795"/>
      <c r="WFG37" s="2795"/>
      <c r="WFH37" s="2795"/>
      <c r="WFI37" s="2795"/>
      <c r="WFJ37" s="2795"/>
      <c r="WFK37" s="2795"/>
      <c r="WFL37" s="2795"/>
      <c r="WFM37" s="2795"/>
      <c r="WFN37" s="2795"/>
      <c r="WFO37" s="2795"/>
      <c r="WFP37" s="2795"/>
      <c r="WFQ37" s="2795"/>
      <c r="WFR37" s="2795"/>
      <c r="WFS37" s="2795"/>
      <c r="WFT37" s="2795"/>
      <c r="WFU37" s="2795"/>
      <c r="WFV37" s="2795"/>
      <c r="WFW37" s="2795"/>
      <c r="WFX37" s="2795"/>
      <c r="WFY37" s="2795"/>
      <c r="WFZ37" s="2795"/>
      <c r="WGA37" s="2795"/>
      <c r="WGB37" s="2795"/>
      <c r="WGC37" s="2795"/>
      <c r="WGD37" s="2795"/>
      <c r="WGE37" s="2795"/>
      <c r="WGF37" s="2795"/>
      <c r="WGG37" s="2795"/>
      <c r="WGH37" s="2795"/>
      <c r="WGI37" s="2795"/>
      <c r="WGJ37" s="2795"/>
      <c r="WGK37" s="2795"/>
      <c r="WGL37" s="2795"/>
      <c r="WGM37" s="2795"/>
      <c r="WGN37" s="2795"/>
      <c r="WGO37" s="2795"/>
      <c r="WGP37" s="2795"/>
      <c r="WGQ37" s="2795"/>
      <c r="WGR37" s="2795"/>
      <c r="WGS37" s="2795"/>
      <c r="WGT37" s="2795"/>
      <c r="WGU37" s="2795"/>
      <c r="WGV37" s="2795"/>
      <c r="WGW37" s="2795"/>
      <c r="WGX37" s="2795"/>
      <c r="WGY37" s="2795"/>
      <c r="WGZ37" s="2795"/>
      <c r="WHA37" s="2795"/>
      <c r="WHB37" s="2795"/>
      <c r="WHC37" s="2795"/>
      <c r="WHD37" s="2795"/>
      <c r="WHE37" s="2795"/>
      <c r="WHF37" s="2795"/>
      <c r="WHG37" s="2795"/>
      <c r="WHH37" s="2795"/>
      <c r="WHI37" s="2795"/>
      <c r="WHJ37" s="2795"/>
      <c r="WHK37" s="2795"/>
      <c r="WHL37" s="2795"/>
      <c r="WHM37" s="2795"/>
      <c r="WHN37" s="2795"/>
      <c r="WHO37" s="2795"/>
      <c r="WHP37" s="2795"/>
      <c r="WHQ37" s="2795"/>
      <c r="WHR37" s="2795"/>
      <c r="WHS37" s="2795"/>
      <c r="WHT37" s="2795"/>
      <c r="WHU37" s="2795"/>
      <c r="WHV37" s="2795"/>
      <c r="WHW37" s="2795"/>
      <c r="WHX37" s="2795"/>
      <c r="WHY37" s="2795"/>
      <c r="WHZ37" s="2795"/>
      <c r="WIA37" s="2795"/>
      <c r="WIB37" s="2795"/>
      <c r="WIC37" s="2795"/>
      <c r="WID37" s="2795"/>
      <c r="WIE37" s="2795"/>
      <c r="WIF37" s="2795"/>
      <c r="WIG37" s="2795"/>
      <c r="WIH37" s="2795"/>
      <c r="WII37" s="2795"/>
      <c r="WIJ37" s="2795"/>
      <c r="WIK37" s="2795"/>
      <c r="WIL37" s="2795"/>
      <c r="WIM37" s="2795"/>
      <c r="WIN37" s="2795"/>
      <c r="WIO37" s="2795"/>
      <c r="WIP37" s="2795"/>
      <c r="WIQ37" s="2795"/>
      <c r="WIR37" s="2795"/>
      <c r="WIS37" s="2795"/>
      <c r="WIT37" s="2795"/>
      <c r="WIU37" s="2795"/>
      <c r="WIV37" s="2795"/>
      <c r="WIW37" s="2795"/>
      <c r="WIX37" s="2795"/>
      <c r="WIY37" s="2795"/>
      <c r="WIZ37" s="2795"/>
      <c r="WJA37" s="2795"/>
      <c r="WJB37" s="2795"/>
      <c r="WJC37" s="2795"/>
      <c r="WJD37" s="2795"/>
      <c r="WJE37" s="2795"/>
      <c r="WJF37" s="2795"/>
      <c r="WJG37" s="2795"/>
      <c r="WJH37" s="2795"/>
      <c r="WJI37" s="2795"/>
      <c r="WJJ37" s="2795"/>
      <c r="WJK37" s="2795"/>
      <c r="WJL37" s="2795"/>
      <c r="WJM37" s="2795"/>
      <c r="WJN37" s="2795"/>
      <c r="WJO37" s="2795"/>
      <c r="WJP37" s="2795"/>
      <c r="WJQ37" s="2795"/>
      <c r="WJR37" s="2795"/>
      <c r="WJS37" s="2795"/>
      <c r="WJT37" s="2795"/>
      <c r="WJU37" s="2795"/>
      <c r="WJV37" s="2795"/>
      <c r="WJW37" s="2795"/>
      <c r="WJX37" s="2795"/>
      <c r="WJY37" s="2795"/>
      <c r="WJZ37" s="2795"/>
      <c r="WKA37" s="2795"/>
      <c r="WKB37" s="2795"/>
      <c r="WKC37" s="2795"/>
      <c r="WKD37" s="2795"/>
      <c r="WKE37" s="2795"/>
      <c r="WKF37" s="2795"/>
      <c r="WKG37" s="2795"/>
      <c r="WKH37" s="2795"/>
      <c r="WKI37" s="2795"/>
      <c r="WKJ37" s="2795"/>
      <c r="WKK37" s="2795"/>
      <c r="WKL37" s="2795"/>
      <c r="WKM37" s="2795"/>
      <c r="WKN37" s="2795"/>
      <c r="WKO37" s="2795"/>
      <c r="WKP37" s="2795"/>
      <c r="WKQ37" s="2795"/>
      <c r="WKR37" s="2795"/>
      <c r="WKS37" s="2795"/>
      <c r="WKT37" s="2795"/>
      <c r="WKU37" s="2795"/>
      <c r="WKV37" s="2795"/>
      <c r="WKW37" s="2795"/>
      <c r="WKX37" s="2795"/>
      <c r="WKY37" s="2795"/>
      <c r="WKZ37" s="2795"/>
      <c r="WLA37" s="2795"/>
      <c r="WLB37" s="2795"/>
      <c r="WLC37" s="2795"/>
      <c r="WLD37" s="2795"/>
      <c r="WLE37" s="2795"/>
      <c r="WLF37" s="2795"/>
      <c r="WLG37" s="2795"/>
      <c r="WLH37" s="2795"/>
      <c r="WLI37" s="2795"/>
      <c r="WLJ37" s="2795"/>
      <c r="WLK37" s="2795"/>
      <c r="WLL37" s="2795"/>
      <c r="WLM37" s="2795"/>
      <c r="WLN37" s="2795"/>
      <c r="WLO37" s="2795"/>
      <c r="WLP37" s="2795"/>
      <c r="WLQ37" s="2795"/>
      <c r="WLR37" s="2795"/>
      <c r="WLS37" s="2795"/>
      <c r="WLT37" s="2795"/>
      <c r="WLU37" s="2795"/>
      <c r="WLV37" s="2795"/>
      <c r="WLW37" s="2795"/>
      <c r="WLX37" s="2795"/>
      <c r="WLY37" s="2795"/>
      <c r="WLZ37" s="2795"/>
      <c r="WMA37" s="2795"/>
      <c r="WMB37" s="2795"/>
      <c r="WMC37" s="2795"/>
      <c r="WMD37" s="2795"/>
      <c r="WME37" s="2795"/>
      <c r="WMF37" s="2795"/>
      <c r="WMG37" s="2795"/>
      <c r="WMH37" s="2795"/>
      <c r="WMI37" s="2795"/>
      <c r="WMJ37" s="2795"/>
      <c r="WMK37" s="2795"/>
      <c r="WML37" s="2795"/>
      <c r="WMM37" s="2795"/>
      <c r="WMN37" s="2795"/>
      <c r="WMO37" s="2795"/>
      <c r="WMP37" s="2795"/>
      <c r="WMQ37" s="2795"/>
      <c r="WMR37" s="2795"/>
      <c r="WMS37" s="2795"/>
      <c r="WMT37" s="2795"/>
      <c r="WMU37" s="2795"/>
      <c r="WMV37" s="2795"/>
      <c r="WMW37" s="2795"/>
      <c r="WMX37" s="2795"/>
      <c r="WMY37" s="2795"/>
      <c r="WMZ37" s="2795"/>
      <c r="WNA37" s="2795"/>
      <c r="WNB37" s="2795"/>
      <c r="WNC37" s="2795"/>
      <c r="WND37" s="2795"/>
      <c r="WNE37" s="2795"/>
      <c r="WNF37" s="2795"/>
      <c r="WNG37" s="2795"/>
      <c r="WNH37" s="2795"/>
      <c r="WNI37" s="2795"/>
      <c r="WNJ37" s="2795"/>
      <c r="WNK37" s="2795"/>
      <c r="WNL37" s="2795"/>
      <c r="WNM37" s="2795"/>
      <c r="WNN37" s="2795"/>
      <c r="WNO37" s="2795"/>
      <c r="WNP37" s="2795"/>
      <c r="WNQ37" s="2795"/>
      <c r="WNR37" s="2795"/>
      <c r="WNS37" s="2795"/>
      <c r="WNT37" s="2795"/>
      <c r="WNU37" s="2795"/>
      <c r="WNV37" s="2795"/>
      <c r="WNW37" s="2795"/>
      <c r="WNX37" s="2795"/>
      <c r="WNY37" s="2795"/>
      <c r="WNZ37" s="2795"/>
      <c r="WOA37" s="2795"/>
      <c r="WOB37" s="2795"/>
      <c r="WOC37" s="2795"/>
      <c r="WOD37" s="2795"/>
      <c r="WOE37" s="2795"/>
      <c r="WOF37" s="2795"/>
      <c r="WOG37" s="2795"/>
      <c r="WOH37" s="2795"/>
      <c r="WOI37" s="2795"/>
      <c r="WOJ37" s="2795"/>
      <c r="WOK37" s="2795"/>
      <c r="WOL37" s="2795"/>
      <c r="WOM37" s="2795"/>
      <c r="WON37" s="2795"/>
      <c r="WOO37" s="2795"/>
      <c r="WOP37" s="2795"/>
      <c r="WOQ37" s="2795"/>
      <c r="WOR37" s="2795"/>
      <c r="WOS37" s="2795"/>
      <c r="WOT37" s="2795"/>
      <c r="WOU37" s="2795"/>
      <c r="WOV37" s="2795"/>
      <c r="WOW37" s="2795"/>
      <c r="WOX37" s="2795"/>
      <c r="WOY37" s="2795"/>
      <c r="WOZ37" s="2795"/>
      <c r="WPA37" s="2795"/>
      <c r="WPB37" s="2795"/>
      <c r="WPC37" s="2795"/>
      <c r="WPD37" s="2795"/>
      <c r="WPE37" s="2795"/>
      <c r="WPF37" s="2795"/>
      <c r="WPG37" s="2795"/>
      <c r="WPH37" s="2795"/>
      <c r="WPI37" s="2795"/>
      <c r="WPJ37" s="2795"/>
      <c r="WPK37" s="2795"/>
      <c r="WPL37" s="2795"/>
      <c r="WPM37" s="2795"/>
      <c r="WPN37" s="2795"/>
      <c r="WPO37" s="2795"/>
      <c r="WPP37" s="2795"/>
      <c r="WPQ37" s="2795"/>
      <c r="WPR37" s="2795"/>
      <c r="WPS37" s="2795"/>
      <c r="WPT37" s="2795"/>
      <c r="WPU37" s="2795"/>
      <c r="WPV37" s="2795"/>
      <c r="WPW37" s="2795"/>
      <c r="WPX37" s="2795"/>
      <c r="WPY37" s="2795"/>
      <c r="WPZ37" s="2795"/>
      <c r="WQA37" s="2795"/>
      <c r="WQB37" s="2795"/>
      <c r="WQC37" s="2795"/>
      <c r="WQD37" s="2795"/>
      <c r="WQE37" s="2795"/>
      <c r="WQF37" s="2795"/>
      <c r="WQG37" s="2795"/>
      <c r="WQH37" s="2795"/>
      <c r="WQI37" s="2795"/>
      <c r="WQJ37" s="2795"/>
      <c r="WQK37" s="2795"/>
      <c r="WQL37" s="2795"/>
      <c r="WQM37" s="2795"/>
      <c r="WQN37" s="2795"/>
      <c r="WQO37" s="2795"/>
      <c r="WQP37" s="2795"/>
      <c r="WQQ37" s="2795"/>
      <c r="WQR37" s="2795"/>
      <c r="WQS37" s="2795"/>
      <c r="WQT37" s="2795"/>
      <c r="WQU37" s="2795"/>
      <c r="WQV37" s="2795"/>
      <c r="WQW37" s="2795"/>
      <c r="WQX37" s="2795"/>
      <c r="WQY37" s="2795"/>
      <c r="WQZ37" s="2795"/>
      <c r="WRA37" s="2795"/>
      <c r="WRB37" s="2795"/>
      <c r="WRC37" s="2795"/>
      <c r="WRD37" s="2795"/>
      <c r="WRE37" s="2795"/>
      <c r="WRF37" s="2795"/>
      <c r="WRG37" s="2795"/>
      <c r="WRH37" s="2795"/>
      <c r="WRI37" s="2795"/>
      <c r="WRJ37" s="2795"/>
      <c r="WRK37" s="2795"/>
      <c r="WRL37" s="2795"/>
      <c r="WRM37" s="2795"/>
      <c r="WRN37" s="2795"/>
      <c r="WRO37" s="2795"/>
      <c r="WRP37" s="2795"/>
      <c r="WRQ37" s="2795"/>
      <c r="WRR37" s="2795"/>
      <c r="WRS37" s="2795"/>
      <c r="WRT37" s="2795"/>
      <c r="WRU37" s="2795"/>
      <c r="WRV37" s="2795"/>
      <c r="WRW37" s="2795"/>
      <c r="WRX37" s="2795"/>
      <c r="WRY37" s="2795"/>
      <c r="WRZ37" s="2795"/>
      <c r="WSA37" s="2795"/>
      <c r="WSB37" s="2795"/>
      <c r="WSC37" s="2795"/>
      <c r="WSD37" s="2795"/>
      <c r="WSE37" s="2795"/>
      <c r="WSF37" s="2795"/>
      <c r="WSG37" s="2795"/>
      <c r="WSH37" s="2795"/>
      <c r="WSI37" s="2795"/>
      <c r="WSJ37" s="2795"/>
      <c r="WSK37" s="2795"/>
      <c r="WSL37" s="2795"/>
      <c r="WSM37" s="2795"/>
      <c r="WSN37" s="2795"/>
      <c r="WSO37" s="2795"/>
      <c r="WSP37" s="2795"/>
      <c r="WSQ37" s="2795"/>
      <c r="WSR37" s="2795"/>
      <c r="WSS37" s="2795"/>
      <c r="WST37" s="2795"/>
      <c r="WSU37" s="2795"/>
      <c r="WSV37" s="2795"/>
      <c r="WSW37" s="2795"/>
      <c r="WSX37" s="2795"/>
      <c r="WSY37" s="2795"/>
      <c r="WSZ37" s="2795"/>
      <c r="WTA37" s="2795"/>
      <c r="WTB37" s="2795"/>
      <c r="WTC37" s="2795"/>
      <c r="WTD37" s="2795"/>
      <c r="WTE37" s="2795"/>
      <c r="WTF37" s="2795"/>
      <c r="WTG37" s="2795"/>
      <c r="WTH37" s="2795"/>
      <c r="WTI37" s="2795"/>
      <c r="WTJ37" s="2795"/>
      <c r="WTK37" s="2795"/>
      <c r="WTL37" s="2795"/>
      <c r="WTM37" s="2795"/>
      <c r="WTN37" s="2795"/>
      <c r="WTO37" s="2795"/>
      <c r="WTP37" s="2795"/>
      <c r="WTQ37" s="2795"/>
      <c r="WTR37" s="2795"/>
      <c r="WTS37" s="2795"/>
      <c r="WTT37" s="2795"/>
      <c r="WTU37" s="2795"/>
      <c r="WTV37" s="2795"/>
      <c r="WTW37" s="2795"/>
      <c r="WTX37" s="2795"/>
      <c r="WTY37" s="2795"/>
      <c r="WTZ37" s="2795"/>
      <c r="WUA37" s="2795"/>
      <c r="WUB37" s="2795"/>
      <c r="WUC37" s="2795"/>
      <c r="WUD37" s="2795"/>
      <c r="WUE37" s="2795"/>
      <c r="WUF37" s="2795"/>
      <c r="WUG37" s="2795"/>
      <c r="WUH37" s="2795"/>
      <c r="WUI37" s="2795"/>
      <c r="WUJ37" s="2795"/>
      <c r="WUK37" s="2795"/>
      <c r="WUL37" s="2795"/>
      <c r="WUM37" s="2795"/>
      <c r="WUN37" s="2795"/>
      <c r="WUO37" s="2795"/>
      <c r="WUP37" s="2795"/>
      <c r="WUQ37" s="2795"/>
      <c r="WUR37" s="2795"/>
      <c r="WUS37" s="2795"/>
      <c r="WUT37" s="2795"/>
      <c r="WUU37" s="2795"/>
      <c r="WUV37" s="2795"/>
      <c r="WUW37" s="2795"/>
      <c r="WUX37" s="2795"/>
      <c r="WUY37" s="2795"/>
      <c r="WUZ37" s="2795"/>
      <c r="WVA37" s="2795"/>
      <c r="WVB37" s="2795"/>
      <c r="WVC37" s="2795"/>
      <c r="WVD37" s="2795"/>
      <c r="WVE37" s="2795"/>
      <c r="WVF37" s="2795"/>
      <c r="WVG37" s="2795"/>
      <c r="WVH37" s="2795"/>
      <c r="WVI37" s="2795"/>
      <c r="WVJ37" s="2795"/>
      <c r="WVK37" s="2795"/>
      <c r="WVL37" s="2795"/>
      <c r="WVM37" s="2795"/>
      <c r="WVN37" s="2795"/>
      <c r="WVO37" s="2795"/>
      <c r="WVP37" s="2795"/>
      <c r="WVQ37" s="2795"/>
      <c r="WVR37" s="2795"/>
      <c r="WVS37" s="2795"/>
      <c r="WVT37" s="2795"/>
      <c r="WVU37" s="2795"/>
      <c r="WVV37" s="2795"/>
      <c r="WVW37" s="2795"/>
      <c r="WVX37" s="2795"/>
      <c r="WVY37" s="2795"/>
      <c r="WVZ37" s="2795"/>
      <c r="WWA37" s="2795"/>
      <c r="WWB37" s="2795"/>
      <c r="WWC37" s="2795"/>
      <c r="WWD37" s="2795"/>
      <c r="WWE37" s="2795"/>
      <c r="WWF37" s="2795"/>
      <c r="WWG37" s="2795"/>
      <c r="WWH37" s="2795"/>
      <c r="WWI37" s="2795"/>
      <c r="WWJ37" s="2795"/>
      <c r="WWK37" s="2795"/>
      <c r="WWL37" s="2795"/>
      <c r="WWM37" s="2795"/>
      <c r="WWN37" s="2795"/>
      <c r="WWO37" s="2795"/>
      <c r="WWP37" s="2795"/>
      <c r="WWQ37" s="2795"/>
      <c r="WWR37" s="2795"/>
      <c r="WWS37" s="2795"/>
      <c r="WWT37" s="2795"/>
      <c r="WWU37" s="2795"/>
      <c r="WWV37" s="2795"/>
      <c r="WWW37" s="2795"/>
      <c r="WWX37" s="2795"/>
      <c r="WWY37" s="2795"/>
      <c r="WWZ37" s="2795"/>
      <c r="WXA37" s="2795"/>
      <c r="WXB37" s="2795"/>
      <c r="WXC37" s="2795"/>
      <c r="WXD37" s="2795"/>
      <c r="WXE37" s="2795"/>
      <c r="WXF37" s="2795"/>
      <c r="WXG37" s="2795"/>
      <c r="WXH37" s="2795"/>
      <c r="WXI37" s="2795"/>
      <c r="WXJ37" s="2795"/>
      <c r="WXK37" s="2795"/>
      <c r="WXL37" s="2795"/>
      <c r="WXM37" s="2795"/>
      <c r="WXN37" s="2795"/>
      <c r="WXO37" s="2795"/>
      <c r="WXP37" s="2795"/>
      <c r="WXQ37" s="2795"/>
      <c r="WXR37" s="2795"/>
      <c r="WXS37" s="2795"/>
      <c r="WXT37" s="2795"/>
      <c r="WXU37" s="2795"/>
      <c r="WXV37" s="2795"/>
      <c r="WXW37" s="2795"/>
      <c r="WXX37" s="2795"/>
      <c r="WXY37" s="2795"/>
      <c r="WXZ37" s="2795"/>
      <c r="WYA37" s="2795"/>
      <c r="WYB37" s="2795"/>
      <c r="WYC37" s="2795"/>
      <c r="WYD37" s="2795"/>
      <c r="WYE37" s="2795"/>
      <c r="WYF37" s="2795"/>
      <c r="WYG37" s="2795"/>
      <c r="WYH37" s="2795"/>
      <c r="WYI37" s="2795"/>
      <c r="WYJ37" s="2795"/>
      <c r="WYK37" s="2795"/>
      <c r="WYL37" s="2795"/>
      <c r="WYM37" s="2795"/>
      <c r="WYN37" s="2795"/>
      <c r="WYO37" s="2795"/>
      <c r="WYP37" s="2795"/>
      <c r="WYQ37" s="2795"/>
      <c r="WYR37" s="2795"/>
      <c r="WYS37" s="2795"/>
      <c r="WYT37" s="2795"/>
      <c r="WYU37" s="2795"/>
      <c r="WYV37" s="2795"/>
      <c r="WYW37" s="2795"/>
      <c r="WYX37" s="2795"/>
      <c r="WYY37" s="2795"/>
      <c r="WYZ37" s="2795"/>
      <c r="WZA37" s="2795"/>
      <c r="WZB37" s="2795"/>
      <c r="WZC37" s="2795"/>
      <c r="WZD37" s="2795"/>
      <c r="WZE37" s="2795"/>
      <c r="WZF37" s="2795"/>
      <c r="WZG37" s="2795"/>
      <c r="WZH37" s="2795"/>
      <c r="WZI37" s="2795"/>
      <c r="WZJ37" s="2795"/>
      <c r="WZK37" s="2795"/>
      <c r="WZL37" s="2795"/>
      <c r="WZM37" s="2795"/>
      <c r="WZN37" s="2795"/>
      <c r="WZO37" s="2795"/>
      <c r="WZP37" s="2795"/>
      <c r="WZQ37" s="2795"/>
      <c r="WZR37" s="2795"/>
      <c r="WZS37" s="2795"/>
      <c r="WZT37" s="2795"/>
      <c r="WZU37" s="2795"/>
      <c r="WZV37" s="2795"/>
      <c r="WZW37" s="2795"/>
      <c r="WZX37" s="2795"/>
      <c r="WZY37" s="2795"/>
      <c r="WZZ37" s="2795"/>
      <c r="XAA37" s="2795"/>
      <c r="XAB37" s="2795"/>
      <c r="XAC37" s="2795"/>
      <c r="XAD37" s="2795"/>
      <c r="XAE37" s="2795"/>
      <c r="XAF37" s="2795"/>
      <c r="XAG37" s="2795"/>
      <c r="XAH37" s="2795"/>
      <c r="XAI37" s="2795"/>
      <c r="XAJ37" s="2795"/>
      <c r="XAK37" s="2795"/>
      <c r="XAL37" s="2795"/>
      <c r="XAM37" s="2795"/>
      <c r="XAN37" s="2795"/>
      <c r="XAO37" s="2795"/>
      <c r="XAP37" s="2795"/>
      <c r="XAQ37" s="2795"/>
      <c r="XAR37" s="2795"/>
      <c r="XAS37" s="2795"/>
      <c r="XAT37" s="2795"/>
      <c r="XAU37" s="2795"/>
      <c r="XAV37" s="2795"/>
      <c r="XAW37" s="2795"/>
      <c r="XAX37" s="2795"/>
      <c r="XAY37" s="2795"/>
      <c r="XAZ37" s="2795"/>
      <c r="XBA37" s="2795"/>
      <c r="XBB37" s="2795"/>
      <c r="XBC37" s="2795"/>
      <c r="XBD37" s="2795"/>
      <c r="XBE37" s="2795"/>
      <c r="XBF37" s="2795"/>
      <c r="XBG37" s="2795"/>
      <c r="XBH37" s="2795"/>
      <c r="XBI37" s="2795"/>
      <c r="XBJ37" s="2795"/>
      <c r="XBK37" s="2795"/>
      <c r="XBL37" s="2795"/>
      <c r="XBM37" s="2795"/>
      <c r="XBN37" s="2795"/>
      <c r="XBO37" s="2795"/>
      <c r="XBP37" s="2795"/>
      <c r="XBQ37" s="2795"/>
      <c r="XBR37" s="2795"/>
      <c r="XBS37" s="2795"/>
      <c r="XBT37" s="2795"/>
      <c r="XBU37" s="2795"/>
      <c r="XBV37" s="2795"/>
      <c r="XBW37" s="2795"/>
      <c r="XBX37" s="2795"/>
      <c r="XBY37" s="2795"/>
      <c r="XBZ37" s="2795"/>
      <c r="XCA37" s="2795"/>
      <c r="XCB37" s="2795"/>
      <c r="XCC37" s="2795"/>
      <c r="XCD37" s="2795"/>
      <c r="XCE37" s="2795"/>
      <c r="XCF37" s="2795"/>
      <c r="XCG37" s="2795"/>
      <c r="XCH37" s="2795"/>
      <c r="XCI37" s="2795"/>
      <c r="XCJ37" s="2795"/>
      <c r="XCK37" s="2795"/>
      <c r="XCL37" s="2795"/>
      <c r="XCM37" s="2795"/>
      <c r="XCN37" s="2795"/>
      <c r="XCO37" s="2795"/>
      <c r="XCP37" s="2795"/>
      <c r="XCQ37" s="2795"/>
      <c r="XCR37" s="2795"/>
      <c r="XCS37" s="2795"/>
      <c r="XCT37" s="2795"/>
      <c r="XCU37" s="2795"/>
      <c r="XCV37" s="2795"/>
      <c r="XCW37" s="2795"/>
      <c r="XCX37" s="2795"/>
      <c r="XCY37" s="2795"/>
      <c r="XCZ37" s="2795"/>
      <c r="XDA37" s="2795"/>
      <c r="XDB37" s="2795"/>
      <c r="XDC37" s="2795"/>
      <c r="XDD37" s="2795"/>
      <c r="XDE37" s="2795"/>
      <c r="XDF37" s="2795"/>
      <c r="XDG37" s="2795"/>
      <c r="XDH37" s="2795"/>
      <c r="XDI37" s="2795"/>
      <c r="XDJ37" s="2795"/>
      <c r="XDK37" s="2795"/>
      <c r="XDL37" s="2795"/>
      <c r="XDM37" s="2795"/>
      <c r="XDN37" s="2795"/>
      <c r="XDO37" s="2795"/>
      <c r="XDP37" s="2795"/>
      <c r="XDQ37" s="2795"/>
      <c r="XDR37" s="2795"/>
      <c r="XDS37" s="2795"/>
      <c r="XDT37" s="2795"/>
      <c r="XDU37" s="2795"/>
      <c r="XDV37" s="2795"/>
      <c r="XDW37" s="2795"/>
      <c r="XDX37" s="2795"/>
      <c r="XDY37" s="2795"/>
      <c r="XDZ37" s="2795"/>
      <c r="XEA37" s="2795"/>
      <c r="XEB37" s="2795"/>
      <c r="XEC37" s="2795"/>
      <c r="XED37" s="2795"/>
      <c r="XEE37" s="2795"/>
      <c r="XEF37" s="2795"/>
      <c r="XEG37" s="2795"/>
      <c r="XEH37" s="2795"/>
      <c r="XEI37" s="2795"/>
      <c r="XEJ37" s="2795"/>
      <c r="XEK37" s="2795"/>
      <c r="XEL37" s="2795"/>
      <c r="XEM37" s="2795"/>
      <c r="XEN37" s="2795"/>
      <c r="XEO37" s="2795"/>
      <c r="XEP37" s="2795"/>
      <c r="XEQ37" s="2795"/>
      <c r="XER37" s="2795"/>
      <c r="XES37" s="2795"/>
      <c r="XET37" s="2795"/>
      <c r="XEU37" s="2795"/>
      <c r="XEV37" s="2795"/>
      <c r="XEW37" s="2795"/>
      <c r="XEX37" s="2795"/>
      <c r="XEY37" s="2795"/>
      <c r="XEZ37" s="2795"/>
      <c r="XFA37" s="2795"/>
      <c r="XFB37" s="2795"/>
      <c r="XFC37" s="2795"/>
      <c r="XFD37" s="2795"/>
    </row>
    <row r="38" spans="1:16384" s="1632" customFormat="1" ht="39" customHeight="1">
      <c r="A38" s="2795" t="s">
        <v>2474</v>
      </c>
      <c r="B38" s="2795"/>
      <c r="C38" s="2795"/>
      <c r="D38" s="2795"/>
      <c r="E38" s="2795"/>
      <c r="F38" s="2795"/>
      <c r="G38" s="2795"/>
      <c r="H38" s="2795"/>
      <c r="I38" s="2795"/>
      <c r="J38" s="2795"/>
      <c r="K38" s="2795"/>
      <c r="L38" s="2795"/>
      <c r="M38" s="2795"/>
      <c r="N38" s="2795"/>
      <c r="O38" s="2795"/>
      <c r="P38" s="2795"/>
      <c r="Q38" s="2795"/>
      <c r="R38" s="2795"/>
      <c r="S38" s="2795"/>
      <c r="T38" s="2795"/>
      <c r="U38" s="2795"/>
      <c r="V38" s="2795"/>
      <c r="W38" s="2795"/>
      <c r="X38" s="2795"/>
      <c r="Y38" s="2795"/>
      <c r="Z38" s="2795"/>
      <c r="AA38" s="2795"/>
      <c r="AB38" s="2795"/>
      <c r="AC38" s="2795"/>
      <c r="AD38" s="2795"/>
      <c r="AE38" s="2795"/>
      <c r="AF38" s="2795"/>
      <c r="AG38" s="2795"/>
      <c r="AH38" s="2795"/>
      <c r="AI38" s="2795"/>
      <c r="AJ38" s="2795"/>
      <c r="AK38" s="2795"/>
      <c r="AL38" s="2795"/>
      <c r="AM38" s="2795"/>
      <c r="AN38" s="2795"/>
      <c r="AO38" s="2795"/>
      <c r="AP38" s="2795"/>
      <c r="AQ38" s="2795"/>
      <c r="AR38" s="2795"/>
      <c r="AS38" s="2795"/>
      <c r="AT38" s="2795"/>
      <c r="AU38" s="2795"/>
      <c r="AV38" s="2795"/>
      <c r="AW38" s="2795"/>
      <c r="AX38" s="2795"/>
      <c r="AY38" s="2795"/>
      <c r="AZ38" s="2795"/>
      <c r="BA38" s="2795"/>
      <c r="BB38" s="2795"/>
      <c r="BC38" s="2795"/>
      <c r="BD38" s="2795"/>
      <c r="BE38" s="2795"/>
      <c r="BF38" s="2795"/>
      <c r="BG38" s="2795"/>
      <c r="BH38" s="2795"/>
      <c r="BI38" s="2795"/>
      <c r="BJ38" s="2795"/>
      <c r="BK38" s="2795"/>
      <c r="BL38" s="2795"/>
      <c r="BM38" s="2795"/>
      <c r="BN38" s="2795"/>
      <c r="BO38" s="2795"/>
      <c r="BP38" s="2795"/>
      <c r="BQ38" s="2795"/>
      <c r="BR38" s="2795"/>
      <c r="BS38" s="2795"/>
      <c r="BT38" s="2795"/>
      <c r="BU38" s="2795"/>
      <c r="BV38" s="2795"/>
      <c r="BW38" s="2795"/>
      <c r="BX38" s="2795"/>
      <c r="BY38" s="2795"/>
      <c r="BZ38" s="2795"/>
      <c r="CA38" s="2795"/>
      <c r="CB38" s="2795"/>
      <c r="CC38" s="2795"/>
      <c r="CD38" s="2795"/>
      <c r="CE38" s="2795"/>
      <c r="CF38" s="2795"/>
      <c r="CG38" s="2795"/>
      <c r="CH38" s="2795"/>
      <c r="CI38" s="2795"/>
      <c r="CJ38" s="2795"/>
      <c r="CK38" s="2795"/>
      <c r="CL38" s="2795"/>
      <c r="CM38" s="2795"/>
      <c r="CN38" s="2795"/>
      <c r="CO38" s="2795"/>
      <c r="CP38" s="2795"/>
      <c r="CQ38" s="2795"/>
      <c r="CR38" s="2795"/>
      <c r="CS38" s="2795"/>
      <c r="CT38" s="2795"/>
      <c r="CU38" s="2795"/>
      <c r="CV38" s="2795"/>
      <c r="CW38" s="2795"/>
      <c r="CX38" s="2795"/>
      <c r="CY38" s="2795"/>
      <c r="CZ38" s="2795"/>
      <c r="DA38" s="2795"/>
      <c r="DB38" s="2795"/>
      <c r="DC38" s="2795"/>
      <c r="DD38" s="2795"/>
      <c r="DE38" s="2795"/>
      <c r="DF38" s="2795"/>
      <c r="DG38" s="2795"/>
      <c r="DH38" s="2795"/>
      <c r="DI38" s="2795"/>
      <c r="DJ38" s="2795"/>
      <c r="DK38" s="2795"/>
      <c r="DL38" s="2795"/>
      <c r="DM38" s="2795"/>
      <c r="DN38" s="2795"/>
      <c r="DO38" s="2795"/>
      <c r="DP38" s="2795"/>
      <c r="DQ38" s="2795"/>
      <c r="DR38" s="2795"/>
      <c r="DS38" s="2795"/>
      <c r="DT38" s="2795"/>
      <c r="DU38" s="2795"/>
      <c r="DV38" s="2795"/>
      <c r="DW38" s="2795"/>
      <c r="DX38" s="2795"/>
      <c r="DY38" s="2795"/>
      <c r="DZ38" s="2795"/>
      <c r="EA38" s="2795"/>
      <c r="EB38" s="2795"/>
      <c r="EC38" s="2795"/>
      <c r="ED38" s="2795"/>
      <c r="EE38" s="2795"/>
      <c r="EF38" s="2795"/>
      <c r="EG38" s="2795"/>
      <c r="EH38" s="2795"/>
      <c r="EI38" s="2795"/>
      <c r="EJ38" s="2795"/>
      <c r="EK38" s="2795"/>
      <c r="EL38" s="2795"/>
      <c r="EM38" s="2795"/>
      <c r="EN38" s="2795"/>
      <c r="EO38" s="2795"/>
      <c r="EP38" s="2795"/>
      <c r="EQ38" s="2795"/>
      <c r="ER38" s="2795"/>
      <c r="ES38" s="2795"/>
      <c r="ET38" s="2795"/>
      <c r="EU38" s="2795"/>
      <c r="EV38" s="2795"/>
      <c r="EW38" s="2795"/>
      <c r="EX38" s="2795"/>
      <c r="EY38" s="2795"/>
      <c r="EZ38" s="2795"/>
      <c r="FA38" s="2795"/>
      <c r="FB38" s="2795"/>
      <c r="FC38" s="2795"/>
      <c r="FD38" s="2795"/>
      <c r="FE38" s="2795"/>
      <c r="FF38" s="2795"/>
      <c r="FG38" s="2795"/>
      <c r="FH38" s="2795"/>
      <c r="FI38" s="2795"/>
      <c r="FJ38" s="2795"/>
      <c r="FK38" s="2795"/>
      <c r="FL38" s="2795"/>
      <c r="FM38" s="2795"/>
      <c r="FN38" s="2795"/>
      <c r="FO38" s="2795"/>
      <c r="FP38" s="2795"/>
      <c r="FQ38" s="2795"/>
      <c r="FR38" s="2795"/>
      <c r="FS38" s="2795"/>
      <c r="FT38" s="2795"/>
      <c r="FU38" s="2795"/>
      <c r="FV38" s="2795"/>
      <c r="FW38" s="2795"/>
      <c r="FX38" s="2795"/>
      <c r="FY38" s="2795"/>
      <c r="FZ38" s="2795"/>
      <c r="GA38" s="2795"/>
      <c r="GB38" s="2795"/>
      <c r="GC38" s="2795"/>
      <c r="GD38" s="2795"/>
      <c r="GE38" s="2795"/>
      <c r="GF38" s="2795"/>
      <c r="GG38" s="2795"/>
      <c r="GH38" s="2795"/>
      <c r="GI38" s="2795"/>
      <c r="GJ38" s="2795"/>
      <c r="GK38" s="2795"/>
      <c r="GL38" s="2795"/>
      <c r="GM38" s="2795"/>
      <c r="GN38" s="2795"/>
      <c r="GO38" s="2795"/>
      <c r="GP38" s="2795"/>
      <c r="GQ38" s="2795"/>
      <c r="GR38" s="2795"/>
      <c r="GS38" s="2795"/>
      <c r="GT38" s="2795"/>
      <c r="GU38" s="2795"/>
      <c r="GV38" s="2795"/>
      <c r="GW38" s="2795"/>
      <c r="GX38" s="2795"/>
      <c r="GY38" s="2795"/>
      <c r="GZ38" s="2795"/>
      <c r="HA38" s="2795"/>
      <c r="HB38" s="2795"/>
      <c r="HC38" s="2795"/>
      <c r="HD38" s="2795"/>
      <c r="HE38" s="2795"/>
      <c r="HF38" s="2795"/>
      <c r="HG38" s="2795"/>
      <c r="HH38" s="2795"/>
      <c r="HI38" s="2795"/>
      <c r="HJ38" s="2795"/>
      <c r="HK38" s="2795"/>
      <c r="HL38" s="2795"/>
      <c r="HM38" s="2795"/>
      <c r="HN38" s="2795"/>
      <c r="HO38" s="2795"/>
      <c r="HP38" s="2795"/>
      <c r="HQ38" s="2795"/>
      <c r="HR38" s="2795"/>
      <c r="HS38" s="2795"/>
      <c r="HT38" s="2795"/>
      <c r="HU38" s="2795"/>
      <c r="HV38" s="2795"/>
      <c r="HW38" s="2795"/>
      <c r="HX38" s="2795"/>
      <c r="HY38" s="2795"/>
      <c r="HZ38" s="2795"/>
      <c r="IA38" s="2795"/>
      <c r="IB38" s="2795"/>
      <c r="IC38" s="2795"/>
      <c r="ID38" s="2795"/>
      <c r="IE38" s="2795"/>
      <c r="IF38" s="2795"/>
      <c r="IG38" s="2795"/>
      <c r="IH38" s="2795"/>
      <c r="II38" s="2795"/>
      <c r="IJ38" s="2795"/>
      <c r="IK38" s="2795"/>
      <c r="IL38" s="2795"/>
      <c r="IM38" s="2795"/>
      <c r="IN38" s="2795"/>
      <c r="IO38" s="2795"/>
      <c r="IP38" s="2795"/>
      <c r="IQ38" s="2795"/>
      <c r="IR38" s="2795"/>
      <c r="IS38" s="2795"/>
      <c r="IT38" s="2795"/>
      <c r="IU38" s="2795"/>
      <c r="IV38" s="2795"/>
      <c r="IW38" s="2795"/>
      <c r="IX38" s="2795"/>
      <c r="IY38" s="2795"/>
      <c r="IZ38" s="2795"/>
      <c r="JA38" s="2795"/>
      <c r="JB38" s="2795"/>
      <c r="JC38" s="2795"/>
      <c r="JD38" s="2795"/>
      <c r="JE38" s="2795"/>
      <c r="JF38" s="2795"/>
      <c r="JG38" s="2795"/>
      <c r="JH38" s="2795"/>
      <c r="JI38" s="2795"/>
      <c r="JJ38" s="2795"/>
      <c r="JK38" s="2795"/>
      <c r="JL38" s="2795"/>
      <c r="JM38" s="2795"/>
      <c r="JN38" s="2795"/>
      <c r="JO38" s="2795"/>
      <c r="JP38" s="2795"/>
      <c r="JQ38" s="2795"/>
      <c r="JR38" s="2795"/>
      <c r="JS38" s="2795"/>
      <c r="JT38" s="2795"/>
      <c r="JU38" s="2795"/>
      <c r="JV38" s="2795"/>
      <c r="JW38" s="2795"/>
      <c r="JX38" s="2795"/>
      <c r="JY38" s="2795"/>
      <c r="JZ38" s="2795"/>
      <c r="KA38" s="2795"/>
      <c r="KB38" s="2795"/>
      <c r="KC38" s="2795"/>
      <c r="KD38" s="2795"/>
      <c r="KE38" s="2795"/>
      <c r="KF38" s="2795"/>
      <c r="KG38" s="2795"/>
      <c r="KH38" s="2795"/>
      <c r="KI38" s="2795"/>
      <c r="KJ38" s="2795"/>
      <c r="KK38" s="2795"/>
      <c r="KL38" s="2795"/>
      <c r="KM38" s="2795"/>
      <c r="KN38" s="2795"/>
      <c r="KO38" s="2795"/>
      <c r="KP38" s="2795"/>
      <c r="KQ38" s="2795"/>
      <c r="KR38" s="2795"/>
      <c r="KS38" s="2795"/>
      <c r="KT38" s="2795"/>
      <c r="KU38" s="2795"/>
      <c r="KV38" s="2795"/>
      <c r="KW38" s="2795"/>
      <c r="KX38" s="2795"/>
      <c r="KY38" s="2795"/>
      <c r="KZ38" s="2795"/>
      <c r="LA38" s="2795"/>
      <c r="LB38" s="2795"/>
      <c r="LC38" s="2795"/>
      <c r="LD38" s="2795"/>
      <c r="LE38" s="2795"/>
      <c r="LF38" s="2795"/>
      <c r="LG38" s="2795"/>
      <c r="LH38" s="2795"/>
      <c r="LI38" s="2795"/>
      <c r="LJ38" s="2795"/>
      <c r="LK38" s="2795"/>
      <c r="LL38" s="2795"/>
      <c r="LM38" s="2795"/>
      <c r="LN38" s="2795"/>
      <c r="LO38" s="2795"/>
      <c r="LP38" s="2795"/>
      <c r="LQ38" s="2795"/>
      <c r="LR38" s="2795"/>
      <c r="LS38" s="2795"/>
      <c r="LT38" s="2795"/>
      <c r="LU38" s="2795"/>
      <c r="LV38" s="2795"/>
      <c r="LW38" s="2795"/>
      <c r="LX38" s="2795"/>
      <c r="LY38" s="2795"/>
      <c r="LZ38" s="2795"/>
      <c r="MA38" s="2795"/>
      <c r="MB38" s="2795"/>
      <c r="MC38" s="2795"/>
      <c r="MD38" s="2795"/>
      <c r="ME38" s="2795"/>
      <c r="MF38" s="2795"/>
      <c r="MG38" s="2795"/>
      <c r="MH38" s="2795"/>
      <c r="MI38" s="2795"/>
      <c r="MJ38" s="2795"/>
      <c r="MK38" s="2795"/>
      <c r="ML38" s="2795"/>
      <c r="MM38" s="2795"/>
      <c r="MN38" s="2795"/>
      <c r="MO38" s="2795"/>
      <c r="MP38" s="2795"/>
      <c r="MQ38" s="2795"/>
      <c r="MR38" s="2795"/>
      <c r="MS38" s="2795"/>
      <c r="MT38" s="2795"/>
      <c r="MU38" s="2795"/>
      <c r="MV38" s="2795"/>
      <c r="MW38" s="2795"/>
      <c r="MX38" s="2795"/>
      <c r="MY38" s="2795"/>
      <c r="MZ38" s="2795"/>
      <c r="NA38" s="2795"/>
      <c r="NB38" s="2795"/>
      <c r="NC38" s="2795"/>
      <c r="ND38" s="2795"/>
      <c r="NE38" s="2795"/>
      <c r="NF38" s="2795"/>
      <c r="NG38" s="2795"/>
      <c r="NH38" s="2795"/>
      <c r="NI38" s="2795"/>
      <c r="NJ38" s="2795"/>
      <c r="NK38" s="2795"/>
      <c r="NL38" s="2795"/>
      <c r="NM38" s="2795"/>
      <c r="NN38" s="2795"/>
      <c r="NO38" s="2795"/>
      <c r="NP38" s="2795"/>
      <c r="NQ38" s="2795"/>
      <c r="NR38" s="2795"/>
      <c r="NS38" s="2795"/>
      <c r="NT38" s="2795"/>
      <c r="NU38" s="2795"/>
      <c r="NV38" s="2795"/>
      <c r="NW38" s="2795"/>
      <c r="NX38" s="2795"/>
      <c r="NY38" s="2795"/>
      <c r="NZ38" s="2795"/>
      <c r="OA38" s="2795"/>
      <c r="OB38" s="2795"/>
      <c r="OC38" s="2795"/>
      <c r="OD38" s="2795"/>
      <c r="OE38" s="2795"/>
      <c r="OF38" s="2795"/>
      <c r="OG38" s="2795"/>
      <c r="OH38" s="2795"/>
      <c r="OI38" s="2795"/>
      <c r="OJ38" s="2795"/>
      <c r="OK38" s="2795"/>
      <c r="OL38" s="2795"/>
      <c r="OM38" s="2795"/>
      <c r="ON38" s="2795"/>
      <c r="OO38" s="2795"/>
      <c r="OP38" s="2795"/>
      <c r="OQ38" s="2795"/>
      <c r="OR38" s="2795"/>
      <c r="OS38" s="2795"/>
      <c r="OT38" s="2795"/>
      <c r="OU38" s="2795"/>
      <c r="OV38" s="2795"/>
      <c r="OW38" s="2795"/>
      <c r="OX38" s="2795"/>
      <c r="OY38" s="2795"/>
      <c r="OZ38" s="2795"/>
      <c r="PA38" s="2795"/>
      <c r="PB38" s="2795"/>
      <c r="PC38" s="2795"/>
      <c r="PD38" s="2795"/>
      <c r="PE38" s="2795"/>
      <c r="PF38" s="2795"/>
      <c r="PG38" s="2795"/>
      <c r="PH38" s="2795"/>
      <c r="PI38" s="2795"/>
      <c r="PJ38" s="2795"/>
      <c r="PK38" s="2795"/>
      <c r="PL38" s="2795"/>
      <c r="PM38" s="2795"/>
      <c r="PN38" s="2795"/>
      <c r="PO38" s="2795"/>
      <c r="PP38" s="2795"/>
      <c r="PQ38" s="2795"/>
      <c r="PR38" s="2795"/>
      <c r="PS38" s="2795"/>
      <c r="PT38" s="2795"/>
      <c r="PU38" s="2795"/>
      <c r="PV38" s="2795"/>
      <c r="PW38" s="2795"/>
      <c r="PX38" s="2795"/>
      <c r="PY38" s="2795"/>
      <c r="PZ38" s="2795"/>
      <c r="QA38" s="2795"/>
      <c r="QB38" s="2795"/>
      <c r="QC38" s="2795"/>
      <c r="QD38" s="2795"/>
      <c r="QE38" s="2795"/>
      <c r="QF38" s="2795"/>
      <c r="QG38" s="2795"/>
      <c r="QH38" s="2795"/>
      <c r="QI38" s="2795"/>
      <c r="QJ38" s="2795"/>
      <c r="QK38" s="2795"/>
      <c r="QL38" s="2795"/>
      <c r="QM38" s="2795"/>
      <c r="QN38" s="2795"/>
      <c r="QO38" s="2795"/>
      <c r="QP38" s="2795"/>
      <c r="QQ38" s="2795"/>
      <c r="QR38" s="2795"/>
      <c r="QS38" s="2795"/>
      <c r="QT38" s="2795"/>
      <c r="QU38" s="2795"/>
      <c r="QV38" s="2795"/>
      <c r="QW38" s="2795"/>
      <c r="QX38" s="2795"/>
      <c r="QY38" s="2795"/>
      <c r="QZ38" s="2795"/>
      <c r="RA38" s="2795"/>
      <c r="RB38" s="2795"/>
      <c r="RC38" s="2795"/>
      <c r="RD38" s="2795"/>
      <c r="RE38" s="2795"/>
      <c r="RF38" s="2795"/>
      <c r="RG38" s="2795"/>
      <c r="RH38" s="2795"/>
      <c r="RI38" s="2795"/>
      <c r="RJ38" s="2795"/>
      <c r="RK38" s="2795"/>
      <c r="RL38" s="2795"/>
      <c r="RM38" s="2795"/>
      <c r="RN38" s="2795"/>
      <c r="RO38" s="2795"/>
      <c r="RP38" s="2795"/>
      <c r="RQ38" s="2795"/>
      <c r="RR38" s="2795"/>
      <c r="RS38" s="2795"/>
      <c r="RT38" s="2795"/>
      <c r="RU38" s="2795"/>
      <c r="RV38" s="2795"/>
      <c r="RW38" s="2795"/>
      <c r="RX38" s="2795"/>
      <c r="RY38" s="2795"/>
      <c r="RZ38" s="2795"/>
      <c r="SA38" s="2795"/>
      <c r="SB38" s="2795"/>
      <c r="SC38" s="2795"/>
      <c r="SD38" s="2795"/>
      <c r="SE38" s="2795"/>
      <c r="SF38" s="2795"/>
      <c r="SG38" s="2795"/>
      <c r="SH38" s="2795"/>
      <c r="SI38" s="2795"/>
      <c r="SJ38" s="2795"/>
      <c r="SK38" s="2795"/>
      <c r="SL38" s="2795"/>
      <c r="SM38" s="2795"/>
      <c r="SN38" s="2795"/>
      <c r="SO38" s="2795"/>
      <c r="SP38" s="2795"/>
      <c r="SQ38" s="2795"/>
      <c r="SR38" s="2795"/>
      <c r="SS38" s="2795"/>
      <c r="ST38" s="2795"/>
      <c r="SU38" s="2795"/>
      <c r="SV38" s="2795"/>
      <c r="SW38" s="2795"/>
      <c r="SX38" s="2795"/>
      <c r="SY38" s="2795"/>
      <c r="SZ38" s="2795"/>
      <c r="TA38" s="2795"/>
      <c r="TB38" s="2795"/>
      <c r="TC38" s="2795"/>
      <c r="TD38" s="2795"/>
      <c r="TE38" s="2795"/>
      <c r="TF38" s="2795"/>
      <c r="TG38" s="2795"/>
      <c r="TH38" s="2795"/>
      <c r="TI38" s="2795"/>
      <c r="TJ38" s="2795"/>
      <c r="TK38" s="2795"/>
      <c r="TL38" s="2795"/>
      <c r="TM38" s="2795"/>
      <c r="TN38" s="2795"/>
      <c r="TO38" s="2795"/>
      <c r="TP38" s="2795"/>
      <c r="TQ38" s="2795"/>
      <c r="TR38" s="2795"/>
      <c r="TS38" s="2795"/>
      <c r="TT38" s="2795"/>
      <c r="TU38" s="2795"/>
      <c r="TV38" s="2795"/>
      <c r="TW38" s="2795"/>
      <c r="TX38" s="2795"/>
      <c r="TY38" s="2795"/>
      <c r="TZ38" s="2795"/>
      <c r="UA38" s="2795"/>
      <c r="UB38" s="2795"/>
      <c r="UC38" s="2795"/>
      <c r="UD38" s="2795"/>
      <c r="UE38" s="2795"/>
      <c r="UF38" s="2795"/>
      <c r="UG38" s="2795"/>
      <c r="UH38" s="2795"/>
      <c r="UI38" s="2795"/>
      <c r="UJ38" s="2795"/>
      <c r="UK38" s="2795"/>
      <c r="UL38" s="2795"/>
      <c r="UM38" s="2795"/>
      <c r="UN38" s="2795"/>
      <c r="UO38" s="2795"/>
      <c r="UP38" s="2795"/>
      <c r="UQ38" s="2795"/>
      <c r="UR38" s="2795"/>
      <c r="US38" s="2795"/>
      <c r="UT38" s="2795"/>
      <c r="UU38" s="2795"/>
      <c r="UV38" s="2795"/>
      <c r="UW38" s="2795"/>
      <c r="UX38" s="2795"/>
      <c r="UY38" s="2795"/>
      <c r="UZ38" s="2795"/>
      <c r="VA38" s="2795"/>
      <c r="VB38" s="2795"/>
      <c r="VC38" s="2795"/>
      <c r="VD38" s="2795"/>
      <c r="VE38" s="2795"/>
      <c r="VF38" s="2795"/>
      <c r="VG38" s="2795"/>
      <c r="VH38" s="2795"/>
      <c r="VI38" s="2795"/>
      <c r="VJ38" s="2795"/>
      <c r="VK38" s="2795"/>
      <c r="VL38" s="2795"/>
      <c r="VM38" s="2795"/>
      <c r="VN38" s="2795"/>
      <c r="VO38" s="2795"/>
      <c r="VP38" s="2795"/>
      <c r="VQ38" s="2795"/>
      <c r="VR38" s="2795"/>
      <c r="VS38" s="2795"/>
      <c r="VT38" s="2795"/>
      <c r="VU38" s="2795"/>
      <c r="VV38" s="2795"/>
      <c r="VW38" s="2795"/>
      <c r="VX38" s="2795"/>
      <c r="VY38" s="2795"/>
      <c r="VZ38" s="2795"/>
      <c r="WA38" s="2795"/>
      <c r="WB38" s="2795"/>
      <c r="WC38" s="2795"/>
      <c r="WD38" s="2795"/>
      <c r="WE38" s="2795"/>
      <c r="WF38" s="2795"/>
      <c r="WG38" s="2795"/>
      <c r="WH38" s="2795"/>
      <c r="WI38" s="2795"/>
      <c r="WJ38" s="2795"/>
      <c r="WK38" s="2795"/>
      <c r="WL38" s="2795"/>
      <c r="WM38" s="2795"/>
      <c r="WN38" s="2795"/>
      <c r="WO38" s="2795"/>
      <c r="WP38" s="2795"/>
      <c r="WQ38" s="2795"/>
      <c r="WR38" s="2795"/>
      <c r="WS38" s="2795"/>
      <c r="WT38" s="2795"/>
      <c r="WU38" s="2795"/>
      <c r="WV38" s="2795"/>
      <c r="WW38" s="2795"/>
      <c r="WX38" s="2795"/>
      <c r="WY38" s="2795"/>
      <c r="WZ38" s="2795"/>
      <c r="XA38" s="2795"/>
      <c r="XB38" s="2795"/>
      <c r="XC38" s="2795"/>
      <c r="XD38" s="2795"/>
      <c r="XE38" s="2795"/>
      <c r="XF38" s="2795"/>
      <c r="XG38" s="2795"/>
      <c r="XH38" s="2795"/>
      <c r="XI38" s="2795"/>
      <c r="XJ38" s="2795"/>
      <c r="XK38" s="2795"/>
      <c r="XL38" s="2795"/>
      <c r="XM38" s="2795"/>
      <c r="XN38" s="2795"/>
      <c r="XO38" s="2795"/>
      <c r="XP38" s="2795"/>
      <c r="XQ38" s="2795"/>
      <c r="XR38" s="2795"/>
      <c r="XS38" s="2795"/>
      <c r="XT38" s="2795"/>
      <c r="XU38" s="2795"/>
      <c r="XV38" s="2795"/>
      <c r="XW38" s="2795"/>
      <c r="XX38" s="2795"/>
      <c r="XY38" s="2795"/>
      <c r="XZ38" s="2795"/>
      <c r="YA38" s="2795"/>
      <c r="YB38" s="2795"/>
      <c r="YC38" s="2795"/>
      <c r="YD38" s="2795"/>
      <c r="YE38" s="2795"/>
      <c r="YF38" s="2795"/>
      <c r="YG38" s="2795"/>
      <c r="YH38" s="2795"/>
      <c r="YI38" s="2795"/>
      <c r="YJ38" s="2795"/>
      <c r="YK38" s="2795"/>
      <c r="YL38" s="2795"/>
      <c r="YM38" s="2795"/>
      <c r="YN38" s="2795"/>
      <c r="YO38" s="2795"/>
      <c r="YP38" s="2795"/>
      <c r="YQ38" s="2795"/>
      <c r="YR38" s="2795"/>
      <c r="YS38" s="2795"/>
      <c r="YT38" s="2795"/>
      <c r="YU38" s="2795"/>
      <c r="YV38" s="2795"/>
      <c r="YW38" s="2795"/>
      <c r="YX38" s="2795"/>
      <c r="YY38" s="2795"/>
      <c r="YZ38" s="2795"/>
      <c r="ZA38" s="2795"/>
      <c r="ZB38" s="2795"/>
      <c r="ZC38" s="2795"/>
      <c r="ZD38" s="2795"/>
      <c r="ZE38" s="2795"/>
      <c r="ZF38" s="2795"/>
      <c r="ZG38" s="2795"/>
      <c r="ZH38" s="2795"/>
      <c r="ZI38" s="2795"/>
      <c r="ZJ38" s="2795"/>
      <c r="ZK38" s="2795"/>
      <c r="ZL38" s="2795"/>
      <c r="ZM38" s="2795"/>
      <c r="ZN38" s="2795"/>
      <c r="ZO38" s="2795"/>
      <c r="ZP38" s="2795"/>
      <c r="ZQ38" s="2795"/>
      <c r="ZR38" s="2795"/>
      <c r="ZS38" s="2795"/>
      <c r="ZT38" s="2795"/>
      <c r="ZU38" s="2795"/>
      <c r="ZV38" s="2795"/>
      <c r="ZW38" s="2795"/>
      <c r="ZX38" s="2795"/>
      <c r="ZY38" s="2795"/>
      <c r="ZZ38" s="2795"/>
      <c r="AAA38" s="2795"/>
      <c r="AAB38" s="2795"/>
      <c r="AAC38" s="2795"/>
      <c r="AAD38" s="2795"/>
      <c r="AAE38" s="2795"/>
      <c r="AAF38" s="2795"/>
      <c r="AAG38" s="2795"/>
      <c r="AAH38" s="2795"/>
      <c r="AAI38" s="2795"/>
      <c r="AAJ38" s="2795"/>
      <c r="AAK38" s="2795"/>
      <c r="AAL38" s="2795"/>
      <c r="AAM38" s="2795"/>
      <c r="AAN38" s="2795"/>
      <c r="AAO38" s="2795"/>
      <c r="AAP38" s="2795"/>
      <c r="AAQ38" s="2795"/>
      <c r="AAR38" s="2795"/>
      <c r="AAS38" s="2795"/>
      <c r="AAT38" s="2795"/>
      <c r="AAU38" s="2795"/>
      <c r="AAV38" s="2795"/>
      <c r="AAW38" s="2795"/>
      <c r="AAX38" s="2795"/>
      <c r="AAY38" s="2795"/>
      <c r="AAZ38" s="2795"/>
      <c r="ABA38" s="2795"/>
      <c r="ABB38" s="2795"/>
      <c r="ABC38" s="2795"/>
      <c r="ABD38" s="2795"/>
      <c r="ABE38" s="2795"/>
      <c r="ABF38" s="2795"/>
      <c r="ABG38" s="2795"/>
      <c r="ABH38" s="2795"/>
      <c r="ABI38" s="2795"/>
      <c r="ABJ38" s="2795"/>
      <c r="ABK38" s="2795"/>
      <c r="ABL38" s="2795"/>
      <c r="ABM38" s="2795"/>
      <c r="ABN38" s="2795"/>
      <c r="ABO38" s="2795"/>
      <c r="ABP38" s="2795"/>
      <c r="ABQ38" s="2795"/>
      <c r="ABR38" s="2795"/>
      <c r="ABS38" s="2795"/>
      <c r="ABT38" s="2795"/>
      <c r="ABU38" s="2795"/>
      <c r="ABV38" s="2795"/>
      <c r="ABW38" s="2795"/>
      <c r="ABX38" s="2795"/>
      <c r="ABY38" s="2795"/>
      <c r="ABZ38" s="2795"/>
      <c r="ACA38" s="2795"/>
      <c r="ACB38" s="2795"/>
      <c r="ACC38" s="2795"/>
      <c r="ACD38" s="2795"/>
      <c r="ACE38" s="2795"/>
      <c r="ACF38" s="2795"/>
      <c r="ACG38" s="2795"/>
      <c r="ACH38" s="2795"/>
      <c r="ACI38" s="2795"/>
      <c r="ACJ38" s="2795"/>
      <c r="ACK38" s="2795"/>
      <c r="ACL38" s="2795"/>
      <c r="ACM38" s="2795"/>
      <c r="ACN38" s="2795"/>
      <c r="ACO38" s="2795"/>
      <c r="ACP38" s="2795"/>
      <c r="ACQ38" s="2795"/>
      <c r="ACR38" s="2795"/>
      <c r="ACS38" s="2795"/>
      <c r="ACT38" s="2795"/>
      <c r="ACU38" s="2795"/>
      <c r="ACV38" s="2795"/>
      <c r="ACW38" s="2795"/>
      <c r="ACX38" s="2795"/>
      <c r="ACY38" s="2795"/>
      <c r="ACZ38" s="2795"/>
      <c r="ADA38" s="2795"/>
      <c r="ADB38" s="2795"/>
      <c r="ADC38" s="2795"/>
      <c r="ADD38" s="2795"/>
      <c r="ADE38" s="2795"/>
      <c r="ADF38" s="2795"/>
      <c r="ADG38" s="2795"/>
      <c r="ADH38" s="2795"/>
      <c r="ADI38" s="2795"/>
      <c r="ADJ38" s="2795"/>
      <c r="ADK38" s="2795"/>
      <c r="ADL38" s="2795"/>
      <c r="ADM38" s="2795"/>
      <c r="ADN38" s="2795"/>
      <c r="ADO38" s="2795"/>
      <c r="ADP38" s="2795"/>
      <c r="ADQ38" s="2795"/>
      <c r="ADR38" s="2795"/>
      <c r="ADS38" s="2795"/>
      <c r="ADT38" s="2795"/>
      <c r="ADU38" s="2795"/>
      <c r="ADV38" s="2795"/>
      <c r="ADW38" s="2795"/>
      <c r="ADX38" s="2795"/>
      <c r="ADY38" s="2795"/>
      <c r="ADZ38" s="2795"/>
      <c r="AEA38" s="2795"/>
      <c r="AEB38" s="2795"/>
      <c r="AEC38" s="2795"/>
      <c r="AED38" s="2795"/>
      <c r="AEE38" s="2795"/>
      <c r="AEF38" s="2795"/>
      <c r="AEG38" s="2795"/>
      <c r="AEH38" s="2795"/>
      <c r="AEI38" s="2795"/>
      <c r="AEJ38" s="2795"/>
      <c r="AEK38" s="2795"/>
      <c r="AEL38" s="2795"/>
      <c r="AEM38" s="2795"/>
      <c r="AEN38" s="2795"/>
      <c r="AEO38" s="2795"/>
      <c r="AEP38" s="2795"/>
      <c r="AEQ38" s="2795"/>
      <c r="AER38" s="2795"/>
      <c r="AES38" s="2795"/>
      <c r="AET38" s="2795"/>
      <c r="AEU38" s="2795"/>
      <c r="AEV38" s="2795"/>
      <c r="AEW38" s="2795"/>
      <c r="AEX38" s="2795"/>
      <c r="AEY38" s="2795"/>
      <c r="AEZ38" s="2795"/>
      <c r="AFA38" s="2795"/>
      <c r="AFB38" s="2795"/>
      <c r="AFC38" s="2795"/>
      <c r="AFD38" s="2795"/>
      <c r="AFE38" s="2795"/>
      <c r="AFF38" s="2795"/>
      <c r="AFG38" s="2795"/>
      <c r="AFH38" s="2795"/>
      <c r="AFI38" s="2795"/>
      <c r="AFJ38" s="2795"/>
      <c r="AFK38" s="2795"/>
      <c r="AFL38" s="2795"/>
      <c r="AFM38" s="2795"/>
      <c r="AFN38" s="2795"/>
      <c r="AFO38" s="2795"/>
      <c r="AFP38" s="2795"/>
      <c r="AFQ38" s="2795"/>
      <c r="AFR38" s="2795"/>
      <c r="AFS38" s="2795"/>
      <c r="AFT38" s="2795"/>
      <c r="AFU38" s="2795"/>
      <c r="AFV38" s="2795"/>
      <c r="AFW38" s="2795"/>
      <c r="AFX38" s="2795"/>
      <c r="AFY38" s="2795"/>
      <c r="AFZ38" s="2795"/>
      <c r="AGA38" s="2795"/>
      <c r="AGB38" s="2795"/>
      <c r="AGC38" s="2795"/>
      <c r="AGD38" s="2795"/>
      <c r="AGE38" s="2795"/>
      <c r="AGF38" s="2795"/>
      <c r="AGG38" s="2795"/>
      <c r="AGH38" s="2795"/>
      <c r="AGI38" s="2795"/>
      <c r="AGJ38" s="2795"/>
      <c r="AGK38" s="2795"/>
      <c r="AGL38" s="2795"/>
      <c r="AGM38" s="2795"/>
      <c r="AGN38" s="2795"/>
      <c r="AGO38" s="2795"/>
      <c r="AGP38" s="2795"/>
      <c r="AGQ38" s="2795"/>
      <c r="AGR38" s="2795"/>
      <c r="AGS38" s="2795"/>
      <c r="AGT38" s="2795"/>
      <c r="AGU38" s="2795"/>
      <c r="AGV38" s="2795"/>
      <c r="AGW38" s="2795"/>
      <c r="AGX38" s="2795"/>
      <c r="AGY38" s="2795"/>
      <c r="AGZ38" s="2795"/>
      <c r="AHA38" s="2795"/>
      <c r="AHB38" s="2795"/>
      <c r="AHC38" s="2795"/>
      <c r="AHD38" s="2795"/>
      <c r="AHE38" s="2795"/>
      <c r="AHF38" s="2795"/>
      <c r="AHG38" s="2795"/>
      <c r="AHH38" s="2795"/>
      <c r="AHI38" s="2795"/>
      <c r="AHJ38" s="2795"/>
      <c r="AHK38" s="2795"/>
      <c r="AHL38" s="2795"/>
      <c r="AHM38" s="2795"/>
      <c r="AHN38" s="2795"/>
      <c r="AHO38" s="2795"/>
      <c r="AHP38" s="2795"/>
      <c r="AHQ38" s="2795"/>
      <c r="AHR38" s="2795"/>
      <c r="AHS38" s="2795"/>
      <c r="AHT38" s="2795"/>
      <c r="AHU38" s="2795"/>
      <c r="AHV38" s="2795"/>
      <c r="AHW38" s="2795"/>
      <c r="AHX38" s="2795"/>
      <c r="AHY38" s="2795"/>
      <c r="AHZ38" s="2795"/>
      <c r="AIA38" s="2795"/>
      <c r="AIB38" s="2795"/>
      <c r="AIC38" s="2795"/>
      <c r="AID38" s="2795"/>
      <c r="AIE38" s="2795"/>
      <c r="AIF38" s="2795"/>
      <c r="AIG38" s="2795"/>
      <c r="AIH38" s="2795"/>
      <c r="AII38" s="2795"/>
      <c r="AIJ38" s="2795"/>
      <c r="AIK38" s="2795"/>
      <c r="AIL38" s="2795"/>
      <c r="AIM38" s="2795"/>
      <c r="AIN38" s="2795"/>
      <c r="AIO38" s="2795"/>
      <c r="AIP38" s="2795"/>
      <c r="AIQ38" s="2795"/>
      <c r="AIR38" s="2795"/>
      <c r="AIS38" s="2795"/>
      <c r="AIT38" s="2795"/>
      <c r="AIU38" s="2795"/>
      <c r="AIV38" s="2795"/>
      <c r="AIW38" s="2795"/>
      <c r="AIX38" s="2795"/>
      <c r="AIY38" s="2795"/>
      <c r="AIZ38" s="2795"/>
      <c r="AJA38" s="2795"/>
      <c r="AJB38" s="2795"/>
      <c r="AJC38" s="2795"/>
      <c r="AJD38" s="2795"/>
      <c r="AJE38" s="2795"/>
      <c r="AJF38" s="2795"/>
      <c r="AJG38" s="2795"/>
      <c r="AJH38" s="2795"/>
      <c r="AJI38" s="2795"/>
      <c r="AJJ38" s="2795"/>
      <c r="AJK38" s="2795"/>
      <c r="AJL38" s="2795"/>
      <c r="AJM38" s="2795"/>
      <c r="AJN38" s="2795"/>
      <c r="AJO38" s="2795"/>
      <c r="AJP38" s="2795"/>
      <c r="AJQ38" s="2795"/>
      <c r="AJR38" s="2795"/>
      <c r="AJS38" s="2795"/>
      <c r="AJT38" s="2795"/>
      <c r="AJU38" s="2795"/>
      <c r="AJV38" s="2795"/>
      <c r="AJW38" s="2795"/>
      <c r="AJX38" s="2795"/>
      <c r="AJY38" s="2795"/>
      <c r="AJZ38" s="2795"/>
      <c r="AKA38" s="2795"/>
      <c r="AKB38" s="2795"/>
      <c r="AKC38" s="2795"/>
      <c r="AKD38" s="2795"/>
      <c r="AKE38" s="2795"/>
      <c r="AKF38" s="2795"/>
      <c r="AKG38" s="2795"/>
      <c r="AKH38" s="2795"/>
      <c r="AKI38" s="2795"/>
      <c r="AKJ38" s="2795"/>
      <c r="AKK38" s="2795"/>
      <c r="AKL38" s="2795"/>
      <c r="AKM38" s="2795"/>
      <c r="AKN38" s="2795"/>
      <c r="AKO38" s="2795"/>
      <c r="AKP38" s="2795"/>
      <c r="AKQ38" s="2795"/>
      <c r="AKR38" s="2795"/>
      <c r="AKS38" s="2795"/>
      <c r="AKT38" s="2795"/>
      <c r="AKU38" s="2795"/>
      <c r="AKV38" s="2795"/>
      <c r="AKW38" s="2795"/>
      <c r="AKX38" s="2795"/>
      <c r="AKY38" s="2795"/>
      <c r="AKZ38" s="2795"/>
      <c r="ALA38" s="2795"/>
      <c r="ALB38" s="2795"/>
      <c r="ALC38" s="2795"/>
      <c r="ALD38" s="2795"/>
      <c r="ALE38" s="2795"/>
      <c r="ALF38" s="2795"/>
      <c r="ALG38" s="2795"/>
      <c r="ALH38" s="2795"/>
      <c r="ALI38" s="2795"/>
      <c r="ALJ38" s="2795"/>
      <c r="ALK38" s="2795"/>
      <c r="ALL38" s="2795"/>
      <c r="ALM38" s="2795"/>
      <c r="ALN38" s="2795"/>
      <c r="ALO38" s="2795"/>
      <c r="ALP38" s="2795"/>
      <c r="ALQ38" s="2795"/>
      <c r="ALR38" s="2795"/>
      <c r="ALS38" s="2795"/>
      <c r="ALT38" s="2795"/>
      <c r="ALU38" s="2795"/>
      <c r="ALV38" s="2795"/>
      <c r="ALW38" s="2795"/>
      <c r="ALX38" s="2795"/>
      <c r="ALY38" s="2795"/>
      <c r="ALZ38" s="2795"/>
      <c r="AMA38" s="2795"/>
      <c r="AMB38" s="2795"/>
      <c r="AMC38" s="2795"/>
      <c r="AMD38" s="2795"/>
      <c r="AME38" s="2795"/>
      <c r="AMF38" s="2795"/>
      <c r="AMG38" s="2795"/>
      <c r="AMH38" s="2795"/>
      <c r="AMI38" s="2795"/>
      <c r="AMJ38" s="2795"/>
      <c r="AMK38" s="2795"/>
      <c r="AML38" s="2795"/>
      <c r="AMM38" s="2795"/>
      <c r="AMN38" s="2795"/>
      <c r="AMO38" s="2795"/>
      <c r="AMP38" s="2795"/>
      <c r="AMQ38" s="2795"/>
      <c r="AMR38" s="2795"/>
      <c r="AMS38" s="2795"/>
      <c r="AMT38" s="2795"/>
      <c r="AMU38" s="2795"/>
      <c r="AMV38" s="2795"/>
      <c r="AMW38" s="2795"/>
      <c r="AMX38" s="2795"/>
      <c r="AMY38" s="2795"/>
      <c r="AMZ38" s="2795"/>
      <c r="ANA38" s="2795"/>
      <c r="ANB38" s="2795"/>
      <c r="ANC38" s="2795"/>
      <c r="AND38" s="2795"/>
      <c r="ANE38" s="2795"/>
      <c r="ANF38" s="2795"/>
      <c r="ANG38" s="2795"/>
      <c r="ANH38" s="2795"/>
      <c r="ANI38" s="2795"/>
      <c r="ANJ38" s="2795"/>
      <c r="ANK38" s="2795"/>
      <c r="ANL38" s="2795"/>
      <c r="ANM38" s="2795"/>
      <c r="ANN38" s="2795"/>
      <c r="ANO38" s="2795"/>
      <c r="ANP38" s="2795"/>
      <c r="ANQ38" s="2795"/>
      <c r="ANR38" s="2795"/>
      <c r="ANS38" s="2795"/>
      <c r="ANT38" s="2795"/>
      <c r="ANU38" s="2795"/>
      <c r="ANV38" s="2795"/>
      <c r="ANW38" s="2795"/>
      <c r="ANX38" s="2795"/>
      <c r="ANY38" s="2795"/>
      <c r="ANZ38" s="2795"/>
      <c r="AOA38" s="2795"/>
      <c r="AOB38" s="2795"/>
      <c r="AOC38" s="2795"/>
      <c r="AOD38" s="2795"/>
      <c r="AOE38" s="2795"/>
      <c r="AOF38" s="2795"/>
      <c r="AOG38" s="2795"/>
      <c r="AOH38" s="2795"/>
      <c r="AOI38" s="2795"/>
      <c r="AOJ38" s="2795"/>
      <c r="AOK38" s="2795"/>
      <c r="AOL38" s="2795"/>
      <c r="AOM38" s="2795"/>
      <c r="AON38" s="2795"/>
      <c r="AOO38" s="2795"/>
      <c r="AOP38" s="2795"/>
      <c r="AOQ38" s="2795"/>
      <c r="AOR38" s="2795"/>
      <c r="AOS38" s="2795"/>
      <c r="AOT38" s="2795"/>
      <c r="AOU38" s="2795"/>
      <c r="AOV38" s="2795"/>
      <c r="AOW38" s="2795"/>
      <c r="AOX38" s="2795"/>
      <c r="AOY38" s="2795"/>
      <c r="AOZ38" s="2795"/>
      <c r="APA38" s="2795"/>
      <c r="APB38" s="2795"/>
      <c r="APC38" s="2795"/>
      <c r="APD38" s="2795"/>
      <c r="APE38" s="2795"/>
      <c r="APF38" s="2795"/>
      <c r="APG38" s="2795"/>
      <c r="APH38" s="2795"/>
      <c r="API38" s="2795"/>
      <c r="APJ38" s="2795"/>
      <c r="APK38" s="2795"/>
      <c r="APL38" s="2795"/>
      <c r="APM38" s="2795"/>
      <c r="APN38" s="2795"/>
      <c r="APO38" s="2795"/>
      <c r="APP38" s="2795"/>
      <c r="APQ38" s="2795"/>
      <c r="APR38" s="2795"/>
      <c r="APS38" s="2795"/>
      <c r="APT38" s="2795"/>
      <c r="APU38" s="2795"/>
      <c r="APV38" s="2795"/>
      <c r="APW38" s="2795"/>
      <c r="APX38" s="2795"/>
      <c r="APY38" s="2795"/>
      <c r="APZ38" s="2795"/>
      <c r="AQA38" s="2795"/>
      <c r="AQB38" s="2795"/>
      <c r="AQC38" s="2795"/>
      <c r="AQD38" s="2795"/>
      <c r="AQE38" s="2795"/>
      <c r="AQF38" s="2795"/>
      <c r="AQG38" s="2795"/>
      <c r="AQH38" s="2795"/>
      <c r="AQI38" s="2795"/>
      <c r="AQJ38" s="2795"/>
      <c r="AQK38" s="2795"/>
      <c r="AQL38" s="2795"/>
      <c r="AQM38" s="2795"/>
      <c r="AQN38" s="2795"/>
      <c r="AQO38" s="2795"/>
      <c r="AQP38" s="2795"/>
      <c r="AQQ38" s="2795"/>
      <c r="AQR38" s="2795"/>
      <c r="AQS38" s="2795"/>
      <c r="AQT38" s="2795"/>
      <c r="AQU38" s="2795"/>
      <c r="AQV38" s="2795"/>
      <c r="AQW38" s="2795"/>
      <c r="AQX38" s="2795"/>
      <c r="AQY38" s="2795"/>
      <c r="AQZ38" s="2795"/>
      <c r="ARA38" s="2795"/>
      <c r="ARB38" s="2795"/>
      <c r="ARC38" s="2795"/>
      <c r="ARD38" s="2795"/>
      <c r="ARE38" s="2795"/>
      <c r="ARF38" s="2795"/>
      <c r="ARG38" s="2795"/>
      <c r="ARH38" s="2795"/>
      <c r="ARI38" s="2795"/>
      <c r="ARJ38" s="2795"/>
      <c r="ARK38" s="2795"/>
      <c r="ARL38" s="2795"/>
      <c r="ARM38" s="2795"/>
      <c r="ARN38" s="2795"/>
      <c r="ARO38" s="2795"/>
      <c r="ARP38" s="2795"/>
      <c r="ARQ38" s="2795"/>
      <c r="ARR38" s="2795"/>
      <c r="ARS38" s="2795"/>
      <c r="ART38" s="2795"/>
      <c r="ARU38" s="2795"/>
      <c r="ARV38" s="2795"/>
      <c r="ARW38" s="2795"/>
      <c r="ARX38" s="2795"/>
      <c r="ARY38" s="2795"/>
      <c r="ARZ38" s="2795"/>
      <c r="ASA38" s="2795"/>
      <c r="ASB38" s="2795"/>
      <c r="ASC38" s="2795"/>
      <c r="ASD38" s="2795"/>
      <c r="ASE38" s="2795"/>
      <c r="ASF38" s="2795"/>
      <c r="ASG38" s="2795"/>
      <c r="ASH38" s="2795"/>
      <c r="ASI38" s="2795"/>
      <c r="ASJ38" s="2795"/>
      <c r="ASK38" s="2795"/>
      <c r="ASL38" s="2795"/>
      <c r="ASM38" s="2795"/>
      <c r="ASN38" s="2795"/>
      <c r="ASO38" s="2795"/>
      <c r="ASP38" s="2795"/>
      <c r="ASQ38" s="2795"/>
      <c r="ASR38" s="2795"/>
      <c r="ASS38" s="2795"/>
      <c r="AST38" s="2795"/>
      <c r="ASU38" s="2795"/>
      <c r="ASV38" s="2795"/>
      <c r="ASW38" s="2795"/>
      <c r="ASX38" s="2795"/>
      <c r="ASY38" s="2795"/>
      <c r="ASZ38" s="2795"/>
      <c r="ATA38" s="2795"/>
      <c r="ATB38" s="2795"/>
      <c r="ATC38" s="2795"/>
      <c r="ATD38" s="2795"/>
      <c r="ATE38" s="2795"/>
      <c r="ATF38" s="2795"/>
      <c r="ATG38" s="2795"/>
      <c r="ATH38" s="2795"/>
      <c r="ATI38" s="2795"/>
      <c r="ATJ38" s="2795"/>
      <c r="ATK38" s="2795"/>
      <c r="ATL38" s="2795"/>
      <c r="ATM38" s="2795"/>
      <c r="ATN38" s="2795"/>
      <c r="ATO38" s="2795"/>
      <c r="ATP38" s="2795"/>
      <c r="ATQ38" s="2795"/>
      <c r="ATR38" s="2795"/>
      <c r="ATS38" s="2795"/>
      <c r="ATT38" s="2795"/>
      <c r="ATU38" s="2795"/>
      <c r="ATV38" s="2795"/>
      <c r="ATW38" s="2795"/>
      <c r="ATX38" s="2795"/>
      <c r="ATY38" s="2795"/>
      <c r="ATZ38" s="2795"/>
      <c r="AUA38" s="2795"/>
      <c r="AUB38" s="2795"/>
      <c r="AUC38" s="2795"/>
      <c r="AUD38" s="2795"/>
      <c r="AUE38" s="2795"/>
      <c r="AUF38" s="2795"/>
      <c r="AUG38" s="2795"/>
      <c r="AUH38" s="2795"/>
      <c r="AUI38" s="2795"/>
      <c r="AUJ38" s="2795"/>
      <c r="AUK38" s="2795"/>
      <c r="AUL38" s="2795"/>
      <c r="AUM38" s="2795"/>
      <c r="AUN38" s="2795"/>
      <c r="AUO38" s="2795"/>
      <c r="AUP38" s="2795"/>
      <c r="AUQ38" s="2795"/>
      <c r="AUR38" s="2795"/>
      <c r="AUS38" s="2795"/>
      <c r="AUT38" s="2795"/>
      <c r="AUU38" s="2795"/>
      <c r="AUV38" s="2795"/>
      <c r="AUW38" s="2795"/>
      <c r="AUX38" s="2795"/>
      <c r="AUY38" s="2795"/>
      <c r="AUZ38" s="2795"/>
      <c r="AVA38" s="2795"/>
      <c r="AVB38" s="2795"/>
      <c r="AVC38" s="2795"/>
      <c r="AVD38" s="2795"/>
      <c r="AVE38" s="2795"/>
      <c r="AVF38" s="2795"/>
      <c r="AVG38" s="2795"/>
      <c r="AVH38" s="2795"/>
      <c r="AVI38" s="2795"/>
      <c r="AVJ38" s="2795"/>
      <c r="AVK38" s="2795"/>
      <c r="AVL38" s="2795"/>
      <c r="AVM38" s="2795"/>
      <c r="AVN38" s="2795"/>
      <c r="AVO38" s="2795"/>
      <c r="AVP38" s="2795"/>
      <c r="AVQ38" s="2795"/>
      <c r="AVR38" s="2795"/>
      <c r="AVS38" s="2795"/>
      <c r="AVT38" s="2795"/>
      <c r="AVU38" s="2795"/>
      <c r="AVV38" s="2795"/>
      <c r="AVW38" s="2795"/>
      <c r="AVX38" s="2795"/>
      <c r="AVY38" s="2795"/>
      <c r="AVZ38" s="2795"/>
      <c r="AWA38" s="2795"/>
      <c r="AWB38" s="2795"/>
      <c r="AWC38" s="2795"/>
      <c r="AWD38" s="2795"/>
      <c r="AWE38" s="2795"/>
      <c r="AWF38" s="2795"/>
      <c r="AWG38" s="2795"/>
      <c r="AWH38" s="2795"/>
      <c r="AWI38" s="2795"/>
      <c r="AWJ38" s="2795"/>
      <c r="AWK38" s="2795"/>
      <c r="AWL38" s="2795"/>
      <c r="AWM38" s="2795"/>
      <c r="AWN38" s="2795"/>
      <c r="AWO38" s="2795"/>
      <c r="AWP38" s="2795"/>
      <c r="AWQ38" s="2795"/>
      <c r="AWR38" s="2795"/>
      <c r="AWS38" s="2795"/>
      <c r="AWT38" s="2795"/>
      <c r="AWU38" s="2795"/>
      <c r="AWV38" s="2795"/>
      <c r="AWW38" s="2795"/>
      <c r="AWX38" s="2795"/>
      <c r="AWY38" s="2795"/>
      <c r="AWZ38" s="2795"/>
      <c r="AXA38" s="2795"/>
      <c r="AXB38" s="2795"/>
      <c r="AXC38" s="2795"/>
      <c r="AXD38" s="2795"/>
      <c r="AXE38" s="2795"/>
      <c r="AXF38" s="2795"/>
      <c r="AXG38" s="2795"/>
      <c r="AXH38" s="2795"/>
      <c r="AXI38" s="2795"/>
      <c r="AXJ38" s="2795"/>
      <c r="AXK38" s="2795"/>
      <c r="AXL38" s="2795"/>
      <c r="AXM38" s="2795"/>
      <c r="AXN38" s="2795"/>
      <c r="AXO38" s="2795"/>
      <c r="AXP38" s="2795"/>
      <c r="AXQ38" s="2795"/>
      <c r="AXR38" s="2795"/>
      <c r="AXS38" s="2795"/>
      <c r="AXT38" s="2795"/>
      <c r="AXU38" s="2795"/>
      <c r="AXV38" s="2795"/>
      <c r="AXW38" s="2795"/>
      <c r="AXX38" s="2795"/>
      <c r="AXY38" s="2795"/>
      <c r="AXZ38" s="2795"/>
      <c r="AYA38" s="2795"/>
      <c r="AYB38" s="2795"/>
      <c r="AYC38" s="2795"/>
      <c r="AYD38" s="2795"/>
      <c r="AYE38" s="2795"/>
      <c r="AYF38" s="2795"/>
      <c r="AYG38" s="2795"/>
      <c r="AYH38" s="2795"/>
      <c r="AYI38" s="2795"/>
      <c r="AYJ38" s="2795"/>
      <c r="AYK38" s="2795"/>
      <c r="AYL38" s="2795"/>
      <c r="AYM38" s="2795"/>
      <c r="AYN38" s="2795"/>
      <c r="AYO38" s="2795"/>
      <c r="AYP38" s="2795"/>
      <c r="AYQ38" s="2795"/>
      <c r="AYR38" s="2795"/>
      <c r="AYS38" s="2795"/>
      <c r="AYT38" s="2795"/>
      <c r="AYU38" s="2795"/>
      <c r="AYV38" s="2795"/>
      <c r="AYW38" s="2795"/>
      <c r="AYX38" s="2795"/>
      <c r="AYY38" s="2795"/>
      <c r="AYZ38" s="2795"/>
      <c r="AZA38" s="2795"/>
      <c r="AZB38" s="2795"/>
      <c r="AZC38" s="2795"/>
      <c r="AZD38" s="2795"/>
      <c r="AZE38" s="2795"/>
      <c r="AZF38" s="2795"/>
      <c r="AZG38" s="2795"/>
      <c r="AZH38" s="2795"/>
      <c r="AZI38" s="2795"/>
      <c r="AZJ38" s="2795"/>
      <c r="AZK38" s="2795"/>
      <c r="AZL38" s="2795"/>
      <c r="AZM38" s="2795"/>
      <c r="AZN38" s="2795"/>
      <c r="AZO38" s="2795"/>
      <c r="AZP38" s="2795"/>
      <c r="AZQ38" s="2795"/>
      <c r="AZR38" s="2795"/>
      <c r="AZS38" s="2795"/>
      <c r="AZT38" s="2795"/>
      <c r="AZU38" s="2795"/>
      <c r="AZV38" s="2795"/>
      <c r="AZW38" s="2795"/>
      <c r="AZX38" s="2795"/>
      <c r="AZY38" s="2795"/>
      <c r="AZZ38" s="2795"/>
      <c r="BAA38" s="2795"/>
      <c r="BAB38" s="2795"/>
      <c r="BAC38" s="2795"/>
      <c r="BAD38" s="2795"/>
      <c r="BAE38" s="2795"/>
      <c r="BAF38" s="2795"/>
      <c r="BAG38" s="2795"/>
      <c r="BAH38" s="2795"/>
      <c r="BAI38" s="2795"/>
      <c r="BAJ38" s="2795"/>
      <c r="BAK38" s="2795"/>
      <c r="BAL38" s="2795"/>
      <c r="BAM38" s="2795"/>
      <c r="BAN38" s="2795"/>
      <c r="BAO38" s="2795"/>
      <c r="BAP38" s="2795"/>
      <c r="BAQ38" s="2795"/>
      <c r="BAR38" s="2795"/>
      <c r="BAS38" s="2795"/>
      <c r="BAT38" s="2795"/>
      <c r="BAU38" s="2795"/>
      <c r="BAV38" s="2795"/>
      <c r="BAW38" s="2795"/>
      <c r="BAX38" s="2795"/>
      <c r="BAY38" s="2795"/>
      <c r="BAZ38" s="2795"/>
      <c r="BBA38" s="2795"/>
      <c r="BBB38" s="2795"/>
      <c r="BBC38" s="2795"/>
      <c r="BBD38" s="2795"/>
      <c r="BBE38" s="2795"/>
      <c r="BBF38" s="2795"/>
      <c r="BBG38" s="2795"/>
      <c r="BBH38" s="2795"/>
      <c r="BBI38" s="2795"/>
      <c r="BBJ38" s="2795"/>
      <c r="BBK38" s="2795"/>
      <c r="BBL38" s="2795"/>
      <c r="BBM38" s="2795"/>
      <c r="BBN38" s="2795"/>
      <c r="BBO38" s="2795"/>
      <c r="BBP38" s="2795"/>
      <c r="BBQ38" s="2795"/>
      <c r="BBR38" s="2795"/>
      <c r="BBS38" s="2795"/>
      <c r="BBT38" s="2795"/>
      <c r="BBU38" s="2795"/>
      <c r="BBV38" s="2795"/>
      <c r="BBW38" s="2795"/>
      <c r="BBX38" s="2795"/>
      <c r="BBY38" s="2795"/>
      <c r="BBZ38" s="2795"/>
      <c r="BCA38" s="2795"/>
      <c r="BCB38" s="2795"/>
      <c r="BCC38" s="2795"/>
      <c r="BCD38" s="2795"/>
      <c r="BCE38" s="2795"/>
      <c r="BCF38" s="2795"/>
      <c r="BCG38" s="2795"/>
      <c r="BCH38" s="2795"/>
      <c r="BCI38" s="2795"/>
      <c r="BCJ38" s="2795"/>
      <c r="BCK38" s="2795"/>
      <c r="BCL38" s="2795"/>
      <c r="BCM38" s="2795"/>
      <c r="BCN38" s="2795"/>
      <c r="BCO38" s="2795"/>
      <c r="BCP38" s="2795"/>
      <c r="BCQ38" s="2795"/>
      <c r="BCR38" s="2795"/>
      <c r="BCS38" s="2795"/>
      <c r="BCT38" s="2795"/>
      <c r="BCU38" s="2795"/>
      <c r="BCV38" s="2795"/>
      <c r="BCW38" s="2795"/>
      <c r="BCX38" s="2795"/>
      <c r="BCY38" s="2795"/>
      <c r="BCZ38" s="2795"/>
      <c r="BDA38" s="2795"/>
      <c r="BDB38" s="2795"/>
      <c r="BDC38" s="2795"/>
      <c r="BDD38" s="2795"/>
      <c r="BDE38" s="2795"/>
      <c r="BDF38" s="2795"/>
      <c r="BDG38" s="2795"/>
      <c r="BDH38" s="2795"/>
      <c r="BDI38" s="2795"/>
      <c r="BDJ38" s="2795"/>
      <c r="BDK38" s="2795"/>
      <c r="BDL38" s="2795"/>
      <c r="BDM38" s="2795"/>
      <c r="BDN38" s="2795"/>
      <c r="BDO38" s="2795"/>
      <c r="BDP38" s="2795"/>
      <c r="BDQ38" s="2795"/>
      <c r="BDR38" s="2795"/>
      <c r="BDS38" s="2795"/>
      <c r="BDT38" s="2795"/>
      <c r="BDU38" s="2795"/>
      <c r="BDV38" s="2795"/>
      <c r="BDW38" s="2795"/>
      <c r="BDX38" s="2795"/>
      <c r="BDY38" s="2795"/>
      <c r="BDZ38" s="2795"/>
      <c r="BEA38" s="2795"/>
      <c r="BEB38" s="2795"/>
      <c r="BEC38" s="2795"/>
      <c r="BED38" s="2795"/>
      <c r="BEE38" s="2795"/>
      <c r="BEF38" s="2795"/>
      <c r="BEG38" s="2795"/>
      <c r="BEH38" s="2795"/>
      <c r="BEI38" s="2795"/>
      <c r="BEJ38" s="2795"/>
      <c r="BEK38" s="2795"/>
      <c r="BEL38" s="2795"/>
      <c r="BEM38" s="2795"/>
      <c r="BEN38" s="2795"/>
      <c r="BEO38" s="2795"/>
      <c r="BEP38" s="2795"/>
      <c r="BEQ38" s="2795"/>
      <c r="BER38" s="2795"/>
      <c r="BES38" s="2795"/>
      <c r="BET38" s="2795"/>
      <c r="BEU38" s="2795"/>
      <c r="BEV38" s="2795"/>
      <c r="BEW38" s="2795"/>
      <c r="BEX38" s="2795"/>
      <c r="BEY38" s="2795"/>
      <c r="BEZ38" s="2795"/>
      <c r="BFA38" s="2795"/>
      <c r="BFB38" s="2795"/>
      <c r="BFC38" s="2795"/>
      <c r="BFD38" s="2795"/>
      <c r="BFE38" s="2795"/>
      <c r="BFF38" s="2795"/>
      <c r="BFG38" s="2795"/>
      <c r="BFH38" s="2795"/>
      <c r="BFI38" s="2795"/>
      <c r="BFJ38" s="2795"/>
      <c r="BFK38" s="2795"/>
      <c r="BFL38" s="2795"/>
      <c r="BFM38" s="2795"/>
      <c r="BFN38" s="2795"/>
      <c r="BFO38" s="2795"/>
      <c r="BFP38" s="2795"/>
      <c r="BFQ38" s="2795"/>
      <c r="BFR38" s="2795"/>
      <c r="BFS38" s="2795"/>
      <c r="BFT38" s="2795"/>
      <c r="BFU38" s="2795"/>
      <c r="BFV38" s="2795"/>
      <c r="BFW38" s="2795"/>
      <c r="BFX38" s="2795"/>
      <c r="BFY38" s="2795"/>
      <c r="BFZ38" s="2795"/>
      <c r="BGA38" s="2795"/>
      <c r="BGB38" s="2795"/>
      <c r="BGC38" s="2795"/>
      <c r="BGD38" s="2795"/>
      <c r="BGE38" s="2795"/>
      <c r="BGF38" s="2795"/>
      <c r="BGG38" s="2795"/>
      <c r="BGH38" s="2795"/>
      <c r="BGI38" s="2795"/>
      <c r="BGJ38" s="2795"/>
      <c r="BGK38" s="2795"/>
      <c r="BGL38" s="2795"/>
      <c r="BGM38" s="2795"/>
      <c r="BGN38" s="2795"/>
      <c r="BGO38" s="2795"/>
      <c r="BGP38" s="2795"/>
      <c r="BGQ38" s="2795"/>
      <c r="BGR38" s="2795"/>
      <c r="BGS38" s="2795"/>
      <c r="BGT38" s="2795"/>
      <c r="BGU38" s="2795"/>
      <c r="BGV38" s="2795"/>
      <c r="BGW38" s="2795"/>
      <c r="BGX38" s="2795"/>
      <c r="BGY38" s="2795"/>
      <c r="BGZ38" s="2795"/>
      <c r="BHA38" s="2795"/>
      <c r="BHB38" s="2795"/>
      <c r="BHC38" s="2795"/>
      <c r="BHD38" s="2795"/>
      <c r="BHE38" s="2795"/>
      <c r="BHF38" s="2795"/>
      <c r="BHG38" s="2795"/>
      <c r="BHH38" s="2795"/>
      <c r="BHI38" s="2795"/>
      <c r="BHJ38" s="2795"/>
      <c r="BHK38" s="2795"/>
      <c r="BHL38" s="2795"/>
      <c r="BHM38" s="2795"/>
      <c r="BHN38" s="2795"/>
      <c r="BHO38" s="2795"/>
      <c r="BHP38" s="2795"/>
      <c r="BHQ38" s="2795"/>
      <c r="BHR38" s="2795"/>
      <c r="BHS38" s="2795"/>
      <c r="BHT38" s="2795"/>
      <c r="BHU38" s="2795"/>
      <c r="BHV38" s="2795"/>
      <c r="BHW38" s="2795"/>
      <c r="BHX38" s="2795"/>
      <c r="BHY38" s="2795"/>
      <c r="BHZ38" s="2795"/>
      <c r="BIA38" s="2795"/>
      <c r="BIB38" s="2795"/>
      <c r="BIC38" s="2795"/>
      <c r="BID38" s="2795"/>
      <c r="BIE38" s="2795"/>
      <c r="BIF38" s="2795"/>
      <c r="BIG38" s="2795"/>
      <c r="BIH38" s="2795"/>
      <c r="BII38" s="2795"/>
      <c r="BIJ38" s="2795"/>
      <c r="BIK38" s="2795"/>
      <c r="BIL38" s="2795"/>
      <c r="BIM38" s="2795"/>
      <c r="BIN38" s="2795"/>
      <c r="BIO38" s="2795"/>
      <c r="BIP38" s="2795"/>
      <c r="BIQ38" s="2795"/>
      <c r="BIR38" s="2795"/>
      <c r="BIS38" s="2795"/>
      <c r="BIT38" s="2795"/>
      <c r="BIU38" s="2795"/>
      <c r="BIV38" s="2795"/>
      <c r="BIW38" s="2795"/>
      <c r="BIX38" s="2795"/>
      <c r="BIY38" s="2795"/>
      <c r="BIZ38" s="2795"/>
      <c r="BJA38" s="2795"/>
      <c r="BJB38" s="2795"/>
      <c r="BJC38" s="2795"/>
      <c r="BJD38" s="2795"/>
      <c r="BJE38" s="2795"/>
      <c r="BJF38" s="2795"/>
      <c r="BJG38" s="2795"/>
      <c r="BJH38" s="2795"/>
      <c r="BJI38" s="2795"/>
      <c r="BJJ38" s="2795"/>
      <c r="BJK38" s="2795"/>
      <c r="BJL38" s="2795"/>
      <c r="BJM38" s="2795"/>
      <c r="BJN38" s="2795"/>
      <c r="BJO38" s="2795"/>
      <c r="BJP38" s="2795"/>
      <c r="BJQ38" s="2795"/>
      <c r="BJR38" s="2795"/>
      <c r="BJS38" s="2795"/>
      <c r="BJT38" s="2795"/>
      <c r="BJU38" s="2795"/>
      <c r="BJV38" s="2795"/>
      <c r="BJW38" s="2795"/>
      <c r="BJX38" s="2795"/>
      <c r="BJY38" s="2795"/>
      <c r="BJZ38" s="2795"/>
      <c r="BKA38" s="2795"/>
      <c r="BKB38" s="2795"/>
      <c r="BKC38" s="2795"/>
      <c r="BKD38" s="2795"/>
      <c r="BKE38" s="2795"/>
      <c r="BKF38" s="2795"/>
      <c r="BKG38" s="2795"/>
      <c r="BKH38" s="2795"/>
      <c r="BKI38" s="2795"/>
      <c r="BKJ38" s="2795"/>
      <c r="BKK38" s="2795"/>
      <c r="BKL38" s="2795"/>
      <c r="BKM38" s="2795"/>
      <c r="BKN38" s="2795"/>
      <c r="BKO38" s="2795"/>
      <c r="BKP38" s="2795"/>
      <c r="BKQ38" s="2795"/>
      <c r="BKR38" s="2795"/>
      <c r="BKS38" s="2795"/>
      <c r="BKT38" s="2795"/>
      <c r="BKU38" s="2795"/>
      <c r="BKV38" s="2795"/>
      <c r="BKW38" s="2795"/>
      <c r="BKX38" s="2795"/>
      <c r="BKY38" s="2795"/>
      <c r="BKZ38" s="2795"/>
      <c r="BLA38" s="2795"/>
      <c r="BLB38" s="2795"/>
      <c r="BLC38" s="2795"/>
      <c r="BLD38" s="2795"/>
      <c r="BLE38" s="2795"/>
      <c r="BLF38" s="2795"/>
      <c r="BLG38" s="2795"/>
      <c r="BLH38" s="2795"/>
      <c r="BLI38" s="2795"/>
      <c r="BLJ38" s="2795"/>
      <c r="BLK38" s="2795"/>
      <c r="BLL38" s="2795"/>
      <c r="BLM38" s="2795"/>
      <c r="BLN38" s="2795"/>
      <c r="BLO38" s="2795"/>
      <c r="BLP38" s="2795"/>
      <c r="BLQ38" s="2795"/>
      <c r="BLR38" s="2795"/>
      <c r="BLS38" s="2795"/>
      <c r="BLT38" s="2795"/>
      <c r="BLU38" s="2795"/>
      <c r="BLV38" s="2795"/>
      <c r="BLW38" s="2795"/>
      <c r="BLX38" s="2795"/>
      <c r="BLY38" s="2795"/>
      <c r="BLZ38" s="2795"/>
      <c r="BMA38" s="2795"/>
      <c r="BMB38" s="2795"/>
      <c r="BMC38" s="2795"/>
      <c r="BMD38" s="2795"/>
      <c r="BME38" s="2795"/>
      <c r="BMF38" s="2795"/>
      <c r="BMG38" s="2795"/>
      <c r="BMH38" s="2795"/>
      <c r="BMI38" s="2795"/>
      <c r="BMJ38" s="2795"/>
      <c r="BMK38" s="2795"/>
      <c r="BML38" s="2795"/>
      <c r="BMM38" s="2795"/>
      <c r="BMN38" s="2795"/>
      <c r="BMO38" s="2795"/>
      <c r="BMP38" s="2795"/>
      <c r="BMQ38" s="2795"/>
      <c r="BMR38" s="2795"/>
      <c r="BMS38" s="2795"/>
      <c r="BMT38" s="2795"/>
      <c r="BMU38" s="2795"/>
      <c r="BMV38" s="2795"/>
      <c r="BMW38" s="2795"/>
      <c r="BMX38" s="2795"/>
      <c r="BMY38" s="2795"/>
      <c r="BMZ38" s="2795"/>
      <c r="BNA38" s="2795"/>
      <c r="BNB38" s="2795"/>
      <c r="BNC38" s="2795"/>
      <c r="BND38" s="2795"/>
      <c r="BNE38" s="2795"/>
      <c r="BNF38" s="2795"/>
      <c r="BNG38" s="2795"/>
      <c r="BNH38" s="2795"/>
      <c r="BNI38" s="2795"/>
      <c r="BNJ38" s="2795"/>
      <c r="BNK38" s="2795"/>
      <c r="BNL38" s="2795"/>
      <c r="BNM38" s="2795"/>
      <c r="BNN38" s="2795"/>
      <c r="BNO38" s="2795"/>
      <c r="BNP38" s="2795"/>
      <c r="BNQ38" s="2795"/>
      <c r="BNR38" s="2795"/>
      <c r="BNS38" s="2795"/>
      <c r="BNT38" s="2795"/>
      <c r="BNU38" s="2795"/>
      <c r="BNV38" s="2795"/>
      <c r="BNW38" s="2795"/>
      <c r="BNX38" s="2795"/>
      <c r="BNY38" s="2795"/>
      <c r="BNZ38" s="2795"/>
      <c r="BOA38" s="2795"/>
      <c r="BOB38" s="2795"/>
      <c r="BOC38" s="2795"/>
      <c r="BOD38" s="2795"/>
      <c r="BOE38" s="2795"/>
      <c r="BOF38" s="2795"/>
      <c r="BOG38" s="2795"/>
      <c r="BOH38" s="2795"/>
      <c r="BOI38" s="2795"/>
      <c r="BOJ38" s="2795"/>
      <c r="BOK38" s="2795"/>
      <c r="BOL38" s="2795"/>
      <c r="BOM38" s="2795"/>
      <c r="BON38" s="2795"/>
      <c r="BOO38" s="2795"/>
      <c r="BOP38" s="2795"/>
      <c r="BOQ38" s="2795"/>
      <c r="BOR38" s="2795"/>
      <c r="BOS38" s="2795"/>
      <c r="BOT38" s="2795"/>
      <c r="BOU38" s="2795"/>
      <c r="BOV38" s="2795"/>
      <c r="BOW38" s="2795"/>
      <c r="BOX38" s="2795"/>
      <c r="BOY38" s="2795"/>
      <c r="BOZ38" s="2795"/>
      <c r="BPA38" s="2795"/>
      <c r="BPB38" s="2795"/>
      <c r="BPC38" s="2795"/>
      <c r="BPD38" s="2795"/>
      <c r="BPE38" s="2795"/>
      <c r="BPF38" s="2795"/>
      <c r="BPG38" s="2795"/>
      <c r="BPH38" s="2795"/>
      <c r="BPI38" s="2795"/>
      <c r="BPJ38" s="2795"/>
      <c r="BPK38" s="2795"/>
      <c r="BPL38" s="2795"/>
      <c r="BPM38" s="2795"/>
      <c r="BPN38" s="2795"/>
      <c r="BPO38" s="2795"/>
      <c r="BPP38" s="2795"/>
      <c r="BPQ38" s="2795"/>
      <c r="BPR38" s="2795"/>
      <c r="BPS38" s="2795"/>
      <c r="BPT38" s="2795"/>
      <c r="BPU38" s="2795"/>
      <c r="BPV38" s="2795"/>
      <c r="BPW38" s="2795"/>
      <c r="BPX38" s="2795"/>
      <c r="BPY38" s="2795"/>
      <c r="BPZ38" s="2795"/>
      <c r="BQA38" s="2795"/>
      <c r="BQB38" s="2795"/>
      <c r="BQC38" s="2795"/>
      <c r="BQD38" s="2795"/>
      <c r="BQE38" s="2795"/>
      <c r="BQF38" s="2795"/>
      <c r="BQG38" s="2795"/>
      <c r="BQH38" s="2795"/>
      <c r="BQI38" s="2795"/>
      <c r="BQJ38" s="2795"/>
      <c r="BQK38" s="2795"/>
      <c r="BQL38" s="2795"/>
      <c r="BQM38" s="2795"/>
      <c r="BQN38" s="2795"/>
      <c r="BQO38" s="2795"/>
      <c r="BQP38" s="2795"/>
      <c r="BQQ38" s="2795"/>
      <c r="BQR38" s="2795"/>
      <c r="BQS38" s="2795"/>
      <c r="BQT38" s="2795"/>
      <c r="BQU38" s="2795"/>
      <c r="BQV38" s="2795"/>
      <c r="BQW38" s="2795"/>
      <c r="BQX38" s="2795"/>
      <c r="BQY38" s="2795"/>
      <c r="BQZ38" s="2795"/>
      <c r="BRA38" s="2795"/>
      <c r="BRB38" s="2795"/>
      <c r="BRC38" s="2795"/>
      <c r="BRD38" s="2795"/>
      <c r="BRE38" s="2795"/>
      <c r="BRF38" s="2795"/>
      <c r="BRG38" s="2795"/>
      <c r="BRH38" s="2795"/>
      <c r="BRI38" s="2795"/>
      <c r="BRJ38" s="2795"/>
      <c r="BRK38" s="2795"/>
      <c r="BRL38" s="2795"/>
      <c r="BRM38" s="2795"/>
      <c r="BRN38" s="2795"/>
      <c r="BRO38" s="2795"/>
      <c r="BRP38" s="2795"/>
      <c r="BRQ38" s="2795"/>
      <c r="BRR38" s="2795"/>
      <c r="BRS38" s="2795"/>
      <c r="BRT38" s="2795"/>
      <c r="BRU38" s="2795"/>
      <c r="BRV38" s="2795"/>
      <c r="BRW38" s="2795"/>
      <c r="BRX38" s="2795"/>
      <c r="BRY38" s="2795"/>
      <c r="BRZ38" s="2795"/>
      <c r="BSA38" s="2795"/>
      <c r="BSB38" s="2795"/>
      <c r="BSC38" s="2795"/>
      <c r="BSD38" s="2795"/>
      <c r="BSE38" s="2795"/>
      <c r="BSF38" s="2795"/>
      <c r="BSG38" s="2795"/>
      <c r="BSH38" s="2795"/>
      <c r="BSI38" s="2795"/>
      <c r="BSJ38" s="2795"/>
      <c r="BSK38" s="2795"/>
      <c r="BSL38" s="2795"/>
      <c r="BSM38" s="2795"/>
      <c r="BSN38" s="2795"/>
      <c r="BSO38" s="2795"/>
      <c r="BSP38" s="2795"/>
      <c r="BSQ38" s="2795"/>
      <c r="BSR38" s="2795"/>
      <c r="BSS38" s="2795"/>
      <c r="BST38" s="2795"/>
      <c r="BSU38" s="2795"/>
      <c r="BSV38" s="2795"/>
      <c r="BSW38" s="2795"/>
      <c r="BSX38" s="2795"/>
      <c r="BSY38" s="2795"/>
      <c r="BSZ38" s="2795"/>
      <c r="BTA38" s="2795"/>
      <c r="BTB38" s="2795"/>
      <c r="BTC38" s="2795"/>
      <c r="BTD38" s="2795"/>
      <c r="BTE38" s="2795"/>
      <c r="BTF38" s="2795"/>
      <c r="BTG38" s="2795"/>
      <c r="BTH38" s="2795"/>
      <c r="BTI38" s="2795"/>
      <c r="BTJ38" s="2795"/>
      <c r="BTK38" s="2795"/>
      <c r="BTL38" s="2795"/>
      <c r="BTM38" s="2795"/>
      <c r="BTN38" s="2795"/>
      <c r="BTO38" s="2795"/>
      <c r="BTP38" s="2795"/>
      <c r="BTQ38" s="2795"/>
      <c r="BTR38" s="2795"/>
      <c r="BTS38" s="2795"/>
      <c r="BTT38" s="2795"/>
      <c r="BTU38" s="2795"/>
      <c r="BTV38" s="2795"/>
      <c r="BTW38" s="2795"/>
      <c r="BTX38" s="2795"/>
      <c r="BTY38" s="2795"/>
      <c r="BTZ38" s="2795"/>
      <c r="BUA38" s="2795"/>
      <c r="BUB38" s="2795"/>
      <c r="BUC38" s="2795"/>
      <c r="BUD38" s="2795"/>
      <c r="BUE38" s="2795"/>
      <c r="BUF38" s="2795"/>
      <c r="BUG38" s="2795"/>
      <c r="BUH38" s="2795"/>
      <c r="BUI38" s="2795"/>
      <c r="BUJ38" s="2795"/>
      <c r="BUK38" s="2795"/>
      <c r="BUL38" s="2795"/>
      <c r="BUM38" s="2795"/>
      <c r="BUN38" s="2795"/>
      <c r="BUO38" s="2795"/>
      <c r="BUP38" s="2795"/>
      <c r="BUQ38" s="2795"/>
      <c r="BUR38" s="2795"/>
      <c r="BUS38" s="2795"/>
      <c r="BUT38" s="2795"/>
      <c r="BUU38" s="2795"/>
      <c r="BUV38" s="2795"/>
      <c r="BUW38" s="2795"/>
      <c r="BUX38" s="2795"/>
      <c r="BUY38" s="2795"/>
      <c r="BUZ38" s="2795"/>
      <c r="BVA38" s="2795"/>
      <c r="BVB38" s="2795"/>
      <c r="BVC38" s="2795"/>
      <c r="BVD38" s="2795"/>
      <c r="BVE38" s="2795"/>
      <c r="BVF38" s="2795"/>
      <c r="BVG38" s="2795"/>
      <c r="BVH38" s="2795"/>
      <c r="BVI38" s="2795"/>
      <c r="BVJ38" s="2795"/>
      <c r="BVK38" s="2795"/>
      <c r="BVL38" s="2795"/>
      <c r="BVM38" s="2795"/>
      <c r="BVN38" s="2795"/>
      <c r="BVO38" s="2795"/>
      <c r="BVP38" s="2795"/>
      <c r="BVQ38" s="2795"/>
      <c r="BVR38" s="2795"/>
      <c r="BVS38" s="2795"/>
      <c r="BVT38" s="2795"/>
      <c r="BVU38" s="2795"/>
      <c r="BVV38" s="2795"/>
      <c r="BVW38" s="2795"/>
      <c r="BVX38" s="2795"/>
      <c r="BVY38" s="2795"/>
      <c r="BVZ38" s="2795"/>
      <c r="BWA38" s="2795"/>
      <c r="BWB38" s="2795"/>
      <c r="BWC38" s="2795"/>
      <c r="BWD38" s="2795"/>
      <c r="BWE38" s="2795"/>
      <c r="BWF38" s="2795"/>
      <c r="BWG38" s="2795"/>
      <c r="BWH38" s="2795"/>
      <c r="BWI38" s="2795"/>
      <c r="BWJ38" s="2795"/>
      <c r="BWK38" s="2795"/>
      <c r="BWL38" s="2795"/>
      <c r="BWM38" s="2795"/>
      <c r="BWN38" s="2795"/>
      <c r="BWO38" s="2795"/>
      <c r="BWP38" s="2795"/>
      <c r="BWQ38" s="2795"/>
      <c r="BWR38" s="2795"/>
      <c r="BWS38" s="2795"/>
      <c r="BWT38" s="2795"/>
      <c r="BWU38" s="2795"/>
      <c r="BWV38" s="2795"/>
      <c r="BWW38" s="2795"/>
      <c r="BWX38" s="2795"/>
      <c r="BWY38" s="2795"/>
      <c r="BWZ38" s="2795"/>
      <c r="BXA38" s="2795"/>
      <c r="BXB38" s="2795"/>
      <c r="BXC38" s="2795"/>
      <c r="BXD38" s="2795"/>
      <c r="BXE38" s="2795"/>
      <c r="BXF38" s="2795"/>
      <c r="BXG38" s="2795"/>
      <c r="BXH38" s="2795"/>
      <c r="BXI38" s="2795"/>
      <c r="BXJ38" s="2795"/>
      <c r="BXK38" s="2795"/>
      <c r="BXL38" s="2795"/>
      <c r="BXM38" s="2795"/>
      <c r="BXN38" s="2795"/>
      <c r="BXO38" s="2795"/>
      <c r="BXP38" s="2795"/>
      <c r="BXQ38" s="2795"/>
      <c r="BXR38" s="2795"/>
      <c r="BXS38" s="2795"/>
      <c r="BXT38" s="2795"/>
      <c r="BXU38" s="2795"/>
      <c r="BXV38" s="2795"/>
      <c r="BXW38" s="2795"/>
      <c r="BXX38" s="2795"/>
      <c r="BXY38" s="2795"/>
      <c r="BXZ38" s="2795"/>
      <c r="BYA38" s="2795"/>
      <c r="BYB38" s="2795"/>
      <c r="BYC38" s="2795"/>
      <c r="BYD38" s="2795"/>
      <c r="BYE38" s="2795"/>
      <c r="BYF38" s="2795"/>
      <c r="BYG38" s="2795"/>
      <c r="BYH38" s="2795"/>
      <c r="BYI38" s="2795"/>
      <c r="BYJ38" s="2795"/>
      <c r="BYK38" s="2795"/>
      <c r="BYL38" s="2795"/>
      <c r="BYM38" s="2795"/>
      <c r="BYN38" s="2795"/>
      <c r="BYO38" s="2795"/>
      <c r="BYP38" s="2795"/>
      <c r="BYQ38" s="2795"/>
      <c r="BYR38" s="2795"/>
      <c r="BYS38" s="2795"/>
      <c r="BYT38" s="2795"/>
      <c r="BYU38" s="2795"/>
      <c r="BYV38" s="2795"/>
      <c r="BYW38" s="2795"/>
      <c r="BYX38" s="2795"/>
      <c r="BYY38" s="2795"/>
      <c r="BYZ38" s="2795"/>
      <c r="BZA38" s="2795"/>
      <c r="BZB38" s="2795"/>
      <c r="BZC38" s="2795"/>
      <c r="BZD38" s="2795"/>
      <c r="BZE38" s="2795"/>
      <c r="BZF38" s="2795"/>
      <c r="BZG38" s="2795"/>
      <c r="BZH38" s="2795"/>
      <c r="BZI38" s="2795"/>
      <c r="BZJ38" s="2795"/>
      <c r="BZK38" s="2795"/>
      <c r="BZL38" s="2795"/>
      <c r="BZM38" s="2795"/>
      <c r="BZN38" s="2795"/>
      <c r="BZO38" s="2795"/>
      <c r="BZP38" s="2795"/>
      <c r="BZQ38" s="2795"/>
      <c r="BZR38" s="2795"/>
      <c r="BZS38" s="2795"/>
      <c r="BZT38" s="2795"/>
      <c r="BZU38" s="2795"/>
      <c r="BZV38" s="2795"/>
      <c r="BZW38" s="2795"/>
      <c r="BZX38" s="2795"/>
      <c r="BZY38" s="2795"/>
      <c r="BZZ38" s="2795"/>
      <c r="CAA38" s="2795"/>
      <c r="CAB38" s="2795"/>
      <c r="CAC38" s="2795"/>
      <c r="CAD38" s="2795"/>
      <c r="CAE38" s="2795"/>
      <c r="CAF38" s="2795"/>
      <c r="CAG38" s="2795"/>
      <c r="CAH38" s="2795"/>
      <c r="CAI38" s="2795"/>
      <c r="CAJ38" s="2795"/>
      <c r="CAK38" s="2795"/>
      <c r="CAL38" s="2795"/>
      <c r="CAM38" s="2795"/>
      <c r="CAN38" s="2795"/>
      <c r="CAO38" s="2795"/>
      <c r="CAP38" s="2795"/>
      <c r="CAQ38" s="2795"/>
      <c r="CAR38" s="2795"/>
      <c r="CAS38" s="2795"/>
      <c r="CAT38" s="2795"/>
      <c r="CAU38" s="2795"/>
      <c r="CAV38" s="2795"/>
      <c r="CAW38" s="2795"/>
      <c r="CAX38" s="2795"/>
      <c r="CAY38" s="2795"/>
      <c r="CAZ38" s="2795"/>
      <c r="CBA38" s="2795"/>
      <c r="CBB38" s="2795"/>
      <c r="CBC38" s="2795"/>
      <c r="CBD38" s="2795"/>
      <c r="CBE38" s="2795"/>
      <c r="CBF38" s="2795"/>
      <c r="CBG38" s="2795"/>
      <c r="CBH38" s="2795"/>
      <c r="CBI38" s="2795"/>
      <c r="CBJ38" s="2795"/>
      <c r="CBK38" s="2795"/>
      <c r="CBL38" s="2795"/>
      <c r="CBM38" s="2795"/>
      <c r="CBN38" s="2795"/>
      <c r="CBO38" s="2795"/>
      <c r="CBP38" s="2795"/>
      <c r="CBQ38" s="2795"/>
      <c r="CBR38" s="2795"/>
      <c r="CBS38" s="2795"/>
      <c r="CBT38" s="2795"/>
      <c r="CBU38" s="2795"/>
      <c r="CBV38" s="2795"/>
      <c r="CBW38" s="2795"/>
      <c r="CBX38" s="2795"/>
      <c r="CBY38" s="2795"/>
      <c r="CBZ38" s="2795"/>
      <c r="CCA38" s="2795"/>
      <c r="CCB38" s="2795"/>
      <c r="CCC38" s="2795"/>
      <c r="CCD38" s="2795"/>
      <c r="CCE38" s="2795"/>
      <c r="CCF38" s="2795"/>
      <c r="CCG38" s="2795"/>
      <c r="CCH38" s="2795"/>
      <c r="CCI38" s="2795"/>
      <c r="CCJ38" s="2795"/>
      <c r="CCK38" s="2795"/>
      <c r="CCL38" s="2795"/>
      <c r="CCM38" s="2795"/>
      <c r="CCN38" s="2795"/>
      <c r="CCO38" s="2795"/>
      <c r="CCP38" s="2795"/>
      <c r="CCQ38" s="2795"/>
      <c r="CCR38" s="2795"/>
      <c r="CCS38" s="2795"/>
      <c r="CCT38" s="2795"/>
      <c r="CCU38" s="2795"/>
      <c r="CCV38" s="2795"/>
      <c r="CCW38" s="2795"/>
      <c r="CCX38" s="2795"/>
      <c r="CCY38" s="2795"/>
      <c r="CCZ38" s="2795"/>
      <c r="CDA38" s="2795"/>
      <c r="CDB38" s="2795"/>
      <c r="CDC38" s="2795"/>
      <c r="CDD38" s="2795"/>
      <c r="CDE38" s="2795"/>
      <c r="CDF38" s="2795"/>
      <c r="CDG38" s="2795"/>
      <c r="CDH38" s="2795"/>
      <c r="CDI38" s="2795"/>
      <c r="CDJ38" s="2795"/>
      <c r="CDK38" s="2795"/>
      <c r="CDL38" s="2795"/>
      <c r="CDM38" s="2795"/>
      <c r="CDN38" s="2795"/>
      <c r="CDO38" s="2795"/>
      <c r="CDP38" s="2795"/>
      <c r="CDQ38" s="2795"/>
      <c r="CDR38" s="2795"/>
      <c r="CDS38" s="2795"/>
      <c r="CDT38" s="2795"/>
      <c r="CDU38" s="2795"/>
      <c r="CDV38" s="2795"/>
      <c r="CDW38" s="2795"/>
      <c r="CDX38" s="2795"/>
      <c r="CDY38" s="2795"/>
      <c r="CDZ38" s="2795"/>
      <c r="CEA38" s="2795"/>
      <c r="CEB38" s="2795"/>
      <c r="CEC38" s="2795"/>
      <c r="CED38" s="2795"/>
      <c r="CEE38" s="2795"/>
      <c r="CEF38" s="2795"/>
      <c r="CEG38" s="2795"/>
      <c r="CEH38" s="2795"/>
      <c r="CEI38" s="2795"/>
      <c r="CEJ38" s="2795"/>
      <c r="CEK38" s="2795"/>
      <c r="CEL38" s="2795"/>
      <c r="CEM38" s="2795"/>
      <c r="CEN38" s="2795"/>
      <c r="CEO38" s="2795"/>
      <c r="CEP38" s="2795"/>
      <c r="CEQ38" s="2795"/>
      <c r="CER38" s="2795"/>
      <c r="CES38" s="2795"/>
      <c r="CET38" s="2795"/>
      <c r="CEU38" s="2795"/>
      <c r="CEV38" s="2795"/>
      <c r="CEW38" s="2795"/>
      <c r="CEX38" s="2795"/>
      <c r="CEY38" s="2795"/>
      <c r="CEZ38" s="2795"/>
      <c r="CFA38" s="2795"/>
      <c r="CFB38" s="2795"/>
      <c r="CFC38" s="2795"/>
      <c r="CFD38" s="2795"/>
      <c r="CFE38" s="2795"/>
      <c r="CFF38" s="2795"/>
      <c r="CFG38" s="2795"/>
      <c r="CFH38" s="2795"/>
      <c r="CFI38" s="2795"/>
      <c r="CFJ38" s="2795"/>
      <c r="CFK38" s="2795"/>
      <c r="CFL38" s="2795"/>
      <c r="CFM38" s="2795"/>
      <c r="CFN38" s="2795"/>
      <c r="CFO38" s="2795"/>
      <c r="CFP38" s="2795"/>
      <c r="CFQ38" s="2795"/>
      <c r="CFR38" s="2795"/>
      <c r="CFS38" s="2795"/>
      <c r="CFT38" s="2795"/>
      <c r="CFU38" s="2795"/>
      <c r="CFV38" s="2795"/>
      <c r="CFW38" s="2795"/>
      <c r="CFX38" s="2795"/>
      <c r="CFY38" s="2795"/>
      <c r="CFZ38" s="2795"/>
      <c r="CGA38" s="2795"/>
      <c r="CGB38" s="2795"/>
      <c r="CGC38" s="2795"/>
      <c r="CGD38" s="2795"/>
      <c r="CGE38" s="2795"/>
      <c r="CGF38" s="2795"/>
      <c r="CGG38" s="2795"/>
      <c r="CGH38" s="2795"/>
      <c r="CGI38" s="2795"/>
      <c r="CGJ38" s="2795"/>
      <c r="CGK38" s="2795"/>
      <c r="CGL38" s="2795"/>
      <c r="CGM38" s="2795"/>
      <c r="CGN38" s="2795"/>
      <c r="CGO38" s="2795"/>
      <c r="CGP38" s="2795"/>
      <c r="CGQ38" s="2795"/>
      <c r="CGR38" s="2795"/>
      <c r="CGS38" s="2795"/>
      <c r="CGT38" s="2795"/>
      <c r="CGU38" s="2795"/>
      <c r="CGV38" s="2795"/>
      <c r="CGW38" s="2795"/>
      <c r="CGX38" s="2795"/>
      <c r="CGY38" s="2795"/>
      <c r="CGZ38" s="2795"/>
      <c r="CHA38" s="2795"/>
      <c r="CHB38" s="2795"/>
      <c r="CHC38" s="2795"/>
      <c r="CHD38" s="2795"/>
      <c r="CHE38" s="2795"/>
      <c r="CHF38" s="2795"/>
      <c r="CHG38" s="2795"/>
      <c r="CHH38" s="2795"/>
      <c r="CHI38" s="2795"/>
      <c r="CHJ38" s="2795"/>
      <c r="CHK38" s="2795"/>
      <c r="CHL38" s="2795"/>
      <c r="CHM38" s="2795"/>
      <c r="CHN38" s="2795"/>
      <c r="CHO38" s="2795"/>
      <c r="CHP38" s="2795"/>
      <c r="CHQ38" s="2795"/>
      <c r="CHR38" s="2795"/>
      <c r="CHS38" s="2795"/>
      <c r="CHT38" s="2795"/>
      <c r="CHU38" s="2795"/>
      <c r="CHV38" s="2795"/>
      <c r="CHW38" s="2795"/>
      <c r="CHX38" s="2795"/>
      <c r="CHY38" s="2795"/>
      <c r="CHZ38" s="2795"/>
      <c r="CIA38" s="2795"/>
      <c r="CIB38" s="2795"/>
      <c r="CIC38" s="2795"/>
      <c r="CID38" s="2795"/>
      <c r="CIE38" s="2795"/>
      <c r="CIF38" s="2795"/>
      <c r="CIG38" s="2795"/>
      <c r="CIH38" s="2795"/>
      <c r="CII38" s="2795"/>
      <c r="CIJ38" s="2795"/>
      <c r="CIK38" s="2795"/>
      <c r="CIL38" s="2795"/>
      <c r="CIM38" s="2795"/>
      <c r="CIN38" s="2795"/>
      <c r="CIO38" s="2795"/>
      <c r="CIP38" s="2795"/>
      <c r="CIQ38" s="2795"/>
      <c r="CIR38" s="2795"/>
      <c r="CIS38" s="2795"/>
      <c r="CIT38" s="2795"/>
      <c r="CIU38" s="2795"/>
      <c r="CIV38" s="2795"/>
      <c r="CIW38" s="2795"/>
      <c r="CIX38" s="2795"/>
      <c r="CIY38" s="2795"/>
      <c r="CIZ38" s="2795"/>
      <c r="CJA38" s="2795"/>
      <c r="CJB38" s="2795"/>
      <c r="CJC38" s="2795"/>
      <c r="CJD38" s="2795"/>
      <c r="CJE38" s="2795"/>
      <c r="CJF38" s="2795"/>
      <c r="CJG38" s="2795"/>
      <c r="CJH38" s="2795"/>
      <c r="CJI38" s="2795"/>
      <c r="CJJ38" s="2795"/>
      <c r="CJK38" s="2795"/>
      <c r="CJL38" s="2795"/>
      <c r="CJM38" s="2795"/>
      <c r="CJN38" s="2795"/>
      <c r="CJO38" s="2795"/>
      <c r="CJP38" s="2795"/>
      <c r="CJQ38" s="2795"/>
      <c r="CJR38" s="2795"/>
      <c r="CJS38" s="2795"/>
      <c r="CJT38" s="2795"/>
      <c r="CJU38" s="2795"/>
      <c r="CJV38" s="2795"/>
      <c r="CJW38" s="2795"/>
      <c r="CJX38" s="2795"/>
      <c r="CJY38" s="2795"/>
      <c r="CJZ38" s="2795"/>
      <c r="CKA38" s="2795"/>
      <c r="CKB38" s="2795"/>
      <c r="CKC38" s="2795"/>
      <c r="CKD38" s="2795"/>
      <c r="CKE38" s="2795"/>
      <c r="CKF38" s="2795"/>
      <c r="CKG38" s="2795"/>
      <c r="CKH38" s="2795"/>
      <c r="CKI38" s="2795"/>
      <c r="CKJ38" s="2795"/>
      <c r="CKK38" s="2795"/>
      <c r="CKL38" s="2795"/>
      <c r="CKM38" s="2795"/>
      <c r="CKN38" s="2795"/>
      <c r="CKO38" s="2795"/>
      <c r="CKP38" s="2795"/>
      <c r="CKQ38" s="2795"/>
      <c r="CKR38" s="2795"/>
      <c r="CKS38" s="2795"/>
      <c r="CKT38" s="2795"/>
      <c r="CKU38" s="2795"/>
      <c r="CKV38" s="2795"/>
      <c r="CKW38" s="2795"/>
      <c r="CKX38" s="2795"/>
      <c r="CKY38" s="2795"/>
      <c r="CKZ38" s="2795"/>
      <c r="CLA38" s="2795"/>
      <c r="CLB38" s="2795"/>
      <c r="CLC38" s="2795"/>
      <c r="CLD38" s="2795"/>
      <c r="CLE38" s="2795"/>
      <c r="CLF38" s="2795"/>
      <c r="CLG38" s="2795"/>
      <c r="CLH38" s="2795"/>
      <c r="CLI38" s="2795"/>
      <c r="CLJ38" s="2795"/>
      <c r="CLK38" s="2795"/>
      <c r="CLL38" s="2795"/>
      <c r="CLM38" s="2795"/>
      <c r="CLN38" s="2795"/>
      <c r="CLO38" s="2795"/>
      <c r="CLP38" s="2795"/>
      <c r="CLQ38" s="2795"/>
      <c r="CLR38" s="2795"/>
      <c r="CLS38" s="2795"/>
      <c r="CLT38" s="2795"/>
      <c r="CLU38" s="2795"/>
      <c r="CLV38" s="2795"/>
      <c r="CLW38" s="2795"/>
      <c r="CLX38" s="2795"/>
      <c r="CLY38" s="2795"/>
      <c r="CLZ38" s="2795"/>
      <c r="CMA38" s="2795"/>
      <c r="CMB38" s="2795"/>
      <c r="CMC38" s="2795"/>
      <c r="CMD38" s="2795"/>
      <c r="CME38" s="2795"/>
      <c r="CMF38" s="2795"/>
      <c r="CMG38" s="2795"/>
      <c r="CMH38" s="2795"/>
      <c r="CMI38" s="2795"/>
      <c r="CMJ38" s="2795"/>
      <c r="CMK38" s="2795"/>
      <c r="CML38" s="2795"/>
      <c r="CMM38" s="2795"/>
      <c r="CMN38" s="2795"/>
      <c r="CMO38" s="2795"/>
      <c r="CMP38" s="2795"/>
      <c r="CMQ38" s="2795"/>
      <c r="CMR38" s="2795"/>
      <c r="CMS38" s="2795"/>
      <c r="CMT38" s="2795"/>
      <c r="CMU38" s="2795"/>
      <c r="CMV38" s="2795"/>
      <c r="CMW38" s="2795"/>
      <c r="CMX38" s="2795"/>
      <c r="CMY38" s="2795"/>
      <c r="CMZ38" s="2795"/>
      <c r="CNA38" s="2795"/>
      <c r="CNB38" s="2795"/>
      <c r="CNC38" s="2795"/>
      <c r="CND38" s="2795"/>
      <c r="CNE38" s="2795"/>
      <c r="CNF38" s="2795"/>
      <c r="CNG38" s="2795"/>
      <c r="CNH38" s="2795"/>
      <c r="CNI38" s="2795"/>
      <c r="CNJ38" s="2795"/>
      <c r="CNK38" s="2795"/>
      <c r="CNL38" s="2795"/>
      <c r="CNM38" s="2795"/>
      <c r="CNN38" s="2795"/>
      <c r="CNO38" s="2795"/>
      <c r="CNP38" s="2795"/>
      <c r="CNQ38" s="2795"/>
      <c r="CNR38" s="2795"/>
      <c r="CNS38" s="2795"/>
      <c r="CNT38" s="2795"/>
      <c r="CNU38" s="2795"/>
      <c r="CNV38" s="2795"/>
      <c r="CNW38" s="2795"/>
      <c r="CNX38" s="2795"/>
      <c r="CNY38" s="2795"/>
      <c r="CNZ38" s="2795"/>
      <c r="COA38" s="2795"/>
      <c r="COB38" s="2795"/>
      <c r="COC38" s="2795"/>
      <c r="COD38" s="2795"/>
      <c r="COE38" s="2795"/>
      <c r="COF38" s="2795"/>
      <c r="COG38" s="2795"/>
      <c r="COH38" s="2795"/>
      <c r="COI38" s="2795"/>
      <c r="COJ38" s="2795"/>
      <c r="COK38" s="2795"/>
      <c r="COL38" s="2795"/>
      <c r="COM38" s="2795"/>
      <c r="CON38" s="2795"/>
      <c r="COO38" s="2795"/>
      <c r="COP38" s="2795"/>
      <c r="COQ38" s="2795"/>
      <c r="COR38" s="2795"/>
      <c r="COS38" s="2795"/>
      <c r="COT38" s="2795"/>
      <c r="COU38" s="2795"/>
      <c r="COV38" s="2795"/>
      <c r="COW38" s="2795"/>
      <c r="COX38" s="2795"/>
      <c r="COY38" s="2795"/>
      <c r="COZ38" s="2795"/>
      <c r="CPA38" s="2795"/>
      <c r="CPB38" s="2795"/>
      <c r="CPC38" s="2795"/>
      <c r="CPD38" s="2795"/>
      <c r="CPE38" s="2795"/>
      <c r="CPF38" s="2795"/>
      <c r="CPG38" s="2795"/>
      <c r="CPH38" s="2795"/>
      <c r="CPI38" s="2795"/>
      <c r="CPJ38" s="2795"/>
      <c r="CPK38" s="2795"/>
      <c r="CPL38" s="2795"/>
      <c r="CPM38" s="2795"/>
      <c r="CPN38" s="2795"/>
      <c r="CPO38" s="2795"/>
      <c r="CPP38" s="2795"/>
      <c r="CPQ38" s="2795"/>
      <c r="CPR38" s="2795"/>
      <c r="CPS38" s="2795"/>
      <c r="CPT38" s="2795"/>
      <c r="CPU38" s="2795"/>
      <c r="CPV38" s="2795"/>
      <c r="CPW38" s="2795"/>
      <c r="CPX38" s="2795"/>
      <c r="CPY38" s="2795"/>
      <c r="CPZ38" s="2795"/>
      <c r="CQA38" s="2795"/>
      <c r="CQB38" s="2795"/>
      <c r="CQC38" s="2795"/>
      <c r="CQD38" s="2795"/>
      <c r="CQE38" s="2795"/>
      <c r="CQF38" s="2795"/>
      <c r="CQG38" s="2795"/>
      <c r="CQH38" s="2795"/>
      <c r="CQI38" s="2795"/>
      <c r="CQJ38" s="2795"/>
      <c r="CQK38" s="2795"/>
      <c r="CQL38" s="2795"/>
      <c r="CQM38" s="2795"/>
      <c r="CQN38" s="2795"/>
      <c r="CQO38" s="2795"/>
      <c r="CQP38" s="2795"/>
      <c r="CQQ38" s="2795"/>
      <c r="CQR38" s="2795"/>
      <c r="CQS38" s="2795"/>
      <c r="CQT38" s="2795"/>
      <c r="CQU38" s="2795"/>
      <c r="CQV38" s="2795"/>
      <c r="CQW38" s="2795"/>
      <c r="CQX38" s="2795"/>
      <c r="CQY38" s="2795"/>
      <c r="CQZ38" s="2795"/>
      <c r="CRA38" s="2795"/>
      <c r="CRB38" s="2795"/>
      <c r="CRC38" s="2795"/>
      <c r="CRD38" s="2795"/>
      <c r="CRE38" s="2795"/>
      <c r="CRF38" s="2795"/>
      <c r="CRG38" s="2795"/>
      <c r="CRH38" s="2795"/>
      <c r="CRI38" s="2795"/>
      <c r="CRJ38" s="2795"/>
      <c r="CRK38" s="2795"/>
      <c r="CRL38" s="2795"/>
      <c r="CRM38" s="2795"/>
      <c r="CRN38" s="2795"/>
      <c r="CRO38" s="2795"/>
      <c r="CRP38" s="2795"/>
      <c r="CRQ38" s="2795"/>
      <c r="CRR38" s="2795"/>
      <c r="CRS38" s="2795"/>
      <c r="CRT38" s="2795"/>
      <c r="CRU38" s="2795"/>
      <c r="CRV38" s="2795"/>
      <c r="CRW38" s="2795"/>
      <c r="CRX38" s="2795"/>
      <c r="CRY38" s="2795"/>
      <c r="CRZ38" s="2795"/>
      <c r="CSA38" s="2795"/>
      <c r="CSB38" s="2795"/>
      <c r="CSC38" s="2795"/>
      <c r="CSD38" s="2795"/>
      <c r="CSE38" s="2795"/>
      <c r="CSF38" s="2795"/>
      <c r="CSG38" s="2795"/>
      <c r="CSH38" s="2795"/>
      <c r="CSI38" s="2795"/>
      <c r="CSJ38" s="2795"/>
      <c r="CSK38" s="2795"/>
      <c r="CSL38" s="2795"/>
      <c r="CSM38" s="2795"/>
      <c r="CSN38" s="2795"/>
      <c r="CSO38" s="2795"/>
      <c r="CSP38" s="2795"/>
      <c r="CSQ38" s="2795"/>
      <c r="CSR38" s="2795"/>
      <c r="CSS38" s="2795"/>
      <c r="CST38" s="2795"/>
      <c r="CSU38" s="2795"/>
      <c r="CSV38" s="2795"/>
      <c r="CSW38" s="2795"/>
      <c r="CSX38" s="2795"/>
      <c r="CSY38" s="2795"/>
      <c r="CSZ38" s="2795"/>
      <c r="CTA38" s="2795"/>
      <c r="CTB38" s="2795"/>
      <c r="CTC38" s="2795"/>
      <c r="CTD38" s="2795"/>
      <c r="CTE38" s="2795"/>
      <c r="CTF38" s="2795"/>
      <c r="CTG38" s="2795"/>
      <c r="CTH38" s="2795"/>
      <c r="CTI38" s="2795"/>
      <c r="CTJ38" s="2795"/>
      <c r="CTK38" s="2795"/>
      <c r="CTL38" s="2795"/>
      <c r="CTM38" s="2795"/>
      <c r="CTN38" s="2795"/>
      <c r="CTO38" s="2795"/>
      <c r="CTP38" s="2795"/>
      <c r="CTQ38" s="2795"/>
      <c r="CTR38" s="2795"/>
      <c r="CTS38" s="2795"/>
      <c r="CTT38" s="2795"/>
      <c r="CTU38" s="2795"/>
      <c r="CTV38" s="2795"/>
      <c r="CTW38" s="2795"/>
      <c r="CTX38" s="2795"/>
      <c r="CTY38" s="2795"/>
      <c r="CTZ38" s="2795"/>
      <c r="CUA38" s="2795"/>
      <c r="CUB38" s="2795"/>
      <c r="CUC38" s="2795"/>
      <c r="CUD38" s="2795"/>
      <c r="CUE38" s="2795"/>
      <c r="CUF38" s="2795"/>
      <c r="CUG38" s="2795"/>
      <c r="CUH38" s="2795"/>
      <c r="CUI38" s="2795"/>
      <c r="CUJ38" s="2795"/>
      <c r="CUK38" s="2795"/>
      <c r="CUL38" s="2795"/>
      <c r="CUM38" s="2795"/>
      <c r="CUN38" s="2795"/>
      <c r="CUO38" s="2795"/>
      <c r="CUP38" s="2795"/>
      <c r="CUQ38" s="2795"/>
      <c r="CUR38" s="2795"/>
      <c r="CUS38" s="2795"/>
      <c r="CUT38" s="2795"/>
      <c r="CUU38" s="2795"/>
      <c r="CUV38" s="2795"/>
      <c r="CUW38" s="2795"/>
      <c r="CUX38" s="2795"/>
      <c r="CUY38" s="2795"/>
      <c r="CUZ38" s="2795"/>
      <c r="CVA38" s="2795"/>
      <c r="CVB38" s="2795"/>
      <c r="CVC38" s="2795"/>
      <c r="CVD38" s="2795"/>
      <c r="CVE38" s="2795"/>
      <c r="CVF38" s="2795"/>
      <c r="CVG38" s="2795"/>
      <c r="CVH38" s="2795"/>
      <c r="CVI38" s="2795"/>
      <c r="CVJ38" s="2795"/>
      <c r="CVK38" s="2795"/>
      <c r="CVL38" s="2795"/>
      <c r="CVM38" s="2795"/>
      <c r="CVN38" s="2795"/>
      <c r="CVO38" s="2795"/>
      <c r="CVP38" s="2795"/>
      <c r="CVQ38" s="2795"/>
      <c r="CVR38" s="2795"/>
      <c r="CVS38" s="2795"/>
      <c r="CVT38" s="2795"/>
      <c r="CVU38" s="2795"/>
      <c r="CVV38" s="2795"/>
      <c r="CVW38" s="2795"/>
      <c r="CVX38" s="2795"/>
      <c r="CVY38" s="2795"/>
      <c r="CVZ38" s="2795"/>
      <c r="CWA38" s="2795"/>
      <c r="CWB38" s="2795"/>
      <c r="CWC38" s="2795"/>
      <c r="CWD38" s="2795"/>
      <c r="CWE38" s="2795"/>
      <c r="CWF38" s="2795"/>
      <c r="CWG38" s="2795"/>
      <c r="CWH38" s="2795"/>
      <c r="CWI38" s="2795"/>
      <c r="CWJ38" s="2795"/>
      <c r="CWK38" s="2795"/>
      <c r="CWL38" s="2795"/>
      <c r="CWM38" s="2795"/>
      <c r="CWN38" s="2795"/>
      <c r="CWO38" s="2795"/>
      <c r="CWP38" s="2795"/>
      <c r="CWQ38" s="2795"/>
      <c r="CWR38" s="2795"/>
      <c r="CWS38" s="2795"/>
      <c r="CWT38" s="2795"/>
      <c r="CWU38" s="2795"/>
      <c r="CWV38" s="2795"/>
      <c r="CWW38" s="2795"/>
      <c r="CWX38" s="2795"/>
      <c r="CWY38" s="2795"/>
      <c r="CWZ38" s="2795"/>
      <c r="CXA38" s="2795"/>
      <c r="CXB38" s="2795"/>
      <c r="CXC38" s="2795"/>
      <c r="CXD38" s="2795"/>
      <c r="CXE38" s="2795"/>
      <c r="CXF38" s="2795"/>
      <c r="CXG38" s="2795"/>
      <c r="CXH38" s="2795"/>
      <c r="CXI38" s="2795"/>
      <c r="CXJ38" s="2795"/>
      <c r="CXK38" s="2795"/>
      <c r="CXL38" s="2795"/>
      <c r="CXM38" s="2795"/>
      <c r="CXN38" s="2795"/>
      <c r="CXO38" s="2795"/>
      <c r="CXP38" s="2795"/>
      <c r="CXQ38" s="2795"/>
      <c r="CXR38" s="2795"/>
      <c r="CXS38" s="2795"/>
      <c r="CXT38" s="2795"/>
      <c r="CXU38" s="2795"/>
      <c r="CXV38" s="2795"/>
      <c r="CXW38" s="2795"/>
      <c r="CXX38" s="2795"/>
      <c r="CXY38" s="2795"/>
      <c r="CXZ38" s="2795"/>
      <c r="CYA38" s="2795"/>
      <c r="CYB38" s="2795"/>
      <c r="CYC38" s="2795"/>
      <c r="CYD38" s="2795"/>
      <c r="CYE38" s="2795"/>
      <c r="CYF38" s="2795"/>
      <c r="CYG38" s="2795"/>
      <c r="CYH38" s="2795"/>
      <c r="CYI38" s="2795"/>
      <c r="CYJ38" s="2795"/>
      <c r="CYK38" s="2795"/>
      <c r="CYL38" s="2795"/>
      <c r="CYM38" s="2795"/>
      <c r="CYN38" s="2795"/>
      <c r="CYO38" s="2795"/>
      <c r="CYP38" s="2795"/>
      <c r="CYQ38" s="2795"/>
      <c r="CYR38" s="2795"/>
      <c r="CYS38" s="2795"/>
      <c r="CYT38" s="2795"/>
      <c r="CYU38" s="2795"/>
      <c r="CYV38" s="2795"/>
      <c r="CYW38" s="2795"/>
      <c r="CYX38" s="2795"/>
      <c r="CYY38" s="2795"/>
      <c r="CYZ38" s="2795"/>
      <c r="CZA38" s="2795"/>
      <c r="CZB38" s="2795"/>
      <c r="CZC38" s="2795"/>
      <c r="CZD38" s="2795"/>
      <c r="CZE38" s="2795"/>
      <c r="CZF38" s="2795"/>
      <c r="CZG38" s="2795"/>
      <c r="CZH38" s="2795"/>
      <c r="CZI38" s="2795"/>
      <c r="CZJ38" s="2795"/>
      <c r="CZK38" s="2795"/>
      <c r="CZL38" s="2795"/>
      <c r="CZM38" s="2795"/>
      <c r="CZN38" s="2795"/>
      <c r="CZO38" s="2795"/>
      <c r="CZP38" s="2795"/>
      <c r="CZQ38" s="2795"/>
      <c r="CZR38" s="2795"/>
      <c r="CZS38" s="2795"/>
      <c r="CZT38" s="2795"/>
      <c r="CZU38" s="2795"/>
      <c r="CZV38" s="2795"/>
      <c r="CZW38" s="2795"/>
      <c r="CZX38" s="2795"/>
      <c r="CZY38" s="2795"/>
      <c r="CZZ38" s="2795"/>
      <c r="DAA38" s="2795"/>
      <c r="DAB38" s="2795"/>
      <c r="DAC38" s="2795"/>
      <c r="DAD38" s="2795"/>
      <c r="DAE38" s="2795"/>
      <c r="DAF38" s="2795"/>
      <c r="DAG38" s="2795"/>
      <c r="DAH38" s="2795"/>
      <c r="DAI38" s="2795"/>
      <c r="DAJ38" s="2795"/>
      <c r="DAK38" s="2795"/>
      <c r="DAL38" s="2795"/>
      <c r="DAM38" s="2795"/>
      <c r="DAN38" s="2795"/>
      <c r="DAO38" s="2795"/>
      <c r="DAP38" s="2795"/>
      <c r="DAQ38" s="2795"/>
      <c r="DAR38" s="2795"/>
      <c r="DAS38" s="2795"/>
      <c r="DAT38" s="2795"/>
      <c r="DAU38" s="2795"/>
      <c r="DAV38" s="2795"/>
      <c r="DAW38" s="2795"/>
      <c r="DAX38" s="2795"/>
      <c r="DAY38" s="2795"/>
      <c r="DAZ38" s="2795"/>
      <c r="DBA38" s="2795"/>
      <c r="DBB38" s="2795"/>
      <c r="DBC38" s="2795"/>
      <c r="DBD38" s="2795"/>
      <c r="DBE38" s="2795"/>
      <c r="DBF38" s="2795"/>
      <c r="DBG38" s="2795"/>
      <c r="DBH38" s="2795"/>
      <c r="DBI38" s="2795"/>
      <c r="DBJ38" s="2795"/>
      <c r="DBK38" s="2795"/>
      <c r="DBL38" s="2795"/>
      <c r="DBM38" s="2795"/>
      <c r="DBN38" s="2795"/>
      <c r="DBO38" s="2795"/>
      <c r="DBP38" s="2795"/>
      <c r="DBQ38" s="2795"/>
      <c r="DBR38" s="2795"/>
      <c r="DBS38" s="2795"/>
      <c r="DBT38" s="2795"/>
      <c r="DBU38" s="2795"/>
      <c r="DBV38" s="2795"/>
      <c r="DBW38" s="2795"/>
      <c r="DBX38" s="2795"/>
      <c r="DBY38" s="2795"/>
      <c r="DBZ38" s="2795"/>
      <c r="DCA38" s="2795"/>
      <c r="DCB38" s="2795"/>
      <c r="DCC38" s="2795"/>
      <c r="DCD38" s="2795"/>
      <c r="DCE38" s="2795"/>
      <c r="DCF38" s="2795"/>
      <c r="DCG38" s="2795"/>
      <c r="DCH38" s="2795"/>
      <c r="DCI38" s="2795"/>
      <c r="DCJ38" s="2795"/>
      <c r="DCK38" s="2795"/>
      <c r="DCL38" s="2795"/>
      <c r="DCM38" s="2795"/>
      <c r="DCN38" s="2795"/>
      <c r="DCO38" s="2795"/>
      <c r="DCP38" s="2795"/>
      <c r="DCQ38" s="2795"/>
      <c r="DCR38" s="2795"/>
      <c r="DCS38" s="2795"/>
      <c r="DCT38" s="2795"/>
      <c r="DCU38" s="2795"/>
      <c r="DCV38" s="2795"/>
      <c r="DCW38" s="2795"/>
      <c r="DCX38" s="2795"/>
      <c r="DCY38" s="2795"/>
      <c r="DCZ38" s="2795"/>
      <c r="DDA38" s="2795"/>
      <c r="DDB38" s="2795"/>
      <c r="DDC38" s="2795"/>
      <c r="DDD38" s="2795"/>
      <c r="DDE38" s="2795"/>
      <c r="DDF38" s="2795"/>
      <c r="DDG38" s="2795"/>
      <c r="DDH38" s="2795"/>
      <c r="DDI38" s="2795"/>
      <c r="DDJ38" s="2795"/>
      <c r="DDK38" s="2795"/>
      <c r="DDL38" s="2795"/>
      <c r="DDM38" s="2795"/>
      <c r="DDN38" s="2795"/>
      <c r="DDO38" s="2795"/>
      <c r="DDP38" s="2795"/>
      <c r="DDQ38" s="2795"/>
      <c r="DDR38" s="2795"/>
      <c r="DDS38" s="2795"/>
      <c r="DDT38" s="2795"/>
      <c r="DDU38" s="2795"/>
      <c r="DDV38" s="2795"/>
      <c r="DDW38" s="2795"/>
      <c r="DDX38" s="2795"/>
      <c r="DDY38" s="2795"/>
      <c r="DDZ38" s="2795"/>
      <c r="DEA38" s="2795"/>
      <c r="DEB38" s="2795"/>
      <c r="DEC38" s="2795"/>
      <c r="DED38" s="2795"/>
      <c r="DEE38" s="2795"/>
      <c r="DEF38" s="2795"/>
      <c r="DEG38" s="2795"/>
      <c r="DEH38" s="2795"/>
      <c r="DEI38" s="2795"/>
      <c r="DEJ38" s="2795"/>
      <c r="DEK38" s="2795"/>
      <c r="DEL38" s="2795"/>
      <c r="DEM38" s="2795"/>
      <c r="DEN38" s="2795"/>
      <c r="DEO38" s="2795"/>
      <c r="DEP38" s="2795"/>
      <c r="DEQ38" s="2795"/>
      <c r="DER38" s="2795"/>
      <c r="DES38" s="2795"/>
      <c r="DET38" s="2795"/>
      <c r="DEU38" s="2795"/>
      <c r="DEV38" s="2795"/>
      <c r="DEW38" s="2795"/>
      <c r="DEX38" s="2795"/>
      <c r="DEY38" s="2795"/>
      <c r="DEZ38" s="2795"/>
      <c r="DFA38" s="2795"/>
      <c r="DFB38" s="2795"/>
      <c r="DFC38" s="2795"/>
      <c r="DFD38" s="2795"/>
      <c r="DFE38" s="2795"/>
      <c r="DFF38" s="2795"/>
      <c r="DFG38" s="2795"/>
      <c r="DFH38" s="2795"/>
      <c r="DFI38" s="2795"/>
      <c r="DFJ38" s="2795"/>
      <c r="DFK38" s="2795"/>
      <c r="DFL38" s="2795"/>
      <c r="DFM38" s="2795"/>
      <c r="DFN38" s="2795"/>
      <c r="DFO38" s="2795"/>
      <c r="DFP38" s="2795"/>
      <c r="DFQ38" s="2795"/>
      <c r="DFR38" s="2795"/>
      <c r="DFS38" s="2795"/>
      <c r="DFT38" s="2795"/>
      <c r="DFU38" s="2795"/>
      <c r="DFV38" s="2795"/>
      <c r="DFW38" s="2795"/>
      <c r="DFX38" s="2795"/>
      <c r="DFY38" s="2795"/>
      <c r="DFZ38" s="2795"/>
      <c r="DGA38" s="2795"/>
      <c r="DGB38" s="2795"/>
      <c r="DGC38" s="2795"/>
      <c r="DGD38" s="2795"/>
      <c r="DGE38" s="2795"/>
      <c r="DGF38" s="2795"/>
      <c r="DGG38" s="2795"/>
      <c r="DGH38" s="2795"/>
      <c r="DGI38" s="2795"/>
      <c r="DGJ38" s="2795"/>
      <c r="DGK38" s="2795"/>
      <c r="DGL38" s="2795"/>
      <c r="DGM38" s="2795"/>
      <c r="DGN38" s="2795"/>
      <c r="DGO38" s="2795"/>
      <c r="DGP38" s="2795"/>
      <c r="DGQ38" s="2795"/>
      <c r="DGR38" s="2795"/>
      <c r="DGS38" s="2795"/>
      <c r="DGT38" s="2795"/>
      <c r="DGU38" s="2795"/>
      <c r="DGV38" s="2795"/>
      <c r="DGW38" s="2795"/>
      <c r="DGX38" s="2795"/>
      <c r="DGY38" s="2795"/>
      <c r="DGZ38" s="2795"/>
      <c r="DHA38" s="2795"/>
      <c r="DHB38" s="2795"/>
      <c r="DHC38" s="2795"/>
      <c r="DHD38" s="2795"/>
      <c r="DHE38" s="2795"/>
      <c r="DHF38" s="2795"/>
      <c r="DHG38" s="2795"/>
      <c r="DHH38" s="2795"/>
      <c r="DHI38" s="2795"/>
      <c r="DHJ38" s="2795"/>
      <c r="DHK38" s="2795"/>
      <c r="DHL38" s="2795"/>
      <c r="DHM38" s="2795"/>
      <c r="DHN38" s="2795"/>
      <c r="DHO38" s="2795"/>
      <c r="DHP38" s="2795"/>
      <c r="DHQ38" s="2795"/>
      <c r="DHR38" s="2795"/>
      <c r="DHS38" s="2795"/>
      <c r="DHT38" s="2795"/>
      <c r="DHU38" s="2795"/>
      <c r="DHV38" s="2795"/>
      <c r="DHW38" s="2795"/>
      <c r="DHX38" s="2795"/>
      <c r="DHY38" s="2795"/>
      <c r="DHZ38" s="2795"/>
      <c r="DIA38" s="2795"/>
      <c r="DIB38" s="2795"/>
      <c r="DIC38" s="2795"/>
      <c r="DID38" s="2795"/>
      <c r="DIE38" s="2795"/>
      <c r="DIF38" s="2795"/>
      <c r="DIG38" s="2795"/>
      <c r="DIH38" s="2795"/>
      <c r="DII38" s="2795"/>
      <c r="DIJ38" s="2795"/>
      <c r="DIK38" s="2795"/>
      <c r="DIL38" s="2795"/>
      <c r="DIM38" s="2795"/>
      <c r="DIN38" s="2795"/>
      <c r="DIO38" s="2795"/>
      <c r="DIP38" s="2795"/>
      <c r="DIQ38" s="2795"/>
      <c r="DIR38" s="2795"/>
      <c r="DIS38" s="2795"/>
      <c r="DIT38" s="2795"/>
      <c r="DIU38" s="2795"/>
      <c r="DIV38" s="2795"/>
      <c r="DIW38" s="2795"/>
      <c r="DIX38" s="2795"/>
      <c r="DIY38" s="2795"/>
      <c r="DIZ38" s="2795"/>
      <c r="DJA38" s="2795"/>
      <c r="DJB38" s="2795"/>
      <c r="DJC38" s="2795"/>
      <c r="DJD38" s="2795"/>
      <c r="DJE38" s="2795"/>
      <c r="DJF38" s="2795"/>
      <c r="DJG38" s="2795"/>
      <c r="DJH38" s="2795"/>
      <c r="DJI38" s="2795"/>
      <c r="DJJ38" s="2795"/>
      <c r="DJK38" s="2795"/>
      <c r="DJL38" s="2795"/>
      <c r="DJM38" s="2795"/>
      <c r="DJN38" s="2795"/>
      <c r="DJO38" s="2795"/>
      <c r="DJP38" s="2795"/>
      <c r="DJQ38" s="2795"/>
      <c r="DJR38" s="2795"/>
      <c r="DJS38" s="2795"/>
      <c r="DJT38" s="2795"/>
      <c r="DJU38" s="2795"/>
      <c r="DJV38" s="2795"/>
      <c r="DJW38" s="2795"/>
      <c r="DJX38" s="2795"/>
      <c r="DJY38" s="2795"/>
      <c r="DJZ38" s="2795"/>
      <c r="DKA38" s="2795"/>
      <c r="DKB38" s="2795"/>
      <c r="DKC38" s="2795"/>
      <c r="DKD38" s="2795"/>
      <c r="DKE38" s="2795"/>
      <c r="DKF38" s="2795"/>
      <c r="DKG38" s="2795"/>
      <c r="DKH38" s="2795"/>
      <c r="DKI38" s="2795"/>
      <c r="DKJ38" s="2795"/>
      <c r="DKK38" s="2795"/>
      <c r="DKL38" s="2795"/>
      <c r="DKM38" s="2795"/>
      <c r="DKN38" s="2795"/>
      <c r="DKO38" s="2795"/>
      <c r="DKP38" s="2795"/>
      <c r="DKQ38" s="2795"/>
      <c r="DKR38" s="2795"/>
      <c r="DKS38" s="2795"/>
      <c r="DKT38" s="2795"/>
      <c r="DKU38" s="2795"/>
      <c r="DKV38" s="2795"/>
      <c r="DKW38" s="2795"/>
      <c r="DKX38" s="2795"/>
      <c r="DKY38" s="2795"/>
      <c r="DKZ38" s="2795"/>
      <c r="DLA38" s="2795"/>
      <c r="DLB38" s="2795"/>
      <c r="DLC38" s="2795"/>
      <c r="DLD38" s="2795"/>
      <c r="DLE38" s="2795"/>
      <c r="DLF38" s="2795"/>
      <c r="DLG38" s="2795"/>
      <c r="DLH38" s="2795"/>
      <c r="DLI38" s="2795"/>
      <c r="DLJ38" s="2795"/>
      <c r="DLK38" s="2795"/>
      <c r="DLL38" s="2795"/>
      <c r="DLM38" s="2795"/>
      <c r="DLN38" s="2795"/>
      <c r="DLO38" s="2795"/>
      <c r="DLP38" s="2795"/>
      <c r="DLQ38" s="2795"/>
      <c r="DLR38" s="2795"/>
      <c r="DLS38" s="2795"/>
      <c r="DLT38" s="2795"/>
      <c r="DLU38" s="2795"/>
      <c r="DLV38" s="2795"/>
      <c r="DLW38" s="2795"/>
      <c r="DLX38" s="2795"/>
      <c r="DLY38" s="2795"/>
      <c r="DLZ38" s="2795"/>
      <c r="DMA38" s="2795"/>
      <c r="DMB38" s="2795"/>
      <c r="DMC38" s="2795"/>
      <c r="DMD38" s="2795"/>
      <c r="DME38" s="2795"/>
      <c r="DMF38" s="2795"/>
      <c r="DMG38" s="2795"/>
      <c r="DMH38" s="2795"/>
      <c r="DMI38" s="2795"/>
      <c r="DMJ38" s="2795"/>
      <c r="DMK38" s="2795"/>
      <c r="DML38" s="2795"/>
      <c r="DMM38" s="2795"/>
      <c r="DMN38" s="2795"/>
      <c r="DMO38" s="2795"/>
      <c r="DMP38" s="2795"/>
      <c r="DMQ38" s="2795"/>
      <c r="DMR38" s="2795"/>
      <c r="DMS38" s="2795"/>
      <c r="DMT38" s="2795"/>
      <c r="DMU38" s="2795"/>
      <c r="DMV38" s="2795"/>
      <c r="DMW38" s="2795"/>
      <c r="DMX38" s="2795"/>
      <c r="DMY38" s="2795"/>
      <c r="DMZ38" s="2795"/>
      <c r="DNA38" s="2795"/>
      <c r="DNB38" s="2795"/>
      <c r="DNC38" s="2795"/>
      <c r="DND38" s="2795"/>
      <c r="DNE38" s="2795"/>
      <c r="DNF38" s="2795"/>
      <c r="DNG38" s="2795"/>
      <c r="DNH38" s="2795"/>
      <c r="DNI38" s="2795"/>
      <c r="DNJ38" s="2795"/>
      <c r="DNK38" s="2795"/>
      <c r="DNL38" s="2795"/>
      <c r="DNM38" s="2795"/>
      <c r="DNN38" s="2795"/>
      <c r="DNO38" s="2795"/>
      <c r="DNP38" s="2795"/>
      <c r="DNQ38" s="2795"/>
      <c r="DNR38" s="2795"/>
      <c r="DNS38" s="2795"/>
      <c r="DNT38" s="2795"/>
      <c r="DNU38" s="2795"/>
      <c r="DNV38" s="2795"/>
      <c r="DNW38" s="2795"/>
      <c r="DNX38" s="2795"/>
      <c r="DNY38" s="2795"/>
      <c r="DNZ38" s="2795"/>
      <c r="DOA38" s="2795"/>
      <c r="DOB38" s="2795"/>
      <c r="DOC38" s="2795"/>
      <c r="DOD38" s="2795"/>
      <c r="DOE38" s="2795"/>
      <c r="DOF38" s="2795"/>
      <c r="DOG38" s="2795"/>
      <c r="DOH38" s="2795"/>
      <c r="DOI38" s="2795"/>
      <c r="DOJ38" s="2795"/>
      <c r="DOK38" s="2795"/>
      <c r="DOL38" s="2795"/>
      <c r="DOM38" s="2795"/>
      <c r="DON38" s="2795"/>
      <c r="DOO38" s="2795"/>
      <c r="DOP38" s="2795"/>
      <c r="DOQ38" s="2795"/>
      <c r="DOR38" s="2795"/>
      <c r="DOS38" s="2795"/>
      <c r="DOT38" s="2795"/>
      <c r="DOU38" s="2795"/>
      <c r="DOV38" s="2795"/>
      <c r="DOW38" s="2795"/>
      <c r="DOX38" s="2795"/>
      <c r="DOY38" s="2795"/>
      <c r="DOZ38" s="2795"/>
      <c r="DPA38" s="2795"/>
      <c r="DPB38" s="2795"/>
      <c r="DPC38" s="2795"/>
      <c r="DPD38" s="2795"/>
      <c r="DPE38" s="2795"/>
      <c r="DPF38" s="2795"/>
      <c r="DPG38" s="2795"/>
      <c r="DPH38" s="2795"/>
      <c r="DPI38" s="2795"/>
      <c r="DPJ38" s="2795"/>
      <c r="DPK38" s="2795"/>
      <c r="DPL38" s="2795"/>
      <c r="DPM38" s="2795"/>
      <c r="DPN38" s="2795"/>
      <c r="DPO38" s="2795"/>
      <c r="DPP38" s="2795"/>
      <c r="DPQ38" s="2795"/>
      <c r="DPR38" s="2795"/>
      <c r="DPS38" s="2795"/>
      <c r="DPT38" s="2795"/>
      <c r="DPU38" s="2795"/>
      <c r="DPV38" s="2795"/>
      <c r="DPW38" s="2795"/>
      <c r="DPX38" s="2795"/>
      <c r="DPY38" s="2795"/>
      <c r="DPZ38" s="2795"/>
      <c r="DQA38" s="2795"/>
      <c r="DQB38" s="2795"/>
      <c r="DQC38" s="2795"/>
      <c r="DQD38" s="2795"/>
      <c r="DQE38" s="2795"/>
      <c r="DQF38" s="2795"/>
      <c r="DQG38" s="2795"/>
      <c r="DQH38" s="2795"/>
      <c r="DQI38" s="2795"/>
      <c r="DQJ38" s="2795"/>
      <c r="DQK38" s="2795"/>
      <c r="DQL38" s="2795"/>
      <c r="DQM38" s="2795"/>
      <c r="DQN38" s="2795"/>
      <c r="DQO38" s="2795"/>
      <c r="DQP38" s="2795"/>
      <c r="DQQ38" s="2795"/>
      <c r="DQR38" s="2795"/>
      <c r="DQS38" s="2795"/>
      <c r="DQT38" s="2795"/>
      <c r="DQU38" s="2795"/>
      <c r="DQV38" s="2795"/>
      <c r="DQW38" s="2795"/>
      <c r="DQX38" s="2795"/>
      <c r="DQY38" s="2795"/>
      <c r="DQZ38" s="2795"/>
      <c r="DRA38" s="2795"/>
      <c r="DRB38" s="2795"/>
      <c r="DRC38" s="2795"/>
      <c r="DRD38" s="2795"/>
      <c r="DRE38" s="2795"/>
      <c r="DRF38" s="2795"/>
      <c r="DRG38" s="2795"/>
      <c r="DRH38" s="2795"/>
      <c r="DRI38" s="2795"/>
      <c r="DRJ38" s="2795"/>
      <c r="DRK38" s="2795"/>
      <c r="DRL38" s="2795"/>
      <c r="DRM38" s="2795"/>
      <c r="DRN38" s="2795"/>
      <c r="DRO38" s="2795"/>
      <c r="DRP38" s="2795"/>
      <c r="DRQ38" s="2795"/>
      <c r="DRR38" s="2795"/>
      <c r="DRS38" s="2795"/>
      <c r="DRT38" s="2795"/>
      <c r="DRU38" s="2795"/>
      <c r="DRV38" s="2795"/>
      <c r="DRW38" s="2795"/>
      <c r="DRX38" s="2795"/>
      <c r="DRY38" s="2795"/>
      <c r="DRZ38" s="2795"/>
      <c r="DSA38" s="2795"/>
      <c r="DSB38" s="2795"/>
      <c r="DSC38" s="2795"/>
      <c r="DSD38" s="2795"/>
      <c r="DSE38" s="2795"/>
      <c r="DSF38" s="2795"/>
      <c r="DSG38" s="2795"/>
      <c r="DSH38" s="2795"/>
      <c r="DSI38" s="2795"/>
      <c r="DSJ38" s="2795"/>
      <c r="DSK38" s="2795"/>
      <c r="DSL38" s="2795"/>
      <c r="DSM38" s="2795"/>
      <c r="DSN38" s="2795"/>
      <c r="DSO38" s="2795"/>
      <c r="DSP38" s="2795"/>
      <c r="DSQ38" s="2795"/>
      <c r="DSR38" s="2795"/>
      <c r="DSS38" s="2795"/>
      <c r="DST38" s="2795"/>
      <c r="DSU38" s="2795"/>
      <c r="DSV38" s="2795"/>
      <c r="DSW38" s="2795"/>
      <c r="DSX38" s="2795"/>
      <c r="DSY38" s="2795"/>
      <c r="DSZ38" s="2795"/>
      <c r="DTA38" s="2795"/>
      <c r="DTB38" s="2795"/>
      <c r="DTC38" s="2795"/>
      <c r="DTD38" s="2795"/>
      <c r="DTE38" s="2795"/>
      <c r="DTF38" s="2795"/>
      <c r="DTG38" s="2795"/>
      <c r="DTH38" s="2795"/>
      <c r="DTI38" s="2795"/>
      <c r="DTJ38" s="2795"/>
      <c r="DTK38" s="2795"/>
      <c r="DTL38" s="2795"/>
      <c r="DTM38" s="2795"/>
      <c r="DTN38" s="2795"/>
      <c r="DTO38" s="2795"/>
      <c r="DTP38" s="2795"/>
      <c r="DTQ38" s="2795"/>
      <c r="DTR38" s="2795"/>
      <c r="DTS38" s="2795"/>
      <c r="DTT38" s="2795"/>
      <c r="DTU38" s="2795"/>
      <c r="DTV38" s="2795"/>
      <c r="DTW38" s="2795"/>
      <c r="DTX38" s="2795"/>
      <c r="DTY38" s="2795"/>
      <c r="DTZ38" s="2795"/>
      <c r="DUA38" s="2795"/>
      <c r="DUB38" s="2795"/>
      <c r="DUC38" s="2795"/>
      <c r="DUD38" s="2795"/>
      <c r="DUE38" s="2795"/>
      <c r="DUF38" s="2795"/>
      <c r="DUG38" s="2795"/>
      <c r="DUH38" s="2795"/>
      <c r="DUI38" s="2795"/>
      <c r="DUJ38" s="2795"/>
      <c r="DUK38" s="2795"/>
      <c r="DUL38" s="2795"/>
      <c r="DUM38" s="2795"/>
      <c r="DUN38" s="2795"/>
      <c r="DUO38" s="2795"/>
      <c r="DUP38" s="2795"/>
      <c r="DUQ38" s="2795"/>
      <c r="DUR38" s="2795"/>
      <c r="DUS38" s="2795"/>
      <c r="DUT38" s="2795"/>
      <c r="DUU38" s="2795"/>
      <c r="DUV38" s="2795"/>
      <c r="DUW38" s="2795"/>
      <c r="DUX38" s="2795"/>
      <c r="DUY38" s="2795"/>
      <c r="DUZ38" s="2795"/>
      <c r="DVA38" s="2795"/>
      <c r="DVB38" s="2795"/>
      <c r="DVC38" s="2795"/>
      <c r="DVD38" s="2795"/>
      <c r="DVE38" s="2795"/>
      <c r="DVF38" s="2795"/>
      <c r="DVG38" s="2795"/>
      <c r="DVH38" s="2795"/>
      <c r="DVI38" s="2795"/>
      <c r="DVJ38" s="2795"/>
      <c r="DVK38" s="2795"/>
      <c r="DVL38" s="2795"/>
      <c r="DVM38" s="2795"/>
      <c r="DVN38" s="2795"/>
      <c r="DVO38" s="2795"/>
      <c r="DVP38" s="2795"/>
      <c r="DVQ38" s="2795"/>
      <c r="DVR38" s="2795"/>
      <c r="DVS38" s="2795"/>
      <c r="DVT38" s="2795"/>
      <c r="DVU38" s="2795"/>
      <c r="DVV38" s="2795"/>
      <c r="DVW38" s="2795"/>
      <c r="DVX38" s="2795"/>
      <c r="DVY38" s="2795"/>
      <c r="DVZ38" s="2795"/>
      <c r="DWA38" s="2795"/>
      <c r="DWB38" s="2795"/>
      <c r="DWC38" s="2795"/>
      <c r="DWD38" s="2795"/>
      <c r="DWE38" s="2795"/>
      <c r="DWF38" s="2795"/>
      <c r="DWG38" s="2795"/>
      <c r="DWH38" s="2795"/>
      <c r="DWI38" s="2795"/>
      <c r="DWJ38" s="2795"/>
      <c r="DWK38" s="2795"/>
      <c r="DWL38" s="2795"/>
      <c r="DWM38" s="2795"/>
      <c r="DWN38" s="2795"/>
      <c r="DWO38" s="2795"/>
      <c r="DWP38" s="2795"/>
      <c r="DWQ38" s="2795"/>
      <c r="DWR38" s="2795"/>
      <c r="DWS38" s="2795"/>
      <c r="DWT38" s="2795"/>
      <c r="DWU38" s="2795"/>
      <c r="DWV38" s="2795"/>
      <c r="DWW38" s="2795"/>
      <c r="DWX38" s="2795"/>
      <c r="DWY38" s="2795"/>
      <c r="DWZ38" s="2795"/>
      <c r="DXA38" s="2795"/>
      <c r="DXB38" s="2795"/>
      <c r="DXC38" s="2795"/>
      <c r="DXD38" s="2795"/>
      <c r="DXE38" s="2795"/>
      <c r="DXF38" s="2795"/>
      <c r="DXG38" s="2795"/>
      <c r="DXH38" s="2795"/>
      <c r="DXI38" s="2795"/>
      <c r="DXJ38" s="2795"/>
      <c r="DXK38" s="2795"/>
      <c r="DXL38" s="2795"/>
      <c r="DXM38" s="2795"/>
      <c r="DXN38" s="2795"/>
      <c r="DXO38" s="2795"/>
      <c r="DXP38" s="2795"/>
      <c r="DXQ38" s="2795"/>
      <c r="DXR38" s="2795"/>
      <c r="DXS38" s="2795"/>
      <c r="DXT38" s="2795"/>
      <c r="DXU38" s="2795"/>
      <c r="DXV38" s="2795"/>
      <c r="DXW38" s="2795"/>
      <c r="DXX38" s="2795"/>
      <c r="DXY38" s="2795"/>
      <c r="DXZ38" s="2795"/>
      <c r="DYA38" s="2795"/>
      <c r="DYB38" s="2795"/>
      <c r="DYC38" s="2795"/>
      <c r="DYD38" s="2795"/>
      <c r="DYE38" s="2795"/>
      <c r="DYF38" s="2795"/>
      <c r="DYG38" s="2795"/>
      <c r="DYH38" s="2795"/>
      <c r="DYI38" s="2795"/>
      <c r="DYJ38" s="2795"/>
      <c r="DYK38" s="2795"/>
      <c r="DYL38" s="2795"/>
      <c r="DYM38" s="2795"/>
      <c r="DYN38" s="2795"/>
      <c r="DYO38" s="2795"/>
      <c r="DYP38" s="2795"/>
      <c r="DYQ38" s="2795"/>
      <c r="DYR38" s="2795"/>
      <c r="DYS38" s="2795"/>
      <c r="DYT38" s="2795"/>
      <c r="DYU38" s="2795"/>
      <c r="DYV38" s="2795"/>
      <c r="DYW38" s="2795"/>
      <c r="DYX38" s="2795"/>
      <c r="DYY38" s="2795"/>
      <c r="DYZ38" s="2795"/>
      <c r="DZA38" s="2795"/>
      <c r="DZB38" s="2795"/>
      <c r="DZC38" s="2795"/>
      <c r="DZD38" s="2795"/>
      <c r="DZE38" s="2795"/>
      <c r="DZF38" s="2795"/>
      <c r="DZG38" s="2795"/>
      <c r="DZH38" s="2795"/>
      <c r="DZI38" s="2795"/>
      <c r="DZJ38" s="2795"/>
      <c r="DZK38" s="2795"/>
      <c r="DZL38" s="2795"/>
      <c r="DZM38" s="2795"/>
      <c r="DZN38" s="2795"/>
      <c r="DZO38" s="2795"/>
      <c r="DZP38" s="2795"/>
      <c r="DZQ38" s="2795"/>
      <c r="DZR38" s="2795"/>
      <c r="DZS38" s="2795"/>
      <c r="DZT38" s="2795"/>
      <c r="DZU38" s="2795"/>
      <c r="DZV38" s="2795"/>
      <c r="DZW38" s="2795"/>
      <c r="DZX38" s="2795"/>
      <c r="DZY38" s="2795"/>
      <c r="DZZ38" s="2795"/>
      <c r="EAA38" s="2795"/>
      <c r="EAB38" s="2795"/>
      <c r="EAC38" s="2795"/>
      <c r="EAD38" s="2795"/>
      <c r="EAE38" s="2795"/>
      <c r="EAF38" s="2795"/>
      <c r="EAG38" s="2795"/>
      <c r="EAH38" s="2795"/>
      <c r="EAI38" s="2795"/>
      <c r="EAJ38" s="2795"/>
      <c r="EAK38" s="2795"/>
      <c r="EAL38" s="2795"/>
      <c r="EAM38" s="2795"/>
      <c r="EAN38" s="2795"/>
      <c r="EAO38" s="2795"/>
      <c r="EAP38" s="2795"/>
      <c r="EAQ38" s="2795"/>
      <c r="EAR38" s="2795"/>
      <c r="EAS38" s="2795"/>
      <c r="EAT38" s="2795"/>
      <c r="EAU38" s="2795"/>
      <c r="EAV38" s="2795"/>
      <c r="EAW38" s="2795"/>
      <c r="EAX38" s="2795"/>
      <c r="EAY38" s="2795"/>
      <c r="EAZ38" s="2795"/>
      <c r="EBA38" s="2795"/>
      <c r="EBB38" s="2795"/>
      <c r="EBC38" s="2795"/>
      <c r="EBD38" s="2795"/>
      <c r="EBE38" s="2795"/>
      <c r="EBF38" s="2795"/>
      <c r="EBG38" s="2795"/>
      <c r="EBH38" s="2795"/>
      <c r="EBI38" s="2795"/>
      <c r="EBJ38" s="2795"/>
      <c r="EBK38" s="2795"/>
      <c r="EBL38" s="2795"/>
      <c r="EBM38" s="2795"/>
      <c r="EBN38" s="2795"/>
      <c r="EBO38" s="2795"/>
      <c r="EBP38" s="2795"/>
      <c r="EBQ38" s="2795"/>
      <c r="EBR38" s="2795"/>
      <c r="EBS38" s="2795"/>
      <c r="EBT38" s="2795"/>
      <c r="EBU38" s="2795"/>
      <c r="EBV38" s="2795"/>
      <c r="EBW38" s="2795"/>
      <c r="EBX38" s="2795"/>
      <c r="EBY38" s="2795"/>
      <c r="EBZ38" s="2795"/>
      <c r="ECA38" s="2795"/>
      <c r="ECB38" s="2795"/>
      <c r="ECC38" s="2795"/>
      <c r="ECD38" s="2795"/>
      <c r="ECE38" s="2795"/>
      <c r="ECF38" s="2795"/>
      <c r="ECG38" s="2795"/>
      <c r="ECH38" s="2795"/>
      <c r="ECI38" s="2795"/>
      <c r="ECJ38" s="2795"/>
      <c r="ECK38" s="2795"/>
      <c r="ECL38" s="2795"/>
      <c r="ECM38" s="2795"/>
      <c r="ECN38" s="2795"/>
      <c r="ECO38" s="2795"/>
      <c r="ECP38" s="2795"/>
      <c r="ECQ38" s="2795"/>
      <c r="ECR38" s="2795"/>
      <c r="ECS38" s="2795"/>
      <c r="ECT38" s="2795"/>
      <c r="ECU38" s="2795"/>
      <c r="ECV38" s="2795"/>
      <c r="ECW38" s="2795"/>
      <c r="ECX38" s="2795"/>
      <c r="ECY38" s="2795"/>
      <c r="ECZ38" s="2795"/>
      <c r="EDA38" s="2795"/>
      <c r="EDB38" s="2795"/>
      <c r="EDC38" s="2795"/>
      <c r="EDD38" s="2795"/>
      <c r="EDE38" s="2795"/>
      <c r="EDF38" s="2795"/>
      <c r="EDG38" s="2795"/>
      <c r="EDH38" s="2795"/>
      <c r="EDI38" s="2795"/>
      <c r="EDJ38" s="2795"/>
      <c r="EDK38" s="2795"/>
      <c r="EDL38" s="2795"/>
      <c r="EDM38" s="2795"/>
      <c r="EDN38" s="2795"/>
      <c r="EDO38" s="2795"/>
      <c r="EDP38" s="2795"/>
      <c r="EDQ38" s="2795"/>
      <c r="EDR38" s="2795"/>
      <c r="EDS38" s="2795"/>
      <c r="EDT38" s="2795"/>
      <c r="EDU38" s="2795"/>
      <c r="EDV38" s="2795"/>
      <c r="EDW38" s="2795"/>
      <c r="EDX38" s="2795"/>
      <c r="EDY38" s="2795"/>
      <c r="EDZ38" s="2795"/>
      <c r="EEA38" s="2795"/>
      <c r="EEB38" s="2795"/>
      <c r="EEC38" s="2795"/>
      <c r="EED38" s="2795"/>
      <c r="EEE38" s="2795"/>
      <c r="EEF38" s="2795"/>
      <c r="EEG38" s="2795"/>
      <c r="EEH38" s="2795"/>
      <c r="EEI38" s="2795"/>
      <c r="EEJ38" s="2795"/>
      <c r="EEK38" s="2795"/>
      <c r="EEL38" s="2795"/>
      <c r="EEM38" s="2795"/>
      <c r="EEN38" s="2795"/>
      <c r="EEO38" s="2795"/>
      <c r="EEP38" s="2795"/>
      <c r="EEQ38" s="2795"/>
      <c r="EER38" s="2795"/>
      <c r="EES38" s="2795"/>
      <c r="EET38" s="2795"/>
      <c r="EEU38" s="2795"/>
      <c r="EEV38" s="2795"/>
      <c r="EEW38" s="2795"/>
      <c r="EEX38" s="2795"/>
      <c r="EEY38" s="2795"/>
      <c r="EEZ38" s="2795"/>
      <c r="EFA38" s="2795"/>
      <c r="EFB38" s="2795"/>
      <c r="EFC38" s="2795"/>
      <c r="EFD38" s="2795"/>
      <c r="EFE38" s="2795"/>
      <c r="EFF38" s="2795"/>
      <c r="EFG38" s="2795"/>
      <c r="EFH38" s="2795"/>
      <c r="EFI38" s="2795"/>
      <c r="EFJ38" s="2795"/>
      <c r="EFK38" s="2795"/>
      <c r="EFL38" s="2795"/>
      <c r="EFM38" s="2795"/>
      <c r="EFN38" s="2795"/>
      <c r="EFO38" s="2795"/>
      <c r="EFP38" s="2795"/>
      <c r="EFQ38" s="2795"/>
      <c r="EFR38" s="2795"/>
      <c r="EFS38" s="2795"/>
      <c r="EFT38" s="2795"/>
      <c r="EFU38" s="2795"/>
      <c r="EFV38" s="2795"/>
      <c r="EFW38" s="2795"/>
      <c r="EFX38" s="2795"/>
      <c r="EFY38" s="2795"/>
      <c r="EFZ38" s="2795"/>
      <c r="EGA38" s="2795"/>
      <c r="EGB38" s="2795"/>
      <c r="EGC38" s="2795"/>
      <c r="EGD38" s="2795"/>
      <c r="EGE38" s="2795"/>
      <c r="EGF38" s="2795"/>
      <c r="EGG38" s="2795"/>
      <c r="EGH38" s="2795"/>
      <c r="EGI38" s="2795"/>
      <c r="EGJ38" s="2795"/>
      <c r="EGK38" s="2795"/>
      <c r="EGL38" s="2795"/>
      <c r="EGM38" s="2795"/>
      <c r="EGN38" s="2795"/>
      <c r="EGO38" s="2795"/>
      <c r="EGP38" s="2795"/>
      <c r="EGQ38" s="2795"/>
      <c r="EGR38" s="2795"/>
      <c r="EGS38" s="2795"/>
      <c r="EGT38" s="2795"/>
      <c r="EGU38" s="2795"/>
      <c r="EGV38" s="2795"/>
      <c r="EGW38" s="2795"/>
      <c r="EGX38" s="2795"/>
      <c r="EGY38" s="2795"/>
      <c r="EGZ38" s="2795"/>
      <c r="EHA38" s="2795"/>
      <c r="EHB38" s="2795"/>
      <c r="EHC38" s="2795"/>
      <c r="EHD38" s="2795"/>
      <c r="EHE38" s="2795"/>
      <c r="EHF38" s="2795"/>
      <c r="EHG38" s="2795"/>
      <c r="EHH38" s="2795"/>
      <c r="EHI38" s="2795"/>
      <c r="EHJ38" s="2795"/>
      <c r="EHK38" s="2795"/>
      <c r="EHL38" s="2795"/>
      <c r="EHM38" s="2795"/>
      <c r="EHN38" s="2795"/>
      <c r="EHO38" s="2795"/>
      <c r="EHP38" s="2795"/>
      <c r="EHQ38" s="2795"/>
      <c r="EHR38" s="2795"/>
      <c r="EHS38" s="2795"/>
      <c r="EHT38" s="2795"/>
      <c r="EHU38" s="2795"/>
      <c r="EHV38" s="2795"/>
      <c r="EHW38" s="2795"/>
      <c r="EHX38" s="2795"/>
      <c r="EHY38" s="2795"/>
      <c r="EHZ38" s="2795"/>
      <c r="EIA38" s="2795"/>
      <c r="EIB38" s="2795"/>
      <c r="EIC38" s="2795"/>
      <c r="EID38" s="2795"/>
      <c r="EIE38" s="2795"/>
      <c r="EIF38" s="2795"/>
      <c r="EIG38" s="2795"/>
      <c r="EIH38" s="2795"/>
      <c r="EII38" s="2795"/>
      <c r="EIJ38" s="2795"/>
      <c r="EIK38" s="2795"/>
      <c r="EIL38" s="2795"/>
      <c r="EIM38" s="2795"/>
      <c r="EIN38" s="2795"/>
      <c r="EIO38" s="2795"/>
      <c r="EIP38" s="2795"/>
      <c r="EIQ38" s="2795"/>
      <c r="EIR38" s="2795"/>
      <c r="EIS38" s="2795"/>
      <c r="EIT38" s="2795"/>
      <c r="EIU38" s="2795"/>
      <c r="EIV38" s="2795"/>
      <c r="EIW38" s="2795"/>
      <c r="EIX38" s="2795"/>
      <c r="EIY38" s="2795"/>
      <c r="EIZ38" s="2795"/>
      <c r="EJA38" s="2795"/>
      <c r="EJB38" s="2795"/>
      <c r="EJC38" s="2795"/>
      <c r="EJD38" s="2795"/>
      <c r="EJE38" s="2795"/>
      <c r="EJF38" s="2795"/>
      <c r="EJG38" s="2795"/>
      <c r="EJH38" s="2795"/>
      <c r="EJI38" s="2795"/>
      <c r="EJJ38" s="2795"/>
      <c r="EJK38" s="2795"/>
      <c r="EJL38" s="2795"/>
      <c r="EJM38" s="2795"/>
      <c r="EJN38" s="2795"/>
      <c r="EJO38" s="2795"/>
      <c r="EJP38" s="2795"/>
      <c r="EJQ38" s="2795"/>
      <c r="EJR38" s="2795"/>
      <c r="EJS38" s="2795"/>
      <c r="EJT38" s="2795"/>
      <c r="EJU38" s="2795"/>
      <c r="EJV38" s="2795"/>
      <c r="EJW38" s="2795"/>
      <c r="EJX38" s="2795"/>
      <c r="EJY38" s="2795"/>
      <c r="EJZ38" s="2795"/>
      <c r="EKA38" s="2795"/>
      <c r="EKB38" s="2795"/>
      <c r="EKC38" s="2795"/>
      <c r="EKD38" s="2795"/>
      <c r="EKE38" s="2795"/>
      <c r="EKF38" s="2795"/>
      <c r="EKG38" s="2795"/>
      <c r="EKH38" s="2795"/>
      <c r="EKI38" s="2795"/>
      <c r="EKJ38" s="2795"/>
      <c r="EKK38" s="2795"/>
      <c r="EKL38" s="2795"/>
      <c r="EKM38" s="2795"/>
      <c r="EKN38" s="2795"/>
      <c r="EKO38" s="2795"/>
      <c r="EKP38" s="2795"/>
      <c r="EKQ38" s="2795"/>
      <c r="EKR38" s="2795"/>
      <c r="EKS38" s="2795"/>
      <c r="EKT38" s="2795"/>
      <c r="EKU38" s="2795"/>
      <c r="EKV38" s="2795"/>
      <c r="EKW38" s="2795"/>
      <c r="EKX38" s="2795"/>
      <c r="EKY38" s="2795"/>
      <c r="EKZ38" s="2795"/>
      <c r="ELA38" s="2795"/>
      <c r="ELB38" s="2795"/>
      <c r="ELC38" s="2795"/>
      <c r="ELD38" s="2795"/>
      <c r="ELE38" s="2795"/>
      <c r="ELF38" s="2795"/>
      <c r="ELG38" s="2795"/>
      <c r="ELH38" s="2795"/>
      <c r="ELI38" s="2795"/>
      <c r="ELJ38" s="2795"/>
      <c r="ELK38" s="2795"/>
      <c r="ELL38" s="2795"/>
      <c r="ELM38" s="2795"/>
      <c r="ELN38" s="2795"/>
      <c r="ELO38" s="2795"/>
      <c r="ELP38" s="2795"/>
      <c r="ELQ38" s="2795"/>
      <c r="ELR38" s="2795"/>
      <c r="ELS38" s="2795"/>
      <c r="ELT38" s="2795"/>
      <c r="ELU38" s="2795"/>
      <c r="ELV38" s="2795"/>
      <c r="ELW38" s="2795"/>
      <c r="ELX38" s="2795"/>
      <c r="ELY38" s="2795"/>
      <c r="ELZ38" s="2795"/>
      <c r="EMA38" s="2795"/>
      <c r="EMB38" s="2795"/>
      <c r="EMC38" s="2795"/>
      <c r="EMD38" s="2795"/>
      <c r="EME38" s="2795"/>
      <c r="EMF38" s="2795"/>
      <c r="EMG38" s="2795"/>
      <c r="EMH38" s="2795"/>
      <c r="EMI38" s="2795"/>
      <c r="EMJ38" s="2795"/>
      <c r="EMK38" s="2795"/>
      <c r="EML38" s="2795"/>
      <c r="EMM38" s="2795"/>
      <c r="EMN38" s="2795"/>
      <c r="EMO38" s="2795"/>
      <c r="EMP38" s="2795"/>
      <c r="EMQ38" s="2795"/>
      <c r="EMR38" s="2795"/>
      <c r="EMS38" s="2795"/>
      <c r="EMT38" s="2795"/>
      <c r="EMU38" s="2795"/>
      <c r="EMV38" s="2795"/>
      <c r="EMW38" s="2795"/>
      <c r="EMX38" s="2795"/>
      <c r="EMY38" s="2795"/>
      <c r="EMZ38" s="2795"/>
      <c r="ENA38" s="2795"/>
      <c r="ENB38" s="2795"/>
      <c r="ENC38" s="2795"/>
      <c r="END38" s="2795"/>
      <c r="ENE38" s="2795"/>
      <c r="ENF38" s="2795"/>
      <c r="ENG38" s="2795"/>
      <c r="ENH38" s="2795"/>
      <c r="ENI38" s="2795"/>
      <c r="ENJ38" s="2795"/>
      <c r="ENK38" s="2795"/>
      <c r="ENL38" s="2795"/>
      <c r="ENM38" s="2795"/>
      <c r="ENN38" s="2795"/>
      <c r="ENO38" s="2795"/>
      <c r="ENP38" s="2795"/>
      <c r="ENQ38" s="2795"/>
      <c r="ENR38" s="2795"/>
      <c r="ENS38" s="2795"/>
      <c r="ENT38" s="2795"/>
      <c r="ENU38" s="2795"/>
      <c r="ENV38" s="2795"/>
      <c r="ENW38" s="2795"/>
      <c r="ENX38" s="2795"/>
      <c r="ENY38" s="2795"/>
      <c r="ENZ38" s="2795"/>
      <c r="EOA38" s="2795"/>
      <c r="EOB38" s="2795"/>
      <c r="EOC38" s="2795"/>
      <c r="EOD38" s="2795"/>
      <c r="EOE38" s="2795"/>
      <c r="EOF38" s="2795"/>
      <c r="EOG38" s="2795"/>
      <c r="EOH38" s="2795"/>
      <c r="EOI38" s="2795"/>
      <c r="EOJ38" s="2795"/>
      <c r="EOK38" s="2795"/>
      <c r="EOL38" s="2795"/>
      <c r="EOM38" s="2795"/>
      <c r="EON38" s="2795"/>
      <c r="EOO38" s="2795"/>
      <c r="EOP38" s="2795"/>
      <c r="EOQ38" s="2795"/>
      <c r="EOR38" s="2795"/>
      <c r="EOS38" s="2795"/>
      <c r="EOT38" s="2795"/>
      <c r="EOU38" s="2795"/>
      <c r="EOV38" s="2795"/>
      <c r="EOW38" s="2795"/>
      <c r="EOX38" s="2795"/>
      <c r="EOY38" s="2795"/>
      <c r="EOZ38" s="2795"/>
      <c r="EPA38" s="2795"/>
      <c r="EPB38" s="2795"/>
      <c r="EPC38" s="2795"/>
      <c r="EPD38" s="2795"/>
      <c r="EPE38" s="2795"/>
      <c r="EPF38" s="2795"/>
      <c r="EPG38" s="2795"/>
      <c r="EPH38" s="2795"/>
      <c r="EPI38" s="2795"/>
      <c r="EPJ38" s="2795"/>
      <c r="EPK38" s="2795"/>
      <c r="EPL38" s="2795"/>
      <c r="EPM38" s="2795"/>
      <c r="EPN38" s="2795"/>
      <c r="EPO38" s="2795"/>
      <c r="EPP38" s="2795"/>
      <c r="EPQ38" s="2795"/>
      <c r="EPR38" s="2795"/>
      <c r="EPS38" s="2795"/>
      <c r="EPT38" s="2795"/>
      <c r="EPU38" s="2795"/>
      <c r="EPV38" s="2795"/>
      <c r="EPW38" s="2795"/>
      <c r="EPX38" s="2795"/>
      <c r="EPY38" s="2795"/>
      <c r="EPZ38" s="2795"/>
      <c r="EQA38" s="2795"/>
      <c r="EQB38" s="2795"/>
      <c r="EQC38" s="2795"/>
      <c r="EQD38" s="2795"/>
      <c r="EQE38" s="2795"/>
      <c r="EQF38" s="2795"/>
      <c r="EQG38" s="2795"/>
      <c r="EQH38" s="2795"/>
      <c r="EQI38" s="2795"/>
      <c r="EQJ38" s="2795"/>
      <c r="EQK38" s="2795"/>
      <c r="EQL38" s="2795"/>
      <c r="EQM38" s="2795"/>
      <c r="EQN38" s="2795"/>
      <c r="EQO38" s="2795"/>
      <c r="EQP38" s="2795"/>
      <c r="EQQ38" s="2795"/>
      <c r="EQR38" s="2795"/>
      <c r="EQS38" s="2795"/>
      <c r="EQT38" s="2795"/>
      <c r="EQU38" s="2795"/>
      <c r="EQV38" s="2795"/>
      <c r="EQW38" s="2795"/>
      <c r="EQX38" s="2795"/>
      <c r="EQY38" s="2795"/>
      <c r="EQZ38" s="2795"/>
      <c r="ERA38" s="2795"/>
      <c r="ERB38" s="2795"/>
      <c r="ERC38" s="2795"/>
      <c r="ERD38" s="2795"/>
      <c r="ERE38" s="2795"/>
      <c r="ERF38" s="2795"/>
      <c r="ERG38" s="2795"/>
      <c r="ERH38" s="2795"/>
      <c r="ERI38" s="2795"/>
      <c r="ERJ38" s="2795"/>
      <c r="ERK38" s="2795"/>
      <c r="ERL38" s="2795"/>
      <c r="ERM38" s="2795"/>
      <c r="ERN38" s="2795"/>
      <c r="ERO38" s="2795"/>
      <c r="ERP38" s="2795"/>
      <c r="ERQ38" s="2795"/>
      <c r="ERR38" s="2795"/>
      <c r="ERS38" s="2795"/>
      <c r="ERT38" s="2795"/>
      <c r="ERU38" s="2795"/>
      <c r="ERV38" s="2795"/>
      <c r="ERW38" s="2795"/>
      <c r="ERX38" s="2795"/>
      <c r="ERY38" s="2795"/>
      <c r="ERZ38" s="2795"/>
      <c r="ESA38" s="2795"/>
      <c r="ESB38" s="2795"/>
      <c r="ESC38" s="2795"/>
      <c r="ESD38" s="2795"/>
      <c r="ESE38" s="2795"/>
      <c r="ESF38" s="2795"/>
      <c r="ESG38" s="2795"/>
      <c r="ESH38" s="2795"/>
      <c r="ESI38" s="2795"/>
      <c r="ESJ38" s="2795"/>
      <c r="ESK38" s="2795"/>
      <c r="ESL38" s="2795"/>
      <c r="ESM38" s="2795"/>
      <c r="ESN38" s="2795"/>
      <c r="ESO38" s="2795"/>
      <c r="ESP38" s="2795"/>
      <c r="ESQ38" s="2795"/>
      <c r="ESR38" s="2795"/>
      <c r="ESS38" s="2795"/>
      <c r="EST38" s="2795"/>
      <c r="ESU38" s="2795"/>
      <c r="ESV38" s="2795"/>
      <c r="ESW38" s="2795"/>
      <c r="ESX38" s="2795"/>
      <c r="ESY38" s="2795"/>
      <c r="ESZ38" s="2795"/>
      <c r="ETA38" s="2795"/>
      <c r="ETB38" s="2795"/>
      <c r="ETC38" s="2795"/>
      <c r="ETD38" s="2795"/>
      <c r="ETE38" s="2795"/>
      <c r="ETF38" s="2795"/>
      <c r="ETG38" s="2795"/>
      <c r="ETH38" s="2795"/>
      <c r="ETI38" s="2795"/>
      <c r="ETJ38" s="2795"/>
      <c r="ETK38" s="2795"/>
      <c r="ETL38" s="2795"/>
      <c r="ETM38" s="2795"/>
      <c r="ETN38" s="2795"/>
      <c r="ETO38" s="2795"/>
      <c r="ETP38" s="2795"/>
      <c r="ETQ38" s="2795"/>
      <c r="ETR38" s="2795"/>
      <c r="ETS38" s="2795"/>
      <c r="ETT38" s="2795"/>
      <c r="ETU38" s="2795"/>
      <c r="ETV38" s="2795"/>
      <c r="ETW38" s="2795"/>
      <c r="ETX38" s="2795"/>
      <c r="ETY38" s="2795"/>
      <c r="ETZ38" s="2795"/>
      <c r="EUA38" s="2795"/>
      <c r="EUB38" s="2795"/>
      <c r="EUC38" s="2795"/>
      <c r="EUD38" s="2795"/>
      <c r="EUE38" s="2795"/>
      <c r="EUF38" s="2795"/>
      <c r="EUG38" s="2795"/>
      <c r="EUH38" s="2795"/>
      <c r="EUI38" s="2795"/>
      <c r="EUJ38" s="2795"/>
      <c r="EUK38" s="2795"/>
      <c r="EUL38" s="2795"/>
      <c r="EUM38" s="2795"/>
      <c r="EUN38" s="2795"/>
      <c r="EUO38" s="2795"/>
      <c r="EUP38" s="2795"/>
      <c r="EUQ38" s="2795"/>
      <c r="EUR38" s="2795"/>
      <c r="EUS38" s="2795"/>
      <c r="EUT38" s="2795"/>
      <c r="EUU38" s="2795"/>
      <c r="EUV38" s="2795"/>
      <c r="EUW38" s="2795"/>
      <c r="EUX38" s="2795"/>
      <c r="EUY38" s="2795"/>
      <c r="EUZ38" s="2795"/>
      <c r="EVA38" s="2795"/>
      <c r="EVB38" s="2795"/>
      <c r="EVC38" s="2795"/>
      <c r="EVD38" s="2795"/>
      <c r="EVE38" s="2795"/>
      <c r="EVF38" s="2795"/>
      <c r="EVG38" s="2795"/>
      <c r="EVH38" s="2795"/>
      <c r="EVI38" s="2795"/>
      <c r="EVJ38" s="2795"/>
      <c r="EVK38" s="2795"/>
      <c r="EVL38" s="2795"/>
      <c r="EVM38" s="2795"/>
      <c r="EVN38" s="2795"/>
      <c r="EVO38" s="2795"/>
      <c r="EVP38" s="2795"/>
      <c r="EVQ38" s="2795"/>
      <c r="EVR38" s="2795"/>
      <c r="EVS38" s="2795"/>
      <c r="EVT38" s="2795"/>
      <c r="EVU38" s="2795"/>
      <c r="EVV38" s="2795"/>
      <c r="EVW38" s="2795"/>
      <c r="EVX38" s="2795"/>
      <c r="EVY38" s="2795"/>
      <c r="EVZ38" s="2795"/>
      <c r="EWA38" s="2795"/>
      <c r="EWB38" s="2795"/>
      <c r="EWC38" s="2795"/>
      <c r="EWD38" s="2795"/>
      <c r="EWE38" s="2795"/>
      <c r="EWF38" s="2795"/>
      <c r="EWG38" s="2795"/>
      <c r="EWH38" s="2795"/>
      <c r="EWI38" s="2795"/>
      <c r="EWJ38" s="2795"/>
      <c r="EWK38" s="2795"/>
      <c r="EWL38" s="2795"/>
      <c r="EWM38" s="2795"/>
      <c r="EWN38" s="2795"/>
      <c r="EWO38" s="2795"/>
      <c r="EWP38" s="2795"/>
      <c r="EWQ38" s="2795"/>
      <c r="EWR38" s="2795"/>
      <c r="EWS38" s="2795"/>
      <c r="EWT38" s="2795"/>
      <c r="EWU38" s="2795"/>
      <c r="EWV38" s="2795"/>
      <c r="EWW38" s="2795"/>
      <c r="EWX38" s="2795"/>
      <c r="EWY38" s="2795"/>
      <c r="EWZ38" s="2795"/>
      <c r="EXA38" s="2795"/>
      <c r="EXB38" s="2795"/>
      <c r="EXC38" s="2795"/>
      <c r="EXD38" s="2795"/>
      <c r="EXE38" s="2795"/>
      <c r="EXF38" s="2795"/>
      <c r="EXG38" s="2795"/>
      <c r="EXH38" s="2795"/>
      <c r="EXI38" s="2795"/>
      <c r="EXJ38" s="2795"/>
      <c r="EXK38" s="2795"/>
      <c r="EXL38" s="2795"/>
      <c r="EXM38" s="2795"/>
      <c r="EXN38" s="2795"/>
      <c r="EXO38" s="2795"/>
      <c r="EXP38" s="2795"/>
      <c r="EXQ38" s="2795"/>
      <c r="EXR38" s="2795"/>
      <c r="EXS38" s="2795"/>
      <c r="EXT38" s="2795"/>
      <c r="EXU38" s="2795"/>
      <c r="EXV38" s="2795"/>
      <c r="EXW38" s="2795"/>
      <c r="EXX38" s="2795"/>
      <c r="EXY38" s="2795"/>
      <c r="EXZ38" s="2795"/>
      <c r="EYA38" s="2795"/>
      <c r="EYB38" s="2795"/>
      <c r="EYC38" s="2795"/>
      <c r="EYD38" s="2795"/>
      <c r="EYE38" s="2795"/>
      <c r="EYF38" s="2795"/>
      <c r="EYG38" s="2795"/>
      <c r="EYH38" s="2795"/>
      <c r="EYI38" s="2795"/>
      <c r="EYJ38" s="2795"/>
      <c r="EYK38" s="2795"/>
      <c r="EYL38" s="2795"/>
      <c r="EYM38" s="2795"/>
      <c r="EYN38" s="2795"/>
      <c r="EYO38" s="2795"/>
      <c r="EYP38" s="2795"/>
      <c r="EYQ38" s="2795"/>
      <c r="EYR38" s="2795"/>
      <c r="EYS38" s="2795"/>
      <c r="EYT38" s="2795"/>
      <c r="EYU38" s="2795"/>
      <c r="EYV38" s="2795"/>
      <c r="EYW38" s="2795"/>
      <c r="EYX38" s="2795"/>
      <c r="EYY38" s="2795"/>
      <c r="EYZ38" s="2795"/>
      <c r="EZA38" s="2795"/>
      <c r="EZB38" s="2795"/>
      <c r="EZC38" s="2795"/>
      <c r="EZD38" s="2795"/>
      <c r="EZE38" s="2795"/>
      <c r="EZF38" s="2795"/>
      <c r="EZG38" s="2795"/>
      <c r="EZH38" s="2795"/>
      <c r="EZI38" s="2795"/>
      <c r="EZJ38" s="2795"/>
      <c r="EZK38" s="2795"/>
      <c r="EZL38" s="2795"/>
      <c r="EZM38" s="2795"/>
      <c r="EZN38" s="2795"/>
      <c r="EZO38" s="2795"/>
      <c r="EZP38" s="2795"/>
      <c r="EZQ38" s="2795"/>
      <c r="EZR38" s="2795"/>
      <c r="EZS38" s="2795"/>
      <c r="EZT38" s="2795"/>
      <c r="EZU38" s="2795"/>
      <c r="EZV38" s="2795"/>
      <c r="EZW38" s="2795"/>
      <c r="EZX38" s="2795"/>
      <c r="EZY38" s="2795"/>
      <c r="EZZ38" s="2795"/>
      <c r="FAA38" s="2795"/>
      <c r="FAB38" s="2795"/>
      <c r="FAC38" s="2795"/>
      <c r="FAD38" s="2795"/>
      <c r="FAE38" s="2795"/>
      <c r="FAF38" s="2795"/>
      <c r="FAG38" s="2795"/>
      <c r="FAH38" s="2795"/>
      <c r="FAI38" s="2795"/>
      <c r="FAJ38" s="2795"/>
      <c r="FAK38" s="2795"/>
      <c r="FAL38" s="2795"/>
      <c r="FAM38" s="2795"/>
      <c r="FAN38" s="2795"/>
      <c r="FAO38" s="2795"/>
      <c r="FAP38" s="2795"/>
      <c r="FAQ38" s="2795"/>
      <c r="FAR38" s="2795"/>
      <c r="FAS38" s="2795"/>
      <c r="FAT38" s="2795"/>
      <c r="FAU38" s="2795"/>
      <c r="FAV38" s="2795"/>
      <c r="FAW38" s="2795"/>
      <c r="FAX38" s="2795"/>
      <c r="FAY38" s="2795"/>
      <c r="FAZ38" s="2795"/>
      <c r="FBA38" s="2795"/>
      <c r="FBB38" s="2795"/>
      <c r="FBC38" s="2795"/>
      <c r="FBD38" s="2795"/>
      <c r="FBE38" s="2795"/>
      <c r="FBF38" s="2795"/>
      <c r="FBG38" s="2795"/>
      <c r="FBH38" s="2795"/>
      <c r="FBI38" s="2795"/>
      <c r="FBJ38" s="2795"/>
      <c r="FBK38" s="2795"/>
      <c r="FBL38" s="2795"/>
      <c r="FBM38" s="2795"/>
      <c r="FBN38" s="2795"/>
      <c r="FBO38" s="2795"/>
      <c r="FBP38" s="2795"/>
      <c r="FBQ38" s="2795"/>
      <c r="FBR38" s="2795"/>
      <c r="FBS38" s="2795"/>
      <c r="FBT38" s="2795"/>
      <c r="FBU38" s="2795"/>
      <c r="FBV38" s="2795"/>
      <c r="FBW38" s="2795"/>
      <c r="FBX38" s="2795"/>
      <c r="FBY38" s="2795"/>
      <c r="FBZ38" s="2795"/>
      <c r="FCA38" s="2795"/>
      <c r="FCB38" s="2795"/>
      <c r="FCC38" s="2795"/>
      <c r="FCD38" s="2795"/>
      <c r="FCE38" s="2795"/>
      <c r="FCF38" s="2795"/>
      <c r="FCG38" s="2795"/>
      <c r="FCH38" s="2795"/>
      <c r="FCI38" s="2795"/>
      <c r="FCJ38" s="2795"/>
      <c r="FCK38" s="2795"/>
      <c r="FCL38" s="2795"/>
      <c r="FCM38" s="2795"/>
      <c r="FCN38" s="2795"/>
      <c r="FCO38" s="2795"/>
      <c r="FCP38" s="2795"/>
      <c r="FCQ38" s="2795"/>
      <c r="FCR38" s="2795"/>
      <c r="FCS38" s="2795"/>
      <c r="FCT38" s="2795"/>
      <c r="FCU38" s="2795"/>
      <c r="FCV38" s="2795"/>
      <c r="FCW38" s="2795"/>
      <c r="FCX38" s="2795"/>
      <c r="FCY38" s="2795"/>
      <c r="FCZ38" s="2795"/>
      <c r="FDA38" s="2795"/>
      <c r="FDB38" s="2795"/>
      <c r="FDC38" s="2795"/>
      <c r="FDD38" s="2795"/>
      <c r="FDE38" s="2795"/>
      <c r="FDF38" s="2795"/>
      <c r="FDG38" s="2795"/>
      <c r="FDH38" s="2795"/>
      <c r="FDI38" s="2795"/>
      <c r="FDJ38" s="2795"/>
      <c r="FDK38" s="2795"/>
      <c r="FDL38" s="2795"/>
      <c r="FDM38" s="2795"/>
      <c r="FDN38" s="2795"/>
      <c r="FDO38" s="2795"/>
      <c r="FDP38" s="2795"/>
      <c r="FDQ38" s="2795"/>
      <c r="FDR38" s="2795"/>
      <c r="FDS38" s="2795"/>
      <c r="FDT38" s="2795"/>
      <c r="FDU38" s="2795"/>
      <c r="FDV38" s="2795"/>
      <c r="FDW38" s="2795"/>
      <c r="FDX38" s="2795"/>
      <c r="FDY38" s="2795"/>
      <c r="FDZ38" s="2795"/>
      <c r="FEA38" s="2795"/>
      <c r="FEB38" s="2795"/>
      <c r="FEC38" s="2795"/>
      <c r="FED38" s="2795"/>
      <c r="FEE38" s="2795"/>
      <c r="FEF38" s="2795"/>
      <c r="FEG38" s="2795"/>
      <c r="FEH38" s="2795"/>
      <c r="FEI38" s="2795"/>
      <c r="FEJ38" s="2795"/>
      <c r="FEK38" s="2795"/>
      <c r="FEL38" s="2795"/>
      <c r="FEM38" s="2795"/>
      <c r="FEN38" s="2795"/>
      <c r="FEO38" s="2795"/>
      <c r="FEP38" s="2795"/>
      <c r="FEQ38" s="2795"/>
      <c r="FER38" s="2795"/>
      <c r="FES38" s="2795"/>
      <c r="FET38" s="2795"/>
      <c r="FEU38" s="2795"/>
      <c r="FEV38" s="2795"/>
      <c r="FEW38" s="2795"/>
      <c r="FEX38" s="2795"/>
      <c r="FEY38" s="2795"/>
      <c r="FEZ38" s="2795"/>
      <c r="FFA38" s="2795"/>
      <c r="FFB38" s="2795"/>
      <c r="FFC38" s="2795"/>
      <c r="FFD38" s="2795"/>
      <c r="FFE38" s="2795"/>
      <c r="FFF38" s="2795"/>
      <c r="FFG38" s="2795"/>
      <c r="FFH38" s="2795"/>
      <c r="FFI38" s="2795"/>
      <c r="FFJ38" s="2795"/>
      <c r="FFK38" s="2795"/>
      <c r="FFL38" s="2795"/>
      <c r="FFM38" s="2795"/>
      <c r="FFN38" s="2795"/>
      <c r="FFO38" s="2795"/>
      <c r="FFP38" s="2795"/>
      <c r="FFQ38" s="2795"/>
      <c r="FFR38" s="2795"/>
      <c r="FFS38" s="2795"/>
      <c r="FFT38" s="2795"/>
      <c r="FFU38" s="2795"/>
      <c r="FFV38" s="2795"/>
      <c r="FFW38" s="2795"/>
      <c r="FFX38" s="2795"/>
      <c r="FFY38" s="2795"/>
      <c r="FFZ38" s="2795"/>
      <c r="FGA38" s="2795"/>
      <c r="FGB38" s="2795"/>
      <c r="FGC38" s="2795"/>
      <c r="FGD38" s="2795"/>
      <c r="FGE38" s="2795"/>
      <c r="FGF38" s="2795"/>
      <c r="FGG38" s="2795"/>
      <c r="FGH38" s="2795"/>
      <c r="FGI38" s="2795"/>
      <c r="FGJ38" s="2795"/>
      <c r="FGK38" s="2795"/>
      <c r="FGL38" s="2795"/>
      <c r="FGM38" s="2795"/>
      <c r="FGN38" s="2795"/>
      <c r="FGO38" s="2795"/>
      <c r="FGP38" s="2795"/>
      <c r="FGQ38" s="2795"/>
      <c r="FGR38" s="2795"/>
      <c r="FGS38" s="2795"/>
      <c r="FGT38" s="2795"/>
      <c r="FGU38" s="2795"/>
      <c r="FGV38" s="2795"/>
      <c r="FGW38" s="2795"/>
      <c r="FGX38" s="2795"/>
      <c r="FGY38" s="2795"/>
      <c r="FGZ38" s="2795"/>
      <c r="FHA38" s="2795"/>
      <c r="FHB38" s="2795"/>
      <c r="FHC38" s="2795"/>
      <c r="FHD38" s="2795"/>
      <c r="FHE38" s="2795"/>
      <c r="FHF38" s="2795"/>
      <c r="FHG38" s="2795"/>
      <c r="FHH38" s="2795"/>
      <c r="FHI38" s="2795"/>
      <c r="FHJ38" s="2795"/>
      <c r="FHK38" s="2795"/>
      <c r="FHL38" s="2795"/>
      <c r="FHM38" s="2795"/>
      <c r="FHN38" s="2795"/>
      <c r="FHO38" s="2795"/>
      <c r="FHP38" s="2795"/>
      <c r="FHQ38" s="2795"/>
      <c r="FHR38" s="2795"/>
      <c r="FHS38" s="2795"/>
      <c r="FHT38" s="2795"/>
      <c r="FHU38" s="2795"/>
      <c r="FHV38" s="2795"/>
      <c r="FHW38" s="2795"/>
      <c r="FHX38" s="2795"/>
      <c r="FHY38" s="2795"/>
      <c r="FHZ38" s="2795"/>
      <c r="FIA38" s="2795"/>
      <c r="FIB38" s="2795"/>
      <c r="FIC38" s="2795"/>
      <c r="FID38" s="2795"/>
      <c r="FIE38" s="2795"/>
      <c r="FIF38" s="2795"/>
      <c r="FIG38" s="2795"/>
      <c r="FIH38" s="2795"/>
      <c r="FII38" s="2795"/>
      <c r="FIJ38" s="2795"/>
      <c r="FIK38" s="2795"/>
      <c r="FIL38" s="2795"/>
      <c r="FIM38" s="2795"/>
      <c r="FIN38" s="2795"/>
      <c r="FIO38" s="2795"/>
      <c r="FIP38" s="2795"/>
      <c r="FIQ38" s="2795"/>
      <c r="FIR38" s="2795"/>
      <c r="FIS38" s="2795"/>
      <c r="FIT38" s="2795"/>
      <c r="FIU38" s="2795"/>
      <c r="FIV38" s="2795"/>
      <c r="FIW38" s="2795"/>
      <c r="FIX38" s="2795"/>
      <c r="FIY38" s="2795"/>
      <c r="FIZ38" s="2795"/>
      <c r="FJA38" s="2795"/>
      <c r="FJB38" s="2795"/>
      <c r="FJC38" s="2795"/>
      <c r="FJD38" s="2795"/>
      <c r="FJE38" s="2795"/>
      <c r="FJF38" s="2795"/>
      <c r="FJG38" s="2795"/>
      <c r="FJH38" s="2795"/>
      <c r="FJI38" s="2795"/>
      <c r="FJJ38" s="2795"/>
      <c r="FJK38" s="2795"/>
      <c r="FJL38" s="2795"/>
      <c r="FJM38" s="2795"/>
      <c r="FJN38" s="2795"/>
      <c r="FJO38" s="2795"/>
      <c r="FJP38" s="2795"/>
      <c r="FJQ38" s="2795"/>
      <c r="FJR38" s="2795"/>
      <c r="FJS38" s="2795"/>
      <c r="FJT38" s="2795"/>
      <c r="FJU38" s="2795"/>
      <c r="FJV38" s="2795"/>
      <c r="FJW38" s="2795"/>
      <c r="FJX38" s="2795"/>
      <c r="FJY38" s="2795"/>
      <c r="FJZ38" s="2795"/>
      <c r="FKA38" s="2795"/>
      <c r="FKB38" s="2795"/>
      <c r="FKC38" s="2795"/>
      <c r="FKD38" s="2795"/>
      <c r="FKE38" s="2795"/>
      <c r="FKF38" s="2795"/>
      <c r="FKG38" s="2795"/>
      <c r="FKH38" s="2795"/>
      <c r="FKI38" s="2795"/>
      <c r="FKJ38" s="2795"/>
      <c r="FKK38" s="2795"/>
      <c r="FKL38" s="2795"/>
      <c r="FKM38" s="2795"/>
      <c r="FKN38" s="2795"/>
      <c r="FKO38" s="2795"/>
      <c r="FKP38" s="2795"/>
      <c r="FKQ38" s="2795"/>
      <c r="FKR38" s="2795"/>
      <c r="FKS38" s="2795"/>
      <c r="FKT38" s="2795"/>
      <c r="FKU38" s="2795"/>
      <c r="FKV38" s="2795"/>
      <c r="FKW38" s="2795"/>
      <c r="FKX38" s="2795"/>
      <c r="FKY38" s="2795"/>
      <c r="FKZ38" s="2795"/>
      <c r="FLA38" s="2795"/>
      <c r="FLB38" s="2795"/>
      <c r="FLC38" s="2795"/>
      <c r="FLD38" s="2795"/>
      <c r="FLE38" s="2795"/>
      <c r="FLF38" s="2795"/>
      <c r="FLG38" s="2795"/>
      <c r="FLH38" s="2795"/>
      <c r="FLI38" s="2795"/>
      <c r="FLJ38" s="2795"/>
      <c r="FLK38" s="2795"/>
      <c r="FLL38" s="2795"/>
      <c r="FLM38" s="2795"/>
      <c r="FLN38" s="2795"/>
      <c r="FLO38" s="2795"/>
      <c r="FLP38" s="2795"/>
      <c r="FLQ38" s="2795"/>
      <c r="FLR38" s="2795"/>
      <c r="FLS38" s="2795"/>
      <c r="FLT38" s="2795"/>
      <c r="FLU38" s="2795"/>
      <c r="FLV38" s="2795"/>
      <c r="FLW38" s="2795"/>
      <c r="FLX38" s="2795"/>
      <c r="FLY38" s="2795"/>
      <c r="FLZ38" s="2795"/>
      <c r="FMA38" s="2795"/>
      <c r="FMB38" s="2795"/>
      <c r="FMC38" s="2795"/>
      <c r="FMD38" s="2795"/>
      <c r="FME38" s="2795"/>
      <c r="FMF38" s="2795"/>
      <c r="FMG38" s="2795"/>
      <c r="FMH38" s="2795"/>
      <c r="FMI38" s="2795"/>
      <c r="FMJ38" s="2795"/>
      <c r="FMK38" s="2795"/>
      <c r="FML38" s="2795"/>
      <c r="FMM38" s="2795"/>
      <c r="FMN38" s="2795"/>
      <c r="FMO38" s="2795"/>
      <c r="FMP38" s="2795"/>
      <c r="FMQ38" s="2795"/>
      <c r="FMR38" s="2795"/>
      <c r="FMS38" s="2795"/>
      <c r="FMT38" s="2795"/>
      <c r="FMU38" s="2795"/>
      <c r="FMV38" s="2795"/>
      <c r="FMW38" s="2795"/>
      <c r="FMX38" s="2795"/>
      <c r="FMY38" s="2795"/>
      <c r="FMZ38" s="2795"/>
      <c r="FNA38" s="2795"/>
      <c r="FNB38" s="2795"/>
      <c r="FNC38" s="2795"/>
      <c r="FND38" s="2795"/>
      <c r="FNE38" s="2795"/>
      <c r="FNF38" s="2795"/>
      <c r="FNG38" s="2795"/>
      <c r="FNH38" s="2795"/>
      <c r="FNI38" s="2795"/>
      <c r="FNJ38" s="2795"/>
      <c r="FNK38" s="2795"/>
      <c r="FNL38" s="2795"/>
      <c r="FNM38" s="2795"/>
      <c r="FNN38" s="2795"/>
      <c r="FNO38" s="2795"/>
      <c r="FNP38" s="2795"/>
      <c r="FNQ38" s="2795"/>
      <c r="FNR38" s="2795"/>
      <c r="FNS38" s="2795"/>
      <c r="FNT38" s="2795"/>
      <c r="FNU38" s="2795"/>
      <c r="FNV38" s="2795"/>
      <c r="FNW38" s="2795"/>
      <c r="FNX38" s="2795"/>
      <c r="FNY38" s="2795"/>
      <c r="FNZ38" s="2795"/>
      <c r="FOA38" s="2795"/>
      <c r="FOB38" s="2795"/>
      <c r="FOC38" s="2795"/>
      <c r="FOD38" s="2795"/>
      <c r="FOE38" s="2795"/>
      <c r="FOF38" s="2795"/>
      <c r="FOG38" s="2795"/>
      <c r="FOH38" s="2795"/>
      <c r="FOI38" s="2795"/>
      <c r="FOJ38" s="2795"/>
      <c r="FOK38" s="2795"/>
      <c r="FOL38" s="2795"/>
      <c r="FOM38" s="2795"/>
      <c r="FON38" s="2795"/>
      <c r="FOO38" s="2795"/>
      <c r="FOP38" s="2795"/>
      <c r="FOQ38" s="2795"/>
      <c r="FOR38" s="2795"/>
      <c r="FOS38" s="2795"/>
      <c r="FOT38" s="2795"/>
      <c r="FOU38" s="2795"/>
      <c r="FOV38" s="2795"/>
      <c r="FOW38" s="2795"/>
      <c r="FOX38" s="2795"/>
      <c r="FOY38" s="2795"/>
      <c r="FOZ38" s="2795"/>
      <c r="FPA38" s="2795"/>
      <c r="FPB38" s="2795"/>
      <c r="FPC38" s="2795"/>
      <c r="FPD38" s="2795"/>
      <c r="FPE38" s="2795"/>
      <c r="FPF38" s="2795"/>
      <c r="FPG38" s="2795"/>
      <c r="FPH38" s="2795"/>
      <c r="FPI38" s="2795"/>
      <c r="FPJ38" s="2795"/>
      <c r="FPK38" s="2795"/>
      <c r="FPL38" s="2795"/>
      <c r="FPM38" s="2795"/>
      <c r="FPN38" s="2795"/>
      <c r="FPO38" s="2795"/>
      <c r="FPP38" s="2795"/>
      <c r="FPQ38" s="2795"/>
      <c r="FPR38" s="2795"/>
      <c r="FPS38" s="2795"/>
      <c r="FPT38" s="2795"/>
      <c r="FPU38" s="2795"/>
      <c r="FPV38" s="2795"/>
      <c r="FPW38" s="2795"/>
      <c r="FPX38" s="2795"/>
      <c r="FPY38" s="2795"/>
      <c r="FPZ38" s="2795"/>
      <c r="FQA38" s="2795"/>
      <c r="FQB38" s="2795"/>
      <c r="FQC38" s="2795"/>
      <c r="FQD38" s="2795"/>
      <c r="FQE38" s="2795"/>
      <c r="FQF38" s="2795"/>
      <c r="FQG38" s="2795"/>
      <c r="FQH38" s="2795"/>
      <c r="FQI38" s="2795"/>
      <c r="FQJ38" s="2795"/>
      <c r="FQK38" s="2795"/>
      <c r="FQL38" s="2795"/>
      <c r="FQM38" s="2795"/>
      <c r="FQN38" s="2795"/>
      <c r="FQO38" s="2795"/>
      <c r="FQP38" s="2795"/>
      <c r="FQQ38" s="2795"/>
      <c r="FQR38" s="2795"/>
      <c r="FQS38" s="2795"/>
      <c r="FQT38" s="2795"/>
      <c r="FQU38" s="2795"/>
      <c r="FQV38" s="2795"/>
      <c r="FQW38" s="2795"/>
      <c r="FQX38" s="2795"/>
      <c r="FQY38" s="2795"/>
      <c r="FQZ38" s="2795"/>
      <c r="FRA38" s="2795"/>
      <c r="FRB38" s="2795"/>
      <c r="FRC38" s="2795"/>
      <c r="FRD38" s="2795"/>
      <c r="FRE38" s="2795"/>
      <c r="FRF38" s="2795"/>
      <c r="FRG38" s="2795"/>
      <c r="FRH38" s="2795"/>
      <c r="FRI38" s="2795"/>
      <c r="FRJ38" s="2795"/>
      <c r="FRK38" s="2795"/>
      <c r="FRL38" s="2795"/>
      <c r="FRM38" s="2795"/>
      <c r="FRN38" s="2795"/>
      <c r="FRO38" s="2795"/>
      <c r="FRP38" s="2795"/>
      <c r="FRQ38" s="2795"/>
      <c r="FRR38" s="2795"/>
      <c r="FRS38" s="2795"/>
      <c r="FRT38" s="2795"/>
      <c r="FRU38" s="2795"/>
      <c r="FRV38" s="2795"/>
      <c r="FRW38" s="2795"/>
      <c r="FRX38" s="2795"/>
      <c r="FRY38" s="2795"/>
      <c r="FRZ38" s="2795"/>
      <c r="FSA38" s="2795"/>
      <c r="FSB38" s="2795"/>
      <c r="FSC38" s="2795"/>
      <c r="FSD38" s="2795"/>
      <c r="FSE38" s="2795"/>
      <c r="FSF38" s="2795"/>
      <c r="FSG38" s="2795"/>
      <c r="FSH38" s="2795"/>
      <c r="FSI38" s="2795"/>
      <c r="FSJ38" s="2795"/>
      <c r="FSK38" s="2795"/>
      <c r="FSL38" s="2795"/>
      <c r="FSM38" s="2795"/>
      <c r="FSN38" s="2795"/>
      <c r="FSO38" s="2795"/>
      <c r="FSP38" s="2795"/>
      <c r="FSQ38" s="2795"/>
      <c r="FSR38" s="2795"/>
      <c r="FSS38" s="2795"/>
      <c r="FST38" s="2795"/>
      <c r="FSU38" s="2795"/>
      <c r="FSV38" s="2795"/>
      <c r="FSW38" s="2795"/>
      <c r="FSX38" s="2795"/>
      <c r="FSY38" s="2795"/>
      <c r="FSZ38" s="2795"/>
      <c r="FTA38" s="2795"/>
      <c r="FTB38" s="2795"/>
      <c r="FTC38" s="2795"/>
      <c r="FTD38" s="2795"/>
      <c r="FTE38" s="2795"/>
      <c r="FTF38" s="2795"/>
      <c r="FTG38" s="2795"/>
      <c r="FTH38" s="2795"/>
      <c r="FTI38" s="2795"/>
      <c r="FTJ38" s="2795"/>
      <c r="FTK38" s="2795"/>
      <c r="FTL38" s="2795"/>
      <c r="FTM38" s="2795"/>
      <c r="FTN38" s="2795"/>
      <c r="FTO38" s="2795"/>
      <c r="FTP38" s="2795"/>
      <c r="FTQ38" s="2795"/>
      <c r="FTR38" s="2795"/>
      <c r="FTS38" s="2795"/>
      <c r="FTT38" s="2795"/>
      <c r="FTU38" s="2795"/>
      <c r="FTV38" s="2795"/>
      <c r="FTW38" s="2795"/>
      <c r="FTX38" s="2795"/>
      <c r="FTY38" s="2795"/>
      <c r="FTZ38" s="2795"/>
      <c r="FUA38" s="2795"/>
      <c r="FUB38" s="2795"/>
      <c r="FUC38" s="2795"/>
      <c r="FUD38" s="2795"/>
      <c r="FUE38" s="2795"/>
      <c r="FUF38" s="2795"/>
      <c r="FUG38" s="2795"/>
      <c r="FUH38" s="2795"/>
      <c r="FUI38" s="2795"/>
      <c r="FUJ38" s="2795"/>
      <c r="FUK38" s="2795"/>
      <c r="FUL38" s="2795"/>
      <c r="FUM38" s="2795"/>
      <c r="FUN38" s="2795"/>
      <c r="FUO38" s="2795"/>
      <c r="FUP38" s="2795"/>
      <c r="FUQ38" s="2795"/>
      <c r="FUR38" s="2795"/>
      <c r="FUS38" s="2795"/>
      <c r="FUT38" s="2795"/>
      <c r="FUU38" s="2795"/>
      <c r="FUV38" s="2795"/>
      <c r="FUW38" s="2795"/>
      <c r="FUX38" s="2795"/>
      <c r="FUY38" s="2795"/>
      <c r="FUZ38" s="2795"/>
      <c r="FVA38" s="2795"/>
      <c r="FVB38" s="2795"/>
      <c r="FVC38" s="2795"/>
      <c r="FVD38" s="2795"/>
      <c r="FVE38" s="2795"/>
      <c r="FVF38" s="2795"/>
      <c r="FVG38" s="2795"/>
      <c r="FVH38" s="2795"/>
      <c r="FVI38" s="2795"/>
      <c r="FVJ38" s="2795"/>
      <c r="FVK38" s="2795"/>
      <c r="FVL38" s="2795"/>
      <c r="FVM38" s="2795"/>
      <c r="FVN38" s="2795"/>
      <c r="FVO38" s="2795"/>
      <c r="FVP38" s="2795"/>
      <c r="FVQ38" s="2795"/>
      <c r="FVR38" s="2795"/>
      <c r="FVS38" s="2795"/>
      <c r="FVT38" s="2795"/>
      <c r="FVU38" s="2795"/>
      <c r="FVV38" s="2795"/>
      <c r="FVW38" s="2795"/>
      <c r="FVX38" s="2795"/>
      <c r="FVY38" s="2795"/>
      <c r="FVZ38" s="2795"/>
      <c r="FWA38" s="2795"/>
      <c r="FWB38" s="2795"/>
      <c r="FWC38" s="2795"/>
      <c r="FWD38" s="2795"/>
      <c r="FWE38" s="2795"/>
      <c r="FWF38" s="2795"/>
      <c r="FWG38" s="2795"/>
      <c r="FWH38" s="2795"/>
      <c r="FWI38" s="2795"/>
      <c r="FWJ38" s="2795"/>
      <c r="FWK38" s="2795"/>
      <c r="FWL38" s="2795"/>
      <c r="FWM38" s="2795"/>
      <c r="FWN38" s="2795"/>
      <c r="FWO38" s="2795"/>
      <c r="FWP38" s="2795"/>
      <c r="FWQ38" s="2795"/>
      <c r="FWR38" s="2795"/>
      <c r="FWS38" s="2795"/>
      <c r="FWT38" s="2795"/>
      <c r="FWU38" s="2795"/>
      <c r="FWV38" s="2795"/>
      <c r="FWW38" s="2795"/>
      <c r="FWX38" s="2795"/>
      <c r="FWY38" s="2795"/>
      <c r="FWZ38" s="2795"/>
      <c r="FXA38" s="2795"/>
      <c r="FXB38" s="2795"/>
      <c r="FXC38" s="2795"/>
      <c r="FXD38" s="2795"/>
      <c r="FXE38" s="2795"/>
      <c r="FXF38" s="2795"/>
      <c r="FXG38" s="2795"/>
      <c r="FXH38" s="2795"/>
      <c r="FXI38" s="2795"/>
      <c r="FXJ38" s="2795"/>
      <c r="FXK38" s="2795"/>
      <c r="FXL38" s="2795"/>
      <c r="FXM38" s="2795"/>
      <c r="FXN38" s="2795"/>
      <c r="FXO38" s="2795"/>
      <c r="FXP38" s="2795"/>
      <c r="FXQ38" s="2795"/>
      <c r="FXR38" s="2795"/>
      <c r="FXS38" s="2795"/>
      <c r="FXT38" s="2795"/>
      <c r="FXU38" s="2795"/>
      <c r="FXV38" s="2795"/>
      <c r="FXW38" s="2795"/>
      <c r="FXX38" s="2795"/>
      <c r="FXY38" s="2795"/>
      <c r="FXZ38" s="2795"/>
      <c r="FYA38" s="2795"/>
      <c r="FYB38" s="2795"/>
      <c r="FYC38" s="2795"/>
      <c r="FYD38" s="2795"/>
      <c r="FYE38" s="2795"/>
      <c r="FYF38" s="2795"/>
      <c r="FYG38" s="2795"/>
      <c r="FYH38" s="2795"/>
      <c r="FYI38" s="2795"/>
      <c r="FYJ38" s="2795"/>
      <c r="FYK38" s="2795"/>
      <c r="FYL38" s="2795"/>
      <c r="FYM38" s="2795"/>
      <c r="FYN38" s="2795"/>
      <c r="FYO38" s="2795"/>
      <c r="FYP38" s="2795"/>
      <c r="FYQ38" s="2795"/>
      <c r="FYR38" s="2795"/>
      <c r="FYS38" s="2795"/>
      <c r="FYT38" s="2795"/>
      <c r="FYU38" s="2795"/>
      <c r="FYV38" s="2795"/>
      <c r="FYW38" s="2795"/>
      <c r="FYX38" s="2795"/>
      <c r="FYY38" s="2795"/>
      <c r="FYZ38" s="2795"/>
      <c r="FZA38" s="2795"/>
      <c r="FZB38" s="2795"/>
      <c r="FZC38" s="2795"/>
      <c r="FZD38" s="2795"/>
      <c r="FZE38" s="2795"/>
      <c r="FZF38" s="2795"/>
      <c r="FZG38" s="2795"/>
      <c r="FZH38" s="2795"/>
      <c r="FZI38" s="2795"/>
      <c r="FZJ38" s="2795"/>
      <c r="FZK38" s="2795"/>
      <c r="FZL38" s="2795"/>
      <c r="FZM38" s="2795"/>
      <c r="FZN38" s="2795"/>
      <c r="FZO38" s="2795"/>
      <c r="FZP38" s="2795"/>
      <c r="FZQ38" s="2795"/>
      <c r="FZR38" s="2795"/>
      <c r="FZS38" s="2795"/>
      <c r="FZT38" s="2795"/>
      <c r="FZU38" s="2795"/>
      <c r="FZV38" s="2795"/>
      <c r="FZW38" s="2795"/>
      <c r="FZX38" s="2795"/>
      <c r="FZY38" s="2795"/>
      <c r="FZZ38" s="2795"/>
      <c r="GAA38" s="2795"/>
      <c r="GAB38" s="2795"/>
      <c r="GAC38" s="2795"/>
      <c r="GAD38" s="2795"/>
      <c r="GAE38" s="2795"/>
      <c r="GAF38" s="2795"/>
      <c r="GAG38" s="2795"/>
      <c r="GAH38" s="2795"/>
      <c r="GAI38" s="2795"/>
      <c r="GAJ38" s="2795"/>
      <c r="GAK38" s="2795"/>
      <c r="GAL38" s="2795"/>
      <c r="GAM38" s="2795"/>
      <c r="GAN38" s="2795"/>
      <c r="GAO38" s="2795"/>
      <c r="GAP38" s="2795"/>
      <c r="GAQ38" s="2795"/>
      <c r="GAR38" s="2795"/>
      <c r="GAS38" s="2795"/>
      <c r="GAT38" s="2795"/>
      <c r="GAU38" s="2795"/>
      <c r="GAV38" s="2795"/>
      <c r="GAW38" s="2795"/>
      <c r="GAX38" s="2795"/>
      <c r="GAY38" s="2795"/>
      <c r="GAZ38" s="2795"/>
      <c r="GBA38" s="2795"/>
      <c r="GBB38" s="2795"/>
      <c r="GBC38" s="2795"/>
      <c r="GBD38" s="2795"/>
      <c r="GBE38" s="2795"/>
      <c r="GBF38" s="2795"/>
      <c r="GBG38" s="2795"/>
      <c r="GBH38" s="2795"/>
      <c r="GBI38" s="2795"/>
      <c r="GBJ38" s="2795"/>
      <c r="GBK38" s="2795"/>
      <c r="GBL38" s="2795"/>
      <c r="GBM38" s="2795"/>
      <c r="GBN38" s="2795"/>
      <c r="GBO38" s="2795"/>
      <c r="GBP38" s="2795"/>
      <c r="GBQ38" s="2795"/>
      <c r="GBR38" s="2795"/>
      <c r="GBS38" s="2795"/>
      <c r="GBT38" s="2795"/>
      <c r="GBU38" s="2795"/>
      <c r="GBV38" s="2795"/>
      <c r="GBW38" s="2795"/>
      <c r="GBX38" s="2795"/>
      <c r="GBY38" s="2795"/>
      <c r="GBZ38" s="2795"/>
      <c r="GCA38" s="2795"/>
      <c r="GCB38" s="2795"/>
      <c r="GCC38" s="2795"/>
      <c r="GCD38" s="2795"/>
      <c r="GCE38" s="2795"/>
      <c r="GCF38" s="2795"/>
      <c r="GCG38" s="2795"/>
      <c r="GCH38" s="2795"/>
      <c r="GCI38" s="2795"/>
      <c r="GCJ38" s="2795"/>
      <c r="GCK38" s="2795"/>
      <c r="GCL38" s="2795"/>
      <c r="GCM38" s="2795"/>
      <c r="GCN38" s="2795"/>
      <c r="GCO38" s="2795"/>
      <c r="GCP38" s="2795"/>
      <c r="GCQ38" s="2795"/>
      <c r="GCR38" s="2795"/>
      <c r="GCS38" s="2795"/>
      <c r="GCT38" s="2795"/>
      <c r="GCU38" s="2795"/>
      <c r="GCV38" s="2795"/>
      <c r="GCW38" s="2795"/>
      <c r="GCX38" s="2795"/>
      <c r="GCY38" s="2795"/>
      <c r="GCZ38" s="2795"/>
      <c r="GDA38" s="2795"/>
      <c r="GDB38" s="2795"/>
      <c r="GDC38" s="2795"/>
      <c r="GDD38" s="2795"/>
      <c r="GDE38" s="2795"/>
      <c r="GDF38" s="2795"/>
      <c r="GDG38" s="2795"/>
      <c r="GDH38" s="2795"/>
      <c r="GDI38" s="2795"/>
      <c r="GDJ38" s="2795"/>
      <c r="GDK38" s="2795"/>
      <c r="GDL38" s="2795"/>
      <c r="GDM38" s="2795"/>
      <c r="GDN38" s="2795"/>
      <c r="GDO38" s="2795"/>
      <c r="GDP38" s="2795"/>
      <c r="GDQ38" s="2795"/>
      <c r="GDR38" s="2795"/>
      <c r="GDS38" s="2795"/>
      <c r="GDT38" s="2795"/>
      <c r="GDU38" s="2795"/>
      <c r="GDV38" s="2795"/>
      <c r="GDW38" s="2795"/>
      <c r="GDX38" s="2795"/>
      <c r="GDY38" s="2795"/>
      <c r="GDZ38" s="2795"/>
      <c r="GEA38" s="2795"/>
      <c r="GEB38" s="2795"/>
      <c r="GEC38" s="2795"/>
      <c r="GED38" s="2795"/>
      <c r="GEE38" s="2795"/>
      <c r="GEF38" s="2795"/>
      <c r="GEG38" s="2795"/>
      <c r="GEH38" s="2795"/>
      <c r="GEI38" s="2795"/>
      <c r="GEJ38" s="2795"/>
      <c r="GEK38" s="2795"/>
      <c r="GEL38" s="2795"/>
      <c r="GEM38" s="2795"/>
      <c r="GEN38" s="2795"/>
      <c r="GEO38" s="2795"/>
      <c r="GEP38" s="2795"/>
      <c r="GEQ38" s="2795"/>
      <c r="GER38" s="2795"/>
      <c r="GES38" s="2795"/>
      <c r="GET38" s="2795"/>
      <c r="GEU38" s="2795"/>
      <c r="GEV38" s="2795"/>
      <c r="GEW38" s="2795"/>
      <c r="GEX38" s="2795"/>
      <c r="GEY38" s="2795"/>
      <c r="GEZ38" s="2795"/>
      <c r="GFA38" s="2795"/>
      <c r="GFB38" s="2795"/>
      <c r="GFC38" s="2795"/>
      <c r="GFD38" s="2795"/>
      <c r="GFE38" s="2795"/>
      <c r="GFF38" s="2795"/>
      <c r="GFG38" s="2795"/>
      <c r="GFH38" s="2795"/>
      <c r="GFI38" s="2795"/>
      <c r="GFJ38" s="2795"/>
      <c r="GFK38" s="2795"/>
      <c r="GFL38" s="2795"/>
      <c r="GFM38" s="2795"/>
      <c r="GFN38" s="2795"/>
      <c r="GFO38" s="2795"/>
      <c r="GFP38" s="2795"/>
      <c r="GFQ38" s="2795"/>
      <c r="GFR38" s="2795"/>
      <c r="GFS38" s="2795"/>
      <c r="GFT38" s="2795"/>
      <c r="GFU38" s="2795"/>
      <c r="GFV38" s="2795"/>
      <c r="GFW38" s="2795"/>
      <c r="GFX38" s="2795"/>
      <c r="GFY38" s="2795"/>
      <c r="GFZ38" s="2795"/>
      <c r="GGA38" s="2795"/>
      <c r="GGB38" s="2795"/>
      <c r="GGC38" s="2795"/>
      <c r="GGD38" s="2795"/>
      <c r="GGE38" s="2795"/>
      <c r="GGF38" s="2795"/>
      <c r="GGG38" s="2795"/>
      <c r="GGH38" s="2795"/>
      <c r="GGI38" s="2795"/>
      <c r="GGJ38" s="2795"/>
      <c r="GGK38" s="2795"/>
      <c r="GGL38" s="2795"/>
      <c r="GGM38" s="2795"/>
      <c r="GGN38" s="2795"/>
      <c r="GGO38" s="2795"/>
      <c r="GGP38" s="2795"/>
      <c r="GGQ38" s="2795"/>
      <c r="GGR38" s="2795"/>
      <c r="GGS38" s="2795"/>
      <c r="GGT38" s="2795"/>
      <c r="GGU38" s="2795"/>
      <c r="GGV38" s="2795"/>
      <c r="GGW38" s="2795"/>
      <c r="GGX38" s="2795"/>
      <c r="GGY38" s="2795"/>
      <c r="GGZ38" s="2795"/>
      <c r="GHA38" s="2795"/>
      <c r="GHB38" s="2795"/>
      <c r="GHC38" s="2795"/>
      <c r="GHD38" s="2795"/>
      <c r="GHE38" s="2795"/>
      <c r="GHF38" s="2795"/>
      <c r="GHG38" s="2795"/>
      <c r="GHH38" s="2795"/>
      <c r="GHI38" s="2795"/>
      <c r="GHJ38" s="2795"/>
      <c r="GHK38" s="2795"/>
      <c r="GHL38" s="2795"/>
      <c r="GHM38" s="2795"/>
      <c r="GHN38" s="2795"/>
      <c r="GHO38" s="2795"/>
      <c r="GHP38" s="2795"/>
      <c r="GHQ38" s="2795"/>
      <c r="GHR38" s="2795"/>
      <c r="GHS38" s="2795"/>
      <c r="GHT38" s="2795"/>
      <c r="GHU38" s="2795"/>
      <c r="GHV38" s="2795"/>
      <c r="GHW38" s="2795"/>
      <c r="GHX38" s="2795"/>
      <c r="GHY38" s="2795"/>
      <c r="GHZ38" s="2795"/>
      <c r="GIA38" s="2795"/>
      <c r="GIB38" s="2795"/>
      <c r="GIC38" s="2795"/>
      <c r="GID38" s="2795"/>
      <c r="GIE38" s="2795"/>
      <c r="GIF38" s="2795"/>
      <c r="GIG38" s="2795"/>
      <c r="GIH38" s="2795"/>
      <c r="GII38" s="2795"/>
      <c r="GIJ38" s="2795"/>
      <c r="GIK38" s="2795"/>
      <c r="GIL38" s="2795"/>
      <c r="GIM38" s="2795"/>
      <c r="GIN38" s="2795"/>
      <c r="GIO38" s="2795"/>
      <c r="GIP38" s="2795"/>
      <c r="GIQ38" s="2795"/>
      <c r="GIR38" s="2795"/>
      <c r="GIS38" s="2795"/>
      <c r="GIT38" s="2795"/>
      <c r="GIU38" s="2795"/>
      <c r="GIV38" s="2795"/>
      <c r="GIW38" s="2795"/>
      <c r="GIX38" s="2795"/>
      <c r="GIY38" s="2795"/>
      <c r="GIZ38" s="2795"/>
      <c r="GJA38" s="2795"/>
      <c r="GJB38" s="2795"/>
      <c r="GJC38" s="2795"/>
      <c r="GJD38" s="2795"/>
      <c r="GJE38" s="2795"/>
      <c r="GJF38" s="2795"/>
      <c r="GJG38" s="2795"/>
      <c r="GJH38" s="2795"/>
      <c r="GJI38" s="2795"/>
      <c r="GJJ38" s="2795"/>
      <c r="GJK38" s="2795"/>
      <c r="GJL38" s="2795"/>
      <c r="GJM38" s="2795"/>
      <c r="GJN38" s="2795"/>
      <c r="GJO38" s="2795"/>
      <c r="GJP38" s="2795"/>
      <c r="GJQ38" s="2795"/>
      <c r="GJR38" s="2795"/>
      <c r="GJS38" s="2795"/>
      <c r="GJT38" s="2795"/>
      <c r="GJU38" s="2795"/>
      <c r="GJV38" s="2795"/>
      <c r="GJW38" s="2795"/>
      <c r="GJX38" s="2795"/>
      <c r="GJY38" s="2795"/>
      <c r="GJZ38" s="2795"/>
      <c r="GKA38" s="2795"/>
      <c r="GKB38" s="2795"/>
      <c r="GKC38" s="2795"/>
      <c r="GKD38" s="2795"/>
      <c r="GKE38" s="2795"/>
      <c r="GKF38" s="2795"/>
      <c r="GKG38" s="2795"/>
      <c r="GKH38" s="2795"/>
      <c r="GKI38" s="2795"/>
      <c r="GKJ38" s="2795"/>
      <c r="GKK38" s="2795"/>
      <c r="GKL38" s="2795"/>
      <c r="GKM38" s="2795"/>
      <c r="GKN38" s="2795"/>
      <c r="GKO38" s="2795"/>
      <c r="GKP38" s="2795"/>
      <c r="GKQ38" s="2795"/>
      <c r="GKR38" s="2795"/>
      <c r="GKS38" s="2795"/>
      <c r="GKT38" s="2795"/>
      <c r="GKU38" s="2795"/>
      <c r="GKV38" s="2795"/>
      <c r="GKW38" s="2795"/>
      <c r="GKX38" s="2795"/>
      <c r="GKY38" s="2795"/>
      <c r="GKZ38" s="2795"/>
      <c r="GLA38" s="2795"/>
      <c r="GLB38" s="2795"/>
      <c r="GLC38" s="2795"/>
      <c r="GLD38" s="2795"/>
      <c r="GLE38" s="2795"/>
      <c r="GLF38" s="2795"/>
      <c r="GLG38" s="2795"/>
      <c r="GLH38" s="2795"/>
      <c r="GLI38" s="2795"/>
      <c r="GLJ38" s="2795"/>
      <c r="GLK38" s="2795"/>
      <c r="GLL38" s="2795"/>
      <c r="GLM38" s="2795"/>
      <c r="GLN38" s="2795"/>
      <c r="GLO38" s="2795"/>
      <c r="GLP38" s="2795"/>
      <c r="GLQ38" s="2795"/>
      <c r="GLR38" s="2795"/>
      <c r="GLS38" s="2795"/>
      <c r="GLT38" s="2795"/>
      <c r="GLU38" s="2795"/>
      <c r="GLV38" s="2795"/>
      <c r="GLW38" s="2795"/>
      <c r="GLX38" s="2795"/>
      <c r="GLY38" s="2795"/>
      <c r="GLZ38" s="2795"/>
      <c r="GMA38" s="2795"/>
      <c r="GMB38" s="2795"/>
      <c r="GMC38" s="2795"/>
      <c r="GMD38" s="2795"/>
      <c r="GME38" s="2795"/>
      <c r="GMF38" s="2795"/>
      <c r="GMG38" s="2795"/>
      <c r="GMH38" s="2795"/>
      <c r="GMI38" s="2795"/>
      <c r="GMJ38" s="2795"/>
      <c r="GMK38" s="2795"/>
      <c r="GML38" s="2795"/>
      <c r="GMM38" s="2795"/>
      <c r="GMN38" s="2795"/>
      <c r="GMO38" s="2795"/>
      <c r="GMP38" s="2795"/>
      <c r="GMQ38" s="2795"/>
      <c r="GMR38" s="2795"/>
      <c r="GMS38" s="2795"/>
      <c r="GMT38" s="2795"/>
      <c r="GMU38" s="2795"/>
      <c r="GMV38" s="2795"/>
      <c r="GMW38" s="2795"/>
      <c r="GMX38" s="2795"/>
      <c r="GMY38" s="2795"/>
      <c r="GMZ38" s="2795"/>
      <c r="GNA38" s="2795"/>
      <c r="GNB38" s="2795"/>
      <c r="GNC38" s="2795"/>
      <c r="GND38" s="2795"/>
      <c r="GNE38" s="2795"/>
      <c r="GNF38" s="2795"/>
      <c r="GNG38" s="2795"/>
      <c r="GNH38" s="2795"/>
      <c r="GNI38" s="2795"/>
      <c r="GNJ38" s="2795"/>
      <c r="GNK38" s="2795"/>
      <c r="GNL38" s="2795"/>
      <c r="GNM38" s="2795"/>
      <c r="GNN38" s="2795"/>
      <c r="GNO38" s="2795"/>
      <c r="GNP38" s="2795"/>
      <c r="GNQ38" s="2795"/>
      <c r="GNR38" s="2795"/>
      <c r="GNS38" s="2795"/>
      <c r="GNT38" s="2795"/>
      <c r="GNU38" s="2795"/>
      <c r="GNV38" s="2795"/>
      <c r="GNW38" s="2795"/>
      <c r="GNX38" s="2795"/>
      <c r="GNY38" s="2795"/>
      <c r="GNZ38" s="2795"/>
      <c r="GOA38" s="2795"/>
      <c r="GOB38" s="2795"/>
      <c r="GOC38" s="2795"/>
      <c r="GOD38" s="2795"/>
      <c r="GOE38" s="2795"/>
      <c r="GOF38" s="2795"/>
      <c r="GOG38" s="2795"/>
      <c r="GOH38" s="2795"/>
      <c r="GOI38" s="2795"/>
      <c r="GOJ38" s="2795"/>
      <c r="GOK38" s="2795"/>
      <c r="GOL38" s="2795"/>
      <c r="GOM38" s="2795"/>
      <c r="GON38" s="2795"/>
      <c r="GOO38" s="2795"/>
      <c r="GOP38" s="2795"/>
      <c r="GOQ38" s="2795"/>
      <c r="GOR38" s="2795"/>
      <c r="GOS38" s="2795"/>
      <c r="GOT38" s="2795"/>
      <c r="GOU38" s="2795"/>
      <c r="GOV38" s="2795"/>
      <c r="GOW38" s="2795"/>
      <c r="GOX38" s="2795"/>
      <c r="GOY38" s="2795"/>
      <c r="GOZ38" s="2795"/>
      <c r="GPA38" s="2795"/>
      <c r="GPB38" s="2795"/>
      <c r="GPC38" s="2795"/>
      <c r="GPD38" s="2795"/>
      <c r="GPE38" s="2795"/>
      <c r="GPF38" s="2795"/>
      <c r="GPG38" s="2795"/>
      <c r="GPH38" s="2795"/>
      <c r="GPI38" s="2795"/>
      <c r="GPJ38" s="2795"/>
      <c r="GPK38" s="2795"/>
      <c r="GPL38" s="2795"/>
      <c r="GPM38" s="2795"/>
      <c r="GPN38" s="2795"/>
      <c r="GPO38" s="2795"/>
      <c r="GPP38" s="2795"/>
      <c r="GPQ38" s="2795"/>
      <c r="GPR38" s="2795"/>
      <c r="GPS38" s="2795"/>
      <c r="GPT38" s="2795"/>
      <c r="GPU38" s="2795"/>
      <c r="GPV38" s="2795"/>
      <c r="GPW38" s="2795"/>
      <c r="GPX38" s="2795"/>
      <c r="GPY38" s="2795"/>
      <c r="GPZ38" s="2795"/>
      <c r="GQA38" s="2795"/>
      <c r="GQB38" s="2795"/>
      <c r="GQC38" s="2795"/>
      <c r="GQD38" s="2795"/>
      <c r="GQE38" s="2795"/>
      <c r="GQF38" s="2795"/>
      <c r="GQG38" s="2795"/>
      <c r="GQH38" s="2795"/>
      <c r="GQI38" s="2795"/>
      <c r="GQJ38" s="2795"/>
      <c r="GQK38" s="2795"/>
      <c r="GQL38" s="2795"/>
      <c r="GQM38" s="2795"/>
      <c r="GQN38" s="2795"/>
      <c r="GQO38" s="2795"/>
      <c r="GQP38" s="2795"/>
      <c r="GQQ38" s="2795"/>
      <c r="GQR38" s="2795"/>
      <c r="GQS38" s="2795"/>
      <c r="GQT38" s="2795"/>
      <c r="GQU38" s="2795"/>
      <c r="GQV38" s="2795"/>
      <c r="GQW38" s="2795"/>
      <c r="GQX38" s="2795"/>
      <c r="GQY38" s="2795"/>
      <c r="GQZ38" s="2795"/>
      <c r="GRA38" s="2795"/>
      <c r="GRB38" s="2795"/>
      <c r="GRC38" s="2795"/>
      <c r="GRD38" s="2795"/>
      <c r="GRE38" s="2795"/>
      <c r="GRF38" s="2795"/>
      <c r="GRG38" s="2795"/>
      <c r="GRH38" s="2795"/>
      <c r="GRI38" s="2795"/>
      <c r="GRJ38" s="2795"/>
      <c r="GRK38" s="2795"/>
      <c r="GRL38" s="2795"/>
      <c r="GRM38" s="2795"/>
      <c r="GRN38" s="2795"/>
      <c r="GRO38" s="2795"/>
      <c r="GRP38" s="2795"/>
      <c r="GRQ38" s="2795"/>
      <c r="GRR38" s="2795"/>
      <c r="GRS38" s="2795"/>
      <c r="GRT38" s="2795"/>
      <c r="GRU38" s="2795"/>
      <c r="GRV38" s="2795"/>
      <c r="GRW38" s="2795"/>
      <c r="GRX38" s="2795"/>
      <c r="GRY38" s="2795"/>
      <c r="GRZ38" s="2795"/>
      <c r="GSA38" s="2795"/>
      <c r="GSB38" s="2795"/>
      <c r="GSC38" s="2795"/>
      <c r="GSD38" s="2795"/>
      <c r="GSE38" s="2795"/>
      <c r="GSF38" s="2795"/>
      <c r="GSG38" s="2795"/>
      <c r="GSH38" s="2795"/>
      <c r="GSI38" s="2795"/>
      <c r="GSJ38" s="2795"/>
      <c r="GSK38" s="2795"/>
      <c r="GSL38" s="2795"/>
      <c r="GSM38" s="2795"/>
      <c r="GSN38" s="2795"/>
      <c r="GSO38" s="2795"/>
      <c r="GSP38" s="2795"/>
      <c r="GSQ38" s="2795"/>
      <c r="GSR38" s="2795"/>
      <c r="GSS38" s="2795"/>
      <c r="GST38" s="2795"/>
      <c r="GSU38" s="2795"/>
      <c r="GSV38" s="2795"/>
      <c r="GSW38" s="2795"/>
      <c r="GSX38" s="2795"/>
      <c r="GSY38" s="2795"/>
      <c r="GSZ38" s="2795"/>
      <c r="GTA38" s="2795"/>
      <c r="GTB38" s="2795"/>
      <c r="GTC38" s="2795"/>
      <c r="GTD38" s="2795"/>
      <c r="GTE38" s="2795"/>
      <c r="GTF38" s="2795"/>
      <c r="GTG38" s="2795"/>
      <c r="GTH38" s="2795"/>
      <c r="GTI38" s="2795"/>
      <c r="GTJ38" s="2795"/>
      <c r="GTK38" s="2795"/>
      <c r="GTL38" s="2795"/>
      <c r="GTM38" s="2795"/>
      <c r="GTN38" s="2795"/>
      <c r="GTO38" s="2795"/>
      <c r="GTP38" s="2795"/>
      <c r="GTQ38" s="2795"/>
      <c r="GTR38" s="2795"/>
      <c r="GTS38" s="2795"/>
      <c r="GTT38" s="2795"/>
      <c r="GTU38" s="2795"/>
      <c r="GTV38" s="2795"/>
      <c r="GTW38" s="2795"/>
      <c r="GTX38" s="2795"/>
      <c r="GTY38" s="2795"/>
      <c r="GTZ38" s="2795"/>
      <c r="GUA38" s="2795"/>
      <c r="GUB38" s="2795"/>
      <c r="GUC38" s="2795"/>
      <c r="GUD38" s="2795"/>
      <c r="GUE38" s="2795"/>
      <c r="GUF38" s="2795"/>
      <c r="GUG38" s="2795"/>
      <c r="GUH38" s="2795"/>
      <c r="GUI38" s="2795"/>
      <c r="GUJ38" s="2795"/>
      <c r="GUK38" s="2795"/>
      <c r="GUL38" s="2795"/>
      <c r="GUM38" s="2795"/>
      <c r="GUN38" s="2795"/>
      <c r="GUO38" s="2795"/>
      <c r="GUP38" s="2795"/>
      <c r="GUQ38" s="2795"/>
      <c r="GUR38" s="2795"/>
      <c r="GUS38" s="2795"/>
      <c r="GUT38" s="2795"/>
      <c r="GUU38" s="2795"/>
      <c r="GUV38" s="2795"/>
      <c r="GUW38" s="2795"/>
      <c r="GUX38" s="2795"/>
      <c r="GUY38" s="2795"/>
      <c r="GUZ38" s="2795"/>
      <c r="GVA38" s="2795"/>
      <c r="GVB38" s="2795"/>
      <c r="GVC38" s="2795"/>
      <c r="GVD38" s="2795"/>
      <c r="GVE38" s="2795"/>
      <c r="GVF38" s="2795"/>
      <c r="GVG38" s="2795"/>
      <c r="GVH38" s="2795"/>
      <c r="GVI38" s="2795"/>
      <c r="GVJ38" s="2795"/>
      <c r="GVK38" s="2795"/>
      <c r="GVL38" s="2795"/>
      <c r="GVM38" s="2795"/>
      <c r="GVN38" s="2795"/>
      <c r="GVO38" s="2795"/>
      <c r="GVP38" s="2795"/>
      <c r="GVQ38" s="2795"/>
      <c r="GVR38" s="2795"/>
      <c r="GVS38" s="2795"/>
      <c r="GVT38" s="2795"/>
      <c r="GVU38" s="2795"/>
      <c r="GVV38" s="2795"/>
      <c r="GVW38" s="2795"/>
      <c r="GVX38" s="2795"/>
      <c r="GVY38" s="2795"/>
      <c r="GVZ38" s="2795"/>
      <c r="GWA38" s="2795"/>
      <c r="GWB38" s="2795"/>
      <c r="GWC38" s="2795"/>
      <c r="GWD38" s="2795"/>
      <c r="GWE38" s="2795"/>
      <c r="GWF38" s="2795"/>
      <c r="GWG38" s="2795"/>
      <c r="GWH38" s="2795"/>
      <c r="GWI38" s="2795"/>
      <c r="GWJ38" s="2795"/>
      <c r="GWK38" s="2795"/>
      <c r="GWL38" s="2795"/>
      <c r="GWM38" s="2795"/>
      <c r="GWN38" s="2795"/>
      <c r="GWO38" s="2795"/>
      <c r="GWP38" s="2795"/>
      <c r="GWQ38" s="2795"/>
      <c r="GWR38" s="2795"/>
      <c r="GWS38" s="2795"/>
      <c r="GWT38" s="2795"/>
      <c r="GWU38" s="2795"/>
      <c r="GWV38" s="2795"/>
      <c r="GWW38" s="2795"/>
      <c r="GWX38" s="2795"/>
      <c r="GWY38" s="2795"/>
      <c r="GWZ38" s="2795"/>
      <c r="GXA38" s="2795"/>
      <c r="GXB38" s="2795"/>
      <c r="GXC38" s="2795"/>
      <c r="GXD38" s="2795"/>
      <c r="GXE38" s="2795"/>
      <c r="GXF38" s="2795"/>
      <c r="GXG38" s="2795"/>
      <c r="GXH38" s="2795"/>
      <c r="GXI38" s="2795"/>
      <c r="GXJ38" s="2795"/>
      <c r="GXK38" s="2795"/>
      <c r="GXL38" s="2795"/>
      <c r="GXM38" s="2795"/>
      <c r="GXN38" s="2795"/>
      <c r="GXO38" s="2795"/>
      <c r="GXP38" s="2795"/>
      <c r="GXQ38" s="2795"/>
      <c r="GXR38" s="2795"/>
      <c r="GXS38" s="2795"/>
      <c r="GXT38" s="2795"/>
      <c r="GXU38" s="2795"/>
      <c r="GXV38" s="2795"/>
      <c r="GXW38" s="2795"/>
      <c r="GXX38" s="2795"/>
      <c r="GXY38" s="2795"/>
      <c r="GXZ38" s="2795"/>
      <c r="GYA38" s="2795"/>
      <c r="GYB38" s="2795"/>
      <c r="GYC38" s="2795"/>
      <c r="GYD38" s="2795"/>
      <c r="GYE38" s="2795"/>
      <c r="GYF38" s="2795"/>
      <c r="GYG38" s="2795"/>
      <c r="GYH38" s="2795"/>
      <c r="GYI38" s="2795"/>
      <c r="GYJ38" s="2795"/>
      <c r="GYK38" s="2795"/>
      <c r="GYL38" s="2795"/>
      <c r="GYM38" s="2795"/>
      <c r="GYN38" s="2795"/>
      <c r="GYO38" s="2795"/>
      <c r="GYP38" s="2795"/>
      <c r="GYQ38" s="2795"/>
      <c r="GYR38" s="2795"/>
      <c r="GYS38" s="2795"/>
      <c r="GYT38" s="2795"/>
      <c r="GYU38" s="2795"/>
      <c r="GYV38" s="2795"/>
      <c r="GYW38" s="2795"/>
      <c r="GYX38" s="2795"/>
      <c r="GYY38" s="2795"/>
      <c r="GYZ38" s="2795"/>
      <c r="GZA38" s="2795"/>
      <c r="GZB38" s="2795"/>
      <c r="GZC38" s="2795"/>
      <c r="GZD38" s="2795"/>
      <c r="GZE38" s="2795"/>
      <c r="GZF38" s="2795"/>
      <c r="GZG38" s="2795"/>
      <c r="GZH38" s="2795"/>
      <c r="GZI38" s="2795"/>
      <c r="GZJ38" s="2795"/>
      <c r="GZK38" s="2795"/>
      <c r="GZL38" s="2795"/>
      <c r="GZM38" s="2795"/>
      <c r="GZN38" s="2795"/>
      <c r="GZO38" s="2795"/>
      <c r="GZP38" s="2795"/>
      <c r="GZQ38" s="2795"/>
      <c r="GZR38" s="2795"/>
      <c r="GZS38" s="2795"/>
      <c r="GZT38" s="2795"/>
      <c r="GZU38" s="2795"/>
      <c r="GZV38" s="2795"/>
      <c r="GZW38" s="2795"/>
      <c r="GZX38" s="2795"/>
      <c r="GZY38" s="2795"/>
      <c r="GZZ38" s="2795"/>
      <c r="HAA38" s="2795"/>
      <c r="HAB38" s="2795"/>
      <c r="HAC38" s="2795"/>
      <c r="HAD38" s="2795"/>
      <c r="HAE38" s="2795"/>
      <c r="HAF38" s="2795"/>
      <c r="HAG38" s="2795"/>
      <c r="HAH38" s="2795"/>
      <c r="HAI38" s="2795"/>
      <c r="HAJ38" s="2795"/>
      <c r="HAK38" s="2795"/>
      <c r="HAL38" s="2795"/>
      <c r="HAM38" s="2795"/>
      <c r="HAN38" s="2795"/>
      <c r="HAO38" s="2795"/>
      <c r="HAP38" s="2795"/>
      <c r="HAQ38" s="2795"/>
      <c r="HAR38" s="2795"/>
      <c r="HAS38" s="2795"/>
      <c r="HAT38" s="2795"/>
      <c r="HAU38" s="2795"/>
      <c r="HAV38" s="2795"/>
      <c r="HAW38" s="2795"/>
      <c r="HAX38" s="2795"/>
      <c r="HAY38" s="2795"/>
      <c r="HAZ38" s="2795"/>
      <c r="HBA38" s="2795"/>
      <c r="HBB38" s="2795"/>
      <c r="HBC38" s="2795"/>
      <c r="HBD38" s="2795"/>
      <c r="HBE38" s="2795"/>
      <c r="HBF38" s="2795"/>
      <c r="HBG38" s="2795"/>
      <c r="HBH38" s="2795"/>
      <c r="HBI38" s="2795"/>
      <c r="HBJ38" s="2795"/>
      <c r="HBK38" s="2795"/>
      <c r="HBL38" s="2795"/>
      <c r="HBM38" s="2795"/>
      <c r="HBN38" s="2795"/>
      <c r="HBO38" s="2795"/>
      <c r="HBP38" s="2795"/>
      <c r="HBQ38" s="2795"/>
      <c r="HBR38" s="2795"/>
      <c r="HBS38" s="2795"/>
      <c r="HBT38" s="2795"/>
      <c r="HBU38" s="2795"/>
      <c r="HBV38" s="2795"/>
      <c r="HBW38" s="2795"/>
      <c r="HBX38" s="2795"/>
      <c r="HBY38" s="2795"/>
      <c r="HBZ38" s="2795"/>
      <c r="HCA38" s="2795"/>
      <c r="HCB38" s="2795"/>
      <c r="HCC38" s="2795"/>
      <c r="HCD38" s="2795"/>
      <c r="HCE38" s="2795"/>
      <c r="HCF38" s="2795"/>
      <c r="HCG38" s="2795"/>
      <c r="HCH38" s="2795"/>
      <c r="HCI38" s="2795"/>
      <c r="HCJ38" s="2795"/>
      <c r="HCK38" s="2795"/>
      <c r="HCL38" s="2795"/>
      <c r="HCM38" s="2795"/>
      <c r="HCN38" s="2795"/>
      <c r="HCO38" s="2795"/>
      <c r="HCP38" s="2795"/>
      <c r="HCQ38" s="2795"/>
      <c r="HCR38" s="2795"/>
      <c r="HCS38" s="2795"/>
      <c r="HCT38" s="2795"/>
      <c r="HCU38" s="2795"/>
      <c r="HCV38" s="2795"/>
      <c r="HCW38" s="2795"/>
      <c r="HCX38" s="2795"/>
      <c r="HCY38" s="2795"/>
      <c r="HCZ38" s="2795"/>
      <c r="HDA38" s="2795"/>
      <c r="HDB38" s="2795"/>
      <c r="HDC38" s="2795"/>
      <c r="HDD38" s="2795"/>
      <c r="HDE38" s="2795"/>
      <c r="HDF38" s="2795"/>
      <c r="HDG38" s="2795"/>
      <c r="HDH38" s="2795"/>
      <c r="HDI38" s="2795"/>
      <c r="HDJ38" s="2795"/>
      <c r="HDK38" s="2795"/>
      <c r="HDL38" s="2795"/>
      <c r="HDM38" s="2795"/>
      <c r="HDN38" s="2795"/>
      <c r="HDO38" s="2795"/>
      <c r="HDP38" s="2795"/>
      <c r="HDQ38" s="2795"/>
      <c r="HDR38" s="2795"/>
      <c r="HDS38" s="2795"/>
      <c r="HDT38" s="2795"/>
      <c r="HDU38" s="2795"/>
      <c r="HDV38" s="2795"/>
      <c r="HDW38" s="2795"/>
      <c r="HDX38" s="2795"/>
      <c r="HDY38" s="2795"/>
      <c r="HDZ38" s="2795"/>
      <c r="HEA38" s="2795"/>
      <c r="HEB38" s="2795"/>
      <c r="HEC38" s="2795"/>
      <c r="HED38" s="2795"/>
      <c r="HEE38" s="2795"/>
      <c r="HEF38" s="2795"/>
      <c r="HEG38" s="2795"/>
      <c r="HEH38" s="2795"/>
      <c r="HEI38" s="2795"/>
      <c r="HEJ38" s="2795"/>
      <c r="HEK38" s="2795"/>
      <c r="HEL38" s="2795"/>
      <c r="HEM38" s="2795"/>
      <c r="HEN38" s="2795"/>
      <c r="HEO38" s="2795"/>
      <c r="HEP38" s="2795"/>
      <c r="HEQ38" s="2795"/>
      <c r="HER38" s="2795"/>
      <c r="HES38" s="2795"/>
      <c r="HET38" s="2795"/>
      <c r="HEU38" s="2795"/>
      <c r="HEV38" s="2795"/>
      <c r="HEW38" s="2795"/>
      <c r="HEX38" s="2795"/>
      <c r="HEY38" s="2795"/>
      <c r="HEZ38" s="2795"/>
      <c r="HFA38" s="2795"/>
      <c r="HFB38" s="2795"/>
      <c r="HFC38" s="2795"/>
      <c r="HFD38" s="2795"/>
      <c r="HFE38" s="2795"/>
      <c r="HFF38" s="2795"/>
      <c r="HFG38" s="2795"/>
      <c r="HFH38" s="2795"/>
      <c r="HFI38" s="2795"/>
      <c r="HFJ38" s="2795"/>
      <c r="HFK38" s="2795"/>
      <c r="HFL38" s="2795"/>
      <c r="HFM38" s="2795"/>
      <c r="HFN38" s="2795"/>
      <c r="HFO38" s="2795"/>
      <c r="HFP38" s="2795"/>
      <c r="HFQ38" s="2795"/>
      <c r="HFR38" s="2795"/>
      <c r="HFS38" s="2795"/>
      <c r="HFT38" s="2795"/>
      <c r="HFU38" s="2795"/>
      <c r="HFV38" s="2795"/>
      <c r="HFW38" s="2795"/>
      <c r="HFX38" s="2795"/>
      <c r="HFY38" s="2795"/>
      <c r="HFZ38" s="2795"/>
      <c r="HGA38" s="2795"/>
      <c r="HGB38" s="2795"/>
      <c r="HGC38" s="2795"/>
      <c r="HGD38" s="2795"/>
      <c r="HGE38" s="2795"/>
      <c r="HGF38" s="2795"/>
      <c r="HGG38" s="2795"/>
      <c r="HGH38" s="2795"/>
      <c r="HGI38" s="2795"/>
      <c r="HGJ38" s="2795"/>
      <c r="HGK38" s="2795"/>
      <c r="HGL38" s="2795"/>
      <c r="HGM38" s="2795"/>
      <c r="HGN38" s="2795"/>
      <c r="HGO38" s="2795"/>
      <c r="HGP38" s="2795"/>
      <c r="HGQ38" s="2795"/>
      <c r="HGR38" s="2795"/>
      <c r="HGS38" s="2795"/>
      <c r="HGT38" s="2795"/>
      <c r="HGU38" s="2795"/>
      <c r="HGV38" s="2795"/>
      <c r="HGW38" s="2795"/>
      <c r="HGX38" s="2795"/>
      <c r="HGY38" s="2795"/>
      <c r="HGZ38" s="2795"/>
      <c r="HHA38" s="2795"/>
      <c r="HHB38" s="2795"/>
      <c r="HHC38" s="2795"/>
      <c r="HHD38" s="2795"/>
      <c r="HHE38" s="2795"/>
      <c r="HHF38" s="2795"/>
      <c r="HHG38" s="2795"/>
      <c r="HHH38" s="2795"/>
      <c r="HHI38" s="2795"/>
      <c r="HHJ38" s="2795"/>
      <c r="HHK38" s="2795"/>
      <c r="HHL38" s="2795"/>
      <c r="HHM38" s="2795"/>
      <c r="HHN38" s="2795"/>
      <c r="HHO38" s="2795"/>
      <c r="HHP38" s="2795"/>
      <c r="HHQ38" s="2795"/>
      <c r="HHR38" s="2795"/>
      <c r="HHS38" s="2795"/>
      <c r="HHT38" s="2795"/>
      <c r="HHU38" s="2795"/>
      <c r="HHV38" s="2795"/>
      <c r="HHW38" s="2795"/>
      <c r="HHX38" s="2795"/>
      <c r="HHY38" s="2795"/>
      <c r="HHZ38" s="2795"/>
      <c r="HIA38" s="2795"/>
      <c r="HIB38" s="2795"/>
      <c r="HIC38" s="2795"/>
      <c r="HID38" s="2795"/>
      <c r="HIE38" s="2795"/>
      <c r="HIF38" s="2795"/>
      <c r="HIG38" s="2795"/>
      <c r="HIH38" s="2795"/>
      <c r="HII38" s="2795"/>
      <c r="HIJ38" s="2795"/>
      <c r="HIK38" s="2795"/>
      <c r="HIL38" s="2795"/>
      <c r="HIM38" s="2795"/>
      <c r="HIN38" s="2795"/>
      <c r="HIO38" s="2795"/>
      <c r="HIP38" s="2795"/>
      <c r="HIQ38" s="2795"/>
      <c r="HIR38" s="2795"/>
      <c r="HIS38" s="2795"/>
      <c r="HIT38" s="2795"/>
      <c r="HIU38" s="2795"/>
      <c r="HIV38" s="2795"/>
      <c r="HIW38" s="2795"/>
      <c r="HIX38" s="2795"/>
      <c r="HIY38" s="2795"/>
      <c r="HIZ38" s="2795"/>
      <c r="HJA38" s="2795"/>
      <c r="HJB38" s="2795"/>
      <c r="HJC38" s="2795"/>
      <c r="HJD38" s="2795"/>
      <c r="HJE38" s="2795"/>
      <c r="HJF38" s="2795"/>
      <c r="HJG38" s="2795"/>
      <c r="HJH38" s="2795"/>
      <c r="HJI38" s="2795"/>
      <c r="HJJ38" s="2795"/>
      <c r="HJK38" s="2795"/>
      <c r="HJL38" s="2795"/>
      <c r="HJM38" s="2795"/>
      <c r="HJN38" s="2795"/>
      <c r="HJO38" s="2795"/>
      <c r="HJP38" s="2795"/>
      <c r="HJQ38" s="2795"/>
      <c r="HJR38" s="2795"/>
      <c r="HJS38" s="2795"/>
      <c r="HJT38" s="2795"/>
      <c r="HJU38" s="2795"/>
      <c r="HJV38" s="2795"/>
      <c r="HJW38" s="2795"/>
      <c r="HJX38" s="2795"/>
      <c r="HJY38" s="2795"/>
      <c r="HJZ38" s="2795"/>
      <c r="HKA38" s="2795"/>
      <c r="HKB38" s="2795"/>
      <c r="HKC38" s="2795"/>
      <c r="HKD38" s="2795"/>
      <c r="HKE38" s="2795"/>
      <c r="HKF38" s="2795"/>
      <c r="HKG38" s="2795"/>
      <c r="HKH38" s="2795"/>
      <c r="HKI38" s="2795"/>
      <c r="HKJ38" s="2795"/>
      <c r="HKK38" s="2795"/>
      <c r="HKL38" s="2795"/>
      <c r="HKM38" s="2795"/>
      <c r="HKN38" s="2795"/>
      <c r="HKO38" s="2795"/>
      <c r="HKP38" s="2795"/>
      <c r="HKQ38" s="2795"/>
      <c r="HKR38" s="2795"/>
      <c r="HKS38" s="2795"/>
      <c r="HKT38" s="2795"/>
      <c r="HKU38" s="2795"/>
      <c r="HKV38" s="2795"/>
      <c r="HKW38" s="2795"/>
      <c r="HKX38" s="2795"/>
      <c r="HKY38" s="2795"/>
      <c r="HKZ38" s="2795"/>
      <c r="HLA38" s="2795"/>
      <c r="HLB38" s="2795"/>
      <c r="HLC38" s="2795"/>
      <c r="HLD38" s="2795"/>
      <c r="HLE38" s="2795"/>
      <c r="HLF38" s="2795"/>
      <c r="HLG38" s="2795"/>
      <c r="HLH38" s="2795"/>
      <c r="HLI38" s="2795"/>
      <c r="HLJ38" s="2795"/>
      <c r="HLK38" s="2795"/>
      <c r="HLL38" s="2795"/>
      <c r="HLM38" s="2795"/>
      <c r="HLN38" s="2795"/>
      <c r="HLO38" s="2795"/>
      <c r="HLP38" s="2795"/>
      <c r="HLQ38" s="2795"/>
      <c r="HLR38" s="2795"/>
      <c r="HLS38" s="2795"/>
      <c r="HLT38" s="2795"/>
      <c r="HLU38" s="2795"/>
      <c r="HLV38" s="2795"/>
      <c r="HLW38" s="2795"/>
      <c r="HLX38" s="2795"/>
      <c r="HLY38" s="2795"/>
      <c r="HLZ38" s="2795"/>
      <c r="HMA38" s="2795"/>
      <c r="HMB38" s="2795"/>
      <c r="HMC38" s="2795"/>
      <c r="HMD38" s="2795"/>
      <c r="HME38" s="2795"/>
      <c r="HMF38" s="2795"/>
      <c r="HMG38" s="2795"/>
      <c r="HMH38" s="2795"/>
      <c r="HMI38" s="2795"/>
      <c r="HMJ38" s="2795"/>
      <c r="HMK38" s="2795"/>
      <c r="HML38" s="2795"/>
      <c r="HMM38" s="2795"/>
      <c r="HMN38" s="2795"/>
      <c r="HMO38" s="2795"/>
      <c r="HMP38" s="2795"/>
      <c r="HMQ38" s="2795"/>
      <c r="HMR38" s="2795"/>
      <c r="HMS38" s="2795"/>
      <c r="HMT38" s="2795"/>
      <c r="HMU38" s="2795"/>
      <c r="HMV38" s="2795"/>
      <c r="HMW38" s="2795"/>
      <c r="HMX38" s="2795"/>
      <c r="HMY38" s="2795"/>
      <c r="HMZ38" s="2795"/>
      <c r="HNA38" s="2795"/>
      <c r="HNB38" s="2795"/>
      <c r="HNC38" s="2795"/>
      <c r="HND38" s="2795"/>
      <c r="HNE38" s="2795"/>
      <c r="HNF38" s="2795"/>
      <c r="HNG38" s="2795"/>
      <c r="HNH38" s="2795"/>
      <c r="HNI38" s="2795"/>
      <c r="HNJ38" s="2795"/>
      <c r="HNK38" s="2795"/>
      <c r="HNL38" s="2795"/>
      <c r="HNM38" s="2795"/>
      <c r="HNN38" s="2795"/>
      <c r="HNO38" s="2795"/>
      <c r="HNP38" s="2795"/>
      <c r="HNQ38" s="2795"/>
      <c r="HNR38" s="2795"/>
      <c r="HNS38" s="2795"/>
      <c r="HNT38" s="2795"/>
      <c r="HNU38" s="2795"/>
      <c r="HNV38" s="2795"/>
      <c r="HNW38" s="2795"/>
      <c r="HNX38" s="2795"/>
      <c r="HNY38" s="2795"/>
      <c r="HNZ38" s="2795"/>
      <c r="HOA38" s="2795"/>
      <c r="HOB38" s="2795"/>
      <c r="HOC38" s="2795"/>
      <c r="HOD38" s="2795"/>
      <c r="HOE38" s="2795"/>
      <c r="HOF38" s="2795"/>
      <c r="HOG38" s="2795"/>
      <c r="HOH38" s="2795"/>
      <c r="HOI38" s="2795"/>
      <c r="HOJ38" s="2795"/>
      <c r="HOK38" s="2795"/>
      <c r="HOL38" s="2795"/>
      <c r="HOM38" s="2795"/>
      <c r="HON38" s="2795"/>
      <c r="HOO38" s="2795"/>
      <c r="HOP38" s="2795"/>
      <c r="HOQ38" s="2795"/>
      <c r="HOR38" s="2795"/>
      <c r="HOS38" s="2795"/>
      <c r="HOT38" s="2795"/>
      <c r="HOU38" s="2795"/>
      <c r="HOV38" s="2795"/>
      <c r="HOW38" s="2795"/>
      <c r="HOX38" s="2795"/>
      <c r="HOY38" s="2795"/>
      <c r="HOZ38" s="2795"/>
      <c r="HPA38" s="2795"/>
      <c r="HPB38" s="2795"/>
      <c r="HPC38" s="2795"/>
      <c r="HPD38" s="2795"/>
      <c r="HPE38" s="2795"/>
      <c r="HPF38" s="2795"/>
      <c r="HPG38" s="2795"/>
      <c r="HPH38" s="2795"/>
      <c r="HPI38" s="2795"/>
      <c r="HPJ38" s="2795"/>
      <c r="HPK38" s="2795"/>
      <c r="HPL38" s="2795"/>
      <c r="HPM38" s="2795"/>
      <c r="HPN38" s="2795"/>
      <c r="HPO38" s="2795"/>
      <c r="HPP38" s="2795"/>
      <c r="HPQ38" s="2795"/>
      <c r="HPR38" s="2795"/>
      <c r="HPS38" s="2795"/>
      <c r="HPT38" s="2795"/>
      <c r="HPU38" s="2795"/>
      <c r="HPV38" s="2795"/>
      <c r="HPW38" s="2795"/>
      <c r="HPX38" s="2795"/>
      <c r="HPY38" s="2795"/>
      <c r="HPZ38" s="2795"/>
      <c r="HQA38" s="2795"/>
      <c r="HQB38" s="2795"/>
      <c r="HQC38" s="2795"/>
      <c r="HQD38" s="2795"/>
      <c r="HQE38" s="2795"/>
      <c r="HQF38" s="2795"/>
      <c r="HQG38" s="2795"/>
      <c r="HQH38" s="2795"/>
      <c r="HQI38" s="2795"/>
      <c r="HQJ38" s="2795"/>
      <c r="HQK38" s="2795"/>
      <c r="HQL38" s="2795"/>
      <c r="HQM38" s="2795"/>
      <c r="HQN38" s="2795"/>
      <c r="HQO38" s="2795"/>
      <c r="HQP38" s="2795"/>
      <c r="HQQ38" s="2795"/>
      <c r="HQR38" s="2795"/>
      <c r="HQS38" s="2795"/>
      <c r="HQT38" s="2795"/>
      <c r="HQU38" s="2795"/>
      <c r="HQV38" s="2795"/>
      <c r="HQW38" s="2795"/>
      <c r="HQX38" s="2795"/>
      <c r="HQY38" s="2795"/>
      <c r="HQZ38" s="2795"/>
      <c r="HRA38" s="2795"/>
      <c r="HRB38" s="2795"/>
      <c r="HRC38" s="2795"/>
      <c r="HRD38" s="2795"/>
      <c r="HRE38" s="2795"/>
      <c r="HRF38" s="2795"/>
      <c r="HRG38" s="2795"/>
      <c r="HRH38" s="2795"/>
      <c r="HRI38" s="2795"/>
      <c r="HRJ38" s="2795"/>
      <c r="HRK38" s="2795"/>
      <c r="HRL38" s="2795"/>
      <c r="HRM38" s="2795"/>
      <c r="HRN38" s="2795"/>
      <c r="HRO38" s="2795"/>
      <c r="HRP38" s="2795"/>
      <c r="HRQ38" s="2795"/>
      <c r="HRR38" s="2795"/>
      <c r="HRS38" s="2795"/>
      <c r="HRT38" s="2795"/>
      <c r="HRU38" s="2795"/>
      <c r="HRV38" s="2795"/>
      <c r="HRW38" s="2795"/>
      <c r="HRX38" s="2795"/>
      <c r="HRY38" s="2795"/>
      <c r="HRZ38" s="2795"/>
      <c r="HSA38" s="2795"/>
      <c r="HSB38" s="2795"/>
      <c r="HSC38" s="2795"/>
      <c r="HSD38" s="2795"/>
      <c r="HSE38" s="2795"/>
      <c r="HSF38" s="2795"/>
      <c r="HSG38" s="2795"/>
      <c r="HSH38" s="2795"/>
      <c r="HSI38" s="2795"/>
      <c r="HSJ38" s="2795"/>
      <c r="HSK38" s="2795"/>
      <c r="HSL38" s="2795"/>
      <c r="HSM38" s="2795"/>
      <c r="HSN38" s="2795"/>
      <c r="HSO38" s="2795"/>
      <c r="HSP38" s="2795"/>
      <c r="HSQ38" s="2795"/>
      <c r="HSR38" s="2795"/>
      <c r="HSS38" s="2795"/>
      <c r="HST38" s="2795"/>
      <c r="HSU38" s="2795"/>
      <c r="HSV38" s="2795"/>
      <c r="HSW38" s="2795"/>
      <c r="HSX38" s="2795"/>
      <c r="HSY38" s="2795"/>
      <c r="HSZ38" s="2795"/>
      <c r="HTA38" s="2795"/>
      <c r="HTB38" s="2795"/>
      <c r="HTC38" s="2795"/>
      <c r="HTD38" s="2795"/>
      <c r="HTE38" s="2795"/>
      <c r="HTF38" s="2795"/>
      <c r="HTG38" s="2795"/>
      <c r="HTH38" s="2795"/>
      <c r="HTI38" s="2795"/>
      <c r="HTJ38" s="2795"/>
      <c r="HTK38" s="2795"/>
      <c r="HTL38" s="2795"/>
      <c r="HTM38" s="2795"/>
      <c r="HTN38" s="2795"/>
      <c r="HTO38" s="2795"/>
      <c r="HTP38" s="2795"/>
      <c r="HTQ38" s="2795"/>
      <c r="HTR38" s="2795"/>
      <c r="HTS38" s="2795"/>
      <c r="HTT38" s="2795"/>
      <c r="HTU38" s="2795"/>
      <c r="HTV38" s="2795"/>
      <c r="HTW38" s="2795"/>
      <c r="HTX38" s="2795"/>
      <c r="HTY38" s="2795"/>
      <c r="HTZ38" s="2795"/>
      <c r="HUA38" s="2795"/>
      <c r="HUB38" s="2795"/>
      <c r="HUC38" s="2795"/>
      <c r="HUD38" s="2795"/>
      <c r="HUE38" s="2795"/>
      <c r="HUF38" s="2795"/>
      <c r="HUG38" s="2795"/>
      <c r="HUH38" s="2795"/>
      <c r="HUI38" s="2795"/>
      <c r="HUJ38" s="2795"/>
      <c r="HUK38" s="2795"/>
      <c r="HUL38" s="2795"/>
      <c r="HUM38" s="2795"/>
      <c r="HUN38" s="2795"/>
      <c r="HUO38" s="2795"/>
      <c r="HUP38" s="2795"/>
      <c r="HUQ38" s="2795"/>
      <c r="HUR38" s="2795"/>
      <c r="HUS38" s="2795"/>
      <c r="HUT38" s="2795"/>
      <c r="HUU38" s="2795"/>
      <c r="HUV38" s="2795"/>
      <c r="HUW38" s="2795"/>
      <c r="HUX38" s="2795"/>
      <c r="HUY38" s="2795"/>
      <c r="HUZ38" s="2795"/>
      <c r="HVA38" s="2795"/>
      <c r="HVB38" s="2795"/>
      <c r="HVC38" s="2795"/>
      <c r="HVD38" s="2795"/>
      <c r="HVE38" s="2795"/>
      <c r="HVF38" s="2795"/>
      <c r="HVG38" s="2795"/>
      <c r="HVH38" s="2795"/>
      <c r="HVI38" s="2795"/>
      <c r="HVJ38" s="2795"/>
      <c r="HVK38" s="2795"/>
      <c r="HVL38" s="2795"/>
      <c r="HVM38" s="2795"/>
      <c r="HVN38" s="2795"/>
      <c r="HVO38" s="2795"/>
      <c r="HVP38" s="2795"/>
      <c r="HVQ38" s="2795"/>
      <c r="HVR38" s="2795"/>
      <c r="HVS38" s="2795"/>
      <c r="HVT38" s="2795"/>
      <c r="HVU38" s="2795"/>
      <c r="HVV38" s="2795"/>
      <c r="HVW38" s="2795"/>
      <c r="HVX38" s="2795"/>
      <c r="HVY38" s="2795"/>
      <c r="HVZ38" s="2795"/>
      <c r="HWA38" s="2795"/>
      <c r="HWB38" s="2795"/>
      <c r="HWC38" s="2795"/>
      <c r="HWD38" s="2795"/>
      <c r="HWE38" s="2795"/>
      <c r="HWF38" s="2795"/>
      <c r="HWG38" s="2795"/>
      <c r="HWH38" s="2795"/>
      <c r="HWI38" s="2795"/>
      <c r="HWJ38" s="2795"/>
      <c r="HWK38" s="2795"/>
      <c r="HWL38" s="2795"/>
      <c r="HWM38" s="2795"/>
      <c r="HWN38" s="2795"/>
      <c r="HWO38" s="2795"/>
      <c r="HWP38" s="2795"/>
      <c r="HWQ38" s="2795"/>
      <c r="HWR38" s="2795"/>
      <c r="HWS38" s="2795"/>
      <c r="HWT38" s="2795"/>
      <c r="HWU38" s="2795"/>
      <c r="HWV38" s="2795"/>
      <c r="HWW38" s="2795"/>
      <c r="HWX38" s="2795"/>
      <c r="HWY38" s="2795"/>
      <c r="HWZ38" s="2795"/>
      <c r="HXA38" s="2795"/>
      <c r="HXB38" s="2795"/>
      <c r="HXC38" s="2795"/>
      <c r="HXD38" s="2795"/>
      <c r="HXE38" s="2795"/>
      <c r="HXF38" s="2795"/>
      <c r="HXG38" s="2795"/>
      <c r="HXH38" s="2795"/>
      <c r="HXI38" s="2795"/>
      <c r="HXJ38" s="2795"/>
      <c r="HXK38" s="2795"/>
      <c r="HXL38" s="2795"/>
      <c r="HXM38" s="2795"/>
      <c r="HXN38" s="2795"/>
      <c r="HXO38" s="2795"/>
      <c r="HXP38" s="2795"/>
      <c r="HXQ38" s="2795"/>
      <c r="HXR38" s="2795"/>
      <c r="HXS38" s="2795"/>
      <c r="HXT38" s="2795"/>
      <c r="HXU38" s="2795"/>
      <c r="HXV38" s="2795"/>
      <c r="HXW38" s="2795"/>
      <c r="HXX38" s="2795"/>
      <c r="HXY38" s="2795"/>
      <c r="HXZ38" s="2795"/>
      <c r="HYA38" s="2795"/>
      <c r="HYB38" s="2795"/>
      <c r="HYC38" s="2795"/>
      <c r="HYD38" s="2795"/>
      <c r="HYE38" s="2795"/>
      <c r="HYF38" s="2795"/>
      <c r="HYG38" s="2795"/>
      <c r="HYH38" s="2795"/>
      <c r="HYI38" s="2795"/>
      <c r="HYJ38" s="2795"/>
      <c r="HYK38" s="2795"/>
      <c r="HYL38" s="2795"/>
      <c r="HYM38" s="2795"/>
      <c r="HYN38" s="2795"/>
      <c r="HYO38" s="2795"/>
      <c r="HYP38" s="2795"/>
      <c r="HYQ38" s="2795"/>
      <c r="HYR38" s="2795"/>
      <c r="HYS38" s="2795"/>
      <c r="HYT38" s="2795"/>
      <c r="HYU38" s="2795"/>
      <c r="HYV38" s="2795"/>
      <c r="HYW38" s="2795"/>
      <c r="HYX38" s="2795"/>
      <c r="HYY38" s="2795"/>
      <c r="HYZ38" s="2795"/>
      <c r="HZA38" s="2795"/>
      <c r="HZB38" s="2795"/>
      <c r="HZC38" s="2795"/>
      <c r="HZD38" s="2795"/>
      <c r="HZE38" s="2795"/>
      <c r="HZF38" s="2795"/>
      <c r="HZG38" s="2795"/>
      <c r="HZH38" s="2795"/>
      <c r="HZI38" s="2795"/>
      <c r="HZJ38" s="2795"/>
      <c r="HZK38" s="2795"/>
      <c r="HZL38" s="2795"/>
      <c r="HZM38" s="2795"/>
      <c r="HZN38" s="2795"/>
      <c r="HZO38" s="2795"/>
      <c r="HZP38" s="2795"/>
      <c r="HZQ38" s="2795"/>
      <c r="HZR38" s="2795"/>
      <c r="HZS38" s="2795"/>
      <c r="HZT38" s="2795"/>
      <c r="HZU38" s="2795"/>
      <c r="HZV38" s="2795"/>
      <c r="HZW38" s="2795"/>
      <c r="HZX38" s="2795"/>
      <c r="HZY38" s="2795"/>
      <c r="HZZ38" s="2795"/>
      <c r="IAA38" s="2795"/>
      <c r="IAB38" s="2795"/>
      <c r="IAC38" s="2795"/>
      <c r="IAD38" s="2795"/>
      <c r="IAE38" s="2795"/>
      <c r="IAF38" s="2795"/>
      <c r="IAG38" s="2795"/>
      <c r="IAH38" s="2795"/>
      <c r="IAI38" s="2795"/>
      <c r="IAJ38" s="2795"/>
      <c r="IAK38" s="2795"/>
      <c r="IAL38" s="2795"/>
      <c r="IAM38" s="2795"/>
      <c r="IAN38" s="2795"/>
      <c r="IAO38" s="2795"/>
      <c r="IAP38" s="2795"/>
      <c r="IAQ38" s="2795"/>
      <c r="IAR38" s="2795"/>
      <c r="IAS38" s="2795"/>
      <c r="IAT38" s="2795"/>
      <c r="IAU38" s="2795"/>
      <c r="IAV38" s="2795"/>
      <c r="IAW38" s="2795"/>
      <c r="IAX38" s="2795"/>
      <c r="IAY38" s="2795"/>
      <c r="IAZ38" s="2795"/>
      <c r="IBA38" s="2795"/>
      <c r="IBB38" s="2795"/>
      <c r="IBC38" s="2795"/>
      <c r="IBD38" s="2795"/>
      <c r="IBE38" s="2795"/>
      <c r="IBF38" s="2795"/>
      <c r="IBG38" s="2795"/>
      <c r="IBH38" s="2795"/>
      <c r="IBI38" s="2795"/>
      <c r="IBJ38" s="2795"/>
      <c r="IBK38" s="2795"/>
      <c r="IBL38" s="2795"/>
      <c r="IBM38" s="2795"/>
      <c r="IBN38" s="2795"/>
      <c r="IBO38" s="2795"/>
      <c r="IBP38" s="2795"/>
      <c r="IBQ38" s="2795"/>
      <c r="IBR38" s="2795"/>
      <c r="IBS38" s="2795"/>
      <c r="IBT38" s="2795"/>
      <c r="IBU38" s="2795"/>
      <c r="IBV38" s="2795"/>
      <c r="IBW38" s="2795"/>
      <c r="IBX38" s="2795"/>
      <c r="IBY38" s="2795"/>
      <c r="IBZ38" s="2795"/>
      <c r="ICA38" s="2795"/>
      <c r="ICB38" s="2795"/>
      <c r="ICC38" s="2795"/>
      <c r="ICD38" s="2795"/>
      <c r="ICE38" s="2795"/>
      <c r="ICF38" s="2795"/>
      <c r="ICG38" s="2795"/>
      <c r="ICH38" s="2795"/>
      <c r="ICI38" s="2795"/>
      <c r="ICJ38" s="2795"/>
      <c r="ICK38" s="2795"/>
      <c r="ICL38" s="2795"/>
      <c r="ICM38" s="2795"/>
      <c r="ICN38" s="2795"/>
      <c r="ICO38" s="2795"/>
      <c r="ICP38" s="2795"/>
      <c r="ICQ38" s="2795"/>
      <c r="ICR38" s="2795"/>
      <c r="ICS38" s="2795"/>
      <c r="ICT38" s="2795"/>
      <c r="ICU38" s="2795"/>
      <c r="ICV38" s="2795"/>
      <c r="ICW38" s="2795"/>
      <c r="ICX38" s="2795"/>
      <c r="ICY38" s="2795"/>
      <c r="ICZ38" s="2795"/>
      <c r="IDA38" s="2795"/>
      <c r="IDB38" s="2795"/>
      <c r="IDC38" s="2795"/>
      <c r="IDD38" s="2795"/>
      <c r="IDE38" s="2795"/>
      <c r="IDF38" s="2795"/>
      <c r="IDG38" s="2795"/>
      <c r="IDH38" s="2795"/>
      <c r="IDI38" s="2795"/>
      <c r="IDJ38" s="2795"/>
      <c r="IDK38" s="2795"/>
      <c r="IDL38" s="2795"/>
      <c r="IDM38" s="2795"/>
      <c r="IDN38" s="2795"/>
      <c r="IDO38" s="2795"/>
      <c r="IDP38" s="2795"/>
      <c r="IDQ38" s="2795"/>
      <c r="IDR38" s="2795"/>
      <c r="IDS38" s="2795"/>
      <c r="IDT38" s="2795"/>
      <c r="IDU38" s="2795"/>
      <c r="IDV38" s="2795"/>
      <c r="IDW38" s="2795"/>
      <c r="IDX38" s="2795"/>
      <c r="IDY38" s="2795"/>
      <c r="IDZ38" s="2795"/>
      <c r="IEA38" s="2795"/>
      <c r="IEB38" s="2795"/>
      <c r="IEC38" s="2795"/>
      <c r="IED38" s="2795"/>
      <c r="IEE38" s="2795"/>
      <c r="IEF38" s="2795"/>
      <c r="IEG38" s="2795"/>
      <c r="IEH38" s="2795"/>
      <c r="IEI38" s="2795"/>
      <c r="IEJ38" s="2795"/>
      <c r="IEK38" s="2795"/>
      <c r="IEL38" s="2795"/>
      <c r="IEM38" s="2795"/>
      <c r="IEN38" s="2795"/>
      <c r="IEO38" s="2795"/>
      <c r="IEP38" s="2795"/>
      <c r="IEQ38" s="2795"/>
      <c r="IER38" s="2795"/>
      <c r="IES38" s="2795"/>
      <c r="IET38" s="2795"/>
      <c r="IEU38" s="2795"/>
      <c r="IEV38" s="2795"/>
      <c r="IEW38" s="2795"/>
      <c r="IEX38" s="2795"/>
      <c r="IEY38" s="2795"/>
      <c r="IEZ38" s="2795"/>
      <c r="IFA38" s="2795"/>
      <c r="IFB38" s="2795"/>
      <c r="IFC38" s="2795"/>
      <c r="IFD38" s="2795"/>
      <c r="IFE38" s="2795"/>
      <c r="IFF38" s="2795"/>
      <c r="IFG38" s="2795"/>
      <c r="IFH38" s="2795"/>
      <c r="IFI38" s="2795"/>
      <c r="IFJ38" s="2795"/>
      <c r="IFK38" s="2795"/>
      <c r="IFL38" s="2795"/>
      <c r="IFM38" s="2795"/>
      <c r="IFN38" s="2795"/>
      <c r="IFO38" s="2795"/>
      <c r="IFP38" s="2795"/>
      <c r="IFQ38" s="2795"/>
      <c r="IFR38" s="2795"/>
      <c r="IFS38" s="2795"/>
      <c r="IFT38" s="2795"/>
      <c r="IFU38" s="2795"/>
      <c r="IFV38" s="2795"/>
      <c r="IFW38" s="2795"/>
      <c r="IFX38" s="2795"/>
      <c r="IFY38" s="2795"/>
      <c r="IFZ38" s="2795"/>
      <c r="IGA38" s="2795"/>
      <c r="IGB38" s="2795"/>
      <c r="IGC38" s="2795"/>
      <c r="IGD38" s="2795"/>
      <c r="IGE38" s="2795"/>
      <c r="IGF38" s="2795"/>
      <c r="IGG38" s="2795"/>
      <c r="IGH38" s="2795"/>
      <c r="IGI38" s="2795"/>
      <c r="IGJ38" s="2795"/>
      <c r="IGK38" s="2795"/>
      <c r="IGL38" s="2795"/>
      <c r="IGM38" s="2795"/>
      <c r="IGN38" s="2795"/>
      <c r="IGO38" s="2795"/>
      <c r="IGP38" s="2795"/>
      <c r="IGQ38" s="2795"/>
      <c r="IGR38" s="2795"/>
      <c r="IGS38" s="2795"/>
      <c r="IGT38" s="2795"/>
      <c r="IGU38" s="2795"/>
      <c r="IGV38" s="2795"/>
      <c r="IGW38" s="2795"/>
      <c r="IGX38" s="2795"/>
      <c r="IGY38" s="2795"/>
      <c r="IGZ38" s="2795"/>
      <c r="IHA38" s="2795"/>
      <c r="IHB38" s="2795"/>
      <c r="IHC38" s="2795"/>
      <c r="IHD38" s="2795"/>
      <c r="IHE38" s="2795"/>
      <c r="IHF38" s="2795"/>
      <c r="IHG38" s="2795"/>
      <c r="IHH38" s="2795"/>
      <c r="IHI38" s="2795"/>
      <c r="IHJ38" s="2795"/>
      <c r="IHK38" s="2795"/>
      <c r="IHL38" s="2795"/>
      <c r="IHM38" s="2795"/>
      <c r="IHN38" s="2795"/>
      <c r="IHO38" s="2795"/>
      <c r="IHP38" s="2795"/>
      <c r="IHQ38" s="2795"/>
      <c r="IHR38" s="2795"/>
      <c r="IHS38" s="2795"/>
      <c r="IHT38" s="2795"/>
      <c r="IHU38" s="2795"/>
      <c r="IHV38" s="2795"/>
      <c r="IHW38" s="2795"/>
      <c r="IHX38" s="2795"/>
      <c r="IHY38" s="2795"/>
      <c r="IHZ38" s="2795"/>
      <c r="IIA38" s="2795"/>
      <c r="IIB38" s="2795"/>
      <c r="IIC38" s="2795"/>
      <c r="IID38" s="2795"/>
      <c r="IIE38" s="2795"/>
      <c r="IIF38" s="2795"/>
      <c r="IIG38" s="2795"/>
      <c r="IIH38" s="2795"/>
      <c r="III38" s="2795"/>
      <c r="IIJ38" s="2795"/>
      <c r="IIK38" s="2795"/>
      <c r="IIL38" s="2795"/>
      <c r="IIM38" s="2795"/>
      <c r="IIN38" s="2795"/>
      <c r="IIO38" s="2795"/>
      <c r="IIP38" s="2795"/>
      <c r="IIQ38" s="2795"/>
      <c r="IIR38" s="2795"/>
      <c r="IIS38" s="2795"/>
      <c r="IIT38" s="2795"/>
      <c r="IIU38" s="2795"/>
      <c r="IIV38" s="2795"/>
      <c r="IIW38" s="2795"/>
      <c r="IIX38" s="2795"/>
      <c r="IIY38" s="2795"/>
      <c r="IIZ38" s="2795"/>
      <c r="IJA38" s="2795"/>
      <c r="IJB38" s="2795"/>
      <c r="IJC38" s="2795"/>
      <c r="IJD38" s="2795"/>
      <c r="IJE38" s="2795"/>
      <c r="IJF38" s="2795"/>
      <c r="IJG38" s="2795"/>
      <c r="IJH38" s="2795"/>
      <c r="IJI38" s="2795"/>
      <c r="IJJ38" s="2795"/>
      <c r="IJK38" s="2795"/>
      <c r="IJL38" s="2795"/>
      <c r="IJM38" s="2795"/>
      <c r="IJN38" s="2795"/>
      <c r="IJO38" s="2795"/>
      <c r="IJP38" s="2795"/>
      <c r="IJQ38" s="2795"/>
      <c r="IJR38" s="2795"/>
      <c r="IJS38" s="2795"/>
      <c r="IJT38" s="2795"/>
      <c r="IJU38" s="2795"/>
      <c r="IJV38" s="2795"/>
      <c r="IJW38" s="2795"/>
      <c r="IJX38" s="2795"/>
      <c r="IJY38" s="2795"/>
      <c r="IJZ38" s="2795"/>
      <c r="IKA38" s="2795"/>
      <c r="IKB38" s="2795"/>
      <c r="IKC38" s="2795"/>
      <c r="IKD38" s="2795"/>
      <c r="IKE38" s="2795"/>
      <c r="IKF38" s="2795"/>
      <c r="IKG38" s="2795"/>
      <c r="IKH38" s="2795"/>
      <c r="IKI38" s="2795"/>
      <c r="IKJ38" s="2795"/>
      <c r="IKK38" s="2795"/>
      <c r="IKL38" s="2795"/>
      <c r="IKM38" s="2795"/>
      <c r="IKN38" s="2795"/>
      <c r="IKO38" s="2795"/>
      <c r="IKP38" s="2795"/>
      <c r="IKQ38" s="2795"/>
      <c r="IKR38" s="2795"/>
      <c r="IKS38" s="2795"/>
      <c r="IKT38" s="2795"/>
      <c r="IKU38" s="2795"/>
      <c r="IKV38" s="2795"/>
      <c r="IKW38" s="2795"/>
      <c r="IKX38" s="2795"/>
      <c r="IKY38" s="2795"/>
      <c r="IKZ38" s="2795"/>
      <c r="ILA38" s="2795"/>
      <c r="ILB38" s="2795"/>
      <c r="ILC38" s="2795"/>
      <c r="ILD38" s="2795"/>
      <c r="ILE38" s="2795"/>
      <c r="ILF38" s="2795"/>
      <c r="ILG38" s="2795"/>
      <c r="ILH38" s="2795"/>
      <c r="ILI38" s="2795"/>
      <c r="ILJ38" s="2795"/>
      <c r="ILK38" s="2795"/>
      <c r="ILL38" s="2795"/>
      <c r="ILM38" s="2795"/>
      <c r="ILN38" s="2795"/>
      <c r="ILO38" s="2795"/>
      <c r="ILP38" s="2795"/>
      <c r="ILQ38" s="2795"/>
      <c r="ILR38" s="2795"/>
      <c r="ILS38" s="2795"/>
      <c r="ILT38" s="2795"/>
      <c r="ILU38" s="2795"/>
      <c r="ILV38" s="2795"/>
      <c r="ILW38" s="2795"/>
      <c r="ILX38" s="2795"/>
      <c r="ILY38" s="2795"/>
      <c r="ILZ38" s="2795"/>
      <c r="IMA38" s="2795"/>
      <c r="IMB38" s="2795"/>
      <c r="IMC38" s="2795"/>
      <c r="IMD38" s="2795"/>
      <c r="IME38" s="2795"/>
      <c r="IMF38" s="2795"/>
      <c r="IMG38" s="2795"/>
      <c r="IMH38" s="2795"/>
      <c r="IMI38" s="2795"/>
      <c r="IMJ38" s="2795"/>
      <c r="IMK38" s="2795"/>
      <c r="IML38" s="2795"/>
      <c r="IMM38" s="2795"/>
      <c r="IMN38" s="2795"/>
      <c r="IMO38" s="2795"/>
      <c r="IMP38" s="2795"/>
      <c r="IMQ38" s="2795"/>
      <c r="IMR38" s="2795"/>
      <c r="IMS38" s="2795"/>
      <c r="IMT38" s="2795"/>
      <c r="IMU38" s="2795"/>
      <c r="IMV38" s="2795"/>
      <c r="IMW38" s="2795"/>
      <c r="IMX38" s="2795"/>
      <c r="IMY38" s="2795"/>
      <c r="IMZ38" s="2795"/>
      <c r="INA38" s="2795"/>
      <c r="INB38" s="2795"/>
      <c r="INC38" s="2795"/>
      <c r="IND38" s="2795"/>
      <c r="INE38" s="2795"/>
      <c r="INF38" s="2795"/>
      <c r="ING38" s="2795"/>
      <c r="INH38" s="2795"/>
      <c r="INI38" s="2795"/>
      <c r="INJ38" s="2795"/>
      <c r="INK38" s="2795"/>
      <c r="INL38" s="2795"/>
      <c r="INM38" s="2795"/>
      <c r="INN38" s="2795"/>
      <c r="INO38" s="2795"/>
      <c r="INP38" s="2795"/>
      <c r="INQ38" s="2795"/>
      <c r="INR38" s="2795"/>
      <c r="INS38" s="2795"/>
      <c r="INT38" s="2795"/>
      <c r="INU38" s="2795"/>
      <c r="INV38" s="2795"/>
      <c r="INW38" s="2795"/>
      <c r="INX38" s="2795"/>
      <c r="INY38" s="2795"/>
      <c r="INZ38" s="2795"/>
      <c r="IOA38" s="2795"/>
      <c r="IOB38" s="2795"/>
      <c r="IOC38" s="2795"/>
      <c r="IOD38" s="2795"/>
      <c r="IOE38" s="2795"/>
      <c r="IOF38" s="2795"/>
      <c r="IOG38" s="2795"/>
      <c r="IOH38" s="2795"/>
      <c r="IOI38" s="2795"/>
      <c r="IOJ38" s="2795"/>
      <c r="IOK38" s="2795"/>
      <c r="IOL38" s="2795"/>
      <c r="IOM38" s="2795"/>
      <c r="ION38" s="2795"/>
      <c r="IOO38" s="2795"/>
      <c r="IOP38" s="2795"/>
      <c r="IOQ38" s="2795"/>
      <c r="IOR38" s="2795"/>
      <c r="IOS38" s="2795"/>
      <c r="IOT38" s="2795"/>
      <c r="IOU38" s="2795"/>
      <c r="IOV38" s="2795"/>
      <c r="IOW38" s="2795"/>
      <c r="IOX38" s="2795"/>
      <c r="IOY38" s="2795"/>
      <c r="IOZ38" s="2795"/>
      <c r="IPA38" s="2795"/>
      <c r="IPB38" s="2795"/>
      <c r="IPC38" s="2795"/>
      <c r="IPD38" s="2795"/>
      <c r="IPE38" s="2795"/>
      <c r="IPF38" s="2795"/>
      <c r="IPG38" s="2795"/>
      <c r="IPH38" s="2795"/>
      <c r="IPI38" s="2795"/>
      <c r="IPJ38" s="2795"/>
      <c r="IPK38" s="2795"/>
      <c r="IPL38" s="2795"/>
      <c r="IPM38" s="2795"/>
      <c r="IPN38" s="2795"/>
      <c r="IPO38" s="2795"/>
      <c r="IPP38" s="2795"/>
      <c r="IPQ38" s="2795"/>
      <c r="IPR38" s="2795"/>
      <c r="IPS38" s="2795"/>
      <c r="IPT38" s="2795"/>
      <c r="IPU38" s="2795"/>
      <c r="IPV38" s="2795"/>
      <c r="IPW38" s="2795"/>
      <c r="IPX38" s="2795"/>
      <c r="IPY38" s="2795"/>
      <c r="IPZ38" s="2795"/>
      <c r="IQA38" s="2795"/>
      <c r="IQB38" s="2795"/>
      <c r="IQC38" s="2795"/>
      <c r="IQD38" s="2795"/>
      <c r="IQE38" s="2795"/>
      <c r="IQF38" s="2795"/>
      <c r="IQG38" s="2795"/>
      <c r="IQH38" s="2795"/>
      <c r="IQI38" s="2795"/>
      <c r="IQJ38" s="2795"/>
      <c r="IQK38" s="2795"/>
      <c r="IQL38" s="2795"/>
      <c r="IQM38" s="2795"/>
      <c r="IQN38" s="2795"/>
      <c r="IQO38" s="2795"/>
      <c r="IQP38" s="2795"/>
      <c r="IQQ38" s="2795"/>
      <c r="IQR38" s="2795"/>
      <c r="IQS38" s="2795"/>
      <c r="IQT38" s="2795"/>
      <c r="IQU38" s="2795"/>
      <c r="IQV38" s="2795"/>
      <c r="IQW38" s="2795"/>
      <c r="IQX38" s="2795"/>
      <c r="IQY38" s="2795"/>
      <c r="IQZ38" s="2795"/>
      <c r="IRA38" s="2795"/>
      <c r="IRB38" s="2795"/>
      <c r="IRC38" s="2795"/>
      <c r="IRD38" s="2795"/>
      <c r="IRE38" s="2795"/>
      <c r="IRF38" s="2795"/>
      <c r="IRG38" s="2795"/>
      <c r="IRH38" s="2795"/>
      <c r="IRI38" s="2795"/>
      <c r="IRJ38" s="2795"/>
      <c r="IRK38" s="2795"/>
      <c r="IRL38" s="2795"/>
      <c r="IRM38" s="2795"/>
      <c r="IRN38" s="2795"/>
      <c r="IRO38" s="2795"/>
      <c r="IRP38" s="2795"/>
      <c r="IRQ38" s="2795"/>
      <c r="IRR38" s="2795"/>
      <c r="IRS38" s="2795"/>
      <c r="IRT38" s="2795"/>
      <c r="IRU38" s="2795"/>
      <c r="IRV38" s="2795"/>
      <c r="IRW38" s="2795"/>
      <c r="IRX38" s="2795"/>
      <c r="IRY38" s="2795"/>
      <c r="IRZ38" s="2795"/>
      <c r="ISA38" s="2795"/>
      <c r="ISB38" s="2795"/>
      <c r="ISC38" s="2795"/>
      <c r="ISD38" s="2795"/>
      <c r="ISE38" s="2795"/>
      <c r="ISF38" s="2795"/>
      <c r="ISG38" s="2795"/>
      <c r="ISH38" s="2795"/>
      <c r="ISI38" s="2795"/>
      <c r="ISJ38" s="2795"/>
      <c r="ISK38" s="2795"/>
      <c r="ISL38" s="2795"/>
      <c r="ISM38" s="2795"/>
      <c r="ISN38" s="2795"/>
      <c r="ISO38" s="2795"/>
      <c r="ISP38" s="2795"/>
      <c r="ISQ38" s="2795"/>
      <c r="ISR38" s="2795"/>
      <c r="ISS38" s="2795"/>
      <c r="IST38" s="2795"/>
      <c r="ISU38" s="2795"/>
      <c r="ISV38" s="2795"/>
      <c r="ISW38" s="2795"/>
      <c r="ISX38" s="2795"/>
      <c r="ISY38" s="2795"/>
      <c r="ISZ38" s="2795"/>
      <c r="ITA38" s="2795"/>
      <c r="ITB38" s="2795"/>
      <c r="ITC38" s="2795"/>
      <c r="ITD38" s="2795"/>
      <c r="ITE38" s="2795"/>
      <c r="ITF38" s="2795"/>
      <c r="ITG38" s="2795"/>
      <c r="ITH38" s="2795"/>
      <c r="ITI38" s="2795"/>
      <c r="ITJ38" s="2795"/>
      <c r="ITK38" s="2795"/>
      <c r="ITL38" s="2795"/>
      <c r="ITM38" s="2795"/>
      <c r="ITN38" s="2795"/>
      <c r="ITO38" s="2795"/>
      <c r="ITP38" s="2795"/>
      <c r="ITQ38" s="2795"/>
      <c r="ITR38" s="2795"/>
      <c r="ITS38" s="2795"/>
      <c r="ITT38" s="2795"/>
      <c r="ITU38" s="2795"/>
      <c r="ITV38" s="2795"/>
      <c r="ITW38" s="2795"/>
      <c r="ITX38" s="2795"/>
      <c r="ITY38" s="2795"/>
      <c r="ITZ38" s="2795"/>
      <c r="IUA38" s="2795"/>
      <c r="IUB38" s="2795"/>
      <c r="IUC38" s="2795"/>
      <c r="IUD38" s="2795"/>
      <c r="IUE38" s="2795"/>
      <c r="IUF38" s="2795"/>
      <c r="IUG38" s="2795"/>
      <c r="IUH38" s="2795"/>
      <c r="IUI38" s="2795"/>
      <c r="IUJ38" s="2795"/>
      <c r="IUK38" s="2795"/>
      <c r="IUL38" s="2795"/>
      <c r="IUM38" s="2795"/>
      <c r="IUN38" s="2795"/>
      <c r="IUO38" s="2795"/>
      <c r="IUP38" s="2795"/>
      <c r="IUQ38" s="2795"/>
      <c r="IUR38" s="2795"/>
      <c r="IUS38" s="2795"/>
      <c r="IUT38" s="2795"/>
      <c r="IUU38" s="2795"/>
      <c r="IUV38" s="2795"/>
      <c r="IUW38" s="2795"/>
      <c r="IUX38" s="2795"/>
      <c r="IUY38" s="2795"/>
      <c r="IUZ38" s="2795"/>
      <c r="IVA38" s="2795"/>
      <c r="IVB38" s="2795"/>
      <c r="IVC38" s="2795"/>
      <c r="IVD38" s="2795"/>
      <c r="IVE38" s="2795"/>
      <c r="IVF38" s="2795"/>
      <c r="IVG38" s="2795"/>
      <c r="IVH38" s="2795"/>
      <c r="IVI38" s="2795"/>
      <c r="IVJ38" s="2795"/>
      <c r="IVK38" s="2795"/>
      <c r="IVL38" s="2795"/>
      <c r="IVM38" s="2795"/>
      <c r="IVN38" s="2795"/>
      <c r="IVO38" s="2795"/>
      <c r="IVP38" s="2795"/>
      <c r="IVQ38" s="2795"/>
      <c r="IVR38" s="2795"/>
      <c r="IVS38" s="2795"/>
      <c r="IVT38" s="2795"/>
      <c r="IVU38" s="2795"/>
      <c r="IVV38" s="2795"/>
      <c r="IVW38" s="2795"/>
      <c r="IVX38" s="2795"/>
      <c r="IVY38" s="2795"/>
      <c r="IVZ38" s="2795"/>
      <c r="IWA38" s="2795"/>
      <c r="IWB38" s="2795"/>
      <c r="IWC38" s="2795"/>
      <c r="IWD38" s="2795"/>
      <c r="IWE38" s="2795"/>
      <c r="IWF38" s="2795"/>
      <c r="IWG38" s="2795"/>
      <c r="IWH38" s="2795"/>
      <c r="IWI38" s="2795"/>
      <c r="IWJ38" s="2795"/>
      <c r="IWK38" s="2795"/>
      <c r="IWL38" s="2795"/>
      <c r="IWM38" s="2795"/>
      <c r="IWN38" s="2795"/>
      <c r="IWO38" s="2795"/>
      <c r="IWP38" s="2795"/>
      <c r="IWQ38" s="2795"/>
      <c r="IWR38" s="2795"/>
      <c r="IWS38" s="2795"/>
      <c r="IWT38" s="2795"/>
      <c r="IWU38" s="2795"/>
      <c r="IWV38" s="2795"/>
      <c r="IWW38" s="2795"/>
      <c r="IWX38" s="2795"/>
      <c r="IWY38" s="2795"/>
      <c r="IWZ38" s="2795"/>
      <c r="IXA38" s="2795"/>
      <c r="IXB38" s="2795"/>
      <c r="IXC38" s="2795"/>
      <c r="IXD38" s="2795"/>
      <c r="IXE38" s="2795"/>
      <c r="IXF38" s="2795"/>
      <c r="IXG38" s="2795"/>
      <c r="IXH38" s="2795"/>
      <c r="IXI38" s="2795"/>
      <c r="IXJ38" s="2795"/>
      <c r="IXK38" s="2795"/>
      <c r="IXL38" s="2795"/>
      <c r="IXM38" s="2795"/>
      <c r="IXN38" s="2795"/>
      <c r="IXO38" s="2795"/>
      <c r="IXP38" s="2795"/>
      <c r="IXQ38" s="2795"/>
      <c r="IXR38" s="2795"/>
      <c r="IXS38" s="2795"/>
      <c r="IXT38" s="2795"/>
      <c r="IXU38" s="2795"/>
      <c r="IXV38" s="2795"/>
      <c r="IXW38" s="2795"/>
      <c r="IXX38" s="2795"/>
      <c r="IXY38" s="2795"/>
      <c r="IXZ38" s="2795"/>
      <c r="IYA38" s="2795"/>
      <c r="IYB38" s="2795"/>
      <c r="IYC38" s="2795"/>
      <c r="IYD38" s="2795"/>
      <c r="IYE38" s="2795"/>
      <c r="IYF38" s="2795"/>
      <c r="IYG38" s="2795"/>
      <c r="IYH38" s="2795"/>
      <c r="IYI38" s="2795"/>
      <c r="IYJ38" s="2795"/>
      <c r="IYK38" s="2795"/>
      <c r="IYL38" s="2795"/>
      <c r="IYM38" s="2795"/>
      <c r="IYN38" s="2795"/>
      <c r="IYO38" s="2795"/>
      <c r="IYP38" s="2795"/>
      <c r="IYQ38" s="2795"/>
      <c r="IYR38" s="2795"/>
      <c r="IYS38" s="2795"/>
      <c r="IYT38" s="2795"/>
      <c r="IYU38" s="2795"/>
      <c r="IYV38" s="2795"/>
      <c r="IYW38" s="2795"/>
      <c r="IYX38" s="2795"/>
      <c r="IYY38" s="2795"/>
      <c r="IYZ38" s="2795"/>
      <c r="IZA38" s="2795"/>
      <c r="IZB38" s="2795"/>
      <c r="IZC38" s="2795"/>
      <c r="IZD38" s="2795"/>
      <c r="IZE38" s="2795"/>
      <c r="IZF38" s="2795"/>
      <c r="IZG38" s="2795"/>
      <c r="IZH38" s="2795"/>
      <c r="IZI38" s="2795"/>
      <c r="IZJ38" s="2795"/>
      <c r="IZK38" s="2795"/>
      <c r="IZL38" s="2795"/>
      <c r="IZM38" s="2795"/>
      <c r="IZN38" s="2795"/>
      <c r="IZO38" s="2795"/>
      <c r="IZP38" s="2795"/>
      <c r="IZQ38" s="2795"/>
      <c r="IZR38" s="2795"/>
      <c r="IZS38" s="2795"/>
      <c r="IZT38" s="2795"/>
      <c r="IZU38" s="2795"/>
      <c r="IZV38" s="2795"/>
      <c r="IZW38" s="2795"/>
      <c r="IZX38" s="2795"/>
      <c r="IZY38" s="2795"/>
      <c r="IZZ38" s="2795"/>
      <c r="JAA38" s="2795"/>
      <c r="JAB38" s="2795"/>
      <c r="JAC38" s="2795"/>
      <c r="JAD38" s="2795"/>
      <c r="JAE38" s="2795"/>
      <c r="JAF38" s="2795"/>
      <c r="JAG38" s="2795"/>
      <c r="JAH38" s="2795"/>
      <c r="JAI38" s="2795"/>
      <c r="JAJ38" s="2795"/>
      <c r="JAK38" s="2795"/>
      <c r="JAL38" s="2795"/>
      <c r="JAM38" s="2795"/>
      <c r="JAN38" s="2795"/>
      <c r="JAO38" s="2795"/>
      <c r="JAP38" s="2795"/>
      <c r="JAQ38" s="2795"/>
      <c r="JAR38" s="2795"/>
      <c r="JAS38" s="2795"/>
      <c r="JAT38" s="2795"/>
      <c r="JAU38" s="2795"/>
      <c r="JAV38" s="2795"/>
      <c r="JAW38" s="2795"/>
      <c r="JAX38" s="2795"/>
      <c r="JAY38" s="2795"/>
      <c r="JAZ38" s="2795"/>
      <c r="JBA38" s="2795"/>
      <c r="JBB38" s="2795"/>
      <c r="JBC38" s="2795"/>
      <c r="JBD38" s="2795"/>
      <c r="JBE38" s="2795"/>
      <c r="JBF38" s="2795"/>
      <c r="JBG38" s="2795"/>
      <c r="JBH38" s="2795"/>
      <c r="JBI38" s="2795"/>
      <c r="JBJ38" s="2795"/>
      <c r="JBK38" s="2795"/>
      <c r="JBL38" s="2795"/>
      <c r="JBM38" s="2795"/>
      <c r="JBN38" s="2795"/>
      <c r="JBO38" s="2795"/>
      <c r="JBP38" s="2795"/>
      <c r="JBQ38" s="2795"/>
      <c r="JBR38" s="2795"/>
      <c r="JBS38" s="2795"/>
      <c r="JBT38" s="2795"/>
      <c r="JBU38" s="2795"/>
      <c r="JBV38" s="2795"/>
      <c r="JBW38" s="2795"/>
      <c r="JBX38" s="2795"/>
      <c r="JBY38" s="2795"/>
      <c r="JBZ38" s="2795"/>
      <c r="JCA38" s="2795"/>
      <c r="JCB38" s="2795"/>
      <c r="JCC38" s="2795"/>
      <c r="JCD38" s="2795"/>
      <c r="JCE38" s="2795"/>
      <c r="JCF38" s="2795"/>
      <c r="JCG38" s="2795"/>
      <c r="JCH38" s="2795"/>
      <c r="JCI38" s="2795"/>
      <c r="JCJ38" s="2795"/>
      <c r="JCK38" s="2795"/>
      <c r="JCL38" s="2795"/>
      <c r="JCM38" s="2795"/>
      <c r="JCN38" s="2795"/>
      <c r="JCO38" s="2795"/>
      <c r="JCP38" s="2795"/>
      <c r="JCQ38" s="2795"/>
      <c r="JCR38" s="2795"/>
      <c r="JCS38" s="2795"/>
      <c r="JCT38" s="2795"/>
      <c r="JCU38" s="2795"/>
      <c r="JCV38" s="2795"/>
      <c r="JCW38" s="2795"/>
      <c r="JCX38" s="2795"/>
      <c r="JCY38" s="2795"/>
      <c r="JCZ38" s="2795"/>
      <c r="JDA38" s="2795"/>
      <c r="JDB38" s="2795"/>
      <c r="JDC38" s="2795"/>
      <c r="JDD38" s="2795"/>
      <c r="JDE38" s="2795"/>
      <c r="JDF38" s="2795"/>
      <c r="JDG38" s="2795"/>
      <c r="JDH38" s="2795"/>
      <c r="JDI38" s="2795"/>
      <c r="JDJ38" s="2795"/>
      <c r="JDK38" s="2795"/>
      <c r="JDL38" s="2795"/>
      <c r="JDM38" s="2795"/>
      <c r="JDN38" s="2795"/>
      <c r="JDO38" s="2795"/>
      <c r="JDP38" s="2795"/>
      <c r="JDQ38" s="2795"/>
      <c r="JDR38" s="2795"/>
      <c r="JDS38" s="2795"/>
      <c r="JDT38" s="2795"/>
      <c r="JDU38" s="2795"/>
      <c r="JDV38" s="2795"/>
      <c r="JDW38" s="2795"/>
      <c r="JDX38" s="2795"/>
      <c r="JDY38" s="2795"/>
      <c r="JDZ38" s="2795"/>
      <c r="JEA38" s="2795"/>
      <c r="JEB38" s="2795"/>
      <c r="JEC38" s="2795"/>
      <c r="JED38" s="2795"/>
      <c r="JEE38" s="2795"/>
      <c r="JEF38" s="2795"/>
      <c r="JEG38" s="2795"/>
      <c r="JEH38" s="2795"/>
      <c r="JEI38" s="2795"/>
      <c r="JEJ38" s="2795"/>
      <c r="JEK38" s="2795"/>
      <c r="JEL38" s="2795"/>
      <c r="JEM38" s="2795"/>
      <c r="JEN38" s="2795"/>
      <c r="JEO38" s="2795"/>
      <c r="JEP38" s="2795"/>
      <c r="JEQ38" s="2795"/>
      <c r="JER38" s="2795"/>
      <c r="JES38" s="2795"/>
      <c r="JET38" s="2795"/>
      <c r="JEU38" s="2795"/>
      <c r="JEV38" s="2795"/>
      <c r="JEW38" s="2795"/>
      <c r="JEX38" s="2795"/>
      <c r="JEY38" s="2795"/>
      <c r="JEZ38" s="2795"/>
      <c r="JFA38" s="2795"/>
      <c r="JFB38" s="2795"/>
      <c r="JFC38" s="2795"/>
      <c r="JFD38" s="2795"/>
      <c r="JFE38" s="2795"/>
      <c r="JFF38" s="2795"/>
      <c r="JFG38" s="2795"/>
      <c r="JFH38" s="2795"/>
      <c r="JFI38" s="2795"/>
      <c r="JFJ38" s="2795"/>
      <c r="JFK38" s="2795"/>
      <c r="JFL38" s="2795"/>
      <c r="JFM38" s="2795"/>
      <c r="JFN38" s="2795"/>
      <c r="JFO38" s="2795"/>
      <c r="JFP38" s="2795"/>
      <c r="JFQ38" s="2795"/>
      <c r="JFR38" s="2795"/>
      <c r="JFS38" s="2795"/>
      <c r="JFT38" s="2795"/>
      <c r="JFU38" s="2795"/>
      <c r="JFV38" s="2795"/>
      <c r="JFW38" s="2795"/>
      <c r="JFX38" s="2795"/>
      <c r="JFY38" s="2795"/>
      <c r="JFZ38" s="2795"/>
      <c r="JGA38" s="2795"/>
      <c r="JGB38" s="2795"/>
      <c r="JGC38" s="2795"/>
      <c r="JGD38" s="2795"/>
      <c r="JGE38" s="2795"/>
      <c r="JGF38" s="2795"/>
      <c r="JGG38" s="2795"/>
      <c r="JGH38" s="2795"/>
      <c r="JGI38" s="2795"/>
      <c r="JGJ38" s="2795"/>
      <c r="JGK38" s="2795"/>
      <c r="JGL38" s="2795"/>
      <c r="JGM38" s="2795"/>
      <c r="JGN38" s="2795"/>
      <c r="JGO38" s="2795"/>
      <c r="JGP38" s="2795"/>
      <c r="JGQ38" s="2795"/>
      <c r="JGR38" s="2795"/>
      <c r="JGS38" s="2795"/>
      <c r="JGT38" s="2795"/>
      <c r="JGU38" s="2795"/>
      <c r="JGV38" s="2795"/>
      <c r="JGW38" s="2795"/>
      <c r="JGX38" s="2795"/>
      <c r="JGY38" s="2795"/>
      <c r="JGZ38" s="2795"/>
      <c r="JHA38" s="2795"/>
      <c r="JHB38" s="2795"/>
      <c r="JHC38" s="2795"/>
      <c r="JHD38" s="2795"/>
      <c r="JHE38" s="2795"/>
      <c r="JHF38" s="2795"/>
      <c r="JHG38" s="2795"/>
      <c r="JHH38" s="2795"/>
      <c r="JHI38" s="2795"/>
      <c r="JHJ38" s="2795"/>
      <c r="JHK38" s="2795"/>
      <c r="JHL38" s="2795"/>
      <c r="JHM38" s="2795"/>
      <c r="JHN38" s="2795"/>
      <c r="JHO38" s="2795"/>
      <c r="JHP38" s="2795"/>
      <c r="JHQ38" s="2795"/>
      <c r="JHR38" s="2795"/>
      <c r="JHS38" s="2795"/>
      <c r="JHT38" s="2795"/>
      <c r="JHU38" s="2795"/>
      <c r="JHV38" s="2795"/>
      <c r="JHW38" s="2795"/>
      <c r="JHX38" s="2795"/>
      <c r="JHY38" s="2795"/>
      <c r="JHZ38" s="2795"/>
      <c r="JIA38" s="2795"/>
      <c r="JIB38" s="2795"/>
      <c r="JIC38" s="2795"/>
      <c r="JID38" s="2795"/>
      <c r="JIE38" s="2795"/>
      <c r="JIF38" s="2795"/>
      <c r="JIG38" s="2795"/>
      <c r="JIH38" s="2795"/>
      <c r="JII38" s="2795"/>
      <c r="JIJ38" s="2795"/>
      <c r="JIK38" s="2795"/>
      <c r="JIL38" s="2795"/>
      <c r="JIM38" s="2795"/>
      <c r="JIN38" s="2795"/>
      <c r="JIO38" s="2795"/>
      <c r="JIP38" s="2795"/>
      <c r="JIQ38" s="2795"/>
      <c r="JIR38" s="2795"/>
      <c r="JIS38" s="2795"/>
      <c r="JIT38" s="2795"/>
      <c r="JIU38" s="2795"/>
      <c r="JIV38" s="2795"/>
      <c r="JIW38" s="2795"/>
      <c r="JIX38" s="2795"/>
      <c r="JIY38" s="2795"/>
      <c r="JIZ38" s="2795"/>
      <c r="JJA38" s="2795"/>
      <c r="JJB38" s="2795"/>
      <c r="JJC38" s="2795"/>
      <c r="JJD38" s="2795"/>
      <c r="JJE38" s="2795"/>
      <c r="JJF38" s="2795"/>
      <c r="JJG38" s="2795"/>
      <c r="JJH38" s="2795"/>
      <c r="JJI38" s="2795"/>
      <c r="JJJ38" s="2795"/>
      <c r="JJK38" s="2795"/>
      <c r="JJL38" s="2795"/>
      <c r="JJM38" s="2795"/>
      <c r="JJN38" s="2795"/>
      <c r="JJO38" s="2795"/>
      <c r="JJP38" s="2795"/>
      <c r="JJQ38" s="2795"/>
      <c r="JJR38" s="2795"/>
      <c r="JJS38" s="2795"/>
      <c r="JJT38" s="2795"/>
      <c r="JJU38" s="2795"/>
      <c r="JJV38" s="2795"/>
      <c r="JJW38" s="2795"/>
      <c r="JJX38" s="2795"/>
      <c r="JJY38" s="2795"/>
      <c r="JJZ38" s="2795"/>
      <c r="JKA38" s="2795"/>
      <c r="JKB38" s="2795"/>
      <c r="JKC38" s="2795"/>
      <c r="JKD38" s="2795"/>
      <c r="JKE38" s="2795"/>
      <c r="JKF38" s="2795"/>
      <c r="JKG38" s="2795"/>
      <c r="JKH38" s="2795"/>
      <c r="JKI38" s="2795"/>
      <c r="JKJ38" s="2795"/>
      <c r="JKK38" s="2795"/>
      <c r="JKL38" s="2795"/>
      <c r="JKM38" s="2795"/>
      <c r="JKN38" s="2795"/>
      <c r="JKO38" s="2795"/>
      <c r="JKP38" s="2795"/>
      <c r="JKQ38" s="2795"/>
      <c r="JKR38" s="2795"/>
      <c r="JKS38" s="2795"/>
      <c r="JKT38" s="2795"/>
      <c r="JKU38" s="2795"/>
      <c r="JKV38" s="2795"/>
      <c r="JKW38" s="2795"/>
      <c r="JKX38" s="2795"/>
      <c r="JKY38" s="2795"/>
      <c r="JKZ38" s="2795"/>
      <c r="JLA38" s="2795"/>
      <c r="JLB38" s="2795"/>
      <c r="JLC38" s="2795"/>
      <c r="JLD38" s="2795"/>
      <c r="JLE38" s="2795"/>
      <c r="JLF38" s="2795"/>
      <c r="JLG38" s="2795"/>
      <c r="JLH38" s="2795"/>
      <c r="JLI38" s="2795"/>
      <c r="JLJ38" s="2795"/>
      <c r="JLK38" s="2795"/>
      <c r="JLL38" s="2795"/>
      <c r="JLM38" s="2795"/>
      <c r="JLN38" s="2795"/>
      <c r="JLO38" s="2795"/>
      <c r="JLP38" s="2795"/>
      <c r="JLQ38" s="2795"/>
      <c r="JLR38" s="2795"/>
      <c r="JLS38" s="2795"/>
      <c r="JLT38" s="2795"/>
      <c r="JLU38" s="2795"/>
      <c r="JLV38" s="2795"/>
      <c r="JLW38" s="2795"/>
      <c r="JLX38" s="2795"/>
      <c r="JLY38" s="2795"/>
      <c r="JLZ38" s="2795"/>
      <c r="JMA38" s="2795"/>
      <c r="JMB38" s="2795"/>
      <c r="JMC38" s="2795"/>
      <c r="JMD38" s="2795"/>
      <c r="JME38" s="2795"/>
      <c r="JMF38" s="2795"/>
      <c r="JMG38" s="2795"/>
      <c r="JMH38" s="2795"/>
      <c r="JMI38" s="2795"/>
      <c r="JMJ38" s="2795"/>
      <c r="JMK38" s="2795"/>
      <c r="JML38" s="2795"/>
      <c r="JMM38" s="2795"/>
      <c r="JMN38" s="2795"/>
      <c r="JMO38" s="2795"/>
      <c r="JMP38" s="2795"/>
      <c r="JMQ38" s="2795"/>
      <c r="JMR38" s="2795"/>
      <c r="JMS38" s="2795"/>
      <c r="JMT38" s="2795"/>
      <c r="JMU38" s="2795"/>
      <c r="JMV38" s="2795"/>
      <c r="JMW38" s="2795"/>
      <c r="JMX38" s="2795"/>
      <c r="JMY38" s="2795"/>
      <c r="JMZ38" s="2795"/>
      <c r="JNA38" s="2795"/>
      <c r="JNB38" s="2795"/>
      <c r="JNC38" s="2795"/>
      <c r="JND38" s="2795"/>
      <c r="JNE38" s="2795"/>
      <c r="JNF38" s="2795"/>
      <c r="JNG38" s="2795"/>
      <c r="JNH38" s="2795"/>
      <c r="JNI38" s="2795"/>
      <c r="JNJ38" s="2795"/>
      <c r="JNK38" s="2795"/>
      <c r="JNL38" s="2795"/>
      <c r="JNM38" s="2795"/>
      <c r="JNN38" s="2795"/>
      <c r="JNO38" s="2795"/>
      <c r="JNP38" s="2795"/>
      <c r="JNQ38" s="2795"/>
      <c r="JNR38" s="2795"/>
      <c r="JNS38" s="2795"/>
      <c r="JNT38" s="2795"/>
      <c r="JNU38" s="2795"/>
      <c r="JNV38" s="2795"/>
      <c r="JNW38" s="2795"/>
      <c r="JNX38" s="2795"/>
      <c r="JNY38" s="2795"/>
      <c r="JNZ38" s="2795"/>
      <c r="JOA38" s="2795"/>
      <c r="JOB38" s="2795"/>
      <c r="JOC38" s="2795"/>
      <c r="JOD38" s="2795"/>
      <c r="JOE38" s="2795"/>
      <c r="JOF38" s="2795"/>
      <c r="JOG38" s="2795"/>
      <c r="JOH38" s="2795"/>
      <c r="JOI38" s="2795"/>
      <c r="JOJ38" s="2795"/>
      <c r="JOK38" s="2795"/>
      <c r="JOL38" s="2795"/>
      <c r="JOM38" s="2795"/>
      <c r="JON38" s="2795"/>
      <c r="JOO38" s="2795"/>
      <c r="JOP38" s="2795"/>
      <c r="JOQ38" s="2795"/>
      <c r="JOR38" s="2795"/>
      <c r="JOS38" s="2795"/>
      <c r="JOT38" s="2795"/>
      <c r="JOU38" s="2795"/>
      <c r="JOV38" s="2795"/>
      <c r="JOW38" s="2795"/>
      <c r="JOX38" s="2795"/>
      <c r="JOY38" s="2795"/>
      <c r="JOZ38" s="2795"/>
      <c r="JPA38" s="2795"/>
      <c r="JPB38" s="2795"/>
      <c r="JPC38" s="2795"/>
      <c r="JPD38" s="2795"/>
      <c r="JPE38" s="2795"/>
      <c r="JPF38" s="2795"/>
      <c r="JPG38" s="2795"/>
      <c r="JPH38" s="2795"/>
      <c r="JPI38" s="2795"/>
      <c r="JPJ38" s="2795"/>
      <c r="JPK38" s="2795"/>
      <c r="JPL38" s="2795"/>
      <c r="JPM38" s="2795"/>
      <c r="JPN38" s="2795"/>
      <c r="JPO38" s="2795"/>
      <c r="JPP38" s="2795"/>
      <c r="JPQ38" s="2795"/>
      <c r="JPR38" s="2795"/>
      <c r="JPS38" s="2795"/>
      <c r="JPT38" s="2795"/>
      <c r="JPU38" s="2795"/>
      <c r="JPV38" s="2795"/>
      <c r="JPW38" s="2795"/>
      <c r="JPX38" s="2795"/>
      <c r="JPY38" s="2795"/>
      <c r="JPZ38" s="2795"/>
      <c r="JQA38" s="2795"/>
      <c r="JQB38" s="2795"/>
      <c r="JQC38" s="2795"/>
      <c r="JQD38" s="2795"/>
      <c r="JQE38" s="2795"/>
      <c r="JQF38" s="2795"/>
      <c r="JQG38" s="2795"/>
      <c r="JQH38" s="2795"/>
      <c r="JQI38" s="2795"/>
      <c r="JQJ38" s="2795"/>
      <c r="JQK38" s="2795"/>
      <c r="JQL38" s="2795"/>
      <c r="JQM38" s="2795"/>
      <c r="JQN38" s="2795"/>
      <c r="JQO38" s="2795"/>
      <c r="JQP38" s="2795"/>
      <c r="JQQ38" s="2795"/>
      <c r="JQR38" s="2795"/>
      <c r="JQS38" s="2795"/>
      <c r="JQT38" s="2795"/>
      <c r="JQU38" s="2795"/>
      <c r="JQV38" s="2795"/>
      <c r="JQW38" s="2795"/>
      <c r="JQX38" s="2795"/>
      <c r="JQY38" s="2795"/>
      <c r="JQZ38" s="2795"/>
      <c r="JRA38" s="2795"/>
      <c r="JRB38" s="2795"/>
      <c r="JRC38" s="2795"/>
      <c r="JRD38" s="2795"/>
      <c r="JRE38" s="2795"/>
      <c r="JRF38" s="2795"/>
      <c r="JRG38" s="2795"/>
      <c r="JRH38" s="2795"/>
      <c r="JRI38" s="2795"/>
      <c r="JRJ38" s="2795"/>
      <c r="JRK38" s="2795"/>
      <c r="JRL38" s="2795"/>
      <c r="JRM38" s="2795"/>
      <c r="JRN38" s="2795"/>
      <c r="JRO38" s="2795"/>
      <c r="JRP38" s="2795"/>
      <c r="JRQ38" s="2795"/>
      <c r="JRR38" s="2795"/>
      <c r="JRS38" s="2795"/>
      <c r="JRT38" s="2795"/>
      <c r="JRU38" s="2795"/>
      <c r="JRV38" s="2795"/>
      <c r="JRW38" s="2795"/>
      <c r="JRX38" s="2795"/>
      <c r="JRY38" s="2795"/>
      <c r="JRZ38" s="2795"/>
      <c r="JSA38" s="2795"/>
      <c r="JSB38" s="2795"/>
      <c r="JSC38" s="2795"/>
      <c r="JSD38" s="2795"/>
      <c r="JSE38" s="2795"/>
      <c r="JSF38" s="2795"/>
      <c r="JSG38" s="2795"/>
      <c r="JSH38" s="2795"/>
      <c r="JSI38" s="2795"/>
      <c r="JSJ38" s="2795"/>
      <c r="JSK38" s="2795"/>
      <c r="JSL38" s="2795"/>
      <c r="JSM38" s="2795"/>
      <c r="JSN38" s="2795"/>
      <c r="JSO38" s="2795"/>
      <c r="JSP38" s="2795"/>
      <c r="JSQ38" s="2795"/>
      <c r="JSR38" s="2795"/>
      <c r="JSS38" s="2795"/>
      <c r="JST38" s="2795"/>
      <c r="JSU38" s="2795"/>
      <c r="JSV38" s="2795"/>
      <c r="JSW38" s="2795"/>
      <c r="JSX38" s="2795"/>
      <c r="JSY38" s="2795"/>
      <c r="JSZ38" s="2795"/>
      <c r="JTA38" s="2795"/>
      <c r="JTB38" s="2795"/>
      <c r="JTC38" s="2795"/>
      <c r="JTD38" s="2795"/>
      <c r="JTE38" s="2795"/>
      <c r="JTF38" s="2795"/>
      <c r="JTG38" s="2795"/>
      <c r="JTH38" s="2795"/>
      <c r="JTI38" s="2795"/>
      <c r="JTJ38" s="2795"/>
      <c r="JTK38" s="2795"/>
      <c r="JTL38" s="2795"/>
      <c r="JTM38" s="2795"/>
      <c r="JTN38" s="2795"/>
      <c r="JTO38" s="2795"/>
      <c r="JTP38" s="2795"/>
      <c r="JTQ38" s="2795"/>
      <c r="JTR38" s="2795"/>
      <c r="JTS38" s="2795"/>
      <c r="JTT38" s="2795"/>
      <c r="JTU38" s="2795"/>
      <c r="JTV38" s="2795"/>
      <c r="JTW38" s="2795"/>
      <c r="JTX38" s="2795"/>
      <c r="JTY38" s="2795"/>
      <c r="JTZ38" s="2795"/>
      <c r="JUA38" s="2795"/>
      <c r="JUB38" s="2795"/>
      <c r="JUC38" s="2795"/>
      <c r="JUD38" s="2795"/>
      <c r="JUE38" s="2795"/>
      <c r="JUF38" s="2795"/>
      <c r="JUG38" s="2795"/>
      <c r="JUH38" s="2795"/>
      <c r="JUI38" s="2795"/>
      <c r="JUJ38" s="2795"/>
      <c r="JUK38" s="2795"/>
      <c r="JUL38" s="2795"/>
      <c r="JUM38" s="2795"/>
      <c r="JUN38" s="2795"/>
      <c r="JUO38" s="2795"/>
      <c r="JUP38" s="2795"/>
      <c r="JUQ38" s="2795"/>
      <c r="JUR38" s="2795"/>
      <c r="JUS38" s="2795"/>
      <c r="JUT38" s="2795"/>
      <c r="JUU38" s="2795"/>
      <c r="JUV38" s="2795"/>
      <c r="JUW38" s="2795"/>
      <c r="JUX38" s="2795"/>
      <c r="JUY38" s="2795"/>
      <c r="JUZ38" s="2795"/>
      <c r="JVA38" s="2795"/>
      <c r="JVB38" s="2795"/>
      <c r="JVC38" s="2795"/>
      <c r="JVD38" s="2795"/>
      <c r="JVE38" s="2795"/>
      <c r="JVF38" s="2795"/>
      <c r="JVG38" s="2795"/>
      <c r="JVH38" s="2795"/>
      <c r="JVI38" s="2795"/>
      <c r="JVJ38" s="2795"/>
      <c r="JVK38" s="2795"/>
      <c r="JVL38" s="2795"/>
      <c r="JVM38" s="2795"/>
      <c r="JVN38" s="2795"/>
      <c r="JVO38" s="2795"/>
      <c r="JVP38" s="2795"/>
      <c r="JVQ38" s="2795"/>
      <c r="JVR38" s="2795"/>
      <c r="JVS38" s="2795"/>
      <c r="JVT38" s="2795"/>
      <c r="JVU38" s="2795"/>
      <c r="JVV38" s="2795"/>
      <c r="JVW38" s="2795"/>
      <c r="JVX38" s="2795"/>
      <c r="JVY38" s="2795"/>
      <c r="JVZ38" s="2795"/>
      <c r="JWA38" s="2795"/>
      <c r="JWB38" s="2795"/>
      <c r="JWC38" s="2795"/>
      <c r="JWD38" s="2795"/>
      <c r="JWE38" s="2795"/>
      <c r="JWF38" s="2795"/>
      <c r="JWG38" s="2795"/>
      <c r="JWH38" s="2795"/>
      <c r="JWI38" s="2795"/>
      <c r="JWJ38" s="2795"/>
      <c r="JWK38" s="2795"/>
      <c r="JWL38" s="2795"/>
      <c r="JWM38" s="2795"/>
      <c r="JWN38" s="2795"/>
      <c r="JWO38" s="2795"/>
      <c r="JWP38" s="2795"/>
      <c r="JWQ38" s="2795"/>
      <c r="JWR38" s="2795"/>
      <c r="JWS38" s="2795"/>
      <c r="JWT38" s="2795"/>
      <c r="JWU38" s="2795"/>
      <c r="JWV38" s="2795"/>
      <c r="JWW38" s="2795"/>
      <c r="JWX38" s="2795"/>
      <c r="JWY38" s="2795"/>
      <c r="JWZ38" s="2795"/>
      <c r="JXA38" s="2795"/>
      <c r="JXB38" s="2795"/>
      <c r="JXC38" s="2795"/>
      <c r="JXD38" s="2795"/>
      <c r="JXE38" s="2795"/>
      <c r="JXF38" s="2795"/>
      <c r="JXG38" s="2795"/>
      <c r="JXH38" s="2795"/>
      <c r="JXI38" s="2795"/>
      <c r="JXJ38" s="2795"/>
      <c r="JXK38" s="2795"/>
      <c r="JXL38" s="2795"/>
      <c r="JXM38" s="2795"/>
      <c r="JXN38" s="2795"/>
      <c r="JXO38" s="2795"/>
      <c r="JXP38" s="2795"/>
      <c r="JXQ38" s="2795"/>
      <c r="JXR38" s="2795"/>
      <c r="JXS38" s="2795"/>
      <c r="JXT38" s="2795"/>
      <c r="JXU38" s="2795"/>
      <c r="JXV38" s="2795"/>
      <c r="JXW38" s="2795"/>
      <c r="JXX38" s="2795"/>
      <c r="JXY38" s="2795"/>
      <c r="JXZ38" s="2795"/>
      <c r="JYA38" s="2795"/>
      <c r="JYB38" s="2795"/>
      <c r="JYC38" s="2795"/>
      <c r="JYD38" s="2795"/>
      <c r="JYE38" s="2795"/>
      <c r="JYF38" s="2795"/>
      <c r="JYG38" s="2795"/>
      <c r="JYH38" s="2795"/>
      <c r="JYI38" s="2795"/>
      <c r="JYJ38" s="2795"/>
      <c r="JYK38" s="2795"/>
      <c r="JYL38" s="2795"/>
      <c r="JYM38" s="2795"/>
      <c r="JYN38" s="2795"/>
      <c r="JYO38" s="2795"/>
      <c r="JYP38" s="2795"/>
      <c r="JYQ38" s="2795"/>
      <c r="JYR38" s="2795"/>
      <c r="JYS38" s="2795"/>
      <c r="JYT38" s="2795"/>
      <c r="JYU38" s="2795"/>
      <c r="JYV38" s="2795"/>
      <c r="JYW38" s="2795"/>
      <c r="JYX38" s="2795"/>
      <c r="JYY38" s="2795"/>
      <c r="JYZ38" s="2795"/>
      <c r="JZA38" s="2795"/>
      <c r="JZB38" s="2795"/>
      <c r="JZC38" s="2795"/>
      <c r="JZD38" s="2795"/>
      <c r="JZE38" s="2795"/>
      <c r="JZF38" s="2795"/>
      <c r="JZG38" s="2795"/>
      <c r="JZH38" s="2795"/>
      <c r="JZI38" s="2795"/>
      <c r="JZJ38" s="2795"/>
      <c r="JZK38" s="2795"/>
      <c r="JZL38" s="2795"/>
      <c r="JZM38" s="2795"/>
      <c r="JZN38" s="2795"/>
      <c r="JZO38" s="2795"/>
      <c r="JZP38" s="2795"/>
      <c r="JZQ38" s="2795"/>
      <c r="JZR38" s="2795"/>
      <c r="JZS38" s="2795"/>
      <c r="JZT38" s="2795"/>
      <c r="JZU38" s="2795"/>
      <c r="JZV38" s="2795"/>
      <c r="JZW38" s="2795"/>
      <c r="JZX38" s="2795"/>
      <c r="JZY38" s="2795"/>
      <c r="JZZ38" s="2795"/>
      <c r="KAA38" s="2795"/>
      <c r="KAB38" s="2795"/>
      <c r="KAC38" s="2795"/>
      <c r="KAD38" s="2795"/>
      <c r="KAE38" s="2795"/>
      <c r="KAF38" s="2795"/>
      <c r="KAG38" s="2795"/>
      <c r="KAH38" s="2795"/>
      <c r="KAI38" s="2795"/>
      <c r="KAJ38" s="2795"/>
      <c r="KAK38" s="2795"/>
      <c r="KAL38" s="2795"/>
      <c r="KAM38" s="2795"/>
      <c r="KAN38" s="2795"/>
      <c r="KAO38" s="2795"/>
      <c r="KAP38" s="2795"/>
      <c r="KAQ38" s="2795"/>
      <c r="KAR38" s="2795"/>
      <c r="KAS38" s="2795"/>
      <c r="KAT38" s="2795"/>
      <c r="KAU38" s="2795"/>
      <c r="KAV38" s="2795"/>
      <c r="KAW38" s="2795"/>
      <c r="KAX38" s="2795"/>
      <c r="KAY38" s="2795"/>
      <c r="KAZ38" s="2795"/>
      <c r="KBA38" s="2795"/>
      <c r="KBB38" s="2795"/>
      <c r="KBC38" s="2795"/>
      <c r="KBD38" s="2795"/>
      <c r="KBE38" s="2795"/>
      <c r="KBF38" s="2795"/>
      <c r="KBG38" s="2795"/>
      <c r="KBH38" s="2795"/>
      <c r="KBI38" s="2795"/>
      <c r="KBJ38" s="2795"/>
      <c r="KBK38" s="2795"/>
      <c r="KBL38" s="2795"/>
      <c r="KBM38" s="2795"/>
      <c r="KBN38" s="2795"/>
      <c r="KBO38" s="2795"/>
      <c r="KBP38" s="2795"/>
      <c r="KBQ38" s="2795"/>
      <c r="KBR38" s="2795"/>
      <c r="KBS38" s="2795"/>
      <c r="KBT38" s="2795"/>
      <c r="KBU38" s="2795"/>
      <c r="KBV38" s="2795"/>
      <c r="KBW38" s="2795"/>
      <c r="KBX38" s="2795"/>
      <c r="KBY38" s="2795"/>
      <c r="KBZ38" s="2795"/>
      <c r="KCA38" s="2795"/>
      <c r="KCB38" s="2795"/>
      <c r="KCC38" s="2795"/>
      <c r="KCD38" s="2795"/>
      <c r="KCE38" s="2795"/>
      <c r="KCF38" s="2795"/>
      <c r="KCG38" s="2795"/>
      <c r="KCH38" s="2795"/>
      <c r="KCI38" s="2795"/>
      <c r="KCJ38" s="2795"/>
      <c r="KCK38" s="2795"/>
      <c r="KCL38" s="2795"/>
      <c r="KCM38" s="2795"/>
      <c r="KCN38" s="2795"/>
      <c r="KCO38" s="2795"/>
      <c r="KCP38" s="2795"/>
      <c r="KCQ38" s="2795"/>
      <c r="KCR38" s="2795"/>
      <c r="KCS38" s="2795"/>
      <c r="KCT38" s="2795"/>
      <c r="KCU38" s="2795"/>
      <c r="KCV38" s="2795"/>
      <c r="KCW38" s="2795"/>
      <c r="KCX38" s="2795"/>
      <c r="KCY38" s="2795"/>
      <c r="KCZ38" s="2795"/>
      <c r="KDA38" s="2795"/>
      <c r="KDB38" s="2795"/>
      <c r="KDC38" s="2795"/>
      <c r="KDD38" s="2795"/>
      <c r="KDE38" s="2795"/>
      <c r="KDF38" s="2795"/>
      <c r="KDG38" s="2795"/>
      <c r="KDH38" s="2795"/>
      <c r="KDI38" s="2795"/>
      <c r="KDJ38" s="2795"/>
      <c r="KDK38" s="2795"/>
      <c r="KDL38" s="2795"/>
      <c r="KDM38" s="2795"/>
      <c r="KDN38" s="2795"/>
      <c r="KDO38" s="2795"/>
      <c r="KDP38" s="2795"/>
      <c r="KDQ38" s="2795"/>
      <c r="KDR38" s="2795"/>
      <c r="KDS38" s="2795"/>
      <c r="KDT38" s="2795"/>
      <c r="KDU38" s="2795"/>
      <c r="KDV38" s="2795"/>
      <c r="KDW38" s="2795"/>
      <c r="KDX38" s="2795"/>
      <c r="KDY38" s="2795"/>
      <c r="KDZ38" s="2795"/>
      <c r="KEA38" s="2795"/>
      <c r="KEB38" s="2795"/>
      <c r="KEC38" s="2795"/>
      <c r="KED38" s="2795"/>
      <c r="KEE38" s="2795"/>
      <c r="KEF38" s="2795"/>
      <c r="KEG38" s="2795"/>
      <c r="KEH38" s="2795"/>
      <c r="KEI38" s="2795"/>
      <c r="KEJ38" s="2795"/>
      <c r="KEK38" s="2795"/>
      <c r="KEL38" s="2795"/>
      <c r="KEM38" s="2795"/>
      <c r="KEN38" s="2795"/>
      <c r="KEO38" s="2795"/>
      <c r="KEP38" s="2795"/>
      <c r="KEQ38" s="2795"/>
      <c r="KER38" s="2795"/>
      <c r="KES38" s="2795"/>
      <c r="KET38" s="2795"/>
      <c r="KEU38" s="2795"/>
      <c r="KEV38" s="2795"/>
      <c r="KEW38" s="2795"/>
      <c r="KEX38" s="2795"/>
      <c r="KEY38" s="2795"/>
      <c r="KEZ38" s="2795"/>
      <c r="KFA38" s="2795"/>
      <c r="KFB38" s="2795"/>
      <c r="KFC38" s="2795"/>
      <c r="KFD38" s="2795"/>
      <c r="KFE38" s="2795"/>
      <c r="KFF38" s="2795"/>
      <c r="KFG38" s="2795"/>
      <c r="KFH38" s="2795"/>
      <c r="KFI38" s="2795"/>
      <c r="KFJ38" s="2795"/>
      <c r="KFK38" s="2795"/>
      <c r="KFL38" s="2795"/>
      <c r="KFM38" s="2795"/>
      <c r="KFN38" s="2795"/>
      <c r="KFO38" s="2795"/>
      <c r="KFP38" s="2795"/>
      <c r="KFQ38" s="2795"/>
      <c r="KFR38" s="2795"/>
      <c r="KFS38" s="2795"/>
      <c r="KFT38" s="2795"/>
      <c r="KFU38" s="2795"/>
      <c r="KFV38" s="2795"/>
      <c r="KFW38" s="2795"/>
      <c r="KFX38" s="2795"/>
      <c r="KFY38" s="2795"/>
      <c r="KFZ38" s="2795"/>
      <c r="KGA38" s="2795"/>
      <c r="KGB38" s="2795"/>
      <c r="KGC38" s="2795"/>
      <c r="KGD38" s="2795"/>
      <c r="KGE38" s="2795"/>
      <c r="KGF38" s="2795"/>
      <c r="KGG38" s="2795"/>
      <c r="KGH38" s="2795"/>
      <c r="KGI38" s="2795"/>
      <c r="KGJ38" s="2795"/>
      <c r="KGK38" s="2795"/>
      <c r="KGL38" s="2795"/>
      <c r="KGM38" s="2795"/>
      <c r="KGN38" s="2795"/>
      <c r="KGO38" s="2795"/>
      <c r="KGP38" s="2795"/>
      <c r="KGQ38" s="2795"/>
      <c r="KGR38" s="2795"/>
      <c r="KGS38" s="2795"/>
      <c r="KGT38" s="2795"/>
      <c r="KGU38" s="2795"/>
      <c r="KGV38" s="2795"/>
      <c r="KGW38" s="2795"/>
      <c r="KGX38" s="2795"/>
      <c r="KGY38" s="2795"/>
      <c r="KGZ38" s="2795"/>
      <c r="KHA38" s="2795"/>
      <c r="KHB38" s="2795"/>
      <c r="KHC38" s="2795"/>
      <c r="KHD38" s="2795"/>
      <c r="KHE38" s="2795"/>
      <c r="KHF38" s="2795"/>
      <c r="KHG38" s="2795"/>
      <c r="KHH38" s="2795"/>
      <c r="KHI38" s="2795"/>
      <c r="KHJ38" s="2795"/>
      <c r="KHK38" s="2795"/>
      <c r="KHL38" s="2795"/>
      <c r="KHM38" s="2795"/>
      <c r="KHN38" s="2795"/>
      <c r="KHO38" s="2795"/>
      <c r="KHP38" s="2795"/>
      <c r="KHQ38" s="2795"/>
      <c r="KHR38" s="2795"/>
      <c r="KHS38" s="2795"/>
      <c r="KHT38" s="2795"/>
      <c r="KHU38" s="2795"/>
      <c r="KHV38" s="2795"/>
      <c r="KHW38" s="2795"/>
      <c r="KHX38" s="2795"/>
      <c r="KHY38" s="2795"/>
      <c r="KHZ38" s="2795"/>
      <c r="KIA38" s="2795"/>
      <c r="KIB38" s="2795"/>
      <c r="KIC38" s="2795"/>
      <c r="KID38" s="2795"/>
      <c r="KIE38" s="2795"/>
      <c r="KIF38" s="2795"/>
      <c r="KIG38" s="2795"/>
      <c r="KIH38" s="2795"/>
      <c r="KII38" s="2795"/>
      <c r="KIJ38" s="2795"/>
      <c r="KIK38" s="2795"/>
      <c r="KIL38" s="2795"/>
      <c r="KIM38" s="2795"/>
      <c r="KIN38" s="2795"/>
      <c r="KIO38" s="2795"/>
      <c r="KIP38" s="2795"/>
      <c r="KIQ38" s="2795"/>
      <c r="KIR38" s="2795"/>
      <c r="KIS38" s="2795"/>
      <c r="KIT38" s="2795"/>
      <c r="KIU38" s="2795"/>
      <c r="KIV38" s="2795"/>
      <c r="KIW38" s="2795"/>
      <c r="KIX38" s="2795"/>
      <c r="KIY38" s="2795"/>
      <c r="KIZ38" s="2795"/>
      <c r="KJA38" s="2795"/>
      <c r="KJB38" s="2795"/>
      <c r="KJC38" s="2795"/>
      <c r="KJD38" s="2795"/>
      <c r="KJE38" s="2795"/>
      <c r="KJF38" s="2795"/>
      <c r="KJG38" s="2795"/>
      <c r="KJH38" s="2795"/>
      <c r="KJI38" s="2795"/>
      <c r="KJJ38" s="2795"/>
      <c r="KJK38" s="2795"/>
      <c r="KJL38" s="2795"/>
      <c r="KJM38" s="2795"/>
      <c r="KJN38" s="2795"/>
      <c r="KJO38" s="2795"/>
      <c r="KJP38" s="2795"/>
      <c r="KJQ38" s="2795"/>
      <c r="KJR38" s="2795"/>
      <c r="KJS38" s="2795"/>
      <c r="KJT38" s="2795"/>
      <c r="KJU38" s="2795"/>
      <c r="KJV38" s="2795"/>
      <c r="KJW38" s="2795"/>
      <c r="KJX38" s="2795"/>
      <c r="KJY38" s="2795"/>
      <c r="KJZ38" s="2795"/>
      <c r="KKA38" s="2795"/>
      <c r="KKB38" s="2795"/>
      <c r="KKC38" s="2795"/>
      <c r="KKD38" s="2795"/>
      <c r="KKE38" s="2795"/>
      <c r="KKF38" s="2795"/>
      <c r="KKG38" s="2795"/>
      <c r="KKH38" s="2795"/>
      <c r="KKI38" s="2795"/>
      <c r="KKJ38" s="2795"/>
      <c r="KKK38" s="2795"/>
      <c r="KKL38" s="2795"/>
      <c r="KKM38" s="2795"/>
      <c r="KKN38" s="2795"/>
      <c r="KKO38" s="2795"/>
      <c r="KKP38" s="2795"/>
      <c r="KKQ38" s="2795"/>
      <c r="KKR38" s="2795"/>
      <c r="KKS38" s="2795"/>
      <c r="KKT38" s="2795"/>
      <c r="KKU38" s="2795"/>
      <c r="KKV38" s="2795"/>
      <c r="KKW38" s="2795"/>
      <c r="KKX38" s="2795"/>
      <c r="KKY38" s="2795"/>
      <c r="KKZ38" s="2795"/>
      <c r="KLA38" s="2795"/>
      <c r="KLB38" s="2795"/>
      <c r="KLC38" s="2795"/>
      <c r="KLD38" s="2795"/>
      <c r="KLE38" s="2795"/>
      <c r="KLF38" s="2795"/>
      <c r="KLG38" s="2795"/>
      <c r="KLH38" s="2795"/>
      <c r="KLI38" s="2795"/>
      <c r="KLJ38" s="2795"/>
      <c r="KLK38" s="2795"/>
      <c r="KLL38" s="2795"/>
      <c r="KLM38" s="2795"/>
      <c r="KLN38" s="2795"/>
      <c r="KLO38" s="2795"/>
      <c r="KLP38" s="2795"/>
      <c r="KLQ38" s="2795"/>
      <c r="KLR38" s="2795"/>
      <c r="KLS38" s="2795"/>
      <c r="KLT38" s="2795"/>
      <c r="KLU38" s="2795"/>
      <c r="KLV38" s="2795"/>
      <c r="KLW38" s="2795"/>
      <c r="KLX38" s="2795"/>
      <c r="KLY38" s="2795"/>
      <c r="KLZ38" s="2795"/>
      <c r="KMA38" s="2795"/>
      <c r="KMB38" s="2795"/>
      <c r="KMC38" s="2795"/>
      <c r="KMD38" s="2795"/>
      <c r="KME38" s="2795"/>
      <c r="KMF38" s="2795"/>
      <c r="KMG38" s="2795"/>
      <c r="KMH38" s="2795"/>
      <c r="KMI38" s="2795"/>
      <c r="KMJ38" s="2795"/>
      <c r="KMK38" s="2795"/>
      <c r="KML38" s="2795"/>
      <c r="KMM38" s="2795"/>
      <c r="KMN38" s="2795"/>
      <c r="KMO38" s="2795"/>
      <c r="KMP38" s="2795"/>
      <c r="KMQ38" s="2795"/>
      <c r="KMR38" s="2795"/>
      <c r="KMS38" s="2795"/>
      <c r="KMT38" s="2795"/>
      <c r="KMU38" s="2795"/>
      <c r="KMV38" s="2795"/>
      <c r="KMW38" s="2795"/>
      <c r="KMX38" s="2795"/>
      <c r="KMY38" s="2795"/>
      <c r="KMZ38" s="2795"/>
      <c r="KNA38" s="2795"/>
      <c r="KNB38" s="2795"/>
      <c r="KNC38" s="2795"/>
      <c r="KND38" s="2795"/>
      <c r="KNE38" s="2795"/>
      <c r="KNF38" s="2795"/>
      <c r="KNG38" s="2795"/>
      <c r="KNH38" s="2795"/>
      <c r="KNI38" s="2795"/>
      <c r="KNJ38" s="2795"/>
      <c r="KNK38" s="2795"/>
      <c r="KNL38" s="2795"/>
      <c r="KNM38" s="2795"/>
      <c r="KNN38" s="2795"/>
      <c r="KNO38" s="2795"/>
      <c r="KNP38" s="2795"/>
      <c r="KNQ38" s="2795"/>
      <c r="KNR38" s="2795"/>
      <c r="KNS38" s="2795"/>
      <c r="KNT38" s="2795"/>
      <c r="KNU38" s="2795"/>
      <c r="KNV38" s="2795"/>
      <c r="KNW38" s="2795"/>
      <c r="KNX38" s="2795"/>
      <c r="KNY38" s="2795"/>
      <c r="KNZ38" s="2795"/>
      <c r="KOA38" s="2795"/>
      <c r="KOB38" s="2795"/>
      <c r="KOC38" s="2795"/>
      <c r="KOD38" s="2795"/>
      <c r="KOE38" s="2795"/>
      <c r="KOF38" s="2795"/>
      <c r="KOG38" s="2795"/>
      <c r="KOH38" s="2795"/>
      <c r="KOI38" s="2795"/>
      <c r="KOJ38" s="2795"/>
      <c r="KOK38" s="2795"/>
      <c r="KOL38" s="2795"/>
      <c r="KOM38" s="2795"/>
      <c r="KON38" s="2795"/>
      <c r="KOO38" s="2795"/>
      <c r="KOP38" s="2795"/>
      <c r="KOQ38" s="2795"/>
      <c r="KOR38" s="2795"/>
      <c r="KOS38" s="2795"/>
      <c r="KOT38" s="2795"/>
      <c r="KOU38" s="2795"/>
      <c r="KOV38" s="2795"/>
      <c r="KOW38" s="2795"/>
      <c r="KOX38" s="2795"/>
      <c r="KOY38" s="2795"/>
      <c r="KOZ38" s="2795"/>
      <c r="KPA38" s="2795"/>
      <c r="KPB38" s="2795"/>
      <c r="KPC38" s="2795"/>
      <c r="KPD38" s="2795"/>
      <c r="KPE38" s="2795"/>
      <c r="KPF38" s="2795"/>
      <c r="KPG38" s="2795"/>
      <c r="KPH38" s="2795"/>
      <c r="KPI38" s="2795"/>
      <c r="KPJ38" s="2795"/>
      <c r="KPK38" s="2795"/>
      <c r="KPL38" s="2795"/>
      <c r="KPM38" s="2795"/>
      <c r="KPN38" s="2795"/>
      <c r="KPO38" s="2795"/>
      <c r="KPP38" s="2795"/>
      <c r="KPQ38" s="2795"/>
      <c r="KPR38" s="2795"/>
      <c r="KPS38" s="2795"/>
      <c r="KPT38" s="2795"/>
      <c r="KPU38" s="2795"/>
      <c r="KPV38" s="2795"/>
      <c r="KPW38" s="2795"/>
      <c r="KPX38" s="2795"/>
      <c r="KPY38" s="2795"/>
      <c r="KPZ38" s="2795"/>
      <c r="KQA38" s="2795"/>
      <c r="KQB38" s="2795"/>
      <c r="KQC38" s="2795"/>
      <c r="KQD38" s="2795"/>
      <c r="KQE38" s="2795"/>
      <c r="KQF38" s="2795"/>
      <c r="KQG38" s="2795"/>
      <c r="KQH38" s="2795"/>
      <c r="KQI38" s="2795"/>
      <c r="KQJ38" s="2795"/>
      <c r="KQK38" s="2795"/>
      <c r="KQL38" s="2795"/>
      <c r="KQM38" s="2795"/>
      <c r="KQN38" s="2795"/>
      <c r="KQO38" s="2795"/>
      <c r="KQP38" s="2795"/>
      <c r="KQQ38" s="2795"/>
      <c r="KQR38" s="2795"/>
      <c r="KQS38" s="2795"/>
      <c r="KQT38" s="2795"/>
      <c r="KQU38" s="2795"/>
      <c r="KQV38" s="2795"/>
      <c r="KQW38" s="2795"/>
      <c r="KQX38" s="2795"/>
      <c r="KQY38" s="2795"/>
      <c r="KQZ38" s="2795"/>
      <c r="KRA38" s="2795"/>
      <c r="KRB38" s="2795"/>
      <c r="KRC38" s="2795"/>
      <c r="KRD38" s="2795"/>
      <c r="KRE38" s="2795"/>
      <c r="KRF38" s="2795"/>
      <c r="KRG38" s="2795"/>
      <c r="KRH38" s="2795"/>
      <c r="KRI38" s="2795"/>
      <c r="KRJ38" s="2795"/>
      <c r="KRK38" s="2795"/>
      <c r="KRL38" s="2795"/>
      <c r="KRM38" s="2795"/>
      <c r="KRN38" s="2795"/>
      <c r="KRO38" s="2795"/>
      <c r="KRP38" s="2795"/>
      <c r="KRQ38" s="2795"/>
      <c r="KRR38" s="2795"/>
      <c r="KRS38" s="2795"/>
      <c r="KRT38" s="2795"/>
      <c r="KRU38" s="2795"/>
      <c r="KRV38" s="2795"/>
      <c r="KRW38" s="2795"/>
      <c r="KRX38" s="2795"/>
      <c r="KRY38" s="2795"/>
      <c r="KRZ38" s="2795"/>
      <c r="KSA38" s="2795"/>
      <c r="KSB38" s="2795"/>
      <c r="KSC38" s="2795"/>
      <c r="KSD38" s="2795"/>
      <c r="KSE38" s="2795"/>
      <c r="KSF38" s="2795"/>
      <c r="KSG38" s="2795"/>
      <c r="KSH38" s="2795"/>
      <c r="KSI38" s="2795"/>
      <c r="KSJ38" s="2795"/>
      <c r="KSK38" s="2795"/>
      <c r="KSL38" s="2795"/>
      <c r="KSM38" s="2795"/>
      <c r="KSN38" s="2795"/>
      <c r="KSO38" s="2795"/>
      <c r="KSP38" s="2795"/>
      <c r="KSQ38" s="2795"/>
      <c r="KSR38" s="2795"/>
      <c r="KSS38" s="2795"/>
      <c r="KST38" s="2795"/>
      <c r="KSU38" s="2795"/>
      <c r="KSV38" s="2795"/>
      <c r="KSW38" s="2795"/>
      <c r="KSX38" s="2795"/>
      <c r="KSY38" s="2795"/>
      <c r="KSZ38" s="2795"/>
      <c r="KTA38" s="2795"/>
      <c r="KTB38" s="2795"/>
      <c r="KTC38" s="2795"/>
      <c r="KTD38" s="2795"/>
      <c r="KTE38" s="2795"/>
      <c r="KTF38" s="2795"/>
      <c r="KTG38" s="2795"/>
      <c r="KTH38" s="2795"/>
      <c r="KTI38" s="2795"/>
      <c r="KTJ38" s="2795"/>
      <c r="KTK38" s="2795"/>
      <c r="KTL38" s="2795"/>
      <c r="KTM38" s="2795"/>
      <c r="KTN38" s="2795"/>
      <c r="KTO38" s="2795"/>
      <c r="KTP38" s="2795"/>
      <c r="KTQ38" s="2795"/>
      <c r="KTR38" s="2795"/>
      <c r="KTS38" s="2795"/>
      <c r="KTT38" s="2795"/>
      <c r="KTU38" s="2795"/>
      <c r="KTV38" s="2795"/>
      <c r="KTW38" s="2795"/>
      <c r="KTX38" s="2795"/>
      <c r="KTY38" s="2795"/>
      <c r="KTZ38" s="2795"/>
      <c r="KUA38" s="2795"/>
      <c r="KUB38" s="2795"/>
      <c r="KUC38" s="2795"/>
      <c r="KUD38" s="2795"/>
      <c r="KUE38" s="2795"/>
      <c r="KUF38" s="2795"/>
      <c r="KUG38" s="2795"/>
      <c r="KUH38" s="2795"/>
      <c r="KUI38" s="2795"/>
      <c r="KUJ38" s="2795"/>
      <c r="KUK38" s="2795"/>
      <c r="KUL38" s="2795"/>
      <c r="KUM38" s="2795"/>
      <c r="KUN38" s="2795"/>
      <c r="KUO38" s="2795"/>
      <c r="KUP38" s="2795"/>
      <c r="KUQ38" s="2795"/>
      <c r="KUR38" s="2795"/>
      <c r="KUS38" s="2795"/>
      <c r="KUT38" s="2795"/>
      <c r="KUU38" s="2795"/>
      <c r="KUV38" s="2795"/>
      <c r="KUW38" s="2795"/>
      <c r="KUX38" s="2795"/>
      <c r="KUY38" s="2795"/>
      <c r="KUZ38" s="2795"/>
      <c r="KVA38" s="2795"/>
      <c r="KVB38" s="2795"/>
      <c r="KVC38" s="2795"/>
      <c r="KVD38" s="2795"/>
      <c r="KVE38" s="2795"/>
      <c r="KVF38" s="2795"/>
      <c r="KVG38" s="2795"/>
      <c r="KVH38" s="2795"/>
      <c r="KVI38" s="2795"/>
      <c r="KVJ38" s="2795"/>
      <c r="KVK38" s="2795"/>
      <c r="KVL38" s="2795"/>
      <c r="KVM38" s="2795"/>
      <c r="KVN38" s="2795"/>
      <c r="KVO38" s="2795"/>
      <c r="KVP38" s="2795"/>
      <c r="KVQ38" s="2795"/>
      <c r="KVR38" s="2795"/>
      <c r="KVS38" s="2795"/>
      <c r="KVT38" s="2795"/>
      <c r="KVU38" s="2795"/>
      <c r="KVV38" s="2795"/>
      <c r="KVW38" s="2795"/>
      <c r="KVX38" s="2795"/>
      <c r="KVY38" s="2795"/>
      <c r="KVZ38" s="2795"/>
      <c r="KWA38" s="2795"/>
      <c r="KWB38" s="2795"/>
      <c r="KWC38" s="2795"/>
      <c r="KWD38" s="2795"/>
      <c r="KWE38" s="2795"/>
      <c r="KWF38" s="2795"/>
      <c r="KWG38" s="2795"/>
      <c r="KWH38" s="2795"/>
      <c r="KWI38" s="2795"/>
      <c r="KWJ38" s="2795"/>
      <c r="KWK38" s="2795"/>
      <c r="KWL38" s="2795"/>
      <c r="KWM38" s="2795"/>
      <c r="KWN38" s="2795"/>
      <c r="KWO38" s="2795"/>
      <c r="KWP38" s="2795"/>
      <c r="KWQ38" s="2795"/>
      <c r="KWR38" s="2795"/>
      <c r="KWS38" s="2795"/>
      <c r="KWT38" s="2795"/>
      <c r="KWU38" s="2795"/>
      <c r="KWV38" s="2795"/>
      <c r="KWW38" s="2795"/>
      <c r="KWX38" s="2795"/>
      <c r="KWY38" s="2795"/>
      <c r="KWZ38" s="2795"/>
      <c r="KXA38" s="2795"/>
      <c r="KXB38" s="2795"/>
      <c r="KXC38" s="2795"/>
      <c r="KXD38" s="2795"/>
      <c r="KXE38" s="2795"/>
      <c r="KXF38" s="2795"/>
      <c r="KXG38" s="2795"/>
      <c r="KXH38" s="2795"/>
      <c r="KXI38" s="2795"/>
      <c r="KXJ38" s="2795"/>
      <c r="KXK38" s="2795"/>
      <c r="KXL38" s="2795"/>
      <c r="KXM38" s="2795"/>
      <c r="KXN38" s="2795"/>
      <c r="KXO38" s="2795"/>
      <c r="KXP38" s="2795"/>
      <c r="KXQ38" s="2795"/>
      <c r="KXR38" s="2795"/>
      <c r="KXS38" s="2795"/>
      <c r="KXT38" s="2795"/>
      <c r="KXU38" s="2795"/>
      <c r="KXV38" s="2795"/>
      <c r="KXW38" s="2795"/>
      <c r="KXX38" s="2795"/>
      <c r="KXY38" s="2795"/>
      <c r="KXZ38" s="2795"/>
      <c r="KYA38" s="2795"/>
      <c r="KYB38" s="2795"/>
      <c r="KYC38" s="2795"/>
      <c r="KYD38" s="2795"/>
      <c r="KYE38" s="2795"/>
      <c r="KYF38" s="2795"/>
      <c r="KYG38" s="2795"/>
      <c r="KYH38" s="2795"/>
      <c r="KYI38" s="2795"/>
      <c r="KYJ38" s="2795"/>
      <c r="KYK38" s="2795"/>
      <c r="KYL38" s="2795"/>
      <c r="KYM38" s="2795"/>
      <c r="KYN38" s="2795"/>
      <c r="KYO38" s="2795"/>
      <c r="KYP38" s="2795"/>
      <c r="KYQ38" s="2795"/>
      <c r="KYR38" s="2795"/>
      <c r="KYS38" s="2795"/>
      <c r="KYT38" s="2795"/>
      <c r="KYU38" s="2795"/>
      <c r="KYV38" s="2795"/>
      <c r="KYW38" s="2795"/>
      <c r="KYX38" s="2795"/>
      <c r="KYY38" s="2795"/>
      <c r="KYZ38" s="2795"/>
      <c r="KZA38" s="2795"/>
      <c r="KZB38" s="2795"/>
      <c r="KZC38" s="2795"/>
      <c r="KZD38" s="2795"/>
      <c r="KZE38" s="2795"/>
      <c r="KZF38" s="2795"/>
      <c r="KZG38" s="2795"/>
      <c r="KZH38" s="2795"/>
      <c r="KZI38" s="2795"/>
      <c r="KZJ38" s="2795"/>
      <c r="KZK38" s="2795"/>
      <c r="KZL38" s="2795"/>
      <c r="KZM38" s="2795"/>
      <c r="KZN38" s="2795"/>
      <c r="KZO38" s="2795"/>
      <c r="KZP38" s="2795"/>
      <c r="KZQ38" s="2795"/>
      <c r="KZR38" s="2795"/>
      <c r="KZS38" s="2795"/>
      <c r="KZT38" s="2795"/>
      <c r="KZU38" s="2795"/>
      <c r="KZV38" s="2795"/>
      <c r="KZW38" s="2795"/>
      <c r="KZX38" s="2795"/>
      <c r="KZY38" s="2795"/>
      <c r="KZZ38" s="2795"/>
      <c r="LAA38" s="2795"/>
      <c r="LAB38" s="2795"/>
      <c r="LAC38" s="2795"/>
      <c r="LAD38" s="2795"/>
      <c r="LAE38" s="2795"/>
      <c r="LAF38" s="2795"/>
      <c r="LAG38" s="2795"/>
      <c r="LAH38" s="2795"/>
      <c r="LAI38" s="2795"/>
      <c r="LAJ38" s="2795"/>
      <c r="LAK38" s="2795"/>
      <c r="LAL38" s="2795"/>
      <c r="LAM38" s="2795"/>
      <c r="LAN38" s="2795"/>
      <c r="LAO38" s="2795"/>
      <c r="LAP38" s="2795"/>
      <c r="LAQ38" s="2795"/>
      <c r="LAR38" s="2795"/>
      <c r="LAS38" s="2795"/>
      <c r="LAT38" s="2795"/>
      <c r="LAU38" s="2795"/>
      <c r="LAV38" s="2795"/>
      <c r="LAW38" s="2795"/>
      <c r="LAX38" s="2795"/>
      <c r="LAY38" s="2795"/>
      <c r="LAZ38" s="2795"/>
      <c r="LBA38" s="2795"/>
      <c r="LBB38" s="2795"/>
      <c r="LBC38" s="2795"/>
      <c r="LBD38" s="2795"/>
      <c r="LBE38" s="2795"/>
      <c r="LBF38" s="2795"/>
      <c r="LBG38" s="2795"/>
      <c r="LBH38" s="2795"/>
      <c r="LBI38" s="2795"/>
      <c r="LBJ38" s="2795"/>
      <c r="LBK38" s="2795"/>
      <c r="LBL38" s="2795"/>
      <c r="LBM38" s="2795"/>
      <c r="LBN38" s="2795"/>
      <c r="LBO38" s="2795"/>
      <c r="LBP38" s="2795"/>
      <c r="LBQ38" s="2795"/>
      <c r="LBR38" s="2795"/>
      <c r="LBS38" s="2795"/>
      <c r="LBT38" s="2795"/>
      <c r="LBU38" s="2795"/>
      <c r="LBV38" s="2795"/>
      <c r="LBW38" s="2795"/>
      <c r="LBX38" s="2795"/>
      <c r="LBY38" s="2795"/>
      <c r="LBZ38" s="2795"/>
      <c r="LCA38" s="2795"/>
      <c r="LCB38" s="2795"/>
      <c r="LCC38" s="2795"/>
      <c r="LCD38" s="2795"/>
      <c r="LCE38" s="2795"/>
      <c r="LCF38" s="2795"/>
      <c r="LCG38" s="2795"/>
      <c r="LCH38" s="2795"/>
      <c r="LCI38" s="2795"/>
      <c r="LCJ38" s="2795"/>
      <c r="LCK38" s="2795"/>
      <c r="LCL38" s="2795"/>
      <c r="LCM38" s="2795"/>
      <c r="LCN38" s="2795"/>
      <c r="LCO38" s="2795"/>
      <c r="LCP38" s="2795"/>
      <c r="LCQ38" s="2795"/>
      <c r="LCR38" s="2795"/>
      <c r="LCS38" s="2795"/>
      <c r="LCT38" s="2795"/>
      <c r="LCU38" s="2795"/>
      <c r="LCV38" s="2795"/>
      <c r="LCW38" s="2795"/>
      <c r="LCX38" s="2795"/>
      <c r="LCY38" s="2795"/>
      <c r="LCZ38" s="2795"/>
      <c r="LDA38" s="2795"/>
      <c r="LDB38" s="2795"/>
      <c r="LDC38" s="2795"/>
      <c r="LDD38" s="2795"/>
      <c r="LDE38" s="2795"/>
      <c r="LDF38" s="2795"/>
      <c r="LDG38" s="2795"/>
      <c r="LDH38" s="2795"/>
      <c r="LDI38" s="2795"/>
      <c r="LDJ38" s="2795"/>
      <c r="LDK38" s="2795"/>
      <c r="LDL38" s="2795"/>
      <c r="LDM38" s="2795"/>
      <c r="LDN38" s="2795"/>
      <c r="LDO38" s="2795"/>
      <c r="LDP38" s="2795"/>
      <c r="LDQ38" s="2795"/>
      <c r="LDR38" s="2795"/>
      <c r="LDS38" s="2795"/>
      <c r="LDT38" s="2795"/>
      <c r="LDU38" s="2795"/>
      <c r="LDV38" s="2795"/>
      <c r="LDW38" s="2795"/>
      <c r="LDX38" s="2795"/>
      <c r="LDY38" s="2795"/>
      <c r="LDZ38" s="2795"/>
      <c r="LEA38" s="2795"/>
      <c r="LEB38" s="2795"/>
      <c r="LEC38" s="2795"/>
      <c r="LED38" s="2795"/>
      <c r="LEE38" s="2795"/>
      <c r="LEF38" s="2795"/>
      <c r="LEG38" s="2795"/>
      <c r="LEH38" s="2795"/>
      <c r="LEI38" s="2795"/>
      <c r="LEJ38" s="2795"/>
      <c r="LEK38" s="2795"/>
      <c r="LEL38" s="2795"/>
      <c r="LEM38" s="2795"/>
      <c r="LEN38" s="2795"/>
      <c r="LEO38" s="2795"/>
      <c r="LEP38" s="2795"/>
      <c r="LEQ38" s="2795"/>
      <c r="LER38" s="2795"/>
      <c r="LES38" s="2795"/>
      <c r="LET38" s="2795"/>
      <c r="LEU38" s="2795"/>
      <c r="LEV38" s="2795"/>
      <c r="LEW38" s="2795"/>
      <c r="LEX38" s="2795"/>
      <c r="LEY38" s="2795"/>
      <c r="LEZ38" s="2795"/>
      <c r="LFA38" s="2795"/>
      <c r="LFB38" s="2795"/>
      <c r="LFC38" s="2795"/>
      <c r="LFD38" s="2795"/>
      <c r="LFE38" s="2795"/>
      <c r="LFF38" s="2795"/>
      <c r="LFG38" s="2795"/>
      <c r="LFH38" s="2795"/>
      <c r="LFI38" s="2795"/>
      <c r="LFJ38" s="2795"/>
      <c r="LFK38" s="2795"/>
      <c r="LFL38" s="2795"/>
      <c r="LFM38" s="2795"/>
      <c r="LFN38" s="2795"/>
      <c r="LFO38" s="2795"/>
      <c r="LFP38" s="2795"/>
      <c r="LFQ38" s="2795"/>
      <c r="LFR38" s="2795"/>
      <c r="LFS38" s="2795"/>
      <c r="LFT38" s="2795"/>
      <c r="LFU38" s="2795"/>
      <c r="LFV38" s="2795"/>
      <c r="LFW38" s="2795"/>
      <c r="LFX38" s="2795"/>
      <c r="LFY38" s="2795"/>
      <c r="LFZ38" s="2795"/>
      <c r="LGA38" s="2795"/>
      <c r="LGB38" s="2795"/>
      <c r="LGC38" s="2795"/>
      <c r="LGD38" s="2795"/>
      <c r="LGE38" s="2795"/>
      <c r="LGF38" s="2795"/>
      <c r="LGG38" s="2795"/>
      <c r="LGH38" s="2795"/>
      <c r="LGI38" s="2795"/>
      <c r="LGJ38" s="2795"/>
      <c r="LGK38" s="2795"/>
      <c r="LGL38" s="2795"/>
      <c r="LGM38" s="2795"/>
      <c r="LGN38" s="2795"/>
      <c r="LGO38" s="2795"/>
      <c r="LGP38" s="2795"/>
      <c r="LGQ38" s="2795"/>
      <c r="LGR38" s="2795"/>
      <c r="LGS38" s="2795"/>
      <c r="LGT38" s="2795"/>
      <c r="LGU38" s="2795"/>
      <c r="LGV38" s="2795"/>
      <c r="LGW38" s="2795"/>
      <c r="LGX38" s="2795"/>
      <c r="LGY38" s="2795"/>
      <c r="LGZ38" s="2795"/>
      <c r="LHA38" s="2795"/>
      <c r="LHB38" s="2795"/>
      <c r="LHC38" s="2795"/>
      <c r="LHD38" s="2795"/>
      <c r="LHE38" s="2795"/>
      <c r="LHF38" s="2795"/>
      <c r="LHG38" s="2795"/>
      <c r="LHH38" s="2795"/>
      <c r="LHI38" s="2795"/>
      <c r="LHJ38" s="2795"/>
      <c r="LHK38" s="2795"/>
      <c r="LHL38" s="2795"/>
      <c r="LHM38" s="2795"/>
      <c r="LHN38" s="2795"/>
      <c r="LHO38" s="2795"/>
      <c r="LHP38" s="2795"/>
      <c r="LHQ38" s="2795"/>
      <c r="LHR38" s="2795"/>
      <c r="LHS38" s="2795"/>
      <c r="LHT38" s="2795"/>
      <c r="LHU38" s="2795"/>
      <c r="LHV38" s="2795"/>
      <c r="LHW38" s="2795"/>
      <c r="LHX38" s="2795"/>
      <c r="LHY38" s="2795"/>
      <c r="LHZ38" s="2795"/>
      <c r="LIA38" s="2795"/>
      <c r="LIB38" s="2795"/>
      <c r="LIC38" s="2795"/>
      <c r="LID38" s="2795"/>
      <c r="LIE38" s="2795"/>
      <c r="LIF38" s="2795"/>
      <c r="LIG38" s="2795"/>
      <c r="LIH38" s="2795"/>
      <c r="LII38" s="2795"/>
      <c r="LIJ38" s="2795"/>
      <c r="LIK38" s="2795"/>
      <c r="LIL38" s="2795"/>
      <c r="LIM38" s="2795"/>
      <c r="LIN38" s="2795"/>
      <c r="LIO38" s="2795"/>
      <c r="LIP38" s="2795"/>
      <c r="LIQ38" s="2795"/>
      <c r="LIR38" s="2795"/>
      <c r="LIS38" s="2795"/>
      <c r="LIT38" s="2795"/>
      <c r="LIU38" s="2795"/>
      <c r="LIV38" s="2795"/>
      <c r="LIW38" s="2795"/>
      <c r="LIX38" s="2795"/>
      <c r="LIY38" s="2795"/>
      <c r="LIZ38" s="2795"/>
      <c r="LJA38" s="2795"/>
      <c r="LJB38" s="2795"/>
      <c r="LJC38" s="2795"/>
      <c r="LJD38" s="2795"/>
      <c r="LJE38" s="2795"/>
      <c r="LJF38" s="2795"/>
      <c r="LJG38" s="2795"/>
      <c r="LJH38" s="2795"/>
      <c r="LJI38" s="2795"/>
      <c r="LJJ38" s="2795"/>
      <c r="LJK38" s="2795"/>
      <c r="LJL38" s="2795"/>
      <c r="LJM38" s="2795"/>
      <c r="LJN38" s="2795"/>
      <c r="LJO38" s="2795"/>
      <c r="LJP38" s="2795"/>
      <c r="LJQ38" s="2795"/>
      <c r="LJR38" s="2795"/>
      <c r="LJS38" s="2795"/>
      <c r="LJT38" s="2795"/>
      <c r="LJU38" s="2795"/>
      <c r="LJV38" s="2795"/>
      <c r="LJW38" s="2795"/>
      <c r="LJX38" s="2795"/>
      <c r="LJY38" s="2795"/>
      <c r="LJZ38" s="2795"/>
      <c r="LKA38" s="2795"/>
      <c r="LKB38" s="2795"/>
      <c r="LKC38" s="2795"/>
      <c r="LKD38" s="2795"/>
      <c r="LKE38" s="2795"/>
      <c r="LKF38" s="2795"/>
      <c r="LKG38" s="2795"/>
      <c r="LKH38" s="2795"/>
      <c r="LKI38" s="2795"/>
      <c r="LKJ38" s="2795"/>
      <c r="LKK38" s="2795"/>
      <c r="LKL38" s="2795"/>
      <c r="LKM38" s="2795"/>
      <c r="LKN38" s="2795"/>
      <c r="LKO38" s="2795"/>
      <c r="LKP38" s="2795"/>
      <c r="LKQ38" s="2795"/>
      <c r="LKR38" s="2795"/>
      <c r="LKS38" s="2795"/>
      <c r="LKT38" s="2795"/>
      <c r="LKU38" s="2795"/>
      <c r="LKV38" s="2795"/>
      <c r="LKW38" s="2795"/>
      <c r="LKX38" s="2795"/>
      <c r="LKY38" s="2795"/>
      <c r="LKZ38" s="2795"/>
      <c r="LLA38" s="2795"/>
      <c r="LLB38" s="2795"/>
      <c r="LLC38" s="2795"/>
      <c r="LLD38" s="2795"/>
      <c r="LLE38" s="2795"/>
      <c r="LLF38" s="2795"/>
      <c r="LLG38" s="2795"/>
      <c r="LLH38" s="2795"/>
      <c r="LLI38" s="2795"/>
      <c r="LLJ38" s="2795"/>
      <c r="LLK38" s="2795"/>
      <c r="LLL38" s="2795"/>
      <c r="LLM38" s="2795"/>
      <c r="LLN38" s="2795"/>
      <c r="LLO38" s="2795"/>
      <c r="LLP38" s="2795"/>
      <c r="LLQ38" s="2795"/>
      <c r="LLR38" s="2795"/>
      <c r="LLS38" s="2795"/>
      <c r="LLT38" s="2795"/>
      <c r="LLU38" s="2795"/>
      <c r="LLV38" s="2795"/>
      <c r="LLW38" s="2795"/>
      <c r="LLX38" s="2795"/>
      <c r="LLY38" s="2795"/>
      <c r="LLZ38" s="2795"/>
      <c r="LMA38" s="2795"/>
      <c r="LMB38" s="2795"/>
      <c r="LMC38" s="2795"/>
      <c r="LMD38" s="2795"/>
      <c r="LME38" s="2795"/>
      <c r="LMF38" s="2795"/>
      <c r="LMG38" s="2795"/>
      <c r="LMH38" s="2795"/>
      <c r="LMI38" s="2795"/>
      <c r="LMJ38" s="2795"/>
      <c r="LMK38" s="2795"/>
      <c r="LML38" s="2795"/>
      <c r="LMM38" s="2795"/>
      <c r="LMN38" s="2795"/>
      <c r="LMO38" s="2795"/>
      <c r="LMP38" s="2795"/>
      <c r="LMQ38" s="2795"/>
      <c r="LMR38" s="2795"/>
      <c r="LMS38" s="2795"/>
      <c r="LMT38" s="2795"/>
      <c r="LMU38" s="2795"/>
      <c r="LMV38" s="2795"/>
      <c r="LMW38" s="2795"/>
      <c r="LMX38" s="2795"/>
      <c r="LMY38" s="2795"/>
      <c r="LMZ38" s="2795"/>
      <c r="LNA38" s="2795"/>
      <c r="LNB38" s="2795"/>
      <c r="LNC38" s="2795"/>
      <c r="LND38" s="2795"/>
      <c r="LNE38" s="2795"/>
      <c r="LNF38" s="2795"/>
      <c r="LNG38" s="2795"/>
      <c r="LNH38" s="2795"/>
      <c r="LNI38" s="2795"/>
      <c r="LNJ38" s="2795"/>
      <c r="LNK38" s="2795"/>
      <c r="LNL38" s="2795"/>
      <c r="LNM38" s="2795"/>
      <c r="LNN38" s="2795"/>
      <c r="LNO38" s="2795"/>
      <c r="LNP38" s="2795"/>
      <c r="LNQ38" s="2795"/>
      <c r="LNR38" s="2795"/>
      <c r="LNS38" s="2795"/>
      <c r="LNT38" s="2795"/>
      <c r="LNU38" s="2795"/>
      <c r="LNV38" s="2795"/>
      <c r="LNW38" s="2795"/>
      <c r="LNX38" s="2795"/>
      <c r="LNY38" s="2795"/>
      <c r="LNZ38" s="2795"/>
      <c r="LOA38" s="2795"/>
      <c r="LOB38" s="2795"/>
      <c r="LOC38" s="2795"/>
      <c r="LOD38" s="2795"/>
      <c r="LOE38" s="2795"/>
      <c r="LOF38" s="2795"/>
      <c r="LOG38" s="2795"/>
      <c r="LOH38" s="2795"/>
      <c r="LOI38" s="2795"/>
      <c r="LOJ38" s="2795"/>
      <c r="LOK38" s="2795"/>
      <c r="LOL38" s="2795"/>
      <c r="LOM38" s="2795"/>
      <c r="LON38" s="2795"/>
      <c r="LOO38" s="2795"/>
      <c r="LOP38" s="2795"/>
      <c r="LOQ38" s="2795"/>
      <c r="LOR38" s="2795"/>
      <c r="LOS38" s="2795"/>
      <c r="LOT38" s="2795"/>
      <c r="LOU38" s="2795"/>
      <c r="LOV38" s="2795"/>
      <c r="LOW38" s="2795"/>
      <c r="LOX38" s="2795"/>
      <c r="LOY38" s="2795"/>
      <c r="LOZ38" s="2795"/>
      <c r="LPA38" s="2795"/>
      <c r="LPB38" s="2795"/>
      <c r="LPC38" s="2795"/>
      <c r="LPD38" s="2795"/>
      <c r="LPE38" s="2795"/>
      <c r="LPF38" s="2795"/>
      <c r="LPG38" s="2795"/>
      <c r="LPH38" s="2795"/>
      <c r="LPI38" s="2795"/>
      <c r="LPJ38" s="2795"/>
      <c r="LPK38" s="2795"/>
      <c r="LPL38" s="2795"/>
      <c r="LPM38" s="2795"/>
      <c r="LPN38" s="2795"/>
      <c r="LPO38" s="2795"/>
      <c r="LPP38" s="2795"/>
      <c r="LPQ38" s="2795"/>
      <c r="LPR38" s="2795"/>
      <c r="LPS38" s="2795"/>
      <c r="LPT38" s="2795"/>
      <c r="LPU38" s="2795"/>
      <c r="LPV38" s="2795"/>
      <c r="LPW38" s="2795"/>
      <c r="LPX38" s="2795"/>
      <c r="LPY38" s="2795"/>
      <c r="LPZ38" s="2795"/>
      <c r="LQA38" s="2795"/>
      <c r="LQB38" s="2795"/>
      <c r="LQC38" s="2795"/>
      <c r="LQD38" s="2795"/>
      <c r="LQE38" s="2795"/>
      <c r="LQF38" s="2795"/>
      <c r="LQG38" s="2795"/>
      <c r="LQH38" s="2795"/>
      <c r="LQI38" s="2795"/>
      <c r="LQJ38" s="2795"/>
      <c r="LQK38" s="2795"/>
      <c r="LQL38" s="2795"/>
      <c r="LQM38" s="2795"/>
      <c r="LQN38" s="2795"/>
      <c r="LQO38" s="2795"/>
      <c r="LQP38" s="2795"/>
      <c r="LQQ38" s="2795"/>
      <c r="LQR38" s="2795"/>
      <c r="LQS38" s="2795"/>
      <c r="LQT38" s="2795"/>
      <c r="LQU38" s="2795"/>
      <c r="LQV38" s="2795"/>
      <c r="LQW38" s="2795"/>
      <c r="LQX38" s="2795"/>
      <c r="LQY38" s="2795"/>
      <c r="LQZ38" s="2795"/>
      <c r="LRA38" s="2795"/>
      <c r="LRB38" s="2795"/>
      <c r="LRC38" s="2795"/>
      <c r="LRD38" s="2795"/>
      <c r="LRE38" s="2795"/>
      <c r="LRF38" s="2795"/>
      <c r="LRG38" s="2795"/>
      <c r="LRH38" s="2795"/>
      <c r="LRI38" s="2795"/>
      <c r="LRJ38" s="2795"/>
      <c r="LRK38" s="2795"/>
      <c r="LRL38" s="2795"/>
      <c r="LRM38" s="2795"/>
      <c r="LRN38" s="2795"/>
      <c r="LRO38" s="2795"/>
      <c r="LRP38" s="2795"/>
      <c r="LRQ38" s="2795"/>
      <c r="LRR38" s="2795"/>
      <c r="LRS38" s="2795"/>
      <c r="LRT38" s="2795"/>
      <c r="LRU38" s="2795"/>
      <c r="LRV38" s="2795"/>
      <c r="LRW38" s="2795"/>
      <c r="LRX38" s="2795"/>
      <c r="LRY38" s="2795"/>
      <c r="LRZ38" s="2795"/>
      <c r="LSA38" s="2795"/>
      <c r="LSB38" s="2795"/>
      <c r="LSC38" s="2795"/>
      <c r="LSD38" s="2795"/>
      <c r="LSE38" s="2795"/>
      <c r="LSF38" s="2795"/>
      <c r="LSG38" s="2795"/>
      <c r="LSH38" s="2795"/>
      <c r="LSI38" s="2795"/>
      <c r="LSJ38" s="2795"/>
      <c r="LSK38" s="2795"/>
      <c r="LSL38" s="2795"/>
      <c r="LSM38" s="2795"/>
      <c r="LSN38" s="2795"/>
      <c r="LSO38" s="2795"/>
      <c r="LSP38" s="2795"/>
      <c r="LSQ38" s="2795"/>
      <c r="LSR38" s="2795"/>
      <c r="LSS38" s="2795"/>
      <c r="LST38" s="2795"/>
      <c r="LSU38" s="2795"/>
      <c r="LSV38" s="2795"/>
      <c r="LSW38" s="2795"/>
      <c r="LSX38" s="2795"/>
      <c r="LSY38" s="2795"/>
      <c r="LSZ38" s="2795"/>
      <c r="LTA38" s="2795"/>
      <c r="LTB38" s="2795"/>
      <c r="LTC38" s="2795"/>
      <c r="LTD38" s="2795"/>
      <c r="LTE38" s="2795"/>
      <c r="LTF38" s="2795"/>
      <c r="LTG38" s="2795"/>
      <c r="LTH38" s="2795"/>
      <c r="LTI38" s="2795"/>
      <c r="LTJ38" s="2795"/>
      <c r="LTK38" s="2795"/>
      <c r="LTL38" s="2795"/>
      <c r="LTM38" s="2795"/>
      <c r="LTN38" s="2795"/>
      <c r="LTO38" s="2795"/>
      <c r="LTP38" s="2795"/>
      <c r="LTQ38" s="2795"/>
      <c r="LTR38" s="2795"/>
      <c r="LTS38" s="2795"/>
      <c r="LTT38" s="2795"/>
      <c r="LTU38" s="2795"/>
      <c r="LTV38" s="2795"/>
      <c r="LTW38" s="2795"/>
      <c r="LTX38" s="2795"/>
      <c r="LTY38" s="2795"/>
      <c r="LTZ38" s="2795"/>
      <c r="LUA38" s="2795"/>
      <c r="LUB38" s="2795"/>
      <c r="LUC38" s="2795"/>
      <c r="LUD38" s="2795"/>
      <c r="LUE38" s="2795"/>
      <c r="LUF38" s="2795"/>
      <c r="LUG38" s="2795"/>
      <c r="LUH38" s="2795"/>
      <c r="LUI38" s="2795"/>
      <c r="LUJ38" s="2795"/>
      <c r="LUK38" s="2795"/>
      <c r="LUL38" s="2795"/>
      <c r="LUM38" s="2795"/>
      <c r="LUN38" s="2795"/>
      <c r="LUO38" s="2795"/>
      <c r="LUP38" s="2795"/>
      <c r="LUQ38" s="2795"/>
      <c r="LUR38" s="2795"/>
      <c r="LUS38" s="2795"/>
      <c r="LUT38" s="2795"/>
      <c r="LUU38" s="2795"/>
      <c r="LUV38" s="2795"/>
      <c r="LUW38" s="2795"/>
      <c r="LUX38" s="2795"/>
      <c r="LUY38" s="2795"/>
      <c r="LUZ38" s="2795"/>
      <c r="LVA38" s="2795"/>
      <c r="LVB38" s="2795"/>
      <c r="LVC38" s="2795"/>
      <c r="LVD38" s="2795"/>
      <c r="LVE38" s="2795"/>
      <c r="LVF38" s="2795"/>
      <c r="LVG38" s="2795"/>
      <c r="LVH38" s="2795"/>
      <c r="LVI38" s="2795"/>
      <c r="LVJ38" s="2795"/>
      <c r="LVK38" s="2795"/>
      <c r="LVL38" s="2795"/>
      <c r="LVM38" s="2795"/>
      <c r="LVN38" s="2795"/>
      <c r="LVO38" s="2795"/>
      <c r="LVP38" s="2795"/>
      <c r="LVQ38" s="2795"/>
      <c r="LVR38" s="2795"/>
      <c r="LVS38" s="2795"/>
      <c r="LVT38" s="2795"/>
      <c r="LVU38" s="2795"/>
      <c r="LVV38" s="2795"/>
      <c r="LVW38" s="2795"/>
      <c r="LVX38" s="2795"/>
      <c r="LVY38" s="2795"/>
      <c r="LVZ38" s="2795"/>
      <c r="LWA38" s="2795"/>
      <c r="LWB38" s="2795"/>
      <c r="LWC38" s="2795"/>
      <c r="LWD38" s="2795"/>
      <c r="LWE38" s="2795"/>
      <c r="LWF38" s="2795"/>
      <c r="LWG38" s="2795"/>
      <c r="LWH38" s="2795"/>
      <c r="LWI38" s="2795"/>
      <c r="LWJ38" s="2795"/>
      <c r="LWK38" s="2795"/>
      <c r="LWL38" s="2795"/>
      <c r="LWM38" s="2795"/>
      <c r="LWN38" s="2795"/>
      <c r="LWO38" s="2795"/>
      <c r="LWP38" s="2795"/>
      <c r="LWQ38" s="2795"/>
      <c r="LWR38" s="2795"/>
      <c r="LWS38" s="2795"/>
      <c r="LWT38" s="2795"/>
      <c r="LWU38" s="2795"/>
      <c r="LWV38" s="2795"/>
      <c r="LWW38" s="2795"/>
      <c r="LWX38" s="2795"/>
      <c r="LWY38" s="2795"/>
      <c r="LWZ38" s="2795"/>
      <c r="LXA38" s="2795"/>
      <c r="LXB38" s="2795"/>
      <c r="LXC38" s="2795"/>
      <c r="LXD38" s="2795"/>
      <c r="LXE38" s="2795"/>
      <c r="LXF38" s="2795"/>
      <c r="LXG38" s="2795"/>
      <c r="LXH38" s="2795"/>
      <c r="LXI38" s="2795"/>
      <c r="LXJ38" s="2795"/>
      <c r="LXK38" s="2795"/>
      <c r="LXL38" s="2795"/>
      <c r="LXM38" s="2795"/>
      <c r="LXN38" s="2795"/>
      <c r="LXO38" s="2795"/>
      <c r="LXP38" s="2795"/>
      <c r="LXQ38" s="2795"/>
      <c r="LXR38" s="2795"/>
      <c r="LXS38" s="2795"/>
      <c r="LXT38" s="2795"/>
      <c r="LXU38" s="2795"/>
      <c r="LXV38" s="2795"/>
      <c r="LXW38" s="2795"/>
      <c r="LXX38" s="2795"/>
      <c r="LXY38" s="2795"/>
      <c r="LXZ38" s="2795"/>
      <c r="LYA38" s="2795"/>
      <c r="LYB38" s="2795"/>
      <c r="LYC38" s="2795"/>
      <c r="LYD38" s="2795"/>
      <c r="LYE38" s="2795"/>
      <c r="LYF38" s="2795"/>
      <c r="LYG38" s="2795"/>
      <c r="LYH38" s="2795"/>
      <c r="LYI38" s="2795"/>
      <c r="LYJ38" s="2795"/>
      <c r="LYK38" s="2795"/>
      <c r="LYL38" s="2795"/>
      <c r="LYM38" s="2795"/>
      <c r="LYN38" s="2795"/>
      <c r="LYO38" s="2795"/>
      <c r="LYP38" s="2795"/>
      <c r="LYQ38" s="2795"/>
      <c r="LYR38" s="2795"/>
      <c r="LYS38" s="2795"/>
      <c r="LYT38" s="2795"/>
      <c r="LYU38" s="2795"/>
      <c r="LYV38" s="2795"/>
      <c r="LYW38" s="2795"/>
      <c r="LYX38" s="2795"/>
      <c r="LYY38" s="2795"/>
      <c r="LYZ38" s="2795"/>
      <c r="LZA38" s="2795"/>
      <c r="LZB38" s="2795"/>
      <c r="LZC38" s="2795"/>
      <c r="LZD38" s="2795"/>
      <c r="LZE38" s="2795"/>
      <c r="LZF38" s="2795"/>
      <c r="LZG38" s="2795"/>
      <c r="LZH38" s="2795"/>
      <c r="LZI38" s="2795"/>
      <c r="LZJ38" s="2795"/>
      <c r="LZK38" s="2795"/>
      <c r="LZL38" s="2795"/>
      <c r="LZM38" s="2795"/>
      <c r="LZN38" s="2795"/>
      <c r="LZO38" s="2795"/>
      <c r="LZP38" s="2795"/>
      <c r="LZQ38" s="2795"/>
      <c r="LZR38" s="2795"/>
      <c r="LZS38" s="2795"/>
      <c r="LZT38" s="2795"/>
      <c r="LZU38" s="2795"/>
      <c r="LZV38" s="2795"/>
      <c r="LZW38" s="2795"/>
      <c r="LZX38" s="2795"/>
      <c r="LZY38" s="2795"/>
      <c r="LZZ38" s="2795"/>
      <c r="MAA38" s="2795"/>
      <c r="MAB38" s="2795"/>
      <c r="MAC38" s="2795"/>
      <c r="MAD38" s="2795"/>
      <c r="MAE38" s="2795"/>
      <c r="MAF38" s="2795"/>
      <c r="MAG38" s="2795"/>
      <c r="MAH38" s="2795"/>
      <c r="MAI38" s="2795"/>
      <c r="MAJ38" s="2795"/>
      <c r="MAK38" s="2795"/>
      <c r="MAL38" s="2795"/>
      <c r="MAM38" s="2795"/>
      <c r="MAN38" s="2795"/>
      <c r="MAO38" s="2795"/>
      <c r="MAP38" s="2795"/>
      <c r="MAQ38" s="2795"/>
      <c r="MAR38" s="2795"/>
      <c r="MAS38" s="2795"/>
      <c r="MAT38" s="2795"/>
      <c r="MAU38" s="2795"/>
      <c r="MAV38" s="2795"/>
      <c r="MAW38" s="2795"/>
      <c r="MAX38" s="2795"/>
      <c r="MAY38" s="2795"/>
      <c r="MAZ38" s="2795"/>
      <c r="MBA38" s="2795"/>
      <c r="MBB38" s="2795"/>
      <c r="MBC38" s="2795"/>
      <c r="MBD38" s="2795"/>
      <c r="MBE38" s="2795"/>
      <c r="MBF38" s="2795"/>
      <c r="MBG38" s="2795"/>
      <c r="MBH38" s="2795"/>
      <c r="MBI38" s="2795"/>
      <c r="MBJ38" s="2795"/>
      <c r="MBK38" s="2795"/>
      <c r="MBL38" s="2795"/>
      <c r="MBM38" s="2795"/>
      <c r="MBN38" s="2795"/>
      <c r="MBO38" s="2795"/>
      <c r="MBP38" s="2795"/>
      <c r="MBQ38" s="2795"/>
      <c r="MBR38" s="2795"/>
      <c r="MBS38" s="2795"/>
      <c r="MBT38" s="2795"/>
      <c r="MBU38" s="2795"/>
      <c r="MBV38" s="2795"/>
      <c r="MBW38" s="2795"/>
      <c r="MBX38" s="2795"/>
      <c r="MBY38" s="2795"/>
      <c r="MBZ38" s="2795"/>
      <c r="MCA38" s="2795"/>
      <c r="MCB38" s="2795"/>
      <c r="MCC38" s="2795"/>
      <c r="MCD38" s="2795"/>
      <c r="MCE38" s="2795"/>
      <c r="MCF38" s="2795"/>
      <c r="MCG38" s="2795"/>
      <c r="MCH38" s="2795"/>
      <c r="MCI38" s="2795"/>
      <c r="MCJ38" s="2795"/>
      <c r="MCK38" s="2795"/>
      <c r="MCL38" s="2795"/>
      <c r="MCM38" s="2795"/>
      <c r="MCN38" s="2795"/>
      <c r="MCO38" s="2795"/>
      <c r="MCP38" s="2795"/>
      <c r="MCQ38" s="2795"/>
      <c r="MCR38" s="2795"/>
      <c r="MCS38" s="2795"/>
      <c r="MCT38" s="2795"/>
      <c r="MCU38" s="2795"/>
      <c r="MCV38" s="2795"/>
      <c r="MCW38" s="2795"/>
      <c r="MCX38" s="2795"/>
      <c r="MCY38" s="2795"/>
      <c r="MCZ38" s="2795"/>
      <c r="MDA38" s="2795"/>
      <c r="MDB38" s="2795"/>
      <c r="MDC38" s="2795"/>
      <c r="MDD38" s="2795"/>
      <c r="MDE38" s="2795"/>
      <c r="MDF38" s="2795"/>
      <c r="MDG38" s="2795"/>
      <c r="MDH38" s="2795"/>
      <c r="MDI38" s="2795"/>
      <c r="MDJ38" s="2795"/>
      <c r="MDK38" s="2795"/>
      <c r="MDL38" s="2795"/>
      <c r="MDM38" s="2795"/>
      <c r="MDN38" s="2795"/>
      <c r="MDO38" s="2795"/>
      <c r="MDP38" s="2795"/>
      <c r="MDQ38" s="2795"/>
      <c r="MDR38" s="2795"/>
      <c r="MDS38" s="2795"/>
      <c r="MDT38" s="2795"/>
      <c r="MDU38" s="2795"/>
      <c r="MDV38" s="2795"/>
      <c r="MDW38" s="2795"/>
      <c r="MDX38" s="2795"/>
      <c r="MDY38" s="2795"/>
      <c r="MDZ38" s="2795"/>
      <c r="MEA38" s="2795"/>
      <c r="MEB38" s="2795"/>
      <c r="MEC38" s="2795"/>
      <c r="MED38" s="2795"/>
      <c r="MEE38" s="2795"/>
      <c r="MEF38" s="2795"/>
      <c r="MEG38" s="2795"/>
      <c r="MEH38" s="2795"/>
      <c r="MEI38" s="2795"/>
      <c r="MEJ38" s="2795"/>
      <c r="MEK38" s="2795"/>
      <c r="MEL38" s="2795"/>
      <c r="MEM38" s="2795"/>
      <c r="MEN38" s="2795"/>
      <c r="MEO38" s="2795"/>
      <c r="MEP38" s="2795"/>
      <c r="MEQ38" s="2795"/>
      <c r="MER38" s="2795"/>
      <c r="MES38" s="2795"/>
      <c r="MET38" s="2795"/>
      <c r="MEU38" s="2795"/>
      <c r="MEV38" s="2795"/>
      <c r="MEW38" s="2795"/>
      <c r="MEX38" s="2795"/>
      <c r="MEY38" s="2795"/>
      <c r="MEZ38" s="2795"/>
      <c r="MFA38" s="2795"/>
      <c r="MFB38" s="2795"/>
      <c r="MFC38" s="2795"/>
      <c r="MFD38" s="2795"/>
      <c r="MFE38" s="2795"/>
      <c r="MFF38" s="2795"/>
      <c r="MFG38" s="2795"/>
      <c r="MFH38" s="2795"/>
      <c r="MFI38" s="2795"/>
      <c r="MFJ38" s="2795"/>
      <c r="MFK38" s="2795"/>
      <c r="MFL38" s="2795"/>
      <c r="MFM38" s="2795"/>
      <c r="MFN38" s="2795"/>
      <c r="MFO38" s="2795"/>
      <c r="MFP38" s="2795"/>
      <c r="MFQ38" s="2795"/>
      <c r="MFR38" s="2795"/>
      <c r="MFS38" s="2795"/>
      <c r="MFT38" s="2795"/>
      <c r="MFU38" s="2795"/>
      <c r="MFV38" s="2795"/>
      <c r="MFW38" s="2795"/>
      <c r="MFX38" s="2795"/>
      <c r="MFY38" s="2795"/>
      <c r="MFZ38" s="2795"/>
      <c r="MGA38" s="2795"/>
      <c r="MGB38" s="2795"/>
      <c r="MGC38" s="2795"/>
      <c r="MGD38" s="2795"/>
      <c r="MGE38" s="2795"/>
      <c r="MGF38" s="2795"/>
      <c r="MGG38" s="2795"/>
      <c r="MGH38" s="2795"/>
      <c r="MGI38" s="2795"/>
      <c r="MGJ38" s="2795"/>
      <c r="MGK38" s="2795"/>
      <c r="MGL38" s="2795"/>
      <c r="MGM38" s="2795"/>
      <c r="MGN38" s="2795"/>
      <c r="MGO38" s="2795"/>
      <c r="MGP38" s="2795"/>
      <c r="MGQ38" s="2795"/>
      <c r="MGR38" s="2795"/>
      <c r="MGS38" s="2795"/>
      <c r="MGT38" s="2795"/>
      <c r="MGU38" s="2795"/>
      <c r="MGV38" s="2795"/>
      <c r="MGW38" s="2795"/>
      <c r="MGX38" s="2795"/>
      <c r="MGY38" s="2795"/>
      <c r="MGZ38" s="2795"/>
      <c r="MHA38" s="2795"/>
      <c r="MHB38" s="2795"/>
      <c r="MHC38" s="2795"/>
      <c r="MHD38" s="2795"/>
      <c r="MHE38" s="2795"/>
      <c r="MHF38" s="2795"/>
      <c r="MHG38" s="2795"/>
      <c r="MHH38" s="2795"/>
      <c r="MHI38" s="2795"/>
      <c r="MHJ38" s="2795"/>
      <c r="MHK38" s="2795"/>
      <c r="MHL38" s="2795"/>
      <c r="MHM38" s="2795"/>
      <c r="MHN38" s="2795"/>
      <c r="MHO38" s="2795"/>
      <c r="MHP38" s="2795"/>
      <c r="MHQ38" s="2795"/>
      <c r="MHR38" s="2795"/>
      <c r="MHS38" s="2795"/>
      <c r="MHT38" s="2795"/>
      <c r="MHU38" s="2795"/>
      <c r="MHV38" s="2795"/>
      <c r="MHW38" s="2795"/>
      <c r="MHX38" s="2795"/>
      <c r="MHY38" s="2795"/>
      <c r="MHZ38" s="2795"/>
      <c r="MIA38" s="2795"/>
      <c r="MIB38" s="2795"/>
      <c r="MIC38" s="2795"/>
      <c r="MID38" s="2795"/>
      <c r="MIE38" s="2795"/>
      <c r="MIF38" s="2795"/>
      <c r="MIG38" s="2795"/>
      <c r="MIH38" s="2795"/>
      <c r="MII38" s="2795"/>
      <c r="MIJ38" s="2795"/>
      <c r="MIK38" s="2795"/>
      <c r="MIL38" s="2795"/>
      <c r="MIM38" s="2795"/>
      <c r="MIN38" s="2795"/>
      <c r="MIO38" s="2795"/>
      <c r="MIP38" s="2795"/>
      <c r="MIQ38" s="2795"/>
      <c r="MIR38" s="2795"/>
      <c r="MIS38" s="2795"/>
      <c r="MIT38" s="2795"/>
      <c r="MIU38" s="2795"/>
      <c r="MIV38" s="2795"/>
      <c r="MIW38" s="2795"/>
      <c r="MIX38" s="2795"/>
      <c r="MIY38" s="2795"/>
      <c r="MIZ38" s="2795"/>
      <c r="MJA38" s="2795"/>
      <c r="MJB38" s="2795"/>
      <c r="MJC38" s="2795"/>
      <c r="MJD38" s="2795"/>
      <c r="MJE38" s="2795"/>
      <c r="MJF38" s="2795"/>
      <c r="MJG38" s="2795"/>
      <c r="MJH38" s="2795"/>
      <c r="MJI38" s="2795"/>
      <c r="MJJ38" s="2795"/>
      <c r="MJK38" s="2795"/>
      <c r="MJL38" s="2795"/>
      <c r="MJM38" s="2795"/>
      <c r="MJN38" s="2795"/>
      <c r="MJO38" s="2795"/>
      <c r="MJP38" s="2795"/>
      <c r="MJQ38" s="2795"/>
      <c r="MJR38" s="2795"/>
      <c r="MJS38" s="2795"/>
      <c r="MJT38" s="2795"/>
      <c r="MJU38" s="2795"/>
      <c r="MJV38" s="2795"/>
      <c r="MJW38" s="2795"/>
      <c r="MJX38" s="2795"/>
      <c r="MJY38" s="2795"/>
      <c r="MJZ38" s="2795"/>
      <c r="MKA38" s="2795"/>
      <c r="MKB38" s="2795"/>
      <c r="MKC38" s="2795"/>
      <c r="MKD38" s="2795"/>
      <c r="MKE38" s="2795"/>
      <c r="MKF38" s="2795"/>
      <c r="MKG38" s="2795"/>
      <c r="MKH38" s="2795"/>
      <c r="MKI38" s="2795"/>
      <c r="MKJ38" s="2795"/>
      <c r="MKK38" s="2795"/>
      <c r="MKL38" s="2795"/>
      <c r="MKM38" s="2795"/>
      <c r="MKN38" s="2795"/>
      <c r="MKO38" s="2795"/>
      <c r="MKP38" s="2795"/>
      <c r="MKQ38" s="2795"/>
      <c r="MKR38" s="2795"/>
      <c r="MKS38" s="2795"/>
      <c r="MKT38" s="2795"/>
      <c r="MKU38" s="2795"/>
      <c r="MKV38" s="2795"/>
      <c r="MKW38" s="2795"/>
      <c r="MKX38" s="2795"/>
      <c r="MKY38" s="2795"/>
      <c r="MKZ38" s="2795"/>
      <c r="MLA38" s="2795"/>
      <c r="MLB38" s="2795"/>
      <c r="MLC38" s="2795"/>
      <c r="MLD38" s="2795"/>
      <c r="MLE38" s="2795"/>
      <c r="MLF38" s="2795"/>
      <c r="MLG38" s="2795"/>
      <c r="MLH38" s="2795"/>
      <c r="MLI38" s="2795"/>
      <c r="MLJ38" s="2795"/>
      <c r="MLK38" s="2795"/>
      <c r="MLL38" s="2795"/>
      <c r="MLM38" s="2795"/>
      <c r="MLN38" s="2795"/>
      <c r="MLO38" s="2795"/>
      <c r="MLP38" s="2795"/>
      <c r="MLQ38" s="2795"/>
      <c r="MLR38" s="2795"/>
      <c r="MLS38" s="2795"/>
      <c r="MLT38" s="2795"/>
      <c r="MLU38" s="2795"/>
      <c r="MLV38" s="2795"/>
      <c r="MLW38" s="2795"/>
      <c r="MLX38" s="2795"/>
      <c r="MLY38" s="2795"/>
      <c r="MLZ38" s="2795"/>
      <c r="MMA38" s="2795"/>
      <c r="MMB38" s="2795"/>
      <c r="MMC38" s="2795"/>
      <c r="MMD38" s="2795"/>
      <c r="MME38" s="2795"/>
      <c r="MMF38" s="2795"/>
      <c r="MMG38" s="2795"/>
      <c r="MMH38" s="2795"/>
      <c r="MMI38" s="2795"/>
      <c r="MMJ38" s="2795"/>
      <c r="MMK38" s="2795"/>
      <c r="MML38" s="2795"/>
      <c r="MMM38" s="2795"/>
      <c r="MMN38" s="2795"/>
      <c r="MMO38" s="2795"/>
      <c r="MMP38" s="2795"/>
      <c r="MMQ38" s="2795"/>
      <c r="MMR38" s="2795"/>
      <c r="MMS38" s="2795"/>
      <c r="MMT38" s="2795"/>
      <c r="MMU38" s="2795"/>
      <c r="MMV38" s="2795"/>
      <c r="MMW38" s="2795"/>
      <c r="MMX38" s="2795"/>
      <c r="MMY38" s="2795"/>
      <c r="MMZ38" s="2795"/>
      <c r="MNA38" s="2795"/>
      <c r="MNB38" s="2795"/>
      <c r="MNC38" s="2795"/>
      <c r="MND38" s="2795"/>
      <c r="MNE38" s="2795"/>
      <c r="MNF38" s="2795"/>
      <c r="MNG38" s="2795"/>
      <c r="MNH38" s="2795"/>
      <c r="MNI38" s="2795"/>
      <c r="MNJ38" s="2795"/>
      <c r="MNK38" s="2795"/>
      <c r="MNL38" s="2795"/>
      <c r="MNM38" s="2795"/>
      <c r="MNN38" s="2795"/>
      <c r="MNO38" s="2795"/>
      <c r="MNP38" s="2795"/>
      <c r="MNQ38" s="2795"/>
      <c r="MNR38" s="2795"/>
      <c r="MNS38" s="2795"/>
      <c r="MNT38" s="2795"/>
      <c r="MNU38" s="2795"/>
      <c r="MNV38" s="2795"/>
      <c r="MNW38" s="2795"/>
      <c r="MNX38" s="2795"/>
      <c r="MNY38" s="2795"/>
      <c r="MNZ38" s="2795"/>
      <c r="MOA38" s="2795"/>
      <c r="MOB38" s="2795"/>
      <c r="MOC38" s="2795"/>
      <c r="MOD38" s="2795"/>
      <c r="MOE38" s="2795"/>
      <c r="MOF38" s="2795"/>
      <c r="MOG38" s="2795"/>
      <c r="MOH38" s="2795"/>
      <c r="MOI38" s="2795"/>
      <c r="MOJ38" s="2795"/>
      <c r="MOK38" s="2795"/>
      <c r="MOL38" s="2795"/>
      <c r="MOM38" s="2795"/>
      <c r="MON38" s="2795"/>
      <c r="MOO38" s="2795"/>
      <c r="MOP38" s="2795"/>
      <c r="MOQ38" s="2795"/>
      <c r="MOR38" s="2795"/>
      <c r="MOS38" s="2795"/>
      <c r="MOT38" s="2795"/>
      <c r="MOU38" s="2795"/>
      <c r="MOV38" s="2795"/>
      <c r="MOW38" s="2795"/>
      <c r="MOX38" s="2795"/>
      <c r="MOY38" s="2795"/>
      <c r="MOZ38" s="2795"/>
      <c r="MPA38" s="2795"/>
      <c r="MPB38" s="2795"/>
      <c r="MPC38" s="2795"/>
      <c r="MPD38" s="2795"/>
      <c r="MPE38" s="2795"/>
      <c r="MPF38" s="2795"/>
      <c r="MPG38" s="2795"/>
      <c r="MPH38" s="2795"/>
      <c r="MPI38" s="2795"/>
      <c r="MPJ38" s="2795"/>
      <c r="MPK38" s="2795"/>
      <c r="MPL38" s="2795"/>
      <c r="MPM38" s="2795"/>
      <c r="MPN38" s="2795"/>
      <c r="MPO38" s="2795"/>
      <c r="MPP38" s="2795"/>
      <c r="MPQ38" s="2795"/>
      <c r="MPR38" s="2795"/>
      <c r="MPS38" s="2795"/>
      <c r="MPT38" s="2795"/>
      <c r="MPU38" s="2795"/>
      <c r="MPV38" s="2795"/>
      <c r="MPW38" s="2795"/>
      <c r="MPX38" s="2795"/>
      <c r="MPY38" s="2795"/>
      <c r="MPZ38" s="2795"/>
      <c r="MQA38" s="2795"/>
      <c r="MQB38" s="2795"/>
      <c r="MQC38" s="2795"/>
      <c r="MQD38" s="2795"/>
      <c r="MQE38" s="2795"/>
      <c r="MQF38" s="2795"/>
      <c r="MQG38" s="2795"/>
      <c r="MQH38" s="2795"/>
      <c r="MQI38" s="2795"/>
      <c r="MQJ38" s="2795"/>
      <c r="MQK38" s="2795"/>
      <c r="MQL38" s="2795"/>
      <c r="MQM38" s="2795"/>
      <c r="MQN38" s="2795"/>
      <c r="MQO38" s="2795"/>
      <c r="MQP38" s="2795"/>
      <c r="MQQ38" s="2795"/>
      <c r="MQR38" s="2795"/>
      <c r="MQS38" s="2795"/>
      <c r="MQT38" s="2795"/>
      <c r="MQU38" s="2795"/>
      <c r="MQV38" s="2795"/>
      <c r="MQW38" s="2795"/>
      <c r="MQX38" s="2795"/>
      <c r="MQY38" s="2795"/>
      <c r="MQZ38" s="2795"/>
      <c r="MRA38" s="2795"/>
      <c r="MRB38" s="2795"/>
      <c r="MRC38" s="2795"/>
      <c r="MRD38" s="2795"/>
      <c r="MRE38" s="2795"/>
      <c r="MRF38" s="2795"/>
      <c r="MRG38" s="2795"/>
      <c r="MRH38" s="2795"/>
      <c r="MRI38" s="2795"/>
      <c r="MRJ38" s="2795"/>
      <c r="MRK38" s="2795"/>
      <c r="MRL38" s="2795"/>
      <c r="MRM38" s="2795"/>
      <c r="MRN38" s="2795"/>
      <c r="MRO38" s="2795"/>
      <c r="MRP38" s="2795"/>
      <c r="MRQ38" s="2795"/>
      <c r="MRR38" s="2795"/>
      <c r="MRS38" s="2795"/>
      <c r="MRT38" s="2795"/>
      <c r="MRU38" s="2795"/>
      <c r="MRV38" s="2795"/>
      <c r="MRW38" s="2795"/>
      <c r="MRX38" s="2795"/>
      <c r="MRY38" s="2795"/>
      <c r="MRZ38" s="2795"/>
      <c r="MSA38" s="2795"/>
      <c r="MSB38" s="2795"/>
      <c r="MSC38" s="2795"/>
      <c r="MSD38" s="2795"/>
      <c r="MSE38" s="2795"/>
      <c r="MSF38" s="2795"/>
      <c r="MSG38" s="2795"/>
      <c r="MSH38" s="2795"/>
      <c r="MSI38" s="2795"/>
      <c r="MSJ38" s="2795"/>
      <c r="MSK38" s="2795"/>
      <c r="MSL38" s="2795"/>
      <c r="MSM38" s="2795"/>
      <c r="MSN38" s="2795"/>
      <c r="MSO38" s="2795"/>
      <c r="MSP38" s="2795"/>
      <c r="MSQ38" s="2795"/>
      <c r="MSR38" s="2795"/>
      <c r="MSS38" s="2795"/>
      <c r="MST38" s="2795"/>
      <c r="MSU38" s="2795"/>
      <c r="MSV38" s="2795"/>
      <c r="MSW38" s="2795"/>
      <c r="MSX38" s="2795"/>
      <c r="MSY38" s="2795"/>
      <c r="MSZ38" s="2795"/>
      <c r="MTA38" s="2795"/>
      <c r="MTB38" s="2795"/>
      <c r="MTC38" s="2795"/>
      <c r="MTD38" s="2795"/>
      <c r="MTE38" s="2795"/>
      <c r="MTF38" s="2795"/>
      <c r="MTG38" s="2795"/>
      <c r="MTH38" s="2795"/>
      <c r="MTI38" s="2795"/>
      <c r="MTJ38" s="2795"/>
      <c r="MTK38" s="2795"/>
      <c r="MTL38" s="2795"/>
      <c r="MTM38" s="2795"/>
      <c r="MTN38" s="2795"/>
      <c r="MTO38" s="2795"/>
      <c r="MTP38" s="2795"/>
      <c r="MTQ38" s="2795"/>
      <c r="MTR38" s="2795"/>
      <c r="MTS38" s="2795"/>
      <c r="MTT38" s="2795"/>
      <c r="MTU38" s="2795"/>
      <c r="MTV38" s="2795"/>
      <c r="MTW38" s="2795"/>
      <c r="MTX38" s="2795"/>
      <c r="MTY38" s="2795"/>
      <c r="MTZ38" s="2795"/>
      <c r="MUA38" s="2795"/>
      <c r="MUB38" s="2795"/>
      <c r="MUC38" s="2795"/>
      <c r="MUD38" s="2795"/>
      <c r="MUE38" s="2795"/>
      <c r="MUF38" s="2795"/>
      <c r="MUG38" s="2795"/>
      <c r="MUH38" s="2795"/>
      <c r="MUI38" s="2795"/>
      <c r="MUJ38" s="2795"/>
      <c r="MUK38" s="2795"/>
      <c r="MUL38" s="2795"/>
      <c r="MUM38" s="2795"/>
      <c r="MUN38" s="2795"/>
      <c r="MUO38" s="2795"/>
      <c r="MUP38" s="2795"/>
      <c r="MUQ38" s="2795"/>
      <c r="MUR38" s="2795"/>
      <c r="MUS38" s="2795"/>
      <c r="MUT38" s="2795"/>
      <c r="MUU38" s="2795"/>
      <c r="MUV38" s="2795"/>
      <c r="MUW38" s="2795"/>
      <c r="MUX38" s="2795"/>
      <c r="MUY38" s="2795"/>
      <c r="MUZ38" s="2795"/>
      <c r="MVA38" s="2795"/>
      <c r="MVB38" s="2795"/>
      <c r="MVC38" s="2795"/>
      <c r="MVD38" s="2795"/>
      <c r="MVE38" s="2795"/>
      <c r="MVF38" s="2795"/>
      <c r="MVG38" s="2795"/>
      <c r="MVH38" s="2795"/>
      <c r="MVI38" s="2795"/>
      <c r="MVJ38" s="2795"/>
      <c r="MVK38" s="2795"/>
      <c r="MVL38" s="2795"/>
      <c r="MVM38" s="2795"/>
      <c r="MVN38" s="2795"/>
      <c r="MVO38" s="2795"/>
      <c r="MVP38" s="2795"/>
      <c r="MVQ38" s="2795"/>
      <c r="MVR38" s="2795"/>
      <c r="MVS38" s="2795"/>
      <c r="MVT38" s="2795"/>
      <c r="MVU38" s="2795"/>
      <c r="MVV38" s="2795"/>
      <c r="MVW38" s="2795"/>
      <c r="MVX38" s="2795"/>
      <c r="MVY38" s="2795"/>
      <c r="MVZ38" s="2795"/>
      <c r="MWA38" s="2795"/>
      <c r="MWB38" s="2795"/>
      <c r="MWC38" s="2795"/>
      <c r="MWD38" s="2795"/>
      <c r="MWE38" s="2795"/>
      <c r="MWF38" s="2795"/>
      <c r="MWG38" s="2795"/>
      <c r="MWH38" s="2795"/>
      <c r="MWI38" s="2795"/>
      <c r="MWJ38" s="2795"/>
      <c r="MWK38" s="2795"/>
      <c r="MWL38" s="2795"/>
      <c r="MWM38" s="2795"/>
      <c r="MWN38" s="2795"/>
      <c r="MWO38" s="2795"/>
      <c r="MWP38" s="2795"/>
      <c r="MWQ38" s="2795"/>
      <c r="MWR38" s="2795"/>
      <c r="MWS38" s="2795"/>
      <c r="MWT38" s="2795"/>
      <c r="MWU38" s="2795"/>
      <c r="MWV38" s="2795"/>
      <c r="MWW38" s="2795"/>
      <c r="MWX38" s="2795"/>
      <c r="MWY38" s="2795"/>
      <c r="MWZ38" s="2795"/>
      <c r="MXA38" s="2795"/>
      <c r="MXB38" s="2795"/>
      <c r="MXC38" s="2795"/>
      <c r="MXD38" s="2795"/>
      <c r="MXE38" s="2795"/>
      <c r="MXF38" s="2795"/>
      <c r="MXG38" s="2795"/>
      <c r="MXH38" s="2795"/>
      <c r="MXI38" s="2795"/>
      <c r="MXJ38" s="2795"/>
      <c r="MXK38" s="2795"/>
      <c r="MXL38" s="2795"/>
      <c r="MXM38" s="2795"/>
      <c r="MXN38" s="2795"/>
      <c r="MXO38" s="2795"/>
      <c r="MXP38" s="2795"/>
      <c r="MXQ38" s="2795"/>
      <c r="MXR38" s="2795"/>
      <c r="MXS38" s="2795"/>
      <c r="MXT38" s="2795"/>
      <c r="MXU38" s="2795"/>
      <c r="MXV38" s="2795"/>
      <c r="MXW38" s="2795"/>
      <c r="MXX38" s="2795"/>
      <c r="MXY38" s="2795"/>
      <c r="MXZ38" s="2795"/>
      <c r="MYA38" s="2795"/>
      <c r="MYB38" s="2795"/>
      <c r="MYC38" s="2795"/>
      <c r="MYD38" s="2795"/>
      <c r="MYE38" s="2795"/>
      <c r="MYF38" s="2795"/>
      <c r="MYG38" s="2795"/>
      <c r="MYH38" s="2795"/>
      <c r="MYI38" s="2795"/>
      <c r="MYJ38" s="2795"/>
      <c r="MYK38" s="2795"/>
      <c r="MYL38" s="2795"/>
      <c r="MYM38" s="2795"/>
      <c r="MYN38" s="2795"/>
      <c r="MYO38" s="2795"/>
      <c r="MYP38" s="2795"/>
      <c r="MYQ38" s="2795"/>
      <c r="MYR38" s="2795"/>
      <c r="MYS38" s="2795"/>
      <c r="MYT38" s="2795"/>
      <c r="MYU38" s="2795"/>
      <c r="MYV38" s="2795"/>
      <c r="MYW38" s="2795"/>
      <c r="MYX38" s="2795"/>
      <c r="MYY38" s="2795"/>
      <c r="MYZ38" s="2795"/>
      <c r="MZA38" s="2795"/>
      <c r="MZB38" s="2795"/>
      <c r="MZC38" s="2795"/>
      <c r="MZD38" s="2795"/>
      <c r="MZE38" s="2795"/>
      <c r="MZF38" s="2795"/>
      <c r="MZG38" s="2795"/>
      <c r="MZH38" s="2795"/>
      <c r="MZI38" s="2795"/>
      <c r="MZJ38" s="2795"/>
      <c r="MZK38" s="2795"/>
      <c r="MZL38" s="2795"/>
      <c r="MZM38" s="2795"/>
      <c r="MZN38" s="2795"/>
      <c r="MZO38" s="2795"/>
      <c r="MZP38" s="2795"/>
      <c r="MZQ38" s="2795"/>
      <c r="MZR38" s="2795"/>
      <c r="MZS38" s="2795"/>
      <c r="MZT38" s="2795"/>
      <c r="MZU38" s="2795"/>
      <c r="MZV38" s="2795"/>
      <c r="MZW38" s="2795"/>
      <c r="MZX38" s="2795"/>
      <c r="MZY38" s="2795"/>
      <c r="MZZ38" s="2795"/>
      <c r="NAA38" s="2795"/>
      <c r="NAB38" s="2795"/>
      <c r="NAC38" s="2795"/>
      <c r="NAD38" s="2795"/>
      <c r="NAE38" s="2795"/>
      <c r="NAF38" s="2795"/>
      <c r="NAG38" s="2795"/>
      <c r="NAH38" s="2795"/>
      <c r="NAI38" s="2795"/>
      <c r="NAJ38" s="2795"/>
      <c r="NAK38" s="2795"/>
      <c r="NAL38" s="2795"/>
      <c r="NAM38" s="2795"/>
      <c r="NAN38" s="2795"/>
      <c r="NAO38" s="2795"/>
      <c r="NAP38" s="2795"/>
      <c r="NAQ38" s="2795"/>
      <c r="NAR38" s="2795"/>
      <c r="NAS38" s="2795"/>
      <c r="NAT38" s="2795"/>
      <c r="NAU38" s="2795"/>
      <c r="NAV38" s="2795"/>
      <c r="NAW38" s="2795"/>
      <c r="NAX38" s="2795"/>
      <c r="NAY38" s="2795"/>
      <c r="NAZ38" s="2795"/>
      <c r="NBA38" s="2795"/>
      <c r="NBB38" s="2795"/>
      <c r="NBC38" s="2795"/>
      <c r="NBD38" s="2795"/>
      <c r="NBE38" s="2795"/>
      <c r="NBF38" s="2795"/>
      <c r="NBG38" s="2795"/>
      <c r="NBH38" s="2795"/>
      <c r="NBI38" s="2795"/>
      <c r="NBJ38" s="2795"/>
      <c r="NBK38" s="2795"/>
      <c r="NBL38" s="2795"/>
      <c r="NBM38" s="2795"/>
      <c r="NBN38" s="2795"/>
      <c r="NBO38" s="2795"/>
      <c r="NBP38" s="2795"/>
      <c r="NBQ38" s="2795"/>
      <c r="NBR38" s="2795"/>
      <c r="NBS38" s="2795"/>
      <c r="NBT38" s="2795"/>
      <c r="NBU38" s="2795"/>
      <c r="NBV38" s="2795"/>
      <c r="NBW38" s="2795"/>
      <c r="NBX38" s="2795"/>
      <c r="NBY38" s="2795"/>
      <c r="NBZ38" s="2795"/>
      <c r="NCA38" s="2795"/>
      <c r="NCB38" s="2795"/>
      <c r="NCC38" s="2795"/>
      <c r="NCD38" s="2795"/>
      <c r="NCE38" s="2795"/>
      <c r="NCF38" s="2795"/>
      <c r="NCG38" s="2795"/>
      <c r="NCH38" s="2795"/>
      <c r="NCI38" s="2795"/>
      <c r="NCJ38" s="2795"/>
      <c r="NCK38" s="2795"/>
      <c r="NCL38" s="2795"/>
      <c r="NCM38" s="2795"/>
      <c r="NCN38" s="2795"/>
      <c r="NCO38" s="2795"/>
      <c r="NCP38" s="2795"/>
      <c r="NCQ38" s="2795"/>
      <c r="NCR38" s="2795"/>
      <c r="NCS38" s="2795"/>
      <c r="NCT38" s="2795"/>
      <c r="NCU38" s="2795"/>
      <c r="NCV38" s="2795"/>
      <c r="NCW38" s="2795"/>
      <c r="NCX38" s="2795"/>
      <c r="NCY38" s="2795"/>
      <c r="NCZ38" s="2795"/>
      <c r="NDA38" s="2795"/>
      <c r="NDB38" s="2795"/>
      <c r="NDC38" s="2795"/>
      <c r="NDD38" s="2795"/>
      <c r="NDE38" s="2795"/>
      <c r="NDF38" s="2795"/>
      <c r="NDG38" s="2795"/>
      <c r="NDH38" s="2795"/>
      <c r="NDI38" s="2795"/>
      <c r="NDJ38" s="2795"/>
      <c r="NDK38" s="2795"/>
      <c r="NDL38" s="2795"/>
      <c r="NDM38" s="2795"/>
      <c r="NDN38" s="2795"/>
      <c r="NDO38" s="2795"/>
      <c r="NDP38" s="2795"/>
      <c r="NDQ38" s="2795"/>
      <c r="NDR38" s="2795"/>
      <c r="NDS38" s="2795"/>
      <c r="NDT38" s="2795"/>
      <c r="NDU38" s="2795"/>
      <c r="NDV38" s="2795"/>
      <c r="NDW38" s="2795"/>
      <c r="NDX38" s="2795"/>
      <c r="NDY38" s="2795"/>
      <c r="NDZ38" s="2795"/>
      <c r="NEA38" s="2795"/>
      <c r="NEB38" s="2795"/>
      <c r="NEC38" s="2795"/>
      <c r="NED38" s="2795"/>
      <c r="NEE38" s="2795"/>
      <c r="NEF38" s="2795"/>
      <c r="NEG38" s="2795"/>
      <c r="NEH38" s="2795"/>
      <c r="NEI38" s="2795"/>
      <c r="NEJ38" s="2795"/>
      <c r="NEK38" s="2795"/>
      <c r="NEL38" s="2795"/>
      <c r="NEM38" s="2795"/>
      <c r="NEN38" s="2795"/>
      <c r="NEO38" s="2795"/>
      <c r="NEP38" s="2795"/>
      <c r="NEQ38" s="2795"/>
      <c r="NER38" s="2795"/>
      <c r="NES38" s="2795"/>
      <c r="NET38" s="2795"/>
      <c r="NEU38" s="2795"/>
      <c r="NEV38" s="2795"/>
      <c r="NEW38" s="2795"/>
      <c r="NEX38" s="2795"/>
      <c r="NEY38" s="2795"/>
      <c r="NEZ38" s="2795"/>
      <c r="NFA38" s="2795"/>
      <c r="NFB38" s="2795"/>
      <c r="NFC38" s="2795"/>
      <c r="NFD38" s="2795"/>
      <c r="NFE38" s="2795"/>
      <c r="NFF38" s="2795"/>
      <c r="NFG38" s="2795"/>
      <c r="NFH38" s="2795"/>
      <c r="NFI38" s="2795"/>
      <c r="NFJ38" s="2795"/>
      <c r="NFK38" s="2795"/>
      <c r="NFL38" s="2795"/>
      <c r="NFM38" s="2795"/>
      <c r="NFN38" s="2795"/>
      <c r="NFO38" s="2795"/>
      <c r="NFP38" s="2795"/>
      <c r="NFQ38" s="2795"/>
      <c r="NFR38" s="2795"/>
      <c r="NFS38" s="2795"/>
      <c r="NFT38" s="2795"/>
      <c r="NFU38" s="2795"/>
      <c r="NFV38" s="2795"/>
      <c r="NFW38" s="2795"/>
      <c r="NFX38" s="2795"/>
      <c r="NFY38" s="2795"/>
      <c r="NFZ38" s="2795"/>
      <c r="NGA38" s="2795"/>
      <c r="NGB38" s="2795"/>
      <c r="NGC38" s="2795"/>
      <c r="NGD38" s="2795"/>
      <c r="NGE38" s="2795"/>
      <c r="NGF38" s="2795"/>
      <c r="NGG38" s="2795"/>
      <c r="NGH38" s="2795"/>
      <c r="NGI38" s="2795"/>
      <c r="NGJ38" s="2795"/>
      <c r="NGK38" s="2795"/>
      <c r="NGL38" s="2795"/>
      <c r="NGM38" s="2795"/>
      <c r="NGN38" s="2795"/>
      <c r="NGO38" s="2795"/>
      <c r="NGP38" s="2795"/>
      <c r="NGQ38" s="2795"/>
      <c r="NGR38" s="2795"/>
      <c r="NGS38" s="2795"/>
      <c r="NGT38" s="2795"/>
      <c r="NGU38" s="2795"/>
      <c r="NGV38" s="2795"/>
      <c r="NGW38" s="2795"/>
      <c r="NGX38" s="2795"/>
      <c r="NGY38" s="2795"/>
      <c r="NGZ38" s="2795"/>
      <c r="NHA38" s="2795"/>
      <c r="NHB38" s="2795"/>
      <c r="NHC38" s="2795"/>
      <c r="NHD38" s="2795"/>
      <c r="NHE38" s="2795"/>
      <c r="NHF38" s="2795"/>
      <c r="NHG38" s="2795"/>
      <c r="NHH38" s="2795"/>
      <c r="NHI38" s="2795"/>
      <c r="NHJ38" s="2795"/>
      <c r="NHK38" s="2795"/>
      <c r="NHL38" s="2795"/>
      <c r="NHM38" s="2795"/>
      <c r="NHN38" s="2795"/>
      <c r="NHO38" s="2795"/>
      <c r="NHP38" s="2795"/>
      <c r="NHQ38" s="2795"/>
      <c r="NHR38" s="2795"/>
      <c r="NHS38" s="2795"/>
      <c r="NHT38" s="2795"/>
      <c r="NHU38" s="2795"/>
      <c r="NHV38" s="2795"/>
      <c r="NHW38" s="2795"/>
      <c r="NHX38" s="2795"/>
      <c r="NHY38" s="2795"/>
      <c r="NHZ38" s="2795"/>
      <c r="NIA38" s="2795"/>
      <c r="NIB38" s="2795"/>
      <c r="NIC38" s="2795"/>
      <c r="NID38" s="2795"/>
      <c r="NIE38" s="2795"/>
      <c r="NIF38" s="2795"/>
      <c r="NIG38" s="2795"/>
      <c r="NIH38" s="2795"/>
      <c r="NII38" s="2795"/>
      <c r="NIJ38" s="2795"/>
      <c r="NIK38" s="2795"/>
      <c r="NIL38" s="2795"/>
      <c r="NIM38" s="2795"/>
      <c r="NIN38" s="2795"/>
      <c r="NIO38" s="2795"/>
      <c r="NIP38" s="2795"/>
      <c r="NIQ38" s="2795"/>
      <c r="NIR38" s="2795"/>
      <c r="NIS38" s="2795"/>
      <c r="NIT38" s="2795"/>
      <c r="NIU38" s="2795"/>
      <c r="NIV38" s="2795"/>
      <c r="NIW38" s="2795"/>
      <c r="NIX38" s="2795"/>
      <c r="NIY38" s="2795"/>
      <c r="NIZ38" s="2795"/>
      <c r="NJA38" s="2795"/>
      <c r="NJB38" s="2795"/>
      <c r="NJC38" s="2795"/>
      <c r="NJD38" s="2795"/>
      <c r="NJE38" s="2795"/>
      <c r="NJF38" s="2795"/>
      <c r="NJG38" s="2795"/>
      <c r="NJH38" s="2795"/>
      <c r="NJI38" s="2795"/>
      <c r="NJJ38" s="2795"/>
      <c r="NJK38" s="2795"/>
      <c r="NJL38" s="2795"/>
      <c r="NJM38" s="2795"/>
      <c r="NJN38" s="2795"/>
      <c r="NJO38" s="2795"/>
      <c r="NJP38" s="2795"/>
      <c r="NJQ38" s="2795"/>
      <c r="NJR38" s="2795"/>
      <c r="NJS38" s="2795"/>
      <c r="NJT38" s="2795"/>
      <c r="NJU38" s="2795"/>
      <c r="NJV38" s="2795"/>
      <c r="NJW38" s="2795"/>
      <c r="NJX38" s="2795"/>
      <c r="NJY38" s="2795"/>
      <c r="NJZ38" s="2795"/>
      <c r="NKA38" s="2795"/>
      <c r="NKB38" s="2795"/>
      <c r="NKC38" s="2795"/>
      <c r="NKD38" s="2795"/>
      <c r="NKE38" s="2795"/>
      <c r="NKF38" s="2795"/>
      <c r="NKG38" s="2795"/>
      <c r="NKH38" s="2795"/>
      <c r="NKI38" s="2795"/>
      <c r="NKJ38" s="2795"/>
      <c r="NKK38" s="2795"/>
      <c r="NKL38" s="2795"/>
      <c r="NKM38" s="2795"/>
      <c r="NKN38" s="2795"/>
      <c r="NKO38" s="2795"/>
      <c r="NKP38" s="2795"/>
      <c r="NKQ38" s="2795"/>
      <c r="NKR38" s="2795"/>
      <c r="NKS38" s="2795"/>
      <c r="NKT38" s="2795"/>
      <c r="NKU38" s="2795"/>
      <c r="NKV38" s="2795"/>
      <c r="NKW38" s="2795"/>
      <c r="NKX38" s="2795"/>
      <c r="NKY38" s="2795"/>
      <c r="NKZ38" s="2795"/>
      <c r="NLA38" s="2795"/>
      <c r="NLB38" s="2795"/>
      <c r="NLC38" s="2795"/>
      <c r="NLD38" s="2795"/>
      <c r="NLE38" s="2795"/>
      <c r="NLF38" s="2795"/>
      <c r="NLG38" s="2795"/>
      <c r="NLH38" s="2795"/>
      <c r="NLI38" s="2795"/>
      <c r="NLJ38" s="2795"/>
      <c r="NLK38" s="2795"/>
      <c r="NLL38" s="2795"/>
      <c r="NLM38" s="2795"/>
      <c r="NLN38" s="2795"/>
      <c r="NLO38" s="2795"/>
      <c r="NLP38" s="2795"/>
      <c r="NLQ38" s="2795"/>
      <c r="NLR38" s="2795"/>
      <c r="NLS38" s="2795"/>
      <c r="NLT38" s="2795"/>
      <c r="NLU38" s="2795"/>
      <c r="NLV38" s="2795"/>
      <c r="NLW38" s="2795"/>
      <c r="NLX38" s="2795"/>
      <c r="NLY38" s="2795"/>
      <c r="NLZ38" s="2795"/>
      <c r="NMA38" s="2795"/>
      <c r="NMB38" s="2795"/>
      <c r="NMC38" s="2795"/>
      <c r="NMD38" s="2795"/>
      <c r="NME38" s="2795"/>
      <c r="NMF38" s="2795"/>
      <c r="NMG38" s="2795"/>
      <c r="NMH38" s="2795"/>
      <c r="NMI38" s="2795"/>
      <c r="NMJ38" s="2795"/>
      <c r="NMK38" s="2795"/>
      <c r="NML38" s="2795"/>
      <c r="NMM38" s="2795"/>
      <c r="NMN38" s="2795"/>
      <c r="NMO38" s="2795"/>
      <c r="NMP38" s="2795"/>
      <c r="NMQ38" s="2795"/>
      <c r="NMR38" s="2795"/>
      <c r="NMS38" s="2795"/>
      <c r="NMT38" s="2795"/>
      <c r="NMU38" s="2795"/>
      <c r="NMV38" s="2795"/>
      <c r="NMW38" s="2795"/>
      <c r="NMX38" s="2795"/>
      <c r="NMY38" s="2795"/>
      <c r="NMZ38" s="2795"/>
      <c r="NNA38" s="2795"/>
      <c r="NNB38" s="2795"/>
      <c r="NNC38" s="2795"/>
      <c r="NND38" s="2795"/>
      <c r="NNE38" s="2795"/>
      <c r="NNF38" s="2795"/>
      <c r="NNG38" s="2795"/>
      <c r="NNH38" s="2795"/>
      <c r="NNI38" s="2795"/>
      <c r="NNJ38" s="2795"/>
      <c r="NNK38" s="2795"/>
      <c r="NNL38" s="2795"/>
      <c r="NNM38" s="2795"/>
      <c r="NNN38" s="2795"/>
      <c r="NNO38" s="2795"/>
      <c r="NNP38" s="2795"/>
      <c r="NNQ38" s="2795"/>
      <c r="NNR38" s="2795"/>
      <c r="NNS38" s="2795"/>
      <c r="NNT38" s="2795"/>
      <c r="NNU38" s="2795"/>
      <c r="NNV38" s="2795"/>
      <c r="NNW38" s="2795"/>
      <c r="NNX38" s="2795"/>
      <c r="NNY38" s="2795"/>
      <c r="NNZ38" s="2795"/>
      <c r="NOA38" s="2795"/>
      <c r="NOB38" s="2795"/>
      <c r="NOC38" s="2795"/>
      <c r="NOD38" s="2795"/>
      <c r="NOE38" s="2795"/>
      <c r="NOF38" s="2795"/>
      <c r="NOG38" s="2795"/>
      <c r="NOH38" s="2795"/>
      <c r="NOI38" s="2795"/>
      <c r="NOJ38" s="2795"/>
      <c r="NOK38" s="2795"/>
      <c r="NOL38" s="2795"/>
      <c r="NOM38" s="2795"/>
      <c r="NON38" s="2795"/>
      <c r="NOO38" s="2795"/>
      <c r="NOP38" s="2795"/>
      <c r="NOQ38" s="2795"/>
      <c r="NOR38" s="2795"/>
      <c r="NOS38" s="2795"/>
      <c r="NOT38" s="2795"/>
      <c r="NOU38" s="2795"/>
      <c r="NOV38" s="2795"/>
      <c r="NOW38" s="2795"/>
      <c r="NOX38" s="2795"/>
      <c r="NOY38" s="2795"/>
      <c r="NOZ38" s="2795"/>
      <c r="NPA38" s="2795"/>
      <c r="NPB38" s="2795"/>
      <c r="NPC38" s="2795"/>
      <c r="NPD38" s="2795"/>
      <c r="NPE38" s="2795"/>
      <c r="NPF38" s="2795"/>
      <c r="NPG38" s="2795"/>
      <c r="NPH38" s="2795"/>
      <c r="NPI38" s="2795"/>
      <c r="NPJ38" s="2795"/>
      <c r="NPK38" s="2795"/>
      <c r="NPL38" s="2795"/>
      <c r="NPM38" s="2795"/>
      <c r="NPN38" s="2795"/>
      <c r="NPO38" s="2795"/>
      <c r="NPP38" s="2795"/>
      <c r="NPQ38" s="2795"/>
      <c r="NPR38" s="2795"/>
      <c r="NPS38" s="2795"/>
      <c r="NPT38" s="2795"/>
      <c r="NPU38" s="2795"/>
      <c r="NPV38" s="2795"/>
      <c r="NPW38" s="2795"/>
      <c r="NPX38" s="2795"/>
      <c r="NPY38" s="2795"/>
      <c r="NPZ38" s="2795"/>
      <c r="NQA38" s="2795"/>
      <c r="NQB38" s="2795"/>
      <c r="NQC38" s="2795"/>
      <c r="NQD38" s="2795"/>
      <c r="NQE38" s="2795"/>
      <c r="NQF38" s="2795"/>
      <c r="NQG38" s="2795"/>
      <c r="NQH38" s="2795"/>
      <c r="NQI38" s="2795"/>
      <c r="NQJ38" s="2795"/>
      <c r="NQK38" s="2795"/>
      <c r="NQL38" s="2795"/>
      <c r="NQM38" s="2795"/>
      <c r="NQN38" s="2795"/>
      <c r="NQO38" s="2795"/>
      <c r="NQP38" s="2795"/>
      <c r="NQQ38" s="2795"/>
      <c r="NQR38" s="2795"/>
      <c r="NQS38" s="2795"/>
      <c r="NQT38" s="2795"/>
      <c r="NQU38" s="2795"/>
      <c r="NQV38" s="2795"/>
      <c r="NQW38" s="2795"/>
      <c r="NQX38" s="2795"/>
      <c r="NQY38" s="2795"/>
      <c r="NQZ38" s="2795"/>
      <c r="NRA38" s="2795"/>
      <c r="NRB38" s="2795"/>
      <c r="NRC38" s="2795"/>
      <c r="NRD38" s="2795"/>
      <c r="NRE38" s="2795"/>
      <c r="NRF38" s="2795"/>
      <c r="NRG38" s="2795"/>
      <c r="NRH38" s="2795"/>
      <c r="NRI38" s="2795"/>
      <c r="NRJ38" s="2795"/>
      <c r="NRK38" s="2795"/>
      <c r="NRL38" s="2795"/>
      <c r="NRM38" s="2795"/>
      <c r="NRN38" s="2795"/>
      <c r="NRO38" s="2795"/>
      <c r="NRP38" s="2795"/>
      <c r="NRQ38" s="2795"/>
      <c r="NRR38" s="2795"/>
      <c r="NRS38" s="2795"/>
      <c r="NRT38" s="2795"/>
      <c r="NRU38" s="2795"/>
      <c r="NRV38" s="2795"/>
      <c r="NRW38" s="2795"/>
      <c r="NRX38" s="2795"/>
      <c r="NRY38" s="2795"/>
      <c r="NRZ38" s="2795"/>
      <c r="NSA38" s="2795"/>
      <c r="NSB38" s="2795"/>
      <c r="NSC38" s="2795"/>
      <c r="NSD38" s="2795"/>
      <c r="NSE38" s="2795"/>
      <c r="NSF38" s="2795"/>
      <c r="NSG38" s="2795"/>
      <c r="NSH38" s="2795"/>
      <c r="NSI38" s="2795"/>
      <c r="NSJ38" s="2795"/>
      <c r="NSK38" s="2795"/>
      <c r="NSL38" s="2795"/>
      <c r="NSM38" s="2795"/>
      <c r="NSN38" s="2795"/>
      <c r="NSO38" s="2795"/>
      <c r="NSP38" s="2795"/>
      <c r="NSQ38" s="2795"/>
      <c r="NSR38" s="2795"/>
      <c r="NSS38" s="2795"/>
      <c r="NST38" s="2795"/>
      <c r="NSU38" s="2795"/>
      <c r="NSV38" s="2795"/>
      <c r="NSW38" s="2795"/>
      <c r="NSX38" s="2795"/>
      <c r="NSY38" s="2795"/>
      <c r="NSZ38" s="2795"/>
      <c r="NTA38" s="2795"/>
      <c r="NTB38" s="2795"/>
      <c r="NTC38" s="2795"/>
      <c r="NTD38" s="2795"/>
      <c r="NTE38" s="2795"/>
      <c r="NTF38" s="2795"/>
      <c r="NTG38" s="2795"/>
      <c r="NTH38" s="2795"/>
      <c r="NTI38" s="2795"/>
      <c r="NTJ38" s="2795"/>
      <c r="NTK38" s="2795"/>
      <c r="NTL38" s="2795"/>
      <c r="NTM38" s="2795"/>
      <c r="NTN38" s="2795"/>
      <c r="NTO38" s="2795"/>
      <c r="NTP38" s="2795"/>
      <c r="NTQ38" s="2795"/>
      <c r="NTR38" s="2795"/>
      <c r="NTS38" s="2795"/>
      <c r="NTT38" s="2795"/>
      <c r="NTU38" s="2795"/>
      <c r="NTV38" s="2795"/>
      <c r="NTW38" s="2795"/>
      <c r="NTX38" s="2795"/>
      <c r="NTY38" s="2795"/>
      <c r="NTZ38" s="2795"/>
      <c r="NUA38" s="2795"/>
      <c r="NUB38" s="2795"/>
      <c r="NUC38" s="2795"/>
      <c r="NUD38" s="2795"/>
      <c r="NUE38" s="2795"/>
      <c r="NUF38" s="2795"/>
      <c r="NUG38" s="2795"/>
      <c r="NUH38" s="2795"/>
      <c r="NUI38" s="2795"/>
      <c r="NUJ38" s="2795"/>
      <c r="NUK38" s="2795"/>
      <c r="NUL38" s="2795"/>
      <c r="NUM38" s="2795"/>
      <c r="NUN38" s="2795"/>
      <c r="NUO38" s="2795"/>
      <c r="NUP38" s="2795"/>
      <c r="NUQ38" s="2795"/>
      <c r="NUR38" s="2795"/>
      <c r="NUS38" s="2795"/>
      <c r="NUT38" s="2795"/>
      <c r="NUU38" s="2795"/>
      <c r="NUV38" s="2795"/>
      <c r="NUW38" s="2795"/>
      <c r="NUX38" s="2795"/>
      <c r="NUY38" s="2795"/>
      <c r="NUZ38" s="2795"/>
      <c r="NVA38" s="2795"/>
      <c r="NVB38" s="2795"/>
      <c r="NVC38" s="2795"/>
      <c r="NVD38" s="2795"/>
      <c r="NVE38" s="2795"/>
      <c r="NVF38" s="2795"/>
      <c r="NVG38" s="2795"/>
      <c r="NVH38" s="2795"/>
      <c r="NVI38" s="2795"/>
      <c r="NVJ38" s="2795"/>
      <c r="NVK38" s="2795"/>
      <c r="NVL38" s="2795"/>
      <c r="NVM38" s="2795"/>
      <c r="NVN38" s="2795"/>
      <c r="NVO38" s="2795"/>
      <c r="NVP38" s="2795"/>
      <c r="NVQ38" s="2795"/>
      <c r="NVR38" s="2795"/>
      <c r="NVS38" s="2795"/>
      <c r="NVT38" s="2795"/>
      <c r="NVU38" s="2795"/>
      <c r="NVV38" s="2795"/>
      <c r="NVW38" s="2795"/>
      <c r="NVX38" s="2795"/>
      <c r="NVY38" s="2795"/>
      <c r="NVZ38" s="2795"/>
      <c r="NWA38" s="2795"/>
      <c r="NWB38" s="2795"/>
      <c r="NWC38" s="2795"/>
      <c r="NWD38" s="2795"/>
      <c r="NWE38" s="2795"/>
      <c r="NWF38" s="2795"/>
      <c r="NWG38" s="2795"/>
      <c r="NWH38" s="2795"/>
      <c r="NWI38" s="2795"/>
      <c r="NWJ38" s="2795"/>
      <c r="NWK38" s="2795"/>
      <c r="NWL38" s="2795"/>
      <c r="NWM38" s="2795"/>
      <c r="NWN38" s="2795"/>
      <c r="NWO38" s="2795"/>
      <c r="NWP38" s="2795"/>
      <c r="NWQ38" s="2795"/>
      <c r="NWR38" s="2795"/>
      <c r="NWS38" s="2795"/>
      <c r="NWT38" s="2795"/>
      <c r="NWU38" s="2795"/>
      <c r="NWV38" s="2795"/>
      <c r="NWW38" s="2795"/>
      <c r="NWX38" s="2795"/>
      <c r="NWY38" s="2795"/>
      <c r="NWZ38" s="2795"/>
      <c r="NXA38" s="2795"/>
      <c r="NXB38" s="2795"/>
      <c r="NXC38" s="2795"/>
      <c r="NXD38" s="2795"/>
      <c r="NXE38" s="2795"/>
      <c r="NXF38" s="2795"/>
      <c r="NXG38" s="2795"/>
      <c r="NXH38" s="2795"/>
      <c r="NXI38" s="2795"/>
      <c r="NXJ38" s="2795"/>
      <c r="NXK38" s="2795"/>
      <c r="NXL38" s="2795"/>
      <c r="NXM38" s="2795"/>
      <c r="NXN38" s="2795"/>
      <c r="NXO38" s="2795"/>
      <c r="NXP38" s="2795"/>
      <c r="NXQ38" s="2795"/>
      <c r="NXR38" s="2795"/>
      <c r="NXS38" s="2795"/>
      <c r="NXT38" s="2795"/>
      <c r="NXU38" s="2795"/>
      <c r="NXV38" s="2795"/>
      <c r="NXW38" s="2795"/>
      <c r="NXX38" s="2795"/>
      <c r="NXY38" s="2795"/>
      <c r="NXZ38" s="2795"/>
      <c r="NYA38" s="2795"/>
      <c r="NYB38" s="2795"/>
      <c r="NYC38" s="2795"/>
      <c r="NYD38" s="2795"/>
      <c r="NYE38" s="2795"/>
      <c r="NYF38" s="2795"/>
      <c r="NYG38" s="2795"/>
      <c r="NYH38" s="2795"/>
      <c r="NYI38" s="2795"/>
      <c r="NYJ38" s="2795"/>
      <c r="NYK38" s="2795"/>
      <c r="NYL38" s="2795"/>
      <c r="NYM38" s="2795"/>
      <c r="NYN38" s="2795"/>
      <c r="NYO38" s="2795"/>
      <c r="NYP38" s="2795"/>
      <c r="NYQ38" s="2795"/>
      <c r="NYR38" s="2795"/>
      <c r="NYS38" s="2795"/>
      <c r="NYT38" s="2795"/>
      <c r="NYU38" s="2795"/>
      <c r="NYV38" s="2795"/>
      <c r="NYW38" s="2795"/>
      <c r="NYX38" s="2795"/>
      <c r="NYY38" s="2795"/>
      <c r="NYZ38" s="2795"/>
      <c r="NZA38" s="2795"/>
      <c r="NZB38" s="2795"/>
      <c r="NZC38" s="2795"/>
      <c r="NZD38" s="2795"/>
      <c r="NZE38" s="2795"/>
      <c r="NZF38" s="2795"/>
      <c r="NZG38" s="2795"/>
      <c r="NZH38" s="2795"/>
      <c r="NZI38" s="2795"/>
      <c r="NZJ38" s="2795"/>
      <c r="NZK38" s="2795"/>
      <c r="NZL38" s="2795"/>
      <c r="NZM38" s="2795"/>
      <c r="NZN38" s="2795"/>
      <c r="NZO38" s="2795"/>
      <c r="NZP38" s="2795"/>
      <c r="NZQ38" s="2795"/>
      <c r="NZR38" s="2795"/>
      <c r="NZS38" s="2795"/>
      <c r="NZT38" s="2795"/>
      <c r="NZU38" s="2795"/>
      <c r="NZV38" s="2795"/>
      <c r="NZW38" s="2795"/>
      <c r="NZX38" s="2795"/>
      <c r="NZY38" s="2795"/>
      <c r="NZZ38" s="2795"/>
      <c r="OAA38" s="2795"/>
      <c r="OAB38" s="2795"/>
      <c r="OAC38" s="2795"/>
      <c r="OAD38" s="2795"/>
      <c r="OAE38" s="2795"/>
      <c r="OAF38" s="2795"/>
      <c r="OAG38" s="2795"/>
      <c r="OAH38" s="2795"/>
      <c r="OAI38" s="2795"/>
      <c r="OAJ38" s="2795"/>
      <c r="OAK38" s="2795"/>
      <c r="OAL38" s="2795"/>
      <c r="OAM38" s="2795"/>
      <c r="OAN38" s="2795"/>
      <c r="OAO38" s="2795"/>
      <c r="OAP38" s="2795"/>
      <c r="OAQ38" s="2795"/>
      <c r="OAR38" s="2795"/>
      <c r="OAS38" s="2795"/>
      <c r="OAT38" s="2795"/>
      <c r="OAU38" s="2795"/>
      <c r="OAV38" s="2795"/>
      <c r="OAW38" s="2795"/>
      <c r="OAX38" s="2795"/>
      <c r="OAY38" s="2795"/>
      <c r="OAZ38" s="2795"/>
      <c r="OBA38" s="2795"/>
      <c r="OBB38" s="2795"/>
      <c r="OBC38" s="2795"/>
      <c r="OBD38" s="2795"/>
      <c r="OBE38" s="2795"/>
      <c r="OBF38" s="2795"/>
      <c r="OBG38" s="2795"/>
      <c r="OBH38" s="2795"/>
      <c r="OBI38" s="2795"/>
      <c r="OBJ38" s="2795"/>
      <c r="OBK38" s="2795"/>
      <c r="OBL38" s="2795"/>
      <c r="OBM38" s="2795"/>
      <c r="OBN38" s="2795"/>
      <c r="OBO38" s="2795"/>
      <c r="OBP38" s="2795"/>
      <c r="OBQ38" s="2795"/>
      <c r="OBR38" s="2795"/>
      <c r="OBS38" s="2795"/>
      <c r="OBT38" s="2795"/>
      <c r="OBU38" s="2795"/>
      <c r="OBV38" s="2795"/>
      <c r="OBW38" s="2795"/>
      <c r="OBX38" s="2795"/>
      <c r="OBY38" s="2795"/>
      <c r="OBZ38" s="2795"/>
      <c r="OCA38" s="2795"/>
      <c r="OCB38" s="2795"/>
      <c r="OCC38" s="2795"/>
      <c r="OCD38" s="2795"/>
      <c r="OCE38" s="2795"/>
      <c r="OCF38" s="2795"/>
      <c r="OCG38" s="2795"/>
      <c r="OCH38" s="2795"/>
      <c r="OCI38" s="2795"/>
      <c r="OCJ38" s="2795"/>
      <c r="OCK38" s="2795"/>
      <c r="OCL38" s="2795"/>
      <c r="OCM38" s="2795"/>
      <c r="OCN38" s="2795"/>
      <c r="OCO38" s="2795"/>
      <c r="OCP38" s="2795"/>
      <c r="OCQ38" s="2795"/>
      <c r="OCR38" s="2795"/>
      <c r="OCS38" s="2795"/>
      <c r="OCT38" s="2795"/>
      <c r="OCU38" s="2795"/>
      <c r="OCV38" s="2795"/>
      <c r="OCW38" s="2795"/>
      <c r="OCX38" s="2795"/>
      <c r="OCY38" s="2795"/>
      <c r="OCZ38" s="2795"/>
      <c r="ODA38" s="2795"/>
      <c r="ODB38" s="2795"/>
      <c r="ODC38" s="2795"/>
      <c r="ODD38" s="2795"/>
      <c r="ODE38" s="2795"/>
      <c r="ODF38" s="2795"/>
      <c r="ODG38" s="2795"/>
      <c r="ODH38" s="2795"/>
      <c r="ODI38" s="2795"/>
      <c r="ODJ38" s="2795"/>
      <c r="ODK38" s="2795"/>
      <c r="ODL38" s="2795"/>
      <c r="ODM38" s="2795"/>
      <c r="ODN38" s="2795"/>
      <c r="ODO38" s="2795"/>
      <c r="ODP38" s="2795"/>
      <c r="ODQ38" s="2795"/>
      <c r="ODR38" s="2795"/>
      <c r="ODS38" s="2795"/>
      <c r="ODT38" s="2795"/>
      <c r="ODU38" s="2795"/>
      <c r="ODV38" s="2795"/>
      <c r="ODW38" s="2795"/>
      <c r="ODX38" s="2795"/>
      <c r="ODY38" s="2795"/>
      <c r="ODZ38" s="2795"/>
      <c r="OEA38" s="2795"/>
      <c r="OEB38" s="2795"/>
      <c r="OEC38" s="2795"/>
      <c r="OED38" s="2795"/>
      <c r="OEE38" s="2795"/>
      <c r="OEF38" s="2795"/>
      <c r="OEG38" s="2795"/>
      <c r="OEH38" s="2795"/>
      <c r="OEI38" s="2795"/>
      <c r="OEJ38" s="2795"/>
      <c r="OEK38" s="2795"/>
      <c r="OEL38" s="2795"/>
      <c r="OEM38" s="2795"/>
      <c r="OEN38" s="2795"/>
      <c r="OEO38" s="2795"/>
      <c r="OEP38" s="2795"/>
      <c r="OEQ38" s="2795"/>
      <c r="OER38" s="2795"/>
      <c r="OES38" s="2795"/>
      <c r="OET38" s="2795"/>
      <c r="OEU38" s="2795"/>
      <c r="OEV38" s="2795"/>
      <c r="OEW38" s="2795"/>
      <c r="OEX38" s="2795"/>
      <c r="OEY38" s="2795"/>
      <c r="OEZ38" s="2795"/>
      <c r="OFA38" s="2795"/>
      <c r="OFB38" s="2795"/>
      <c r="OFC38" s="2795"/>
      <c r="OFD38" s="2795"/>
      <c r="OFE38" s="2795"/>
      <c r="OFF38" s="2795"/>
      <c r="OFG38" s="2795"/>
      <c r="OFH38" s="2795"/>
      <c r="OFI38" s="2795"/>
      <c r="OFJ38" s="2795"/>
      <c r="OFK38" s="2795"/>
      <c r="OFL38" s="2795"/>
      <c r="OFM38" s="2795"/>
      <c r="OFN38" s="2795"/>
      <c r="OFO38" s="2795"/>
      <c r="OFP38" s="2795"/>
      <c r="OFQ38" s="2795"/>
      <c r="OFR38" s="2795"/>
      <c r="OFS38" s="2795"/>
      <c r="OFT38" s="2795"/>
      <c r="OFU38" s="2795"/>
      <c r="OFV38" s="2795"/>
      <c r="OFW38" s="2795"/>
      <c r="OFX38" s="2795"/>
      <c r="OFY38" s="2795"/>
      <c r="OFZ38" s="2795"/>
      <c r="OGA38" s="2795"/>
      <c r="OGB38" s="2795"/>
      <c r="OGC38" s="2795"/>
      <c r="OGD38" s="2795"/>
      <c r="OGE38" s="2795"/>
      <c r="OGF38" s="2795"/>
      <c r="OGG38" s="2795"/>
      <c r="OGH38" s="2795"/>
      <c r="OGI38" s="2795"/>
      <c r="OGJ38" s="2795"/>
      <c r="OGK38" s="2795"/>
      <c r="OGL38" s="2795"/>
      <c r="OGM38" s="2795"/>
      <c r="OGN38" s="2795"/>
      <c r="OGO38" s="2795"/>
      <c r="OGP38" s="2795"/>
      <c r="OGQ38" s="2795"/>
      <c r="OGR38" s="2795"/>
      <c r="OGS38" s="2795"/>
      <c r="OGT38" s="2795"/>
      <c r="OGU38" s="2795"/>
      <c r="OGV38" s="2795"/>
      <c r="OGW38" s="2795"/>
      <c r="OGX38" s="2795"/>
      <c r="OGY38" s="2795"/>
      <c r="OGZ38" s="2795"/>
      <c r="OHA38" s="2795"/>
      <c r="OHB38" s="2795"/>
      <c r="OHC38" s="2795"/>
      <c r="OHD38" s="2795"/>
      <c r="OHE38" s="2795"/>
      <c r="OHF38" s="2795"/>
      <c r="OHG38" s="2795"/>
      <c r="OHH38" s="2795"/>
      <c r="OHI38" s="2795"/>
      <c r="OHJ38" s="2795"/>
      <c r="OHK38" s="2795"/>
      <c r="OHL38" s="2795"/>
      <c r="OHM38" s="2795"/>
      <c r="OHN38" s="2795"/>
      <c r="OHO38" s="2795"/>
      <c r="OHP38" s="2795"/>
      <c r="OHQ38" s="2795"/>
      <c r="OHR38" s="2795"/>
      <c r="OHS38" s="2795"/>
      <c r="OHT38" s="2795"/>
      <c r="OHU38" s="2795"/>
      <c r="OHV38" s="2795"/>
      <c r="OHW38" s="2795"/>
      <c r="OHX38" s="2795"/>
      <c r="OHY38" s="2795"/>
      <c r="OHZ38" s="2795"/>
      <c r="OIA38" s="2795"/>
      <c r="OIB38" s="2795"/>
      <c r="OIC38" s="2795"/>
      <c r="OID38" s="2795"/>
      <c r="OIE38" s="2795"/>
      <c r="OIF38" s="2795"/>
      <c r="OIG38" s="2795"/>
      <c r="OIH38" s="2795"/>
      <c r="OII38" s="2795"/>
      <c r="OIJ38" s="2795"/>
      <c r="OIK38" s="2795"/>
      <c r="OIL38" s="2795"/>
      <c r="OIM38" s="2795"/>
      <c r="OIN38" s="2795"/>
      <c r="OIO38" s="2795"/>
      <c r="OIP38" s="2795"/>
      <c r="OIQ38" s="2795"/>
      <c r="OIR38" s="2795"/>
      <c r="OIS38" s="2795"/>
      <c r="OIT38" s="2795"/>
      <c r="OIU38" s="2795"/>
      <c r="OIV38" s="2795"/>
      <c r="OIW38" s="2795"/>
      <c r="OIX38" s="2795"/>
      <c r="OIY38" s="2795"/>
      <c r="OIZ38" s="2795"/>
      <c r="OJA38" s="2795"/>
      <c r="OJB38" s="2795"/>
      <c r="OJC38" s="2795"/>
      <c r="OJD38" s="2795"/>
      <c r="OJE38" s="2795"/>
      <c r="OJF38" s="2795"/>
      <c r="OJG38" s="2795"/>
      <c r="OJH38" s="2795"/>
      <c r="OJI38" s="2795"/>
      <c r="OJJ38" s="2795"/>
      <c r="OJK38" s="2795"/>
      <c r="OJL38" s="2795"/>
      <c r="OJM38" s="2795"/>
      <c r="OJN38" s="2795"/>
      <c r="OJO38" s="2795"/>
      <c r="OJP38" s="2795"/>
      <c r="OJQ38" s="2795"/>
      <c r="OJR38" s="2795"/>
      <c r="OJS38" s="2795"/>
      <c r="OJT38" s="2795"/>
      <c r="OJU38" s="2795"/>
      <c r="OJV38" s="2795"/>
      <c r="OJW38" s="2795"/>
      <c r="OJX38" s="2795"/>
      <c r="OJY38" s="2795"/>
      <c r="OJZ38" s="2795"/>
      <c r="OKA38" s="2795"/>
      <c r="OKB38" s="2795"/>
      <c r="OKC38" s="2795"/>
      <c r="OKD38" s="2795"/>
      <c r="OKE38" s="2795"/>
      <c r="OKF38" s="2795"/>
      <c r="OKG38" s="2795"/>
      <c r="OKH38" s="2795"/>
      <c r="OKI38" s="2795"/>
      <c r="OKJ38" s="2795"/>
      <c r="OKK38" s="2795"/>
      <c r="OKL38" s="2795"/>
      <c r="OKM38" s="2795"/>
      <c r="OKN38" s="2795"/>
      <c r="OKO38" s="2795"/>
      <c r="OKP38" s="2795"/>
      <c r="OKQ38" s="2795"/>
      <c r="OKR38" s="2795"/>
      <c r="OKS38" s="2795"/>
      <c r="OKT38" s="2795"/>
      <c r="OKU38" s="2795"/>
      <c r="OKV38" s="2795"/>
      <c r="OKW38" s="2795"/>
      <c r="OKX38" s="2795"/>
      <c r="OKY38" s="2795"/>
      <c r="OKZ38" s="2795"/>
      <c r="OLA38" s="2795"/>
      <c r="OLB38" s="2795"/>
      <c r="OLC38" s="2795"/>
      <c r="OLD38" s="2795"/>
      <c r="OLE38" s="2795"/>
      <c r="OLF38" s="2795"/>
      <c r="OLG38" s="2795"/>
      <c r="OLH38" s="2795"/>
      <c r="OLI38" s="2795"/>
      <c r="OLJ38" s="2795"/>
      <c r="OLK38" s="2795"/>
      <c r="OLL38" s="2795"/>
      <c r="OLM38" s="2795"/>
      <c r="OLN38" s="2795"/>
      <c r="OLO38" s="2795"/>
      <c r="OLP38" s="2795"/>
      <c r="OLQ38" s="2795"/>
      <c r="OLR38" s="2795"/>
      <c r="OLS38" s="2795"/>
      <c r="OLT38" s="2795"/>
      <c r="OLU38" s="2795"/>
      <c r="OLV38" s="2795"/>
      <c r="OLW38" s="2795"/>
      <c r="OLX38" s="2795"/>
      <c r="OLY38" s="2795"/>
      <c r="OLZ38" s="2795"/>
      <c r="OMA38" s="2795"/>
      <c r="OMB38" s="2795"/>
      <c r="OMC38" s="2795"/>
      <c r="OMD38" s="2795"/>
      <c r="OME38" s="2795"/>
      <c r="OMF38" s="2795"/>
      <c r="OMG38" s="2795"/>
      <c r="OMH38" s="2795"/>
      <c r="OMI38" s="2795"/>
      <c r="OMJ38" s="2795"/>
      <c r="OMK38" s="2795"/>
      <c r="OML38" s="2795"/>
      <c r="OMM38" s="2795"/>
      <c r="OMN38" s="2795"/>
      <c r="OMO38" s="2795"/>
      <c r="OMP38" s="2795"/>
      <c r="OMQ38" s="2795"/>
      <c r="OMR38" s="2795"/>
      <c r="OMS38" s="2795"/>
      <c r="OMT38" s="2795"/>
      <c r="OMU38" s="2795"/>
      <c r="OMV38" s="2795"/>
      <c r="OMW38" s="2795"/>
      <c r="OMX38" s="2795"/>
      <c r="OMY38" s="2795"/>
      <c r="OMZ38" s="2795"/>
      <c r="ONA38" s="2795"/>
      <c r="ONB38" s="2795"/>
      <c r="ONC38" s="2795"/>
      <c r="OND38" s="2795"/>
      <c r="ONE38" s="2795"/>
      <c r="ONF38" s="2795"/>
      <c r="ONG38" s="2795"/>
      <c r="ONH38" s="2795"/>
      <c r="ONI38" s="2795"/>
      <c r="ONJ38" s="2795"/>
      <c r="ONK38" s="2795"/>
      <c r="ONL38" s="2795"/>
      <c r="ONM38" s="2795"/>
      <c r="ONN38" s="2795"/>
      <c r="ONO38" s="2795"/>
      <c r="ONP38" s="2795"/>
      <c r="ONQ38" s="2795"/>
      <c r="ONR38" s="2795"/>
      <c r="ONS38" s="2795"/>
      <c r="ONT38" s="2795"/>
      <c r="ONU38" s="2795"/>
      <c r="ONV38" s="2795"/>
      <c r="ONW38" s="2795"/>
      <c r="ONX38" s="2795"/>
      <c r="ONY38" s="2795"/>
      <c r="ONZ38" s="2795"/>
      <c r="OOA38" s="2795"/>
      <c r="OOB38" s="2795"/>
      <c r="OOC38" s="2795"/>
      <c r="OOD38" s="2795"/>
      <c r="OOE38" s="2795"/>
      <c r="OOF38" s="2795"/>
      <c r="OOG38" s="2795"/>
      <c r="OOH38" s="2795"/>
      <c r="OOI38" s="2795"/>
      <c r="OOJ38" s="2795"/>
      <c r="OOK38" s="2795"/>
      <c r="OOL38" s="2795"/>
      <c r="OOM38" s="2795"/>
      <c r="OON38" s="2795"/>
      <c r="OOO38" s="2795"/>
      <c r="OOP38" s="2795"/>
      <c r="OOQ38" s="2795"/>
      <c r="OOR38" s="2795"/>
      <c r="OOS38" s="2795"/>
      <c r="OOT38" s="2795"/>
      <c r="OOU38" s="2795"/>
      <c r="OOV38" s="2795"/>
      <c r="OOW38" s="2795"/>
      <c r="OOX38" s="2795"/>
      <c r="OOY38" s="2795"/>
      <c r="OOZ38" s="2795"/>
      <c r="OPA38" s="2795"/>
      <c r="OPB38" s="2795"/>
      <c r="OPC38" s="2795"/>
      <c r="OPD38" s="2795"/>
      <c r="OPE38" s="2795"/>
      <c r="OPF38" s="2795"/>
      <c r="OPG38" s="2795"/>
      <c r="OPH38" s="2795"/>
      <c r="OPI38" s="2795"/>
      <c r="OPJ38" s="2795"/>
      <c r="OPK38" s="2795"/>
      <c r="OPL38" s="2795"/>
      <c r="OPM38" s="2795"/>
      <c r="OPN38" s="2795"/>
      <c r="OPO38" s="2795"/>
      <c r="OPP38" s="2795"/>
      <c r="OPQ38" s="2795"/>
      <c r="OPR38" s="2795"/>
      <c r="OPS38" s="2795"/>
      <c r="OPT38" s="2795"/>
      <c r="OPU38" s="2795"/>
      <c r="OPV38" s="2795"/>
      <c r="OPW38" s="2795"/>
      <c r="OPX38" s="2795"/>
      <c r="OPY38" s="2795"/>
      <c r="OPZ38" s="2795"/>
      <c r="OQA38" s="2795"/>
      <c r="OQB38" s="2795"/>
      <c r="OQC38" s="2795"/>
      <c r="OQD38" s="2795"/>
      <c r="OQE38" s="2795"/>
      <c r="OQF38" s="2795"/>
      <c r="OQG38" s="2795"/>
      <c r="OQH38" s="2795"/>
      <c r="OQI38" s="2795"/>
      <c r="OQJ38" s="2795"/>
      <c r="OQK38" s="2795"/>
      <c r="OQL38" s="2795"/>
      <c r="OQM38" s="2795"/>
      <c r="OQN38" s="2795"/>
      <c r="OQO38" s="2795"/>
      <c r="OQP38" s="2795"/>
      <c r="OQQ38" s="2795"/>
      <c r="OQR38" s="2795"/>
      <c r="OQS38" s="2795"/>
      <c r="OQT38" s="2795"/>
      <c r="OQU38" s="2795"/>
      <c r="OQV38" s="2795"/>
      <c r="OQW38" s="2795"/>
      <c r="OQX38" s="2795"/>
      <c r="OQY38" s="2795"/>
      <c r="OQZ38" s="2795"/>
      <c r="ORA38" s="2795"/>
      <c r="ORB38" s="2795"/>
      <c r="ORC38" s="2795"/>
      <c r="ORD38" s="2795"/>
      <c r="ORE38" s="2795"/>
      <c r="ORF38" s="2795"/>
      <c r="ORG38" s="2795"/>
      <c r="ORH38" s="2795"/>
      <c r="ORI38" s="2795"/>
      <c r="ORJ38" s="2795"/>
      <c r="ORK38" s="2795"/>
      <c r="ORL38" s="2795"/>
      <c r="ORM38" s="2795"/>
      <c r="ORN38" s="2795"/>
      <c r="ORO38" s="2795"/>
      <c r="ORP38" s="2795"/>
      <c r="ORQ38" s="2795"/>
      <c r="ORR38" s="2795"/>
      <c r="ORS38" s="2795"/>
      <c r="ORT38" s="2795"/>
      <c r="ORU38" s="2795"/>
      <c r="ORV38" s="2795"/>
      <c r="ORW38" s="2795"/>
      <c r="ORX38" s="2795"/>
      <c r="ORY38" s="2795"/>
      <c r="ORZ38" s="2795"/>
      <c r="OSA38" s="2795"/>
      <c r="OSB38" s="2795"/>
      <c r="OSC38" s="2795"/>
      <c r="OSD38" s="2795"/>
      <c r="OSE38" s="2795"/>
      <c r="OSF38" s="2795"/>
      <c r="OSG38" s="2795"/>
      <c r="OSH38" s="2795"/>
      <c r="OSI38" s="2795"/>
      <c r="OSJ38" s="2795"/>
      <c r="OSK38" s="2795"/>
      <c r="OSL38" s="2795"/>
      <c r="OSM38" s="2795"/>
      <c r="OSN38" s="2795"/>
      <c r="OSO38" s="2795"/>
      <c r="OSP38" s="2795"/>
      <c r="OSQ38" s="2795"/>
      <c r="OSR38" s="2795"/>
      <c r="OSS38" s="2795"/>
      <c r="OST38" s="2795"/>
      <c r="OSU38" s="2795"/>
      <c r="OSV38" s="2795"/>
      <c r="OSW38" s="2795"/>
      <c r="OSX38" s="2795"/>
      <c r="OSY38" s="2795"/>
      <c r="OSZ38" s="2795"/>
      <c r="OTA38" s="2795"/>
      <c r="OTB38" s="2795"/>
      <c r="OTC38" s="2795"/>
      <c r="OTD38" s="2795"/>
      <c r="OTE38" s="2795"/>
      <c r="OTF38" s="2795"/>
      <c r="OTG38" s="2795"/>
      <c r="OTH38" s="2795"/>
      <c r="OTI38" s="2795"/>
      <c r="OTJ38" s="2795"/>
      <c r="OTK38" s="2795"/>
      <c r="OTL38" s="2795"/>
      <c r="OTM38" s="2795"/>
      <c r="OTN38" s="2795"/>
      <c r="OTO38" s="2795"/>
      <c r="OTP38" s="2795"/>
      <c r="OTQ38" s="2795"/>
      <c r="OTR38" s="2795"/>
      <c r="OTS38" s="2795"/>
      <c r="OTT38" s="2795"/>
      <c r="OTU38" s="2795"/>
      <c r="OTV38" s="2795"/>
      <c r="OTW38" s="2795"/>
      <c r="OTX38" s="2795"/>
      <c r="OTY38" s="2795"/>
      <c r="OTZ38" s="2795"/>
      <c r="OUA38" s="2795"/>
      <c r="OUB38" s="2795"/>
      <c r="OUC38" s="2795"/>
      <c r="OUD38" s="2795"/>
      <c r="OUE38" s="2795"/>
      <c r="OUF38" s="2795"/>
      <c r="OUG38" s="2795"/>
      <c r="OUH38" s="2795"/>
      <c r="OUI38" s="2795"/>
      <c r="OUJ38" s="2795"/>
      <c r="OUK38" s="2795"/>
      <c r="OUL38" s="2795"/>
      <c r="OUM38" s="2795"/>
      <c r="OUN38" s="2795"/>
      <c r="OUO38" s="2795"/>
      <c r="OUP38" s="2795"/>
      <c r="OUQ38" s="2795"/>
      <c r="OUR38" s="2795"/>
      <c r="OUS38" s="2795"/>
      <c r="OUT38" s="2795"/>
      <c r="OUU38" s="2795"/>
      <c r="OUV38" s="2795"/>
      <c r="OUW38" s="2795"/>
      <c r="OUX38" s="2795"/>
      <c r="OUY38" s="2795"/>
      <c r="OUZ38" s="2795"/>
      <c r="OVA38" s="2795"/>
      <c r="OVB38" s="2795"/>
      <c r="OVC38" s="2795"/>
      <c r="OVD38" s="2795"/>
      <c r="OVE38" s="2795"/>
      <c r="OVF38" s="2795"/>
      <c r="OVG38" s="2795"/>
      <c r="OVH38" s="2795"/>
      <c r="OVI38" s="2795"/>
      <c r="OVJ38" s="2795"/>
      <c r="OVK38" s="2795"/>
      <c r="OVL38" s="2795"/>
      <c r="OVM38" s="2795"/>
      <c r="OVN38" s="2795"/>
      <c r="OVO38" s="2795"/>
      <c r="OVP38" s="2795"/>
      <c r="OVQ38" s="2795"/>
      <c r="OVR38" s="2795"/>
      <c r="OVS38" s="2795"/>
      <c r="OVT38" s="2795"/>
      <c r="OVU38" s="2795"/>
      <c r="OVV38" s="2795"/>
      <c r="OVW38" s="2795"/>
      <c r="OVX38" s="2795"/>
      <c r="OVY38" s="2795"/>
      <c r="OVZ38" s="2795"/>
      <c r="OWA38" s="2795"/>
      <c r="OWB38" s="2795"/>
      <c r="OWC38" s="2795"/>
      <c r="OWD38" s="2795"/>
      <c r="OWE38" s="2795"/>
      <c r="OWF38" s="2795"/>
      <c r="OWG38" s="2795"/>
      <c r="OWH38" s="2795"/>
      <c r="OWI38" s="2795"/>
      <c r="OWJ38" s="2795"/>
      <c r="OWK38" s="2795"/>
      <c r="OWL38" s="2795"/>
      <c r="OWM38" s="2795"/>
      <c r="OWN38" s="2795"/>
      <c r="OWO38" s="2795"/>
      <c r="OWP38" s="2795"/>
      <c r="OWQ38" s="2795"/>
      <c r="OWR38" s="2795"/>
      <c r="OWS38" s="2795"/>
      <c r="OWT38" s="2795"/>
      <c r="OWU38" s="2795"/>
      <c r="OWV38" s="2795"/>
      <c r="OWW38" s="2795"/>
      <c r="OWX38" s="2795"/>
      <c r="OWY38" s="2795"/>
      <c r="OWZ38" s="2795"/>
      <c r="OXA38" s="2795"/>
      <c r="OXB38" s="2795"/>
      <c r="OXC38" s="2795"/>
      <c r="OXD38" s="2795"/>
      <c r="OXE38" s="2795"/>
      <c r="OXF38" s="2795"/>
      <c r="OXG38" s="2795"/>
      <c r="OXH38" s="2795"/>
      <c r="OXI38" s="2795"/>
      <c r="OXJ38" s="2795"/>
      <c r="OXK38" s="2795"/>
      <c r="OXL38" s="2795"/>
      <c r="OXM38" s="2795"/>
      <c r="OXN38" s="2795"/>
      <c r="OXO38" s="2795"/>
      <c r="OXP38" s="2795"/>
      <c r="OXQ38" s="2795"/>
      <c r="OXR38" s="2795"/>
      <c r="OXS38" s="2795"/>
      <c r="OXT38" s="2795"/>
      <c r="OXU38" s="2795"/>
      <c r="OXV38" s="2795"/>
      <c r="OXW38" s="2795"/>
      <c r="OXX38" s="2795"/>
      <c r="OXY38" s="2795"/>
      <c r="OXZ38" s="2795"/>
      <c r="OYA38" s="2795"/>
      <c r="OYB38" s="2795"/>
      <c r="OYC38" s="2795"/>
      <c r="OYD38" s="2795"/>
      <c r="OYE38" s="2795"/>
      <c r="OYF38" s="2795"/>
      <c r="OYG38" s="2795"/>
      <c r="OYH38" s="2795"/>
      <c r="OYI38" s="2795"/>
      <c r="OYJ38" s="2795"/>
      <c r="OYK38" s="2795"/>
      <c r="OYL38" s="2795"/>
      <c r="OYM38" s="2795"/>
      <c r="OYN38" s="2795"/>
      <c r="OYO38" s="2795"/>
      <c r="OYP38" s="2795"/>
      <c r="OYQ38" s="2795"/>
      <c r="OYR38" s="2795"/>
      <c r="OYS38" s="2795"/>
      <c r="OYT38" s="2795"/>
      <c r="OYU38" s="2795"/>
      <c r="OYV38" s="2795"/>
      <c r="OYW38" s="2795"/>
      <c r="OYX38" s="2795"/>
      <c r="OYY38" s="2795"/>
      <c r="OYZ38" s="2795"/>
      <c r="OZA38" s="2795"/>
      <c r="OZB38" s="2795"/>
      <c r="OZC38" s="2795"/>
      <c r="OZD38" s="2795"/>
      <c r="OZE38" s="2795"/>
      <c r="OZF38" s="2795"/>
      <c r="OZG38" s="2795"/>
      <c r="OZH38" s="2795"/>
      <c r="OZI38" s="2795"/>
      <c r="OZJ38" s="2795"/>
      <c r="OZK38" s="2795"/>
      <c r="OZL38" s="2795"/>
      <c r="OZM38" s="2795"/>
      <c r="OZN38" s="2795"/>
      <c r="OZO38" s="2795"/>
      <c r="OZP38" s="2795"/>
      <c r="OZQ38" s="2795"/>
      <c r="OZR38" s="2795"/>
      <c r="OZS38" s="2795"/>
      <c r="OZT38" s="2795"/>
      <c r="OZU38" s="2795"/>
      <c r="OZV38" s="2795"/>
      <c r="OZW38" s="2795"/>
      <c r="OZX38" s="2795"/>
      <c r="OZY38" s="2795"/>
      <c r="OZZ38" s="2795"/>
      <c r="PAA38" s="2795"/>
      <c r="PAB38" s="2795"/>
      <c r="PAC38" s="2795"/>
      <c r="PAD38" s="2795"/>
      <c r="PAE38" s="2795"/>
      <c r="PAF38" s="2795"/>
      <c r="PAG38" s="2795"/>
      <c r="PAH38" s="2795"/>
      <c r="PAI38" s="2795"/>
      <c r="PAJ38" s="2795"/>
      <c r="PAK38" s="2795"/>
      <c r="PAL38" s="2795"/>
      <c r="PAM38" s="2795"/>
      <c r="PAN38" s="2795"/>
      <c r="PAO38" s="2795"/>
      <c r="PAP38" s="2795"/>
      <c r="PAQ38" s="2795"/>
      <c r="PAR38" s="2795"/>
      <c r="PAS38" s="2795"/>
      <c r="PAT38" s="2795"/>
      <c r="PAU38" s="2795"/>
      <c r="PAV38" s="2795"/>
      <c r="PAW38" s="2795"/>
      <c r="PAX38" s="2795"/>
      <c r="PAY38" s="2795"/>
      <c r="PAZ38" s="2795"/>
      <c r="PBA38" s="2795"/>
      <c r="PBB38" s="2795"/>
      <c r="PBC38" s="2795"/>
      <c r="PBD38" s="2795"/>
      <c r="PBE38" s="2795"/>
      <c r="PBF38" s="2795"/>
      <c r="PBG38" s="2795"/>
      <c r="PBH38" s="2795"/>
      <c r="PBI38" s="2795"/>
      <c r="PBJ38" s="2795"/>
      <c r="PBK38" s="2795"/>
      <c r="PBL38" s="2795"/>
      <c r="PBM38" s="2795"/>
      <c r="PBN38" s="2795"/>
      <c r="PBO38" s="2795"/>
      <c r="PBP38" s="2795"/>
      <c r="PBQ38" s="2795"/>
      <c r="PBR38" s="2795"/>
      <c r="PBS38" s="2795"/>
      <c r="PBT38" s="2795"/>
      <c r="PBU38" s="2795"/>
      <c r="PBV38" s="2795"/>
      <c r="PBW38" s="2795"/>
      <c r="PBX38" s="2795"/>
      <c r="PBY38" s="2795"/>
      <c r="PBZ38" s="2795"/>
      <c r="PCA38" s="2795"/>
      <c r="PCB38" s="2795"/>
      <c r="PCC38" s="2795"/>
      <c r="PCD38" s="2795"/>
      <c r="PCE38" s="2795"/>
      <c r="PCF38" s="2795"/>
      <c r="PCG38" s="2795"/>
      <c r="PCH38" s="2795"/>
      <c r="PCI38" s="2795"/>
      <c r="PCJ38" s="2795"/>
      <c r="PCK38" s="2795"/>
      <c r="PCL38" s="2795"/>
      <c r="PCM38" s="2795"/>
      <c r="PCN38" s="2795"/>
      <c r="PCO38" s="2795"/>
      <c r="PCP38" s="2795"/>
      <c r="PCQ38" s="2795"/>
      <c r="PCR38" s="2795"/>
      <c r="PCS38" s="2795"/>
      <c r="PCT38" s="2795"/>
      <c r="PCU38" s="2795"/>
      <c r="PCV38" s="2795"/>
      <c r="PCW38" s="2795"/>
      <c r="PCX38" s="2795"/>
      <c r="PCY38" s="2795"/>
      <c r="PCZ38" s="2795"/>
      <c r="PDA38" s="2795"/>
      <c r="PDB38" s="2795"/>
      <c r="PDC38" s="2795"/>
      <c r="PDD38" s="2795"/>
      <c r="PDE38" s="2795"/>
      <c r="PDF38" s="2795"/>
      <c r="PDG38" s="2795"/>
      <c r="PDH38" s="2795"/>
      <c r="PDI38" s="2795"/>
      <c r="PDJ38" s="2795"/>
      <c r="PDK38" s="2795"/>
      <c r="PDL38" s="2795"/>
      <c r="PDM38" s="2795"/>
      <c r="PDN38" s="2795"/>
      <c r="PDO38" s="2795"/>
      <c r="PDP38" s="2795"/>
      <c r="PDQ38" s="2795"/>
      <c r="PDR38" s="2795"/>
      <c r="PDS38" s="2795"/>
      <c r="PDT38" s="2795"/>
      <c r="PDU38" s="2795"/>
      <c r="PDV38" s="2795"/>
      <c r="PDW38" s="2795"/>
      <c r="PDX38" s="2795"/>
      <c r="PDY38" s="2795"/>
      <c r="PDZ38" s="2795"/>
      <c r="PEA38" s="2795"/>
      <c r="PEB38" s="2795"/>
      <c r="PEC38" s="2795"/>
      <c r="PED38" s="2795"/>
      <c r="PEE38" s="2795"/>
      <c r="PEF38" s="2795"/>
      <c r="PEG38" s="2795"/>
      <c r="PEH38" s="2795"/>
      <c r="PEI38" s="2795"/>
      <c r="PEJ38" s="2795"/>
      <c r="PEK38" s="2795"/>
      <c r="PEL38" s="2795"/>
      <c r="PEM38" s="2795"/>
      <c r="PEN38" s="2795"/>
      <c r="PEO38" s="2795"/>
      <c r="PEP38" s="2795"/>
      <c r="PEQ38" s="2795"/>
      <c r="PER38" s="2795"/>
      <c r="PES38" s="2795"/>
      <c r="PET38" s="2795"/>
      <c r="PEU38" s="2795"/>
      <c r="PEV38" s="2795"/>
      <c r="PEW38" s="2795"/>
      <c r="PEX38" s="2795"/>
      <c r="PEY38" s="2795"/>
      <c r="PEZ38" s="2795"/>
      <c r="PFA38" s="2795"/>
      <c r="PFB38" s="2795"/>
      <c r="PFC38" s="2795"/>
      <c r="PFD38" s="2795"/>
      <c r="PFE38" s="2795"/>
      <c r="PFF38" s="2795"/>
      <c r="PFG38" s="2795"/>
      <c r="PFH38" s="2795"/>
      <c r="PFI38" s="2795"/>
      <c r="PFJ38" s="2795"/>
      <c r="PFK38" s="2795"/>
      <c r="PFL38" s="2795"/>
      <c r="PFM38" s="2795"/>
      <c r="PFN38" s="2795"/>
      <c r="PFO38" s="2795"/>
      <c r="PFP38" s="2795"/>
      <c r="PFQ38" s="2795"/>
      <c r="PFR38" s="2795"/>
      <c r="PFS38" s="2795"/>
      <c r="PFT38" s="2795"/>
      <c r="PFU38" s="2795"/>
      <c r="PFV38" s="2795"/>
      <c r="PFW38" s="2795"/>
      <c r="PFX38" s="2795"/>
      <c r="PFY38" s="2795"/>
      <c r="PFZ38" s="2795"/>
      <c r="PGA38" s="2795"/>
      <c r="PGB38" s="2795"/>
      <c r="PGC38" s="2795"/>
      <c r="PGD38" s="2795"/>
      <c r="PGE38" s="2795"/>
      <c r="PGF38" s="2795"/>
      <c r="PGG38" s="2795"/>
      <c r="PGH38" s="2795"/>
      <c r="PGI38" s="2795"/>
      <c r="PGJ38" s="2795"/>
      <c r="PGK38" s="2795"/>
      <c r="PGL38" s="2795"/>
      <c r="PGM38" s="2795"/>
      <c r="PGN38" s="2795"/>
      <c r="PGO38" s="2795"/>
      <c r="PGP38" s="2795"/>
      <c r="PGQ38" s="2795"/>
      <c r="PGR38" s="2795"/>
      <c r="PGS38" s="2795"/>
      <c r="PGT38" s="2795"/>
      <c r="PGU38" s="2795"/>
      <c r="PGV38" s="2795"/>
      <c r="PGW38" s="2795"/>
      <c r="PGX38" s="2795"/>
      <c r="PGY38" s="2795"/>
      <c r="PGZ38" s="2795"/>
      <c r="PHA38" s="2795"/>
      <c r="PHB38" s="2795"/>
      <c r="PHC38" s="2795"/>
      <c r="PHD38" s="2795"/>
      <c r="PHE38" s="2795"/>
      <c r="PHF38" s="2795"/>
      <c r="PHG38" s="2795"/>
      <c r="PHH38" s="2795"/>
      <c r="PHI38" s="2795"/>
      <c r="PHJ38" s="2795"/>
      <c r="PHK38" s="2795"/>
      <c r="PHL38" s="2795"/>
      <c r="PHM38" s="2795"/>
      <c r="PHN38" s="2795"/>
      <c r="PHO38" s="2795"/>
      <c r="PHP38" s="2795"/>
      <c r="PHQ38" s="2795"/>
      <c r="PHR38" s="2795"/>
      <c r="PHS38" s="2795"/>
      <c r="PHT38" s="2795"/>
      <c r="PHU38" s="2795"/>
      <c r="PHV38" s="2795"/>
      <c r="PHW38" s="2795"/>
      <c r="PHX38" s="2795"/>
      <c r="PHY38" s="2795"/>
      <c r="PHZ38" s="2795"/>
      <c r="PIA38" s="2795"/>
      <c r="PIB38" s="2795"/>
      <c r="PIC38" s="2795"/>
      <c r="PID38" s="2795"/>
      <c r="PIE38" s="2795"/>
      <c r="PIF38" s="2795"/>
      <c r="PIG38" s="2795"/>
      <c r="PIH38" s="2795"/>
      <c r="PII38" s="2795"/>
      <c r="PIJ38" s="2795"/>
      <c r="PIK38" s="2795"/>
      <c r="PIL38" s="2795"/>
      <c r="PIM38" s="2795"/>
      <c r="PIN38" s="2795"/>
      <c r="PIO38" s="2795"/>
      <c r="PIP38" s="2795"/>
      <c r="PIQ38" s="2795"/>
      <c r="PIR38" s="2795"/>
      <c r="PIS38" s="2795"/>
      <c r="PIT38" s="2795"/>
      <c r="PIU38" s="2795"/>
      <c r="PIV38" s="2795"/>
      <c r="PIW38" s="2795"/>
      <c r="PIX38" s="2795"/>
      <c r="PIY38" s="2795"/>
      <c r="PIZ38" s="2795"/>
      <c r="PJA38" s="2795"/>
      <c r="PJB38" s="2795"/>
      <c r="PJC38" s="2795"/>
      <c r="PJD38" s="2795"/>
      <c r="PJE38" s="2795"/>
      <c r="PJF38" s="2795"/>
      <c r="PJG38" s="2795"/>
      <c r="PJH38" s="2795"/>
      <c r="PJI38" s="2795"/>
      <c r="PJJ38" s="2795"/>
      <c r="PJK38" s="2795"/>
      <c r="PJL38" s="2795"/>
      <c r="PJM38" s="2795"/>
      <c r="PJN38" s="2795"/>
      <c r="PJO38" s="2795"/>
      <c r="PJP38" s="2795"/>
      <c r="PJQ38" s="2795"/>
      <c r="PJR38" s="2795"/>
      <c r="PJS38" s="2795"/>
      <c r="PJT38" s="2795"/>
      <c r="PJU38" s="2795"/>
      <c r="PJV38" s="2795"/>
      <c r="PJW38" s="2795"/>
      <c r="PJX38" s="2795"/>
      <c r="PJY38" s="2795"/>
      <c r="PJZ38" s="2795"/>
      <c r="PKA38" s="2795"/>
      <c r="PKB38" s="2795"/>
      <c r="PKC38" s="2795"/>
      <c r="PKD38" s="2795"/>
      <c r="PKE38" s="2795"/>
      <c r="PKF38" s="2795"/>
      <c r="PKG38" s="2795"/>
      <c r="PKH38" s="2795"/>
      <c r="PKI38" s="2795"/>
      <c r="PKJ38" s="2795"/>
      <c r="PKK38" s="2795"/>
      <c r="PKL38" s="2795"/>
      <c r="PKM38" s="2795"/>
      <c r="PKN38" s="2795"/>
      <c r="PKO38" s="2795"/>
      <c r="PKP38" s="2795"/>
      <c r="PKQ38" s="2795"/>
      <c r="PKR38" s="2795"/>
      <c r="PKS38" s="2795"/>
      <c r="PKT38" s="2795"/>
      <c r="PKU38" s="2795"/>
      <c r="PKV38" s="2795"/>
      <c r="PKW38" s="2795"/>
      <c r="PKX38" s="2795"/>
      <c r="PKY38" s="2795"/>
      <c r="PKZ38" s="2795"/>
      <c r="PLA38" s="2795"/>
      <c r="PLB38" s="2795"/>
      <c r="PLC38" s="2795"/>
      <c r="PLD38" s="2795"/>
      <c r="PLE38" s="2795"/>
      <c r="PLF38" s="2795"/>
      <c r="PLG38" s="2795"/>
      <c r="PLH38" s="2795"/>
      <c r="PLI38" s="2795"/>
      <c r="PLJ38" s="2795"/>
      <c r="PLK38" s="2795"/>
      <c r="PLL38" s="2795"/>
      <c r="PLM38" s="2795"/>
      <c r="PLN38" s="2795"/>
      <c r="PLO38" s="2795"/>
      <c r="PLP38" s="2795"/>
      <c r="PLQ38" s="2795"/>
      <c r="PLR38" s="2795"/>
      <c r="PLS38" s="2795"/>
      <c r="PLT38" s="2795"/>
      <c r="PLU38" s="2795"/>
      <c r="PLV38" s="2795"/>
      <c r="PLW38" s="2795"/>
      <c r="PLX38" s="2795"/>
      <c r="PLY38" s="2795"/>
      <c r="PLZ38" s="2795"/>
      <c r="PMA38" s="2795"/>
      <c r="PMB38" s="2795"/>
      <c r="PMC38" s="2795"/>
      <c r="PMD38" s="2795"/>
      <c r="PME38" s="2795"/>
      <c r="PMF38" s="2795"/>
      <c r="PMG38" s="2795"/>
      <c r="PMH38" s="2795"/>
      <c r="PMI38" s="2795"/>
      <c r="PMJ38" s="2795"/>
      <c r="PMK38" s="2795"/>
      <c r="PML38" s="2795"/>
      <c r="PMM38" s="2795"/>
      <c r="PMN38" s="2795"/>
      <c r="PMO38" s="2795"/>
      <c r="PMP38" s="2795"/>
      <c r="PMQ38" s="2795"/>
      <c r="PMR38" s="2795"/>
      <c r="PMS38" s="2795"/>
      <c r="PMT38" s="2795"/>
      <c r="PMU38" s="2795"/>
      <c r="PMV38" s="2795"/>
      <c r="PMW38" s="2795"/>
      <c r="PMX38" s="2795"/>
      <c r="PMY38" s="2795"/>
      <c r="PMZ38" s="2795"/>
      <c r="PNA38" s="2795"/>
      <c r="PNB38" s="2795"/>
      <c r="PNC38" s="2795"/>
      <c r="PND38" s="2795"/>
      <c r="PNE38" s="2795"/>
      <c r="PNF38" s="2795"/>
      <c r="PNG38" s="2795"/>
      <c r="PNH38" s="2795"/>
      <c r="PNI38" s="2795"/>
      <c r="PNJ38" s="2795"/>
      <c r="PNK38" s="2795"/>
      <c r="PNL38" s="2795"/>
      <c r="PNM38" s="2795"/>
      <c r="PNN38" s="2795"/>
      <c r="PNO38" s="2795"/>
      <c r="PNP38" s="2795"/>
      <c r="PNQ38" s="2795"/>
      <c r="PNR38" s="2795"/>
      <c r="PNS38" s="2795"/>
      <c r="PNT38" s="2795"/>
      <c r="PNU38" s="2795"/>
      <c r="PNV38" s="2795"/>
      <c r="PNW38" s="2795"/>
      <c r="PNX38" s="2795"/>
      <c r="PNY38" s="2795"/>
      <c r="PNZ38" s="2795"/>
      <c r="POA38" s="2795"/>
      <c r="POB38" s="2795"/>
      <c r="POC38" s="2795"/>
      <c r="POD38" s="2795"/>
      <c r="POE38" s="2795"/>
      <c r="POF38" s="2795"/>
      <c r="POG38" s="2795"/>
      <c r="POH38" s="2795"/>
      <c r="POI38" s="2795"/>
      <c r="POJ38" s="2795"/>
      <c r="POK38" s="2795"/>
      <c r="POL38" s="2795"/>
      <c r="POM38" s="2795"/>
      <c r="PON38" s="2795"/>
      <c r="POO38" s="2795"/>
      <c r="POP38" s="2795"/>
      <c r="POQ38" s="2795"/>
      <c r="POR38" s="2795"/>
      <c r="POS38" s="2795"/>
      <c r="POT38" s="2795"/>
      <c r="POU38" s="2795"/>
      <c r="POV38" s="2795"/>
      <c r="POW38" s="2795"/>
      <c r="POX38" s="2795"/>
      <c r="POY38" s="2795"/>
      <c r="POZ38" s="2795"/>
      <c r="PPA38" s="2795"/>
      <c r="PPB38" s="2795"/>
      <c r="PPC38" s="2795"/>
      <c r="PPD38" s="2795"/>
      <c r="PPE38" s="2795"/>
      <c r="PPF38" s="2795"/>
      <c r="PPG38" s="2795"/>
      <c r="PPH38" s="2795"/>
      <c r="PPI38" s="2795"/>
      <c r="PPJ38" s="2795"/>
      <c r="PPK38" s="2795"/>
      <c r="PPL38" s="2795"/>
      <c r="PPM38" s="2795"/>
      <c r="PPN38" s="2795"/>
      <c r="PPO38" s="2795"/>
      <c r="PPP38" s="2795"/>
      <c r="PPQ38" s="2795"/>
      <c r="PPR38" s="2795"/>
      <c r="PPS38" s="2795"/>
      <c r="PPT38" s="2795"/>
      <c r="PPU38" s="2795"/>
      <c r="PPV38" s="2795"/>
      <c r="PPW38" s="2795"/>
      <c r="PPX38" s="2795"/>
      <c r="PPY38" s="2795"/>
      <c r="PPZ38" s="2795"/>
      <c r="PQA38" s="2795"/>
      <c r="PQB38" s="2795"/>
      <c r="PQC38" s="2795"/>
      <c r="PQD38" s="2795"/>
      <c r="PQE38" s="2795"/>
      <c r="PQF38" s="2795"/>
      <c r="PQG38" s="2795"/>
      <c r="PQH38" s="2795"/>
      <c r="PQI38" s="2795"/>
      <c r="PQJ38" s="2795"/>
      <c r="PQK38" s="2795"/>
      <c r="PQL38" s="2795"/>
      <c r="PQM38" s="2795"/>
      <c r="PQN38" s="2795"/>
      <c r="PQO38" s="2795"/>
      <c r="PQP38" s="2795"/>
      <c r="PQQ38" s="2795"/>
      <c r="PQR38" s="2795"/>
      <c r="PQS38" s="2795"/>
      <c r="PQT38" s="2795"/>
      <c r="PQU38" s="2795"/>
      <c r="PQV38" s="2795"/>
      <c r="PQW38" s="2795"/>
      <c r="PQX38" s="2795"/>
      <c r="PQY38" s="2795"/>
      <c r="PQZ38" s="2795"/>
      <c r="PRA38" s="2795"/>
      <c r="PRB38" s="2795"/>
      <c r="PRC38" s="2795"/>
      <c r="PRD38" s="2795"/>
      <c r="PRE38" s="2795"/>
      <c r="PRF38" s="2795"/>
      <c r="PRG38" s="2795"/>
      <c r="PRH38" s="2795"/>
      <c r="PRI38" s="2795"/>
      <c r="PRJ38" s="2795"/>
      <c r="PRK38" s="2795"/>
      <c r="PRL38" s="2795"/>
      <c r="PRM38" s="2795"/>
      <c r="PRN38" s="2795"/>
      <c r="PRO38" s="2795"/>
      <c r="PRP38" s="2795"/>
      <c r="PRQ38" s="2795"/>
      <c r="PRR38" s="2795"/>
      <c r="PRS38" s="2795"/>
      <c r="PRT38" s="2795"/>
      <c r="PRU38" s="2795"/>
      <c r="PRV38" s="2795"/>
      <c r="PRW38" s="2795"/>
      <c r="PRX38" s="2795"/>
      <c r="PRY38" s="2795"/>
      <c r="PRZ38" s="2795"/>
      <c r="PSA38" s="2795"/>
      <c r="PSB38" s="2795"/>
      <c r="PSC38" s="2795"/>
      <c r="PSD38" s="2795"/>
      <c r="PSE38" s="2795"/>
      <c r="PSF38" s="2795"/>
      <c r="PSG38" s="2795"/>
      <c r="PSH38" s="2795"/>
      <c r="PSI38" s="2795"/>
      <c r="PSJ38" s="2795"/>
      <c r="PSK38" s="2795"/>
      <c r="PSL38" s="2795"/>
      <c r="PSM38" s="2795"/>
      <c r="PSN38" s="2795"/>
      <c r="PSO38" s="2795"/>
      <c r="PSP38" s="2795"/>
      <c r="PSQ38" s="2795"/>
      <c r="PSR38" s="2795"/>
      <c r="PSS38" s="2795"/>
      <c r="PST38" s="2795"/>
      <c r="PSU38" s="2795"/>
      <c r="PSV38" s="2795"/>
      <c r="PSW38" s="2795"/>
      <c r="PSX38" s="2795"/>
      <c r="PSY38" s="2795"/>
      <c r="PSZ38" s="2795"/>
      <c r="PTA38" s="2795"/>
      <c r="PTB38" s="2795"/>
      <c r="PTC38" s="2795"/>
      <c r="PTD38" s="2795"/>
      <c r="PTE38" s="2795"/>
      <c r="PTF38" s="2795"/>
      <c r="PTG38" s="2795"/>
      <c r="PTH38" s="2795"/>
      <c r="PTI38" s="2795"/>
      <c r="PTJ38" s="2795"/>
      <c r="PTK38" s="2795"/>
      <c r="PTL38" s="2795"/>
      <c r="PTM38" s="2795"/>
      <c r="PTN38" s="2795"/>
      <c r="PTO38" s="2795"/>
      <c r="PTP38" s="2795"/>
      <c r="PTQ38" s="2795"/>
      <c r="PTR38" s="2795"/>
      <c r="PTS38" s="2795"/>
      <c r="PTT38" s="2795"/>
      <c r="PTU38" s="2795"/>
      <c r="PTV38" s="2795"/>
      <c r="PTW38" s="2795"/>
      <c r="PTX38" s="2795"/>
      <c r="PTY38" s="2795"/>
      <c r="PTZ38" s="2795"/>
      <c r="PUA38" s="2795"/>
      <c r="PUB38" s="2795"/>
      <c r="PUC38" s="2795"/>
      <c r="PUD38" s="2795"/>
      <c r="PUE38" s="2795"/>
      <c r="PUF38" s="2795"/>
      <c r="PUG38" s="2795"/>
      <c r="PUH38" s="2795"/>
      <c r="PUI38" s="2795"/>
      <c r="PUJ38" s="2795"/>
      <c r="PUK38" s="2795"/>
      <c r="PUL38" s="2795"/>
      <c r="PUM38" s="2795"/>
      <c r="PUN38" s="2795"/>
      <c r="PUO38" s="2795"/>
      <c r="PUP38" s="2795"/>
      <c r="PUQ38" s="2795"/>
      <c r="PUR38" s="2795"/>
      <c r="PUS38" s="2795"/>
      <c r="PUT38" s="2795"/>
      <c r="PUU38" s="2795"/>
      <c r="PUV38" s="2795"/>
      <c r="PUW38" s="2795"/>
      <c r="PUX38" s="2795"/>
      <c r="PUY38" s="2795"/>
      <c r="PUZ38" s="2795"/>
      <c r="PVA38" s="2795"/>
      <c r="PVB38" s="2795"/>
      <c r="PVC38" s="2795"/>
      <c r="PVD38" s="2795"/>
      <c r="PVE38" s="2795"/>
      <c r="PVF38" s="2795"/>
      <c r="PVG38" s="2795"/>
      <c r="PVH38" s="2795"/>
      <c r="PVI38" s="2795"/>
      <c r="PVJ38" s="2795"/>
      <c r="PVK38" s="2795"/>
      <c r="PVL38" s="2795"/>
      <c r="PVM38" s="2795"/>
      <c r="PVN38" s="2795"/>
      <c r="PVO38" s="2795"/>
      <c r="PVP38" s="2795"/>
      <c r="PVQ38" s="2795"/>
      <c r="PVR38" s="2795"/>
      <c r="PVS38" s="2795"/>
      <c r="PVT38" s="2795"/>
      <c r="PVU38" s="2795"/>
      <c r="PVV38" s="2795"/>
      <c r="PVW38" s="2795"/>
      <c r="PVX38" s="2795"/>
      <c r="PVY38" s="2795"/>
      <c r="PVZ38" s="2795"/>
      <c r="PWA38" s="2795"/>
      <c r="PWB38" s="2795"/>
      <c r="PWC38" s="2795"/>
      <c r="PWD38" s="2795"/>
      <c r="PWE38" s="2795"/>
      <c r="PWF38" s="2795"/>
      <c r="PWG38" s="2795"/>
      <c r="PWH38" s="2795"/>
      <c r="PWI38" s="2795"/>
      <c r="PWJ38" s="2795"/>
      <c r="PWK38" s="2795"/>
      <c r="PWL38" s="2795"/>
      <c r="PWM38" s="2795"/>
      <c r="PWN38" s="2795"/>
      <c r="PWO38" s="2795"/>
      <c r="PWP38" s="2795"/>
      <c r="PWQ38" s="2795"/>
      <c r="PWR38" s="2795"/>
      <c r="PWS38" s="2795"/>
      <c r="PWT38" s="2795"/>
      <c r="PWU38" s="2795"/>
      <c r="PWV38" s="2795"/>
      <c r="PWW38" s="2795"/>
      <c r="PWX38" s="2795"/>
      <c r="PWY38" s="2795"/>
      <c r="PWZ38" s="2795"/>
      <c r="PXA38" s="2795"/>
      <c r="PXB38" s="2795"/>
      <c r="PXC38" s="2795"/>
      <c r="PXD38" s="2795"/>
      <c r="PXE38" s="2795"/>
      <c r="PXF38" s="2795"/>
      <c r="PXG38" s="2795"/>
      <c r="PXH38" s="2795"/>
      <c r="PXI38" s="2795"/>
      <c r="PXJ38" s="2795"/>
      <c r="PXK38" s="2795"/>
      <c r="PXL38" s="2795"/>
      <c r="PXM38" s="2795"/>
      <c r="PXN38" s="2795"/>
      <c r="PXO38" s="2795"/>
      <c r="PXP38" s="2795"/>
      <c r="PXQ38" s="2795"/>
      <c r="PXR38" s="2795"/>
      <c r="PXS38" s="2795"/>
      <c r="PXT38" s="2795"/>
      <c r="PXU38" s="2795"/>
      <c r="PXV38" s="2795"/>
      <c r="PXW38" s="2795"/>
      <c r="PXX38" s="2795"/>
      <c r="PXY38" s="2795"/>
      <c r="PXZ38" s="2795"/>
      <c r="PYA38" s="2795"/>
      <c r="PYB38" s="2795"/>
      <c r="PYC38" s="2795"/>
      <c r="PYD38" s="2795"/>
      <c r="PYE38" s="2795"/>
      <c r="PYF38" s="2795"/>
      <c r="PYG38" s="2795"/>
      <c r="PYH38" s="2795"/>
      <c r="PYI38" s="2795"/>
      <c r="PYJ38" s="2795"/>
      <c r="PYK38" s="2795"/>
      <c r="PYL38" s="2795"/>
      <c r="PYM38" s="2795"/>
      <c r="PYN38" s="2795"/>
      <c r="PYO38" s="2795"/>
      <c r="PYP38" s="2795"/>
      <c r="PYQ38" s="2795"/>
      <c r="PYR38" s="2795"/>
      <c r="PYS38" s="2795"/>
      <c r="PYT38" s="2795"/>
      <c r="PYU38" s="2795"/>
      <c r="PYV38" s="2795"/>
      <c r="PYW38" s="2795"/>
      <c r="PYX38" s="2795"/>
      <c r="PYY38" s="2795"/>
      <c r="PYZ38" s="2795"/>
      <c r="PZA38" s="2795"/>
      <c r="PZB38" s="2795"/>
      <c r="PZC38" s="2795"/>
      <c r="PZD38" s="2795"/>
      <c r="PZE38" s="2795"/>
      <c r="PZF38" s="2795"/>
      <c r="PZG38" s="2795"/>
      <c r="PZH38" s="2795"/>
      <c r="PZI38" s="2795"/>
      <c r="PZJ38" s="2795"/>
      <c r="PZK38" s="2795"/>
      <c r="PZL38" s="2795"/>
      <c r="PZM38" s="2795"/>
      <c r="PZN38" s="2795"/>
      <c r="PZO38" s="2795"/>
      <c r="PZP38" s="2795"/>
      <c r="PZQ38" s="2795"/>
      <c r="PZR38" s="2795"/>
      <c r="PZS38" s="2795"/>
      <c r="PZT38" s="2795"/>
      <c r="PZU38" s="2795"/>
      <c r="PZV38" s="2795"/>
      <c r="PZW38" s="2795"/>
      <c r="PZX38" s="2795"/>
      <c r="PZY38" s="2795"/>
      <c r="PZZ38" s="2795"/>
      <c r="QAA38" s="2795"/>
      <c r="QAB38" s="2795"/>
      <c r="QAC38" s="2795"/>
      <c r="QAD38" s="2795"/>
      <c r="QAE38" s="2795"/>
      <c r="QAF38" s="2795"/>
      <c r="QAG38" s="2795"/>
      <c r="QAH38" s="2795"/>
      <c r="QAI38" s="2795"/>
      <c r="QAJ38" s="2795"/>
      <c r="QAK38" s="2795"/>
      <c r="QAL38" s="2795"/>
      <c r="QAM38" s="2795"/>
      <c r="QAN38" s="2795"/>
      <c r="QAO38" s="2795"/>
      <c r="QAP38" s="2795"/>
      <c r="QAQ38" s="2795"/>
      <c r="QAR38" s="2795"/>
      <c r="QAS38" s="2795"/>
      <c r="QAT38" s="2795"/>
      <c r="QAU38" s="2795"/>
      <c r="QAV38" s="2795"/>
      <c r="QAW38" s="2795"/>
      <c r="QAX38" s="2795"/>
      <c r="QAY38" s="2795"/>
      <c r="QAZ38" s="2795"/>
      <c r="QBA38" s="2795"/>
      <c r="QBB38" s="2795"/>
      <c r="QBC38" s="2795"/>
      <c r="QBD38" s="2795"/>
      <c r="QBE38" s="2795"/>
      <c r="QBF38" s="2795"/>
      <c r="QBG38" s="2795"/>
      <c r="QBH38" s="2795"/>
      <c r="QBI38" s="2795"/>
      <c r="QBJ38" s="2795"/>
      <c r="QBK38" s="2795"/>
      <c r="QBL38" s="2795"/>
      <c r="QBM38" s="2795"/>
      <c r="QBN38" s="2795"/>
      <c r="QBO38" s="2795"/>
      <c r="QBP38" s="2795"/>
      <c r="QBQ38" s="2795"/>
      <c r="QBR38" s="2795"/>
      <c r="QBS38" s="2795"/>
      <c r="QBT38" s="2795"/>
      <c r="QBU38" s="2795"/>
      <c r="QBV38" s="2795"/>
      <c r="QBW38" s="2795"/>
      <c r="QBX38" s="2795"/>
      <c r="QBY38" s="2795"/>
      <c r="QBZ38" s="2795"/>
      <c r="QCA38" s="2795"/>
      <c r="QCB38" s="2795"/>
      <c r="QCC38" s="2795"/>
      <c r="QCD38" s="2795"/>
      <c r="QCE38" s="2795"/>
      <c r="QCF38" s="2795"/>
      <c r="QCG38" s="2795"/>
      <c r="QCH38" s="2795"/>
      <c r="QCI38" s="2795"/>
      <c r="QCJ38" s="2795"/>
      <c r="QCK38" s="2795"/>
      <c r="QCL38" s="2795"/>
      <c r="QCM38" s="2795"/>
      <c r="QCN38" s="2795"/>
      <c r="QCO38" s="2795"/>
      <c r="QCP38" s="2795"/>
      <c r="QCQ38" s="2795"/>
      <c r="QCR38" s="2795"/>
      <c r="QCS38" s="2795"/>
      <c r="QCT38" s="2795"/>
      <c r="QCU38" s="2795"/>
      <c r="QCV38" s="2795"/>
      <c r="QCW38" s="2795"/>
      <c r="QCX38" s="2795"/>
      <c r="QCY38" s="2795"/>
      <c r="QCZ38" s="2795"/>
      <c r="QDA38" s="2795"/>
      <c r="QDB38" s="2795"/>
      <c r="QDC38" s="2795"/>
      <c r="QDD38" s="2795"/>
      <c r="QDE38" s="2795"/>
      <c r="QDF38" s="2795"/>
      <c r="QDG38" s="2795"/>
      <c r="QDH38" s="2795"/>
      <c r="QDI38" s="2795"/>
      <c r="QDJ38" s="2795"/>
      <c r="QDK38" s="2795"/>
      <c r="QDL38" s="2795"/>
      <c r="QDM38" s="2795"/>
      <c r="QDN38" s="2795"/>
      <c r="QDO38" s="2795"/>
      <c r="QDP38" s="2795"/>
      <c r="QDQ38" s="2795"/>
      <c r="QDR38" s="2795"/>
      <c r="QDS38" s="2795"/>
      <c r="QDT38" s="2795"/>
      <c r="QDU38" s="2795"/>
      <c r="QDV38" s="2795"/>
      <c r="QDW38" s="2795"/>
      <c r="QDX38" s="2795"/>
      <c r="QDY38" s="2795"/>
      <c r="QDZ38" s="2795"/>
      <c r="QEA38" s="2795"/>
      <c r="QEB38" s="2795"/>
      <c r="QEC38" s="2795"/>
      <c r="QED38" s="2795"/>
      <c r="QEE38" s="2795"/>
      <c r="QEF38" s="2795"/>
      <c r="QEG38" s="2795"/>
      <c r="QEH38" s="2795"/>
      <c r="QEI38" s="2795"/>
      <c r="QEJ38" s="2795"/>
      <c r="QEK38" s="2795"/>
      <c r="QEL38" s="2795"/>
      <c r="QEM38" s="2795"/>
      <c r="QEN38" s="2795"/>
      <c r="QEO38" s="2795"/>
      <c r="QEP38" s="2795"/>
      <c r="QEQ38" s="2795"/>
      <c r="QER38" s="2795"/>
      <c r="QES38" s="2795"/>
      <c r="QET38" s="2795"/>
      <c r="QEU38" s="2795"/>
      <c r="QEV38" s="2795"/>
      <c r="QEW38" s="2795"/>
      <c r="QEX38" s="2795"/>
      <c r="QEY38" s="2795"/>
      <c r="QEZ38" s="2795"/>
      <c r="QFA38" s="2795"/>
      <c r="QFB38" s="2795"/>
      <c r="QFC38" s="2795"/>
      <c r="QFD38" s="2795"/>
      <c r="QFE38" s="2795"/>
      <c r="QFF38" s="2795"/>
      <c r="QFG38" s="2795"/>
      <c r="QFH38" s="2795"/>
      <c r="QFI38" s="2795"/>
      <c r="QFJ38" s="2795"/>
      <c r="QFK38" s="2795"/>
      <c r="QFL38" s="2795"/>
      <c r="QFM38" s="2795"/>
      <c r="QFN38" s="2795"/>
      <c r="QFO38" s="2795"/>
      <c r="QFP38" s="2795"/>
      <c r="QFQ38" s="2795"/>
      <c r="QFR38" s="2795"/>
      <c r="QFS38" s="2795"/>
      <c r="QFT38" s="2795"/>
      <c r="QFU38" s="2795"/>
      <c r="QFV38" s="2795"/>
      <c r="QFW38" s="2795"/>
      <c r="QFX38" s="2795"/>
      <c r="QFY38" s="2795"/>
      <c r="QFZ38" s="2795"/>
      <c r="QGA38" s="2795"/>
      <c r="QGB38" s="2795"/>
      <c r="QGC38" s="2795"/>
      <c r="QGD38" s="2795"/>
      <c r="QGE38" s="2795"/>
      <c r="QGF38" s="2795"/>
      <c r="QGG38" s="2795"/>
      <c r="QGH38" s="2795"/>
      <c r="QGI38" s="2795"/>
      <c r="QGJ38" s="2795"/>
      <c r="QGK38" s="2795"/>
      <c r="QGL38" s="2795"/>
      <c r="QGM38" s="2795"/>
      <c r="QGN38" s="2795"/>
      <c r="QGO38" s="2795"/>
      <c r="QGP38" s="2795"/>
      <c r="QGQ38" s="2795"/>
      <c r="QGR38" s="2795"/>
      <c r="QGS38" s="2795"/>
      <c r="QGT38" s="2795"/>
      <c r="QGU38" s="2795"/>
      <c r="QGV38" s="2795"/>
      <c r="QGW38" s="2795"/>
      <c r="QGX38" s="2795"/>
      <c r="QGY38" s="2795"/>
      <c r="QGZ38" s="2795"/>
      <c r="QHA38" s="2795"/>
      <c r="QHB38" s="2795"/>
      <c r="QHC38" s="2795"/>
      <c r="QHD38" s="2795"/>
      <c r="QHE38" s="2795"/>
      <c r="QHF38" s="2795"/>
      <c r="QHG38" s="2795"/>
      <c r="QHH38" s="2795"/>
      <c r="QHI38" s="2795"/>
      <c r="QHJ38" s="2795"/>
      <c r="QHK38" s="2795"/>
      <c r="QHL38" s="2795"/>
      <c r="QHM38" s="2795"/>
      <c r="QHN38" s="2795"/>
      <c r="QHO38" s="2795"/>
      <c r="QHP38" s="2795"/>
      <c r="QHQ38" s="2795"/>
      <c r="QHR38" s="2795"/>
      <c r="QHS38" s="2795"/>
      <c r="QHT38" s="2795"/>
      <c r="QHU38" s="2795"/>
      <c r="QHV38" s="2795"/>
      <c r="QHW38" s="2795"/>
      <c r="QHX38" s="2795"/>
      <c r="QHY38" s="2795"/>
      <c r="QHZ38" s="2795"/>
      <c r="QIA38" s="2795"/>
      <c r="QIB38" s="2795"/>
      <c r="QIC38" s="2795"/>
      <c r="QID38" s="2795"/>
      <c r="QIE38" s="2795"/>
      <c r="QIF38" s="2795"/>
      <c r="QIG38" s="2795"/>
      <c r="QIH38" s="2795"/>
      <c r="QII38" s="2795"/>
      <c r="QIJ38" s="2795"/>
      <c r="QIK38" s="2795"/>
      <c r="QIL38" s="2795"/>
      <c r="QIM38" s="2795"/>
      <c r="QIN38" s="2795"/>
      <c r="QIO38" s="2795"/>
      <c r="QIP38" s="2795"/>
      <c r="QIQ38" s="2795"/>
      <c r="QIR38" s="2795"/>
      <c r="QIS38" s="2795"/>
      <c r="QIT38" s="2795"/>
      <c r="QIU38" s="2795"/>
      <c r="QIV38" s="2795"/>
      <c r="QIW38" s="2795"/>
      <c r="QIX38" s="2795"/>
      <c r="QIY38" s="2795"/>
      <c r="QIZ38" s="2795"/>
      <c r="QJA38" s="2795"/>
      <c r="QJB38" s="2795"/>
      <c r="QJC38" s="2795"/>
      <c r="QJD38" s="2795"/>
      <c r="QJE38" s="2795"/>
      <c r="QJF38" s="2795"/>
      <c r="QJG38" s="2795"/>
      <c r="QJH38" s="2795"/>
      <c r="QJI38" s="2795"/>
      <c r="QJJ38" s="2795"/>
      <c r="QJK38" s="2795"/>
      <c r="QJL38" s="2795"/>
      <c r="QJM38" s="2795"/>
      <c r="QJN38" s="2795"/>
      <c r="QJO38" s="2795"/>
      <c r="QJP38" s="2795"/>
      <c r="QJQ38" s="2795"/>
      <c r="QJR38" s="2795"/>
      <c r="QJS38" s="2795"/>
      <c r="QJT38" s="2795"/>
      <c r="QJU38" s="2795"/>
      <c r="QJV38" s="2795"/>
      <c r="QJW38" s="2795"/>
      <c r="QJX38" s="2795"/>
      <c r="QJY38" s="2795"/>
      <c r="QJZ38" s="2795"/>
      <c r="QKA38" s="2795"/>
      <c r="QKB38" s="2795"/>
      <c r="QKC38" s="2795"/>
      <c r="QKD38" s="2795"/>
      <c r="QKE38" s="2795"/>
      <c r="QKF38" s="2795"/>
      <c r="QKG38" s="2795"/>
      <c r="QKH38" s="2795"/>
      <c r="QKI38" s="2795"/>
      <c r="QKJ38" s="2795"/>
      <c r="QKK38" s="2795"/>
      <c r="QKL38" s="2795"/>
      <c r="QKM38" s="2795"/>
      <c r="QKN38" s="2795"/>
      <c r="QKO38" s="2795"/>
      <c r="QKP38" s="2795"/>
      <c r="QKQ38" s="2795"/>
      <c r="QKR38" s="2795"/>
      <c r="QKS38" s="2795"/>
      <c r="QKT38" s="2795"/>
      <c r="QKU38" s="2795"/>
      <c r="QKV38" s="2795"/>
      <c r="QKW38" s="2795"/>
      <c r="QKX38" s="2795"/>
      <c r="QKY38" s="2795"/>
      <c r="QKZ38" s="2795"/>
      <c r="QLA38" s="2795"/>
      <c r="QLB38" s="2795"/>
      <c r="QLC38" s="2795"/>
      <c r="QLD38" s="2795"/>
      <c r="QLE38" s="2795"/>
      <c r="QLF38" s="2795"/>
      <c r="QLG38" s="2795"/>
      <c r="QLH38" s="2795"/>
      <c r="QLI38" s="2795"/>
      <c r="QLJ38" s="2795"/>
      <c r="QLK38" s="2795"/>
      <c r="QLL38" s="2795"/>
      <c r="QLM38" s="2795"/>
      <c r="QLN38" s="2795"/>
      <c r="QLO38" s="2795"/>
      <c r="QLP38" s="2795"/>
      <c r="QLQ38" s="2795"/>
      <c r="QLR38" s="2795"/>
      <c r="QLS38" s="2795"/>
      <c r="QLT38" s="2795"/>
      <c r="QLU38" s="2795"/>
      <c r="QLV38" s="2795"/>
      <c r="QLW38" s="2795"/>
      <c r="QLX38" s="2795"/>
      <c r="QLY38" s="2795"/>
      <c r="QLZ38" s="2795"/>
      <c r="QMA38" s="2795"/>
      <c r="QMB38" s="2795"/>
      <c r="QMC38" s="2795"/>
      <c r="QMD38" s="2795"/>
      <c r="QME38" s="2795"/>
      <c r="QMF38" s="2795"/>
      <c r="QMG38" s="2795"/>
      <c r="QMH38" s="2795"/>
      <c r="QMI38" s="2795"/>
      <c r="QMJ38" s="2795"/>
      <c r="QMK38" s="2795"/>
      <c r="QML38" s="2795"/>
      <c r="QMM38" s="2795"/>
      <c r="QMN38" s="2795"/>
      <c r="QMO38" s="2795"/>
      <c r="QMP38" s="2795"/>
      <c r="QMQ38" s="2795"/>
      <c r="QMR38" s="2795"/>
      <c r="QMS38" s="2795"/>
      <c r="QMT38" s="2795"/>
      <c r="QMU38" s="2795"/>
      <c r="QMV38" s="2795"/>
      <c r="QMW38" s="2795"/>
      <c r="QMX38" s="2795"/>
      <c r="QMY38" s="2795"/>
      <c r="QMZ38" s="2795"/>
      <c r="QNA38" s="2795"/>
      <c r="QNB38" s="2795"/>
      <c r="QNC38" s="2795"/>
      <c r="QND38" s="2795"/>
      <c r="QNE38" s="2795"/>
      <c r="QNF38" s="2795"/>
      <c r="QNG38" s="2795"/>
      <c r="QNH38" s="2795"/>
      <c r="QNI38" s="2795"/>
      <c r="QNJ38" s="2795"/>
      <c r="QNK38" s="2795"/>
      <c r="QNL38" s="2795"/>
      <c r="QNM38" s="2795"/>
      <c r="QNN38" s="2795"/>
      <c r="QNO38" s="2795"/>
      <c r="QNP38" s="2795"/>
      <c r="QNQ38" s="2795"/>
      <c r="QNR38" s="2795"/>
      <c r="QNS38" s="2795"/>
      <c r="QNT38" s="2795"/>
      <c r="QNU38" s="2795"/>
      <c r="QNV38" s="2795"/>
      <c r="QNW38" s="2795"/>
      <c r="QNX38" s="2795"/>
      <c r="QNY38" s="2795"/>
      <c r="QNZ38" s="2795"/>
      <c r="QOA38" s="2795"/>
      <c r="QOB38" s="2795"/>
      <c r="QOC38" s="2795"/>
      <c r="QOD38" s="2795"/>
      <c r="QOE38" s="2795"/>
      <c r="QOF38" s="2795"/>
      <c r="QOG38" s="2795"/>
      <c r="QOH38" s="2795"/>
      <c r="QOI38" s="2795"/>
      <c r="QOJ38" s="2795"/>
      <c r="QOK38" s="2795"/>
      <c r="QOL38" s="2795"/>
      <c r="QOM38" s="2795"/>
      <c r="QON38" s="2795"/>
      <c r="QOO38" s="2795"/>
      <c r="QOP38" s="2795"/>
      <c r="QOQ38" s="2795"/>
      <c r="QOR38" s="2795"/>
      <c r="QOS38" s="2795"/>
      <c r="QOT38" s="2795"/>
      <c r="QOU38" s="2795"/>
      <c r="QOV38" s="2795"/>
      <c r="QOW38" s="2795"/>
      <c r="QOX38" s="2795"/>
      <c r="QOY38" s="2795"/>
      <c r="QOZ38" s="2795"/>
      <c r="QPA38" s="2795"/>
      <c r="QPB38" s="2795"/>
      <c r="QPC38" s="2795"/>
      <c r="QPD38" s="2795"/>
      <c r="QPE38" s="2795"/>
      <c r="QPF38" s="2795"/>
      <c r="QPG38" s="2795"/>
      <c r="QPH38" s="2795"/>
      <c r="QPI38" s="2795"/>
      <c r="QPJ38" s="2795"/>
      <c r="QPK38" s="2795"/>
      <c r="QPL38" s="2795"/>
      <c r="QPM38" s="2795"/>
      <c r="QPN38" s="2795"/>
      <c r="QPO38" s="2795"/>
      <c r="QPP38" s="2795"/>
      <c r="QPQ38" s="2795"/>
      <c r="QPR38" s="2795"/>
      <c r="QPS38" s="2795"/>
      <c r="QPT38" s="2795"/>
      <c r="QPU38" s="2795"/>
      <c r="QPV38" s="2795"/>
      <c r="QPW38" s="2795"/>
      <c r="QPX38" s="2795"/>
      <c r="QPY38" s="2795"/>
      <c r="QPZ38" s="2795"/>
      <c r="QQA38" s="2795"/>
      <c r="QQB38" s="2795"/>
      <c r="QQC38" s="2795"/>
      <c r="QQD38" s="2795"/>
      <c r="QQE38" s="2795"/>
      <c r="QQF38" s="2795"/>
      <c r="QQG38" s="2795"/>
      <c r="QQH38" s="2795"/>
      <c r="QQI38" s="2795"/>
      <c r="QQJ38" s="2795"/>
      <c r="QQK38" s="2795"/>
      <c r="QQL38" s="2795"/>
      <c r="QQM38" s="2795"/>
      <c r="QQN38" s="2795"/>
      <c r="QQO38" s="2795"/>
      <c r="QQP38" s="2795"/>
      <c r="QQQ38" s="2795"/>
      <c r="QQR38" s="2795"/>
      <c r="QQS38" s="2795"/>
      <c r="QQT38" s="2795"/>
      <c r="QQU38" s="2795"/>
      <c r="QQV38" s="2795"/>
      <c r="QQW38" s="2795"/>
      <c r="QQX38" s="2795"/>
      <c r="QQY38" s="2795"/>
      <c r="QQZ38" s="2795"/>
      <c r="QRA38" s="2795"/>
      <c r="QRB38" s="2795"/>
      <c r="QRC38" s="2795"/>
      <c r="QRD38" s="2795"/>
      <c r="QRE38" s="2795"/>
      <c r="QRF38" s="2795"/>
      <c r="QRG38" s="2795"/>
      <c r="QRH38" s="2795"/>
      <c r="QRI38" s="2795"/>
      <c r="QRJ38" s="2795"/>
      <c r="QRK38" s="2795"/>
      <c r="QRL38" s="2795"/>
      <c r="QRM38" s="2795"/>
      <c r="QRN38" s="2795"/>
      <c r="QRO38" s="2795"/>
      <c r="QRP38" s="2795"/>
      <c r="QRQ38" s="2795"/>
      <c r="QRR38" s="2795"/>
      <c r="QRS38" s="2795"/>
      <c r="QRT38" s="2795"/>
      <c r="QRU38" s="2795"/>
      <c r="QRV38" s="2795"/>
      <c r="QRW38" s="2795"/>
      <c r="QRX38" s="2795"/>
      <c r="QRY38" s="2795"/>
      <c r="QRZ38" s="2795"/>
      <c r="QSA38" s="2795"/>
      <c r="QSB38" s="2795"/>
      <c r="QSC38" s="2795"/>
      <c r="QSD38" s="2795"/>
      <c r="QSE38" s="2795"/>
      <c r="QSF38" s="2795"/>
      <c r="QSG38" s="2795"/>
      <c r="QSH38" s="2795"/>
      <c r="QSI38" s="2795"/>
      <c r="QSJ38" s="2795"/>
      <c r="QSK38" s="2795"/>
      <c r="QSL38" s="2795"/>
      <c r="QSM38" s="2795"/>
      <c r="QSN38" s="2795"/>
      <c r="QSO38" s="2795"/>
      <c r="QSP38" s="2795"/>
      <c r="QSQ38" s="2795"/>
      <c r="QSR38" s="2795"/>
      <c r="QSS38" s="2795"/>
      <c r="QST38" s="2795"/>
      <c r="QSU38" s="2795"/>
      <c r="QSV38" s="2795"/>
      <c r="QSW38" s="2795"/>
      <c r="QSX38" s="2795"/>
      <c r="QSY38" s="2795"/>
      <c r="QSZ38" s="2795"/>
      <c r="QTA38" s="2795"/>
      <c r="QTB38" s="2795"/>
      <c r="QTC38" s="2795"/>
      <c r="QTD38" s="2795"/>
      <c r="QTE38" s="2795"/>
      <c r="QTF38" s="2795"/>
      <c r="QTG38" s="2795"/>
      <c r="QTH38" s="2795"/>
      <c r="QTI38" s="2795"/>
      <c r="QTJ38" s="2795"/>
      <c r="QTK38" s="2795"/>
      <c r="QTL38" s="2795"/>
      <c r="QTM38" s="2795"/>
      <c r="QTN38" s="2795"/>
      <c r="QTO38" s="2795"/>
      <c r="QTP38" s="2795"/>
      <c r="QTQ38" s="2795"/>
      <c r="QTR38" s="2795"/>
      <c r="QTS38" s="2795"/>
      <c r="QTT38" s="2795"/>
      <c r="QTU38" s="2795"/>
      <c r="QTV38" s="2795"/>
      <c r="QTW38" s="2795"/>
      <c r="QTX38" s="2795"/>
      <c r="QTY38" s="2795"/>
      <c r="QTZ38" s="2795"/>
      <c r="QUA38" s="2795"/>
      <c r="QUB38" s="2795"/>
      <c r="QUC38" s="2795"/>
      <c r="QUD38" s="2795"/>
      <c r="QUE38" s="2795"/>
      <c r="QUF38" s="2795"/>
      <c r="QUG38" s="2795"/>
      <c r="QUH38" s="2795"/>
      <c r="QUI38" s="2795"/>
      <c r="QUJ38" s="2795"/>
      <c r="QUK38" s="2795"/>
      <c r="QUL38" s="2795"/>
      <c r="QUM38" s="2795"/>
      <c r="QUN38" s="2795"/>
      <c r="QUO38" s="2795"/>
      <c r="QUP38" s="2795"/>
      <c r="QUQ38" s="2795"/>
      <c r="QUR38" s="2795"/>
      <c r="QUS38" s="2795"/>
      <c r="QUT38" s="2795"/>
      <c r="QUU38" s="2795"/>
      <c r="QUV38" s="2795"/>
      <c r="QUW38" s="2795"/>
      <c r="QUX38" s="2795"/>
      <c r="QUY38" s="2795"/>
      <c r="QUZ38" s="2795"/>
      <c r="QVA38" s="2795"/>
      <c r="QVB38" s="2795"/>
      <c r="QVC38" s="2795"/>
      <c r="QVD38" s="2795"/>
      <c r="QVE38" s="2795"/>
      <c r="QVF38" s="2795"/>
      <c r="QVG38" s="2795"/>
      <c r="QVH38" s="2795"/>
      <c r="QVI38" s="2795"/>
      <c r="QVJ38" s="2795"/>
      <c r="QVK38" s="2795"/>
      <c r="QVL38" s="2795"/>
      <c r="QVM38" s="2795"/>
      <c r="QVN38" s="2795"/>
      <c r="QVO38" s="2795"/>
      <c r="QVP38" s="2795"/>
      <c r="QVQ38" s="2795"/>
      <c r="QVR38" s="2795"/>
      <c r="QVS38" s="2795"/>
      <c r="QVT38" s="2795"/>
      <c r="QVU38" s="2795"/>
      <c r="QVV38" s="2795"/>
      <c r="QVW38" s="2795"/>
      <c r="QVX38" s="2795"/>
      <c r="QVY38" s="2795"/>
      <c r="QVZ38" s="2795"/>
      <c r="QWA38" s="2795"/>
      <c r="QWB38" s="2795"/>
      <c r="QWC38" s="2795"/>
      <c r="QWD38" s="2795"/>
      <c r="QWE38" s="2795"/>
      <c r="QWF38" s="2795"/>
      <c r="QWG38" s="2795"/>
      <c r="QWH38" s="2795"/>
      <c r="QWI38" s="2795"/>
      <c r="QWJ38" s="2795"/>
      <c r="QWK38" s="2795"/>
      <c r="QWL38" s="2795"/>
      <c r="QWM38" s="2795"/>
      <c r="QWN38" s="2795"/>
      <c r="QWO38" s="2795"/>
      <c r="QWP38" s="2795"/>
      <c r="QWQ38" s="2795"/>
      <c r="QWR38" s="2795"/>
      <c r="QWS38" s="2795"/>
      <c r="QWT38" s="2795"/>
      <c r="QWU38" s="2795"/>
      <c r="QWV38" s="2795"/>
      <c r="QWW38" s="2795"/>
      <c r="QWX38" s="2795"/>
      <c r="QWY38" s="2795"/>
      <c r="QWZ38" s="2795"/>
      <c r="QXA38" s="2795"/>
      <c r="QXB38" s="2795"/>
      <c r="QXC38" s="2795"/>
      <c r="QXD38" s="2795"/>
      <c r="QXE38" s="2795"/>
      <c r="QXF38" s="2795"/>
      <c r="QXG38" s="2795"/>
      <c r="QXH38" s="2795"/>
      <c r="QXI38" s="2795"/>
      <c r="QXJ38" s="2795"/>
      <c r="QXK38" s="2795"/>
      <c r="QXL38" s="2795"/>
      <c r="QXM38" s="2795"/>
      <c r="QXN38" s="2795"/>
      <c r="QXO38" s="2795"/>
      <c r="QXP38" s="2795"/>
      <c r="QXQ38" s="2795"/>
      <c r="QXR38" s="2795"/>
      <c r="QXS38" s="2795"/>
      <c r="QXT38" s="2795"/>
      <c r="QXU38" s="2795"/>
      <c r="QXV38" s="2795"/>
      <c r="QXW38" s="2795"/>
      <c r="QXX38" s="2795"/>
      <c r="QXY38" s="2795"/>
      <c r="QXZ38" s="2795"/>
      <c r="QYA38" s="2795"/>
      <c r="QYB38" s="2795"/>
      <c r="QYC38" s="2795"/>
      <c r="QYD38" s="2795"/>
      <c r="QYE38" s="2795"/>
      <c r="QYF38" s="2795"/>
      <c r="QYG38" s="2795"/>
      <c r="QYH38" s="2795"/>
      <c r="QYI38" s="2795"/>
      <c r="QYJ38" s="2795"/>
      <c r="QYK38" s="2795"/>
      <c r="QYL38" s="2795"/>
      <c r="QYM38" s="2795"/>
      <c r="QYN38" s="2795"/>
      <c r="QYO38" s="2795"/>
      <c r="QYP38" s="2795"/>
      <c r="QYQ38" s="2795"/>
      <c r="QYR38" s="2795"/>
      <c r="QYS38" s="2795"/>
      <c r="QYT38" s="2795"/>
      <c r="QYU38" s="2795"/>
      <c r="QYV38" s="2795"/>
      <c r="QYW38" s="2795"/>
      <c r="QYX38" s="2795"/>
      <c r="QYY38" s="2795"/>
      <c r="QYZ38" s="2795"/>
      <c r="QZA38" s="2795"/>
      <c r="QZB38" s="2795"/>
      <c r="QZC38" s="2795"/>
      <c r="QZD38" s="2795"/>
      <c r="QZE38" s="2795"/>
      <c r="QZF38" s="2795"/>
      <c r="QZG38" s="2795"/>
      <c r="QZH38" s="2795"/>
      <c r="QZI38" s="2795"/>
      <c r="QZJ38" s="2795"/>
      <c r="QZK38" s="2795"/>
      <c r="QZL38" s="2795"/>
      <c r="QZM38" s="2795"/>
      <c r="QZN38" s="2795"/>
      <c r="QZO38" s="2795"/>
      <c r="QZP38" s="2795"/>
      <c r="QZQ38" s="2795"/>
      <c r="QZR38" s="2795"/>
      <c r="QZS38" s="2795"/>
      <c r="QZT38" s="2795"/>
      <c r="QZU38" s="2795"/>
      <c r="QZV38" s="2795"/>
      <c r="QZW38" s="2795"/>
      <c r="QZX38" s="2795"/>
      <c r="QZY38" s="2795"/>
      <c r="QZZ38" s="2795"/>
      <c r="RAA38" s="2795"/>
      <c r="RAB38" s="2795"/>
      <c r="RAC38" s="2795"/>
      <c r="RAD38" s="2795"/>
      <c r="RAE38" s="2795"/>
      <c r="RAF38" s="2795"/>
      <c r="RAG38" s="2795"/>
      <c r="RAH38" s="2795"/>
      <c r="RAI38" s="2795"/>
      <c r="RAJ38" s="2795"/>
      <c r="RAK38" s="2795"/>
      <c r="RAL38" s="2795"/>
      <c r="RAM38" s="2795"/>
      <c r="RAN38" s="2795"/>
      <c r="RAO38" s="2795"/>
      <c r="RAP38" s="2795"/>
      <c r="RAQ38" s="2795"/>
      <c r="RAR38" s="2795"/>
      <c r="RAS38" s="2795"/>
      <c r="RAT38" s="2795"/>
      <c r="RAU38" s="2795"/>
      <c r="RAV38" s="2795"/>
      <c r="RAW38" s="2795"/>
      <c r="RAX38" s="2795"/>
      <c r="RAY38" s="2795"/>
      <c r="RAZ38" s="2795"/>
      <c r="RBA38" s="2795"/>
      <c r="RBB38" s="2795"/>
      <c r="RBC38" s="2795"/>
      <c r="RBD38" s="2795"/>
      <c r="RBE38" s="2795"/>
      <c r="RBF38" s="2795"/>
      <c r="RBG38" s="2795"/>
      <c r="RBH38" s="2795"/>
      <c r="RBI38" s="2795"/>
      <c r="RBJ38" s="2795"/>
      <c r="RBK38" s="2795"/>
      <c r="RBL38" s="2795"/>
      <c r="RBM38" s="2795"/>
      <c r="RBN38" s="2795"/>
      <c r="RBO38" s="2795"/>
      <c r="RBP38" s="2795"/>
      <c r="RBQ38" s="2795"/>
      <c r="RBR38" s="2795"/>
      <c r="RBS38" s="2795"/>
      <c r="RBT38" s="2795"/>
      <c r="RBU38" s="2795"/>
      <c r="RBV38" s="2795"/>
      <c r="RBW38" s="2795"/>
      <c r="RBX38" s="2795"/>
      <c r="RBY38" s="2795"/>
      <c r="RBZ38" s="2795"/>
      <c r="RCA38" s="2795"/>
      <c r="RCB38" s="2795"/>
      <c r="RCC38" s="2795"/>
      <c r="RCD38" s="2795"/>
      <c r="RCE38" s="2795"/>
      <c r="RCF38" s="2795"/>
      <c r="RCG38" s="2795"/>
      <c r="RCH38" s="2795"/>
      <c r="RCI38" s="2795"/>
      <c r="RCJ38" s="2795"/>
      <c r="RCK38" s="2795"/>
      <c r="RCL38" s="2795"/>
      <c r="RCM38" s="2795"/>
      <c r="RCN38" s="2795"/>
      <c r="RCO38" s="2795"/>
      <c r="RCP38" s="2795"/>
      <c r="RCQ38" s="2795"/>
      <c r="RCR38" s="2795"/>
      <c r="RCS38" s="2795"/>
      <c r="RCT38" s="2795"/>
      <c r="RCU38" s="2795"/>
      <c r="RCV38" s="2795"/>
      <c r="RCW38" s="2795"/>
      <c r="RCX38" s="2795"/>
      <c r="RCY38" s="2795"/>
      <c r="RCZ38" s="2795"/>
      <c r="RDA38" s="2795"/>
      <c r="RDB38" s="2795"/>
      <c r="RDC38" s="2795"/>
      <c r="RDD38" s="2795"/>
      <c r="RDE38" s="2795"/>
      <c r="RDF38" s="2795"/>
      <c r="RDG38" s="2795"/>
      <c r="RDH38" s="2795"/>
      <c r="RDI38" s="2795"/>
      <c r="RDJ38" s="2795"/>
      <c r="RDK38" s="2795"/>
      <c r="RDL38" s="2795"/>
      <c r="RDM38" s="2795"/>
      <c r="RDN38" s="2795"/>
      <c r="RDO38" s="2795"/>
      <c r="RDP38" s="2795"/>
      <c r="RDQ38" s="2795"/>
      <c r="RDR38" s="2795"/>
      <c r="RDS38" s="2795"/>
      <c r="RDT38" s="2795"/>
      <c r="RDU38" s="2795"/>
      <c r="RDV38" s="2795"/>
      <c r="RDW38" s="2795"/>
      <c r="RDX38" s="2795"/>
      <c r="RDY38" s="2795"/>
      <c r="RDZ38" s="2795"/>
      <c r="REA38" s="2795"/>
      <c r="REB38" s="2795"/>
      <c r="REC38" s="2795"/>
      <c r="RED38" s="2795"/>
      <c r="REE38" s="2795"/>
      <c r="REF38" s="2795"/>
      <c r="REG38" s="2795"/>
      <c r="REH38" s="2795"/>
      <c r="REI38" s="2795"/>
      <c r="REJ38" s="2795"/>
      <c r="REK38" s="2795"/>
      <c r="REL38" s="2795"/>
      <c r="REM38" s="2795"/>
      <c r="REN38" s="2795"/>
      <c r="REO38" s="2795"/>
      <c r="REP38" s="2795"/>
      <c r="REQ38" s="2795"/>
      <c r="RER38" s="2795"/>
      <c r="RES38" s="2795"/>
      <c r="RET38" s="2795"/>
      <c r="REU38" s="2795"/>
      <c r="REV38" s="2795"/>
      <c r="REW38" s="2795"/>
      <c r="REX38" s="2795"/>
      <c r="REY38" s="2795"/>
      <c r="REZ38" s="2795"/>
      <c r="RFA38" s="2795"/>
      <c r="RFB38" s="2795"/>
      <c r="RFC38" s="2795"/>
      <c r="RFD38" s="2795"/>
      <c r="RFE38" s="2795"/>
      <c r="RFF38" s="2795"/>
      <c r="RFG38" s="2795"/>
      <c r="RFH38" s="2795"/>
      <c r="RFI38" s="2795"/>
      <c r="RFJ38" s="2795"/>
      <c r="RFK38" s="2795"/>
      <c r="RFL38" s="2795"/>
      <c r="RFM38" s="2795"/>
      <c r="RFN38" s="2795"/>
      <c r="RFO38" s="2795"/>
      <c r="RFP38" s="2795"/>
      <c r="RFQ38" s="2795"/>
      <c r="RFR38" s="2795"/>
      <c r="RFS38" s="2795"/>
      <c r="RFT38" s="2795"/>
      <c r="RFU38" s="2795"/>
      <c r="RFV38" s="2795"/>
      <c r="RFW38" s="2795"/>
      <c r="RFX38" s="2795"/>
      <c r="RFY38" s="2795"/>
      <c r="RFZ38" s="2795"/>
      <c r="RGA38" s="2795"/>
      <c r="RGB38" s="2795"/>
      <c r="RGC38" s="2795"/>
      <c r="RGD38" s="2795"/>
      <c r="RGE38" s="2795"/>
      <c r="RGF38" s="2795"/>
      <c r="RGG38" s="2795"/>
      <c r="RGH38" s="2795"/>
      <c r="RGI38" s="2795"/>
      <c r="RGJ38" s="2795"/>
      <c r="RGK38" s="2795"/>
      <c r="RGL38" s="2795"/>
      <c r="RGM38" s="2795"/>
      <c r="RGN38" s="2795"/>
      <c r="RGO38" s="2795"/>
      <c r="RGP38" s="2795"/>
      <c r="RGQ38" s="2795"/>
      <c r="RGR38" s="2795"/>
      <c r="RGS38" s="2795"/>
      <c r="RGT38" s="2795"/>
      <c r="RGU38" s="2795"/>
      <c r="RGV38" s="2795"/>
      <c r="RGW38" s="2795"/>
      <c r="RGX38" s="2795"/>
      <c r="RGY38" s="2795"/>
      <c r="RGZ38" s="2795"/>
      <c r="RHA38" s="2795"/>
      <c r="RHB38" s="2795"/>
      <c r="RHC38" s="2795"/>
      <c r="RHD38" s="2795"/>
      <c r="RHE38" s="2795"/>
      <c r="RHF38" s="2795"/>
      <c r="RHG38" s="2795"/>
      <c r="RHH38" s="2795"/>
      <c r="RHI38" s="2795"/>
      <c r="RHJ38" s="2795"/>
      <c r="RHK38" s="2795"/>
      <c r="RHL38" s="2795"/>
      <c r="RHM38" s="2795"/>
      <c r="RHN38" s="2795"/>
      <c r="RHO38" s="2795"/>
      <c r="RHP38" s="2795"/>
      <c r="RHQ38" s="2795"/>
      <c r="RHR38" s="2795"/>
      <c r="RHS38" s="2795"/>
      <c r="RHT38" s="2795"/>
      <c r="RHU38" s="2795"/>
      <c r="RHV38" s="2795"/>
      <c r="RHW38" s="2795"/>
      <c r="RHX38" s="2795"/>
      <c r="RHY38" s="2795"/>
      <c r="RHZ38" s="2795"/>
      <c r="RIA38" s="2795"/>
      <c r="RIB38" s="2795"/>
      <c r="RIC38" s="2795"/>
      <c r="RID38" s="2795"/>
      <c r="RIE38" s="2795"/>
      <c r="RIF38" s="2795"/>
      <c r="RIG38" s="2795"/>
      <c r="RIH38" s="2795"/>
      <c r="RII38" s="2795"/>
      <c r="RIJ38" s="2795"/>
      <c r="RIK38" s="2795"/>
      <c r="RIL38" s="2795"/>
      <c r="RIM38" s="2795"/>
      <c r="RIN38" s="2795"/>
      <c r="RIO38" s="2795"/>
      <c r="RIP38" s="2795"/>
      <c r="RIQ38" s="2795"/>
      <c r="RIR38" s="2795"/>
      <c r="RIS38" s="2795"/>
      <c r="RIT38" s="2795"/>
      <c r="RIU38" s="2795"/>
      <c r="RIV38" s="2795"/>
      <c r="RIW38" s="2795"/>
      <c r="RIX38" s="2795"/>
      <c r="RIY38" s="2795"/>
      <c r="RIZ38" s="2795"/>
      <c r="RJA38" s="2795"/>
      <c r="RJB38" s="2795"/>
      <c r="RJC38" s="2795"/>
      <c r="RJD38" s="2795"/>
      <c r="RJE38" s="2795"/>
      <c r="RJF38" s="2795"/>
      <c r="RJG38" s="2795"/>
      <c r="RJH38" s="2795"/>
      <c r="RJI38" s="2795"/>
      <c r="RJJ38" s="2795"/>
      <c r="RJK38" s="2795"/>
      <c r="RJL38" s="2795"/>
      <c r="RJM38" s="2795"/>
      <c r="RJN38" s="2795"/>
      <c r="RJO38" s="2795"/>
      <c r="RJP38" s="2795"/>
      <c r="RJQ38" s="2795"/>
      <c r="RJR38" s="2795"/>
      <c r="RJS38" s="2795"/>
      <c r="RJT38" s="2795"/>
      <c r="RJU38" s="2795"/>
      <c r="RJV38" s="2795"/>
      <c r="RJW38" s="2795"/>
      <c r="RJX38" s="2795"/>
      <c r="RJY38" s="2795"/>
      <c r="RJZ38" s="2795"/>
      <c r="RKA38" s="2795"/>
      <c r="RKB38" s="2795"/>
      <c r="RKC38" s="2795"/>
      <c r="RKD38" s="2795"/>
      <c r="RKE38" s="2795"/>
      <c r="RKF38" s="2795"/>
      <c r="RKG38" s="2795"/>
      <c r="RKH38" s="2795"/>
      <c r="RKI38" s="2795"/>
      <c r="RKJ38" s="2795"/>
      <c r="RKK38" s="2795"/>
      <c r="RKL38" s="2795"/>
      <c r="RKM38" s="2795"/>
      <c r="RKN38" s="2795"/>
      <c r="RKO38" s="2795"/>
      <c r="RKP38" s="2795"/>
      <c r="RKQ38" s="2795"/>
      <c r="RKR38" s="2795"/>
      <c r="RKS38" s="2795"/>
      <c r="RKT38" s="2795"/>
      <c r="RKU38" s="2795"/>
      <c r="RKV38" s="2795"/>
      <c r="RKW38" s="2795"/>
      <c r="RKX38" s="2795"/>
      <c r="RKY38" s="2795"/>
      <c r="RKZ38" s="2795"/>
      <c r="RLA38" s="2795"/>
      <c r="RLB38" s="2795"/>
      <c r="RLC38" s="2795"/>
      <c r="RLD38" s="2795"/>
      <c r="RLE38" s="2795"/>
      <c r="RLF38" s="2795"/>
      <c r="RLG38" s="2795"/>
      <c r="RLH38" s="2795"/>
      <c r="RLI38" s="2795"/>
      <c r="RLJ38" s="2795"/>
      <c r="RLK38" s="2795"/>
      <c r="RLL38" s="2795"/>
      <c r="RLM38" s="2795"/>
      <c r="RLN38" s="2795"/>
      <c r="RLO38" s="2795"/>
      <c r="RLP38" s="2795"/>
      <c r="RLQ38" s="2795"/>
      <c r="RLR38" s="2795"/>
      <c r="RLS38" s="2795"/>
      <c r="RLT38" s="2795"/>
      <c r="RLU38" s="2795"/>
      <c r="RLV38" s="2795"/>
      <c r="RLW38" s="2795"/>
      <c r="RLX38" s="2795"/>
      <c r="RLY38" s="2795"/>
      <c r="RLZ38" s="2795"/>
      <c r="RMA38" s="2795"/>
      <c r="RMB38" s="2795"/>
      <c r="RMC38" s="2795"/>
      <c r="RMD38" s="2795"/>
      <c r="RME38" s="2795"/>
      <c r="RMF38" s="2795"/>
      <c r="RMG38" s="2795"/>
      <c r="RMH38" s="2795"/>
      <c r="RMI38" s="2795"/>
      <c r="RMJ38" s="2795"/>
      <c r="RMK38" s="2795"/>
      <c r="RML38" s="2795"/>
      <c r="RMM38" s="2795"/>
      <c r="RMN38" s="2795"/>
      <c r="RMO38" s="2795"/>
      <c r="RMP38" s="2795"/>
      <c r="RMQ38" s="2795"/>
      <c r="RMR38" s="2795"/>
      <c r="RMS38" s="2795"/>
      <c r="RMT38" s="2795"/>
      <c r="RMU38" s="2795"/>
      <c r="RMV38" s="2795"/>
      <c r="RMW38" s="2795"/>
      <c r="RMX38" s="2795"/>
      <c r="RMY38" s="2795"/>
      <c r="RMZ38" s="2795"/>
      <c r="RNA38" s="2795"/>
      <c r="RNB38" s="2795"/>
      <c r="RNC38" s="2795"/>
      <c r="RND38" s="2795"/>
      <c r="RNE38" s="2795"/>
      <c r="RNF38" s="2795"/>
      <c r="RNG38" s="2795"/>
      <c r="RNH38" s="2795"/>
      <c r="RNI38" s="2795"/>
      <c r="RNJ38" s="2795"/>
      <c r="RNK38" s="2795"/>
      <c r="RNL38" s="2795"/>
      <c r="RNM38" s="2795"/>
      <c r="RNN38" s="2795"/>
      <c r="RNO38" s="2795"/>
      <c r="RNP38" s="2795"/>
      <c r="RNQ38" s="2795"/>
      <c r="RNR38" s="2795"/>
      <c r="RNS38" s="2795"/>
      <c r="RNT38" s="2795"/>
      <c r="RNU38" s="2795"/>
      <c r="RNV38" s="2795"/>
      <c r="RNW38" s="2795"/>
      <c r="RNX38" s="2795"/>
      <c r="RNY38" s="2795"/>
      <c r="RNZ38" s="2795"/>
      <c r="ROA38" s="2795"/>
      <c r="ROB38" s="2795"/>
      <c r="ROC38" s="2795"/>
      <c r="ROD38" s="2795"/>
      <c r="ROE38" s="2795"/>
      <c r="ROF38" s="2795"/>
      <c r="ROG38" s="2795"/>
      <c r="ROH38" s="2795"/>
      <c r="ROI38" s="2795"/>
      <c r="ROJ38" s="2795"/>
      <c r="ROK38" s="2795"/>
      <c r="ROL38" s="2795"/>
      <c r="ROM38" s="2795"/>
      <c r="RON38" s="2795"/>
      <c r="ROO38" s="2795"/>
      <c r="ROP38" s="2795"/>
      <c r="ROQ38" s="2795"/>
      <c r="ROR38" s="2795"/>
      <c r="ROS38" s="2795"/>
      <c r="ROT38" s="2795"/>
      <c r="ROU38" s="2795"/>
      <c r="ROV38" s="2795"/>
      <c r="ROW38" s="2795"/>
      <c r="ROX38" s="2795"/>
      <c r="ROY38" s="2795"/>
      <c r="ROZ38" s="2795"/>
      <c r="RPA38" s="2795"/>
      <c r="RPB38" s="2795"/>
      <c r="RPC38" s="2795"/>
      <c r="RPD38" s="2795"/>
      <c r="RPE38" s="2795"/>
      <c r="RPF38" s="2795"/>
      <c r="RPG38" s="2795"/>
      <c r="RPH38" s="2795"/>
      <c r="RPI38" s="2795"/>
      <c r="RPJ38" s="2795"/>
      <c r="RPK38" s="2795"/>
      <c r="RPL38" s="2795"/>
      <c r="RPM38" s="2795"/>
      <c r="RPN38" s="2795"/>
      <c r="RPO38" s="2795"/>
      <c r="RPP38" s="2795"/>
      <c r="RPQ38" s="2795"/>
      <c r="RPR38" s="2795"/>
      <c r="RPS38" s="2795"/>
      <c r="RPT38" s="2795"/>
      <c r="RPU38" s="2795"/>
      <c r="RPV38" s="2795"/>
      <c r="RPW38" s="2795"/>
      <c r="RPX38" s="2795"/>
      <c r="RPY38" s="2795"/>
      <c r="RPZ38" s="2795"/>
      <c r="RQA38" s="2795"/>
      <c r="RQB38" s="2795"/>
      <c r="RQC38" s="2795"/>
      <c r="RQD38" s="2795"/>
      <c r="RQE38" s="2795"/>
      <c r="RQF38" s="2795"/>
      <c r="RQG38" s="2795"/>
      <c r="RQH38" s="2795"/>
      <c r="RQI38" s="2795"/>
      <c r="RQJ38" s="2795"/>
      <c r="RQK38" s="2795"/>
      <c r="RQL38" s="2795"/>
      <c r="RQM38" s="2795"/>
      <c r="RQN38" s="2795"/>
      <c r="RQO38" s="2795"/>
      <c r="RQP38" s="2795"/>
      <c r="RQQ38" s="2795"/>
      <c r="RQR38" s="2795"/>
      <c r="RQS38" s="2795"/>
      <c r="RQT38" s="2795"/>
      <c r="RQU38" s="2795"/>
      <c r="RQV38" s="2795"/>
      <c r="RQW38" s="2795"/>
      <c r="RQX38" s="2795"/>
      <c r="RQY38" s="2795"/>
      <c r="RQZ38" s="2795"/>
      <c r="RRA38" s="2795"/>
      <c r="RRB38" s="2795"/>
      <c r="RRC38" s="2795"/>
      <c r="RRD38" s="2795"/>
      <c r="RRE38" s="2795"/>
      <c r="RRF38" s="2795"/>
      <c r="RRG38" s="2795"/>
      <c r="RRH38" s="2795"/>
      <c r="RRI38" s="2795"/>
      <c r="RRJ38" s="2795"/>
      <c r="RRK38" s="2795"/>
      <c r="RRL38" s="2795"/>
      <c r="RRM38" s="2795"/>
      <c r="RRN38" s="2795"/>
      <c r="RRO38" s="2795"/>
      <c r="RRP38" s="2795"/>
      <c r="RRQ38" s="2795"/>
      <c r="RRR38" s="2795"/>
      <c r="RRS38" s="2795"/>
      <c r="RRT38" s="2795"/>
      <c r="RRU38" s="2795"/>
      <c r="RRV38" s="2795"/>
      <c r="RRW38" s="2795"/>
      <c r="RRX38" s="2795"/>
      <c r="RRY38" s="2795"/>
      <c r="RRZ38" s="2795"/>
      <c r="RSA38" s="2795"/>
      <c r="RSB38" s="2795"/>
      <c r="RSC38" s="2795"/>
      <c r="RSD38" s="2795"/>
      <c r="RSE38" s="2795"/>
      <c r="RSF38" s="2795"/>
      <c r="RSG38" s="2795"/>
      <c r="RSH38" s="2795"/>
      <c r="RSI38" s="2795"/>
      <c r="RSJ38" s="2795"/>
      <c r="RSK38" s="2795"/>
      <c r="RSL38" s="2795"/>
      <c r="RSM38" s="2795"/>
      <c r="RSN38" s="2795"/>
      <c r="RSO38" s="2795"/>
      <c r="RSP38" s="2795"/>
      <c r="RSQ38" s="2795"/>
      <c r="RSR38" s="2795"/>
      <c r="RSS38" s="2795"/>
      <c r="RST38" s="2795"/>
      <c r="RSU38" s="2795"/>
      <c r="RSV38" s="2795"/>
      <c r="RSW38" s="2795"/>
      <c r="RSX38" s="2795"/>
      <c r="RSY38" s="2795"/>
      <c r="RSZ38" s="2795"/>
      <c r="RTA38" s="2795"/>
      <c r="RTB38" s="2795"/>
      <c r="RTC38" s="2795"/>
      <c r="RTD38" s="2795"/>
      <c r="RTE38" s="2795"/>
      <c r="RTF38" s="2795"/>
      <c r="RTG38" s="2795"/>
      <c r="RTH38" s="2795"/>
      <c r="RTI38" s="2795"/>
      <c r="RTJ38" s="2795"/>
      <c r="RTK38" s="2795"/>
      <c r="RTL38" s="2795"/>
      <c r="RTM38" s="2795"/>
      <c r="RTN38" s="2795"/>
      <c r="RTO38" s="2795"/>
      <c r="RTP38" s="2795"/>
      <c r="RTQ38" s="2795"/>
      <c r="RTR38" s="2795"/>
      <c r="RTS38" s="2795"/>
      <c r="RTT38" s="2795"/>
      <c r="RTU38" s="2795"/>
      <c r="RTV38" s="2795"/>
      <c r="RTW38" s="2795"/>
      <c r="RTX38" s="2795"/>
      <c r="RTY38" s="2795"/>
      <c r="RTZ38" s="2795"/>
      <c r="RUA38" s="2795"/>
      <c r="RUB38" s="2795"/>
      <c r="RUC38" s="2795"/>
      <c r="RUD38" s="2795"/>
      <c r="RUE38" s="2795"/>
      <c r="RUF38" s="2795"/>
      <c r="RUG38" s="2795"/>
      <c r="RUH38" s="2795"/>
      <c r="RUI38" s="2795"/>
      <c r="RUJ38" s="2795"/>
      <c r="RUK38" s="2795"/>
      <c r="RUL38" s="2795"/>
      <c r="RUM38" s="2795"/>
      <c r="RUN38" s="2795"/>
      <c r="RUO38" s="2795"/>
      <c r="RUP38" s="2795"/>
      <c r="RUQ38" s="2795"/>
      <c r="RUR38" s="2795"/>
      <c r="RUS38" s="2795"/>
      <c r="RUT38" s="2795"/>
      <c r="RUU38" s="2795"/>
      <c r="RUV38" s="2795"/>
      <c r="RUW38" s="2795"/>
      <c r="RUX38" s="2795"/>
      <c r="RUY38" s="2795"/>
      <c r="RUZ38" s="2795"/>
      <c r="RVA38" s="2795"/>
      <c r="RVB38" s="2795"/>
      <c r="RVC38" s="2795"/>
      <c r="RVD38" s="2795"/>
      <c r="RVE38" s="2795"/>
      <c r="RVF38" s="2795"/>
      <c r="RVG38" s="2795"/>
      <c r="RVH38" s="2795"/>
      <c r="RVI38" s="2795"/>
      <c r="RVJ38" s="2795"/>
      <c r="RVK38" s="2795"/>
      <c r="RVL38" s="2795"/>
      <c r="RVM38" s="2795"/>
      <c r="RVN38" s="2795"/>
      <c r="RVO38" s="2795"/>
      <c r="RVP38" s="2795"/>
      <c r="RVQ38" s="2795"/>
      <c r="RVR38" s="2795"/>
      <c r="RVS38" s="2795"/>
      <c r="RVT38" s="2795"/>
      <c r="RVU38" s="2795"/>
      <c r="RVV38" s="2795"/>
      <c r="RVW38" s="2795"/>
      <c r="RVX38" s="2795"/>
      <c r="RVY38" s="2795"/>
      <c r="RVZ38" s="2795"/>
      <c r="RWA38" s="2795"/>
      <c r="RWB38" s="2795"/>
      <c r="RWC38" s="2795"/>
      <c r="RWD38" s="2795"/>
      <c r="RWE38" s="2795"/>
      <c r="RWF38" s="2795"/>
      <c r="RWG38" s="2795"/>
      <c r="RWH38" s="2795"/>
      <c r="RWI38" s="2795"/>
      <c r="RWJ38" s="2795"/>
      <c r="RWK38" s="2795"/>
      <c r="RWL38" s="2795"/>
      <c r="RWM38" s="2795"/>
      <c r="RWN38" s="2795"/>
      <c r="RWO38" s="2795"/>
      <c r="RWP38" s="2795"/>
      <c r="RWQ38" s="2795"/>
      <c r="RWR38" s="2795"/>
      <c r="RWS38" s="2795"/>
      <c r="RWT38" s="2795"/>
      <c r="RWU38" s="2795"/>
      <c r="RWV38" s="2795"/>
      <c r="RWW38" s="2795"/>
      <c r="RWX38" s="2795"/>
      <c r="RWY38" s="2795"/>
      <c r="RWZ38" s="2795"/>
      <c r="RXA38" s="2795"/>
      <c r="RXB38" s="2795"/>
      <c r="RXC38" s="2795"/>
      <c r="RXD38" s="2795"/>
      <c r="RXE38" s="2795"/>
      <c r="RXF38" s="2795"/>
      <c r="RXG38" s="2795"/>
      <c r="RXH38" s="2795"/>
      <c r="RXI38" s="2795"/>
      <c r="RXJ38" s="2795"/>
      <c r="RXK38" s="2795"/>
      <c r="RXL38" s="2795"/>
      <c r="RXM38" s="2795"/>
      <c r="RXN38" s="2795"/>
      <c r="RXO38" s="2795"/>
      <c r="RXP38" s="2795"/>
      <c r="RXQ38" s="2795"/>
      <c r="RXR38" s="2795"/>
      <c r="RXS38" s="2795"/>
      <c r="RXT38" s="2795"/>
      <c r="RXU38" s="2795"/>
      <c r="RXV38" s="2795"/>
      <c r="RXW38" s="2795"/>
      <c r="RXX38" s="2795"/>
      <c r="RXY38" s="2795"/>
      <c r="RXZ38" s="2795"/>
      <c r="RYA38" s="2795"/>
      <c r="RYB38" s="2795"/>
      <c r="RYC38" s="2795"/>
      <c r="RYD38" s="2795"/>
      <c r="RYE38" s="2795"/>
      <c r="RYF38" s="2795"/>
      <c r="RYG38" s="2795"/>
      <c r="RYH38" s="2795"/>
      <c r="RYI38" s="2795"/>
      <c r="RYJ38" s="2795"/>
      <c r="RYK38" s="2795"/>
      <c r="RYL38" s="2795"/>
      <c r="RYM38" s="2795"/>
      <c r="RYN38" s="2795"/>
      <c r="RYO38" s="2795"/>
      <c r="RYP38" s="2795"/>
      <c r="RYQ38" s="2795"/>
      <c r="RYR38" s="2795"/>
      <c r="RYS38" s="2795"/>
      <c r="RYT38" s="2795"/>
      <c r="RYU38" s="2795"/>
      <c r="RYV38" s="2795"/>
      <c r="RYW38" s="2795"/>
      <c r="RYX38" s="2795"/>
      <c r="RYY38" s="2795"/>
      <c r="RYZ38" s="2795"/>
      <c r="RZA38" s="2795"/>
      <c r="RZB38" s="2795"/>
      <c r="RZC38" s="2795"/>
      <c r="RZD38" s="2795"/>
      <c r="RZE38" s="2795"/>
      <c r="RZF38" s="2795"/>
      <c r="RZG38" s="2795"/>
      <c r="RZH38" s="2795"/>
      <c r="RZI38" s="2795"/>
      <c r="RZJ38" s="2795"/>
      <c r="RZK38" s="2795"/>
      <c r="RZL38" s="2795"/>
      <c r="RZM38" s="2795"/>
      <c r="RZN38" s="2795"/>
      <c r="RZO38" s="2795"/>
      <c r="RZP38" s="2795"/>
      <c r="RZQ38" s="2795"/>
      <c r="RZR38" s="2795"/>
      <c r="RZS38" s="2795"/>
      <c r="RZT38" s="2795"/>
      <c r="RZU38" s="2795"/>
      <c r="RZV38" s="2795"/>
      <c r="RZW38" s="2795"/>
      <c r="RZX38" s="2795"/>
      <c r="RZY38" s="2795"/>
      <c r="RZZ38" s="2795"/>
      <c r="SAA38" s="2795"/>
      <c r="SAB38" s="2795"/>
      <c r="SAC38" s="2795"/>
      <c r="SAD38" s="2795"/>
      <c r="SAE38" s="2795"/>
      <c r="SAF38" s="2795"/>
      <c r="SAG38" s="2795"/>
      <c r="SAH38" s="2795"/>
      <c r="SAI38" s="2795"/>
      <c r="SAJ38" s="2795"/>
      <c r="SAK38" s="2795"/>
      <c r="SAL38" s="2795"/>
      <c r="SAM38" s="2795"/>
      <c r="SAN38" s="2795"/>
      <c r="SAO38" s="2795"/>
      <c r="SAP38" s="2795"/>
      <c r="SAQ38" s="2795"/>
      <c r="SAR38" s="2795"/>
      <c r="SAS38" s="2795"/>
      <c r="SAT38" s="2795"/>
      <c r="SAU38" s="2795"/>
      <c r="SAV38" s="2795"/>
      <c r="SAW38" s="2795"/>
      <c r="SAX38" s="2795"/>
      <c r="SAY38" s="2795"/>
      <c r="SAZ38" s="2795"/>
      <c r="SBA38" s="2795"/>
      <c r="SBB38" s="2795"/>
      <c r="SBC38" s="2795"/>
      <c r="SBD38" s="2795"/>
      <c r="SBE38" s="2795"/>
      <c r="SBF38" s="2795"/>
      <c r="SBG38" s="2795"/>
      <c r="SBH38" s="2795"/>
      <c r="SBI38" s="2795"/>
      <c r="SBJ38" s="2795"/>
      <c r="SBK38" s="2795"/>
      <c r="SBL38" s="2795"/>
      <c r="SBM38" s="2795"/>
      <c r="SBN38" s="2795"/>
      <c r="SBO38" s="2795"/>
      <c r="SBP38" s="2795"/>
      <c r="SBQ38" s="2795"/>
      <c r="SBR38" s="2795"/>
      <c r="SBS38" s="2795"/>
      <c r="SBT38" s="2795"/>
      <c r="SBU38" s="2795"/>
      <c r="SBV38" s="2795"/>
      <c r="SBW38" s="2795"/>
      <c r="SBX38" s="2795"/>
      <c r="SBY38" s="2795"/>
      <c r="SBZ38" s="2795"/>
      <c r="SCA38" s="2795"/>
      <c r="SCB38" s="2795"/>
      <c r="SCC38" s="2795"/>
      <c r="SCD38" s="2795"/>
      <c r="SCE38" s="2795"/>
      <c r="SCF38" s="2795"/>
      <c r="SCG38" s="2795"/>
      <c r="SCH38" s="2795"/>
      <c r="SCI38" s="2795"/>
      <c r="SCJ38" s="2795"/>
      <c r="SCK38" s="2795"/>
      <c r="SCL38" s="2795"/>
      <c r="SCM38" s="2795"/>
      <c r="SCN38" s="2795"/>
      <c r="SCO38" s="2795"/>
      <c r="SCP38" s="2795"/>
      <c r="SCQ38" s="2795"/>
      <c r="SCR38" s="2795"/>
      <c r="SCS38" s="2795"/>
      <c r="SCT38" s="2795"/>
      <c r="SCU38" s="2795"/>
      <c r="SCV38" s="2795"/>
      <c r="SCW38" s="2795"/>
      <c r="SCX38" s="2795"/>
      <c r="SCY38" s="2795"/>
      <c r="SCZ38" s="2795"/>
      <c r="SDA38" s="2795"/>
      <c r="SDB38" s="2795"/>
      <c r="SDC38" s="2795"/>
      <c r="SDD38" s="2795"/>
      <c r="SDE38" s="2795"/>
      <c r="SDF38" s="2795"/>
      <c r="SDG38" s="2795"/>
      <c r="SDH38" s="2795"/>
      <c r="SDI38" s="2795"/>
      <c r="SDJ38" s="2795"/>
      <c r="SDK38" s="2795"/>
      <c r="SDL38" s="2795"/>
      <c r="SDM38" s="2795"/>
      <c r="SDN38" s="2795"/>
      <c r="SDO38" s="2795"/>
      <c r="SDP38" s="2795"/>
      <c r="SDQ38" s="2795"/>
      <c r="SDR38" s="2795"/>
      <c r="SDS38" s="2795"/>
      <c r="SDT38" s="2795"/>
      <c r="SDU38" s="2795"/>
      <c r="SDV38" s="2795"/>
      <c r="SDW38" s="2795"/>
      <c r="SDX38" s="2795"/>
      <c r="SDY38" s="2795"/>
      <c r="SDZ38" s="2795"/>
      <c r="SEA38" s="2795"/>
      <c r="SEB38" s="2795"/>
      <c r="SEC38" s="2795"/>
      <c r="SED38" s="2795"/>
      <c r="SEE38" s="2795"/>
      <c r="SEF38" s="2795"/>
      <c r="SEG38" s="2795"/>
      <c r="SEH38" s="2795"/>
      <c r="SEI38" s="2795"/>
      <c r="SEJ38" s="2795"/>
      <c r="SEK38" s="2795"/>
      <c r="SEL38" s="2795"/>
      <c r="SEM38" s="2795"/>
      <c r="SEN38" s="2795"/>
      <c r="SEO38" s="2795"/>
      <c r="SEP38" s="2795"/>
      <c r="SEQ38" s="2795"/>
      <c r="SER38" s="2795"/>
      <c r="SES38" s="2795"/>
      <c r="SET38" s="2795"/>
      <c r="SEU38" s="2795"/>
      <c r="SEV38" s="2795"/>
      <c r="SEW38" s="2795"/>
      <c r="SEX38" s="2795"/>
      <c r="SEY38" s="2795"/>
      <c r="SEZ38" s="2795"/>
      <c r="SFA38" s="2795"/>
      <c r="SFB38" s="2795"/>
      <c r="SFC38" s="2795"/>
      <c r="SFD38" s="2795"/>
      <c r="SFE38" s="2795"/>
      <c r="SFF38" s="2795"/>
      <c r="SFG38" s="2795"/>
      <c r="SFH38" s="2795"/>
      <c r="SFI38" s="2795"/>
      <c r="SFJ38" s="2795"/>
      <c r="SFK38" s="2795"/>
      <c r="SFL38" s="2795"/>
      <c r="SFM38" s="2795"/>
      <c r="SFN38" s="2795"/>
      <c r="SFO38" s="2795"/>
      <c r="SFP38" s="2795"/>
      <c r="SFQ38" s="2795"/>
      <c r="SFR38" s="2795"/>
      <c r="SFS38" s="2795"/>
      <c r="SFT38" s="2795"/>
      <c r="SFU38" s="2795"/>
      <c r="SFV38" s="2795"/>
      <c r="SFW38" s="2795"/>
      <c r="SFX38" s="2795"/>
      <c r="SFY38" s="2795"/>
      <c r="SFZ38" s="2795"/>
      <c r="SGA38" s="2795"/>
      <c r="SGB38" s="2795"/>
      <c r="SGC38" s="2795"/>
      <c r="SGD38" s="2795"/>
      <c r="SGE38" s="2795"/>
      <c r="SGF38" s="2795"/>
      <c r="SGG38" s="2795"/>
      <c r="SGH38" s="2795"/>
      <c r="SGI38" s="2795"/>
      <c r="SGJ38" s="2795"/>
      <c r="SGK38" s="2795"/>
      <c r="SGL38" s="2795"/>
      <c r="SGM38" s="2795"/>
      <c r="SGN38" s="2795"/>
      <c r="SGO38" s="2795"/>
      <c r="SGP38" s="2795"/>
      <c r="SGQ38" s="2795"/>
      <c r="SGR38" s="2795"/>
      <c r="SGS38" s="2795"/>
      <c r="SGT38" s="2795"/>
      <c r="SGU38" s="2795"/>
      <c r="SGV38" s="2795"/>
      <c r="SGW38" s="2795"/>
      <c r="SGX38" s="2795"/>
      <c r="SGY38" s="2795"/>
      <c r="SGZ38" s="2795"/>
      <c r="SHA38" s="2795"/>
      <c r="SHB38" s="2795"/>
      <c r="SHC38" s="2795"/>
      <c r="SHD38" s="2795"/>
      <c r="SHE38" s="2795"/>
      <c r="SHF38" s="2795"/>
      <c r="SHG38" s="2795"/>
      <c r="SHH38" s="2795"/>
      <c r="SHI38" s="2795"/>
      <c r="SHJ38" s="2795"/>
      <c r="SHK38" s="2795"/>
      <c r="SHL38" s="2795"/>
      <c r="SHM38" s="2795"/>
      <c r="SHN38" s="2795"/>
      <c r="SHO38" s="2795"/>
      <c r="SHP38" s="2795"/>
      <c r="SHQ38" s="2795"/>
      <c r="SHR38" s="2795"/>
      <c r="SHS38" s="2795"/>
      <c r="SHT38" s="2795"/>
      <c r="SHU38" s="2795"/>
      <c r="SHV38" s="2795"/>
      <c r="SHW38" s="2795"/>
      <c r="SHX38" s="2795"/>
      <c r="SHY38" s="2795"/>
      <c r="SHZ38" s="2795"/>
      <c r="SIA38" s="2795"/>
      <c r="SIB38" s="2795"/>
      <c r="SIC38" s="2795"/>
      <c r="SID38" s="2795"/>
      <c r="SIE38" s="2795"/>
      <c r="SIF38" s="2795"/>
      <c r="SIG38" s="2795"/>
      <c r="SIH38" s="2795"/>
      <c r="SII38" s="2795"/>
      <c r="SIJ38" s="2795"/>
      <c r="SIK38" s="2795"/>
      <c r="SIL38" s="2795"/>
      <c r="SIM38" s="2795"/>
      <c r="SIN38" s="2795"/>
      <c r="SIO38" s="2795"/>
      <c r="SIP38" s="2795"/>
      <c r="SIQ38" s="2795"/>
      <c r="SIR38" s="2795"/>
      <c r="SIS38" s="2795"/>
      <c r="SIT38" s="2795"/>
      <c r="SIU38" s="2795"/>
      <c r="SIV38" s="2795"/>
      <c r="SIW38" s="2795"/>
      <c r="SIX38" s="2795"/>
      <c r="SIY38" s="2795"/>
      <c r="SIZ38" s="2795"/>
      <c r="SJA38" s="2795"/>
      <c r="SJB38" s="2795"/>
      <c r="SJC38" s="2795"/>
      <c r="SJD38" s="2795"/>
      <c r="SJE38" s="2795"/>
      <c r="SJF38" s="2795"/>
      <c r="SJG38" s="2795"/>
      <c r="SJH38" s="2795"/>
      <c r="SJI38" s="2795"/>
      <c r="SJJ38" s="2795"/>
      <c r="SJK38" s="2795"/>
      <c r="SJL38" s="2795"/>
      <c r="SJM38" s="2795"/>
      <c r="SJN38" s="2795"/>
      <c r="SJO38" s="2795"/>
      <c r="SJP38" s="2795"/>
      <c r="SJQ38" s="2795"/>
      <c r="SJR38" s="2795"/>
      <c r="SJS38" s="2795"/>
      <c r="SJT38" s="2795"/>
      <c r="SJU38" s="2795"/>
      <c r="SJV38" s="2795"/>
      <c r="SJW38" s="2795"/>
      <c r="SJX38" s="2795"/>
      <c r="SJY38" s="2795"/>
      <c r="SJZ38" s="2795"/>
      <c r="SKA38" s="2795"/>
      <c r="SKB38" s="2795"/>
      <c r="SKC38" s="2795"/>
      <c r="SKD38" s="2795"/>
      <c r="SKE38" s="2795"/>
      <c r="SKF38" s="2795"/>
      <c r="SKG38" s="2795"/>
      <c r="SKH38" s="2795"/>
      <c r="SKI38" s="2795"/>
      <c r="SKJ38" s="2795"/>
      <c r="SKK38" s="2795"/>
      <c r="SKL38" s="2795"/>
      <c r="SKM38" s="2795"/>
      <c r="SKN38" s="2795"/>
      <c r="SKO38" s="2795"/>
      <c r="SKP38" s="2795"/>
      <c r="SKQ38" s="2795"/>
      <c r="SKR38" s="2795"/>
      <c r="SKS38" s="2795"/>
      <c r="SKT38" s="2795"/>
      <c r="SKU38" s="2795"/>
      <c r="SKV38" s="2795"/>
      <c r="SKW38" s="2795"/>
      <c r="SKX38" s="2795"/>
      <c r="SKY38" s="2795"/>
      <c r="SKZ38" s="2795"/>
      <c r="SLA38" s="2795"/>
      <c r="SLB38" s="2795"/>
      <c r="SLC38" s="2795"/>
      <c r="SLD38" s="2795"/>
      <c r="SLE38" s="2795"/>
      <c r="SLF38" s="2795"/>
      <c r="SLG38" s="2795"/>
      <c r="SLH38" s="2795"/>
      <c r="SLI38" s="2795"/>
      <c r="SLJ38" s="2795"/>
      <c r="SLK38" s="2795"/>
      <c r="SLL38" s="2795"/>
      <c r="SLM38" s="2795"/>
      <c r="SLN38" s="2795"/>
      <c r="SLO38" s="2795"/>
      <c r="SLP38" s="2795"/>
      <c r="SLQ38" s="2795"/>
      <c r="SLR38" s="2795"/>
      <c r="SLS38" s="2795"/>
      <c r="SLT38" s="2795"/>
      <c r="SLU38" s="2795"/>
      <c r="SLV38" s="2795"/>
      <c r="SLW38" s="2795"/>
      <c r="SLX38" s="2795"/>
      <c r="SLY38" s="2795"/>
      <c r="SLZ38" s="2795"/>
      <c r="SMA38" s="2795"/>
      <c r="SMB38" s="2795"/>
      <c r="SMC38" s="2795"/>
      <c r="SMD38" s="2795"/>
      <c r="SME38" s="2795"/>
      <c r="SMF38" s="2795"/>
      <c r="SMG38" s="2795"/>
      <c r="SMH38" s="2795"/>
      <c r="SMI38" s="2795"/>
      <c r="SMJ38" s="2795"/>
      <c r="SMK38" s="2795"/>
      <c r="SML38" s="2795"/>
      <c r="SMM38" s="2795"/>
      <c r="SMN38" s="2795"/>
      <c r="SMO38" s="2795"/>
      <c r="SMP38" s="2795"/>
      <c r="SMQ38" s="2795"/>
      <c r="SMR38" s="2795"/>
      <c r="SMS38" s="2795"/>
      <c r="SMT38" s="2795"/>
      <c r="SMU38" s="2795"/>
      <c r="SMV38" s="2795"/>
      <c r="SMW38" s="2795"/>
      <c r="SMX38" s="2795"/>
      <c r="SMY38" s="2795"/>
      <c r="SMZ38" s="2795"/>
      <c r="SNA38" s="2795"/>
      <c r="SNB38" s="2795"/>
      <c r="SNC38" s="2795"/>
      <c r="SND38" s="2795"/>
      <c r="SNE38" s="2795"/>
      <c r="SNF38" s="2795"/>
      <c r="SNG38" s="2795"/>
      <c r="SNH38" s="2795"/>
      <c r="SNI38" s="2795"/>
      <c r="SNJ38" s="2795"/>
      <c r="SNK38" s="2795"/>
      <c r="SNL38" s="2795"/>
      <c r="SNM38" s="2795"/>
      <c r="SNN38" s="2795"/>
      <c r="SNO38" s="2795"/>
      <c r="SNP38" s="2795"/>
      <c r="SNQ38" s="2795"/>
      <c r="SNR38" s="2795"/>
      <c r="SNS38" s="2795"/>
      <c r="SNT38" s="2795"/>
      <c r="SNU38" s="2795"/>
      <c r="SNV38" s="2795"/>
      <c r="SNW38" s="2795"/>
      <c r="SNX38" s="2795"/>
      <c r="SNY38" s="2795"/>
      <c r="SNZ38" s="2795"/>
      <c r="SOA38" s="2795"/>
      <c r="SOB38" s="2795"/>
      <c r="SOC38" s="2795"/>
      <c r="SOD38" s="2795"/>
      <c r="SOE38" s="2795"/>
      <c r="SOF38" s="2795"/>
      <c r="SOG38" s="2795"/>
      <c r="SOH38" s="2795"/>
      <c r="SOI38" s="2795"/>
      <c r="SOJ38" s="2795"/>
      <c r="SOK38" s="2795"/>
      <c r="SOL38" s="2795"/>
      <c r="SOM38" s="2795"/>
      <c r="SON38" s="2795"/>
      <c r="SOO38" s="2795"/>
      <c r="SOP38" s="2795"/>
      <c r="SOQ38" s="2795"/>
      <c r="SOR38" s="2795"/>
      <c r="SOS38" s="2795"/>
      <c r="SOT38" s="2795"/>
      <c r="SOU38" s="2795"/>
      <c r="SOV38" s="2795"/>
      <c r="SOW38" s="2795"/>
      <c r="SOX38" s="2795"/>
      <c r="SOY38" s="2795"/>
      <c r="SOZ38" s="2795"/>
      <c r="SPA38" s="2795"/>
      <c r="SPB38" s="2795"/>
      <c r="SPC38" s="2795"/>
      <c r="SPD38" s="2795"/>
      <c r="SPE38" s="2795"/>
      <c r="SPF38" s="2795"/>
      <c r="SPG38" s="2795"/>
      <c r="SPH38" s="2795"/>
      <c r="SPI38" s="2795"/>
      <c r="SPJ38" s="2795"/>
      <c r="SPK38" s="2795"/>
      <c r="SPL38" s="2795"/>
      <c r="SPM38" s="2795"/>
      <c r="SPN38" s="2795"/>
      <c r="SPO38" s="2795"/>
      <c r="SPP38" s="2795"/>
      <c r="SPQ38" s="2795"/>
      <c r="SPR38" s="2795"/>
      <c r="SPS38" s="2795"/>
      <c r="SPT38" s="2795"/>
      <c r="SPU38" s="2795"/>
      <c r="SPV38" s="2795"/>
      <c r="SPW38" s="2795"/>
      <c r="SPX38" s="2795"/>
      <c r="SPY38" s="2795"/>
      <c r="SPZ38" s="2795"/>
      <c r="SQA38" s="2795"/>
      <c r="SQB38" s="2795"/>
      <c r="SQC38" s="2795"/>
      <c r="SQD38" s="2795"/>
      <c r="SQE38" s="2795"/>
      <c r="SQF38" s="2795"/>
      <c r="SQG38" s="2795"/>
      <c r="SQH38" s="2795"/>
      <c r="SQI38" s="2795"/>
      <c r="SQJ38" s="2795"/>
      <c r="SQK38" s="2795"/>
      <c r="SQL38" s="2795"/>
      <c r="SQM38" s="2795"/>
      <c r="SQN38" s="2795"/>
      <c r="SQO38" s="2795"/>
      <c r="SQP38" s="2795"/>
      <c r="SQQ38" s="2795"/>
      <c r="SQR38" s="2795"/>
      <c r="SQS38" s="2795"/>
      <c r="SQT38" s="2795"/>
      <c r="SQU38" s="2795"/>
      <c r="SQV38" s="2795"/>
      <c r="SQW38" s="2795"/>
      <c r="SQX38" s="2795"/>
      <c r="SQY38" s="2795"/>
      <c r="SQZ38" s="2795"/>
      <c r="SRA38" s="2795"/>
      <c r="SRB38" s="2795"/>
      <c r="SRC38" s="2795"/>
      <c r="SRD38" s="2795"/>
      <c r="SRE38" s="2795"/>
      <c r="SRF38" s="2795"/>
      <c r="SRG38" s="2795"/>
      <c r="SRH38" s="2795"/>
      <c r="SRI38" s="2795"/>
      <c r="SRJ38" s="2795"/>
      <c r="SRK38" s="2795"/>
      <c r="SRL38" s="2795"/>
      <c r="SRM38" s="2795"/>
      <c r="SRN38" s="2795"/>
      <c r="SRO38" s="2795"/>
      <c r="SRP38" s="2795"/>
      <c r="SRQ38" s="2795"/>
      <c r="SRR38" s="2795"/>
      <c r="SRS38" s="2795"/>
      <c r="SRT38" s="2795"/>
      <c r="SRU38" s="2795"/>
      <c r="SRV38" s="2795"/>
      <c r="SRW38" s="2795"/>
      <c r="SRX38" s="2795"/>
      <c r="SRY38" s="2795"/>
      <c r="SRZ38" s="2795"/>
      <c r="SSA38" s="2795"/>
      <c r="SSB38" s="2795"/>
      <c r="SSC38" s="2795"/>
      <c r="SSD38" s="2795"/>
      <c r="SSE38" s="2795"/>
      <c r="SSF38" s="2795"/>
      <c r="SSG38" s="2795"/>
      <c r="SSH38" s="2795"/>
      <c r="SSI38" s="2795"/>
      <c r="SSJ38" s="2795"/>
      <c r="SSK38" s="2795"/>
      <c r="SSL38" s="2795"/>
      <c r="SSM38" s="2795"/>
      <c r="SSN38" s="2795"/>
      <c r="SSO38" s="2795"/>
      <c r="SSP38" s="2795"/>
      <c r="SSQ38" s="2795"/>
      <c r="SSR38" s="2795"/>
      <c r="SSS38" s="2795"/>
      <c r="SST38" s="2795"/>
      <c r="SSU38" s="2795"/>
      <c r="SSV38" s="2795"/>
      <c r="SSW38" s="2795"/>
      <c r="SSX38" s="2795"/>
      <c r="SSY38" s="2795"/>
      <c r="SSZ38" s="2795"/>
      <c r="STA38" s="2795"/>
      <c r="STB38" s="2795"/>
      <c r="STC38" s="2795"/>
      <c r="STD38" s="2795"/>
      <c r="STE38" s="2795"/>
      <c r="STF38" s="2795"/>
      <c r="STG38" s="2795"/>
      <c r="STH38" s="2795"/>
      <c r="STI38" s="2795"/>
      <c r="STJ38" s="2795"/>
      <c r="STK38" s="2795"/>
      <c r="STL38" s="2795"/>
      <c r="STM38" s="2795"/>
      <c r="STN38" s="2795"/>
      <c r="STO38" s="2795"/>
      <c r="STP38" s="2795"/>
      <c r="STQ38" s="2795"/>
      <c r="STR38" s="2795"/>
      <c r="STS38" s="2795"/>
      <c r="STT38" s="2795"/>
      <c r="STU38" s="2795"/>
      <c r="STV38" s="2795"/>
      <c r="STW38" s="2795"/>
      <c r="STX38" s="2795"/>
      <c r="STY38" s="2795"/>
      <c r="STZ38" s="2795"/>
      <c r="SUA38" s="2795"/>
      <c r="SUB38" s="2795"/>
      <c r="SUC38" s="2795"/>
      <c r="SUD38" s="2795"/>
      <c r="SUE38" s="2795"/>
      <c r="SUF38" s="2795"/>
      <c r="SUG38" s="2795"/>
      <c r="SUH38" s="2795"/>
      <c r="SUI38" s="2795"/>
      <c r="SUJ38" s="2795"/>
      <c r="SUK38" s="2795"/>
      <c r="SUL38" s="2795"/>
      <c r="SUM38" s="2795"/>
      <c r="SUN38" s="2795"/>
      <c r="SUO38" s="2795"/>
      <c r="SUP38" s="2795"/>
      <c r="SUQ38" s="2795"/>
      <c r="SUR38" s="2795"/>
      <c r="SUS38" s="2795"/>
      <c r="SUT38" s="2795"/>
      <c r="SUU38" s="2795"/>
      <c r="SUV38" s="2795"/>
      <c r="SUW38" s="2795"/>
      <c r="SUX38" s="2795"/>
      <c r="SUY38" s="2795"/>
      <c r="SUZ38" s="2795"/>
      <c r="SVA38" s="2795"/>
      <c r="SVB38" s="2795"/>
      <c r="SVC38" s="2795"/>
      <c r="SVD38" s="2795"/>
      <c r="SVE38" s="2795"/>
      <c r="SVF38" s="2795"/>
      <c r="SVG38" s="2795"/>
      <c r="SVH38" s="2795"/>
      <c r="SVI38" s="2795"/>
      <c r="SVJ38" s="2795"/>
      <c r="SVK38" s="2795"/>
      <c r="SVL38" s="2795"/>
      <c r="SVM38" s="2795"/>
      <c r="SVN38" s="2795"/>
      <c r="SVO38" s="2795"/>
      <c r="SVP38" s="2795"/>
      <c r="SVQ38" s="2795"/>
      <c r="SVR38" s="2795"/>
      <c r="SVS38" s="2795"/>
      <c r="SVT38" s="2795"/>
      <c r="SVU38" s="2795"/>
      <c r="SVV38" s="2795"/>
      <c r="SVW38" s="2795"/>
      <c r="SVX38" s="2795"/>
      <c r="SVY38" s="2795"/>
      <c r="SVZ38" s="2795"/>
      <c r="SWA38" s="2795"/>
      <c r="SWB38" s="2795"/>
      <c r="SWC38" s="2795"/>
      <c r="SWD38" s="2795"/>
      <c r="SWE38" s="2795"/>
      <c r="SWF38" s="2795"/>
      <c r="SWG38" s="2795"/>
      <c r="SWH38" s="2795"/>
      <c r="SWI38" s="2795"/>
      <c r="SWJ38" s="2795"/>
      <c r="SWK38" s="2795"/>
      <c r="SWL38" s="2795"/>
      <c r="SWM38" s="2795"/>
      <c r="SWN38" s="2795"/>
      <c r="SWO38" s="2795"/>
      <c r="SWP38" s="2795"/>
      <c r="SWQ38" s="2795"/>
      <c r="SWR38" s="2795"/>
      <c r="SWS38" s="2795"/>
      <c r="SWT38" s="2795"/>
      <c r="SWU38" s="2795"/>
      <c r="SWV38" s="2795"/>
      <c r="SWW38" s="2795"/>
      <c r="SWX38" s="2795"/>
      <c r="SWY38" s="2795"/>
      <c r="SWZ38" s="2795"/>
      <c r="SXA38" s="2795"/>
      <c r="SXB38" s="2795"/>
      <c r="SXC38" s="2795"/>
      <c r="SXD38" s="2795"/>
      <c r="SXE38" s="2795"/>
      <c r="SXF38" s="2795"/>
      <c r="SXG38" s="2795"/>
      <c r="SXH38" s="2795"/>
      <c r="SXI38" s="2795"/>
      <c r="SXJ38" s="2795"/>
      <c r="SXK38" s="2795"/>
      <c r="SXL38" s="2795"/>
      <c r="SXM38" s="2795"/>
      <c r="SXN38" s="2795"/>
      <c r="SXO38" s="2795"/>
      <c r="SXP38" s="2795"/>
      <c r="SXQ38" s="2795"/>
      <c r="SXR38" s="2795"/>
      <c r="SXS38" s="2795"/>
      <c r="SXT38" s="2795"/>
      <c r="SXU38" s="2795"/>
      <c r="SXV38" s="2795"/>
      <c r="SXW38" s="2795"/>
      <c r="SXX38" s="2795"/>
      <c r="SXY38" s="2795"/>
      <c r="SXZ38" s="2795"/>
      <c r="SYA38" s="2795"/>
      <c r="SYB38" s="2795"/>
      <c r="SYC38" s="2795"/>
      <c r="SYD38" s="2795"/>
      <c r="SYE38" s="2795"/>
      <c r="SYF38" s="2795"/>
      <c r="SYG38" s="2795"/>
      <c r="SYH38" s="2795"/>
      <c r="SYI38" s="2795"/>
      <c r="SYJ38" s="2795"/>
      <c r="SYK38" s="2795"/>
      <c r="SYL38" s="2795"/>
      <c r="SYM38" s="2795"/>
      <c r="SYN38" s="2795"/>
      <c r="SYO38" s="2795"/>
      <c r="SYP38" s="2795"/>
      <c r="SYQ38" s="2795"/>
      <c r="SYR38" s="2795"/>
      <c r="SYS38" s="2795"/>
      <c r="SYT38" s="2795"/>
      <c r="SYU38" s="2795"/>
      <c r="SYV38" s="2795"/>
      <c r="SYW38" s="2795"/>
      <c r="SYX38" s="2795"/>
      <c r="SYY38" s="2795"/>
      <c r="SYZ38" s="2795"/>
      <c r="SZA38" s="2795"/>
      <c r="SZB38" s="2795"/>
      <c r="SZC38" s="2795"/>
      <c r="SZD38" s="2795"/>
      <c r="SZE38" s="2795"/>
      <c r="SZF38" s="2795"/>
      <c r="SZG38" s="2795"/>
      <c r="SZH38" s="2795"/>
      <c r="SZI38" s="2795"/>
      <c r="SZJ38" s="2795"/>
      <c r="SZK38" s="2795"/>
      <c r="SZL38" s="2795"/>
      <c r="SZM38" s="2795"/>
      <c r="SZN38" s="2795"/>
      <c r="SZO38" s="2795"/>
      <c r="SZP38" s="2795"/>
      <c r="SZQ38" s="2795"/>
      <c r="SZR38" s="2795"/>
      <c r="SZS38" s="2795"/>
      <c r="SZT38" s="2795"/>
      <c r="SZU38" s="2795"/>
      <c r="SZV38" s="2795"/>
      <c r="SZW38" s="2795"/>
      <c r="SZX38" s="2795"/>
      <c r="SZY38" s="2795"/>
      <c r="SZZ38" s="2795"/>
      <c r="TAA38" s="2795"/>
      <c r="TAB38" s="2795"/>
      <c r="TAC38" s="2795"/>
      <c r="TAD38" s="2795"/>
      <c r="TAE38" s="2795"/>
      <c r="TAF38" s="2795"/>
      <c r="TAG38" s="2795"/>
      <c r="TAH38" s="2795"/>
      <c r="TAI38" s="2795"/>
      <c r="TAJ38" s="2795"/>
      <c r="TAK38" s="2795"/>
      <c r="TAL38" s="2795"/>
      <c r="TAM38" s="2795"/>
      <c r="TAN38" s="2795"/>
      <c r="TAO38" s="2795"/>
      <c r="TAP38" s="2795"/>
      <c r="TAQ38" s="2795"/>
      <c r="TAR38" s="2795"/>
      <c r="TAS38" s="2795"/>
      <c r="TAT38" s="2795"/>
      <c r="TAU38" s="2795"/>
      <c r="TAV38" s="2795"/>
      <c r="TAW38" s="2795"/>
      <c r="TAX38" s="2795"/>
      <c r="TAY38" s="2795"/>
      <c r="TAZ38" s="2795"/>
      <c r="TBA38" s="2795"/>
      <c r="TBB38" s="2795"/>
      <c r="TBC38" s="2795"/>
      <c r="TBD38" s="2795"/>
      <c r="TBE38" s="2795"/>
      <c r="TBF38" s="2795"/>
      <c r="TBG38" s="2795"/>
      <c r="TBH38" s="2795"/>
      <c r="TBI38" s="2795"/>
      <c r="TBJ38" s="2795"/>
      <c r="TBK38" s="2795"/>
      <c r="TBL38" s="2795"/>
      <c r="TBM38" s="2795"/>
      <c r="TBN38" s="2795"/>
      <c r="TBO38" s="2795"/>
      <c r="TBP38" s="2795"/>
      <c r="TBQ38" s="2795"/>
      <c r="TBR38" s="2795"/>
      <c r="TBS38" s="2795"/>
      <c r="TBT38" s="2795"/>
      <c r="TBU38" s="2795"/>
      <c r="TBV38" s="2795"/>
      <c r="TBW38" s="2795"/>
      <c r="TBX38" s="2795"/>
      <c r="TBY38" s="2795"/>
      <c r="TBZ38" s="2795"/>
      <c r="TCA38" s="2795"/>
      <c r="TCB38" s="2795"/>
      <c r="TCC38" s="2795"/>
      <c r="TCD38" s="2795"/>
      <c r="TCE38" s="2795"/>
      <c r="TCF38" s="2795"/>
      <c r="TCG38" s="2795"/>
      <c r="TCH38" s="2795"/>
      <c r="TCI38" s="2795"/>
      <c r="TCJ38" s="2795"/>
      <c r="TCK38" s="2795"/>
      <c r="TCL38" s="2795"/>
      <c r="TCM38" s="2795"/>
      <c r="TCN38" s="2795"/>
      <c r="TCO38" s="2795"/>
      <c r="TCP38" s="2795"/>
      <c r="TCQ38" s="2795"/>
      <c r="TCR38" s="2795"/>
      <c r="TCS38" s="2795"/>
      <c r="TCT38" s="2795"/>
      <c r="TCU38" s="2795"/>
      <c r="TCV38" s="2795"/>
      <c r="TCW38" s="2795"/>
      <c r="TCX38" s="2795"/>
      <c r="TCY38" s="2795"/>
      <c r="TCZ38" s="2795"/>
      <c r="TDA38" s="2795"/>
      <c r="TDB38" s="2795"/>
      <c r="TDC38" s="2795"/>
      <c r="TDD38" s="2795"/>
      <c r="TDE38" s="2795"/>
      <c r="TDF38" s="2795"/>
      <c r="TDG38" s="2795"/>
      <c r="TDH38" s="2795"/>
      <c r="TDI38" s="2795"/>
      <c r="TDJ38" s="2795"/>
      <c r="TDK38" s="2795"/>
      <c r="TDL38" s="2795"/>
      <c r="TDM38" s="2795"/>
      <c r="TDN38" s="2795"/>
      <c r="TDO38" s="2795"/>
      <c r="TDP38" s="2795"/>
      <c r="TDQ38" s="2795"/>
      <c r="TDR38" s="2795"/>
      <c r="TDS38" s="2795"/>
      <c r="TDT38" s="2795"/>
      <c r="TDU38" s="2795"/>
      <c r="TDV38" s="2795"/>
      <c r="TDW38" s="2795"/>
      <c r="TDX38" s="2795"/>
      <c r="TDY38" s="2795"/>
      <c r="TDZ38" s="2795"/>
      <c r="TEA38" s="2795"/>
      <c r="TEB38" s="2795"/>
      <c r="TEC38" s="2795"/>
      <c r="TED38" s="2795"/>
      <c r="TEE38" s="2795"/>
      <c r="TEF38" s="2795"/>
      <c r="TEG38" s="2795"/>
      <c r="TEH38" s="2795"/>
      <c r="TEI38" s="2795"/>
      <c r="TEJ38" s="2795"/>
      <c r="TEK38" s="2795"/>
      <c r="TEL38" s="2795"/>
      <c r="TEM38" s="2795"/>
      <c r="TEN38" s="2795"/>
      <c r="TEO38" s="2795"/>
      <c r="TEP38" s="2795"/>
      <c r="TEQ38" s="2795"/>
      <c r="TER38" s="2795"/>
      <c r="TES38" s="2795"/>
      <c r="TET38" s="2795"/>
      <c r="TEU38" s="2795"/>
      <c r="TEV38" s="2795"/>
      <c r="TEW38" s="2795"/>
      <c r="TEX38" s="2795"/>
      <c r="TEY38" s="2795"/>
      <c r="TEZ38" s="2795"/>
      <c r="TFA38" s="2795"/>
      <c r="TFB38" s="2795"/>
      <c r="TFC38" s="2795"/>
      <c r="TFD38" s="2795"/>
      <c r="TFE38" s="2795"/>
      <c r="TFF38" s="2795"/>
      <c r="TFG38" s="2795"/>
      <c r="TFH38" s="2795"/>
      <c r="TFI38" s="2795"/>
      <c r="TFJ38" s="2795"/>
      <c r="TFK38" s="2795"/>
      <c r="TFL38" s="2795"/>
      <c r="TFM38" s="2795"/>
      <c r="TFN38" s="2795"/>
      <c r="TFO38" s="2795"/>
      <c r="TFP38" s="2795"/>
      <c r="TFQ38" s="2795"/>
      <c r="TFR38" s="2795"/>
      <c r="TFS38" s="2795"/>
      <c r="TFT38" s="2795"/>
      <c r="TFU38" s="2795"/>
      <c r="TFV38" s="2795"/>
      <c r="TFW38" s="2795"/>
      <c r="TFX38" s="2795"/>
      <c r="TFY38" s="2795"/>
      <c r="TFZ38" s="2795"/>
      <c r="TGA38" s="2795"/>
      <c r="TGB38" s="2795"/>
      <c r="TGC38" s="2795"/>
      <c r="TGD38" s="2795"/>
      <c r="TGE38" s="2795"/>
      <c r="TGF38" s="2795"/>
      <c r="TGG38" s="2795"/>
      <c r="TGH38" s="2795"/>
      <c r="TGI38" s="2795"/>
      <c r="TGJ38" s="2795"/>
      <c r="TGK38" s="2795"/>
      <c r="TGL38" s="2795"/>
      <c r="TGM38" s="2795"/>
      <c r="TGN38" s="2795"/>
      <c r="TGO38" s="2795"/>
      <c r="TGP38" s="2795"/>
      <c r="TGQ38" s="2795"/>
      <c r="TGR38" s="2795"/>
      <c r="TGS38" s="2795"/>
      <c r="TGT38" s="2795"/>
      <c r="TGU38" s="2795"/>
      <c r="TGV38" s="2795"/>
      <c r="TGW38" s="2795"/>
      <c r="TGX38" s="2795"/>
      <c r="TGY38" s="2795"/>
      <c r="TGZ38" s="2795"/>
      <c r="THA38" s="2795"/>
      <c r="THB38" s="2795"/>
      <c r="THC38" s="2795"/>
      <c r="THD38" s="2795"/>
      <c r="THE38" s="2795"/>
      <c r="THF38" s="2795"/>
      <c r="THG38" s="2795"/>
      <c r="THH38" s="2795"/>
      <c r="THI38" s="2795"/>
      <c r="THJ38" s="2795"/>
      <c r="THK38" s="2795"/>
      <c r="THL38" s="2795"/>
      <c r="THM38" s="2795"/>
      <c r="THN38" s="2795"/>
      <c r="THO38" s="2795"/>
      <c r="THP38" s="2795"/>
      <c r="THQ38" s="2795"/>
      <c r="THR38" s="2795"/>
      <c r="THS38" s="2795"/>
      <c r="THT38" s="2795"/>
      <c r="THU38" s="2795"/>
      <c r="THV38" s="2795"/>
      <c r="THW38" s="2795"/>
      <c r="THX38" s="2795"/>
      <c r="THY38" s="2795"/>
      <c r="THZ38" s="2795"/>
      <c r="TIA38" s="2795"/>
      <c r="TIB38" s="2795"/>
      <c r="TIC38" s="2795"/>
      <c r="TID38" s="2795"/>
      <c r="TIE38" s="2795"/>
      <c r="TIF38" s="2795"/>
      <c r="TIG38" s="2795"/>
      <c r="TIH38" s="2795"/>
      <c r="TII38" s="2795"/>
      <c r="TIJ38" s="2795"/>
      <c r="TIK38" s="2795"/>
      <c r="TIL38" s="2795"/>
      <c r="TIM38" s="2795"/>
      <c r="TIN38" s="2795"/>
      <c r="TIO38" s="2795"/>
      <c r="TIP38" s="2795"/>
      <c r="TIQ38" s="2795"/>
      <c r="TIR38" s="2795"/>
      <c r="TIS38" s="2795"/>
      <c r="TIT38" s="2795"/>
      <c r="TIU38" s="2795"/>
      <c r="TIV38" s="2795"/>
      <c r="TIW38" s="2795"/>
      <c r="TIX38" s="2795"/>
      <c r="TIY38" s="2795"/>
      <c r="TIZ38" s="2795"/>
      <c r="TJA38" s="2795"/>
      <c r="TJB38" s="2795"/>
      <c r="TJC38" s="2795"/>
      <c r="TJD38" s="2795"/>
      <c r="TJE38" s="2795"/>
      <c r="TJF38" s="2795"/>
      <c r="TJG38" s="2795"/>
      <c r="TJH38" s="2795"/>
      <c r="TJI38" s="2795"/>
      <c r="TJJ38" s="2795"/>
      <c r="TJK38" s="2795"/>
      <c r="TJL38" s="2795"/>
      <c r="TJM38" s="2795"/>
      <c r="TJN38" s="2795"/>
      <c r="TJO38" s="2795"/>
      <c r="TJP38" s="2795"/>
      <c r="TJQ38" s="2795"/>
      <c r="TJR38" s="2795"/>
      <c r="TJS38" s="2795"/>
      <c r="TJT38" s="2795"/>
      <c r="TJU38" s="2795"/>
      <c r="TJV38" s="2795"/>
      <c r="TJW38" s="2795"/>
      <c r="TJX38" s="2795"/>
      <c r="TJY38" s="2795"/>
      <c r="TJZ38" s="2795"/>
      <c r="TKA38" s="2795"/>
      <c r="TKB38" s="2795"/>
      <c r="TKC38" s="2795"/>
      <c r="TKD38" s="2795"/>
      <c r="TKE38" s="2795"/>
      <c r="TKF38" s="2795"/>
      <c r="TKG38" s="2795"/>
      <c r="TKH38" s="2795"/>
      <c r="TKI38" s="2795"/>
      <c r="TKJ38" s="2795"/>
      <c r="TKK38" s="2795"/>
      <c r="TKL38" s="2795"/>
      <c r="TKM38" s="2795"/>
      <c r="TKN38" s="2795"/>
      <c r="TKO38" s="2795"/>
      <c r="TKP38" s="2795"/>
      <c r="TKQ38" s="2795"/>
      <c r="TKR38" s="2795"/>
      <c r="TKS38" s="2795"/>
      <c r="TKT38" s="2795"/>
      <c r="TKU38" s="2795"/>
      <c r="TKV38" s="2795"/>
      <c r="TKW38" s="2795"/>
      <c r="TKX38" s="2795"/>
      <c r="TKY38" s="2795"/>
      <c r="TKZ38" s="2795"/>
      <c r="TLA38" s="2795"/>
      <c r="TLB38" s="2795"/>
      <c r="TLC38" s="2795"/>
      <c r="TLD38" s="2795"/>
      <c r="TLE38" s="2795"/>
      <c r="TLF38" s="2795"/>
      <c r="TLG38" s="2795"/>
      <c r="TLH38" s="2795"/>
      <c r="TLI38" s="2795"/>
      <c r="TLJ38" s="2795"/>
      <c r="TLK38" s="2795"/>
      <c r="TLL38" s="2795"/>
      <c r="TLM38" s="2795"/>
      <c r="TLN38" s="2795"/>
      <c r="TLO38" s="2795"/>
      <c r="TLP38" s="2795"/>
      <c r="TLQ38" s="2795"/>
      <c r="TLR38" s="2795"/>
      <c r="TLS38" s="2795"/>
      <c r="TLT38" s="2795"/>
      <c r="TLU38" s="2795"/>
      <c r="TLV38" s="2795"/>
      <c r="TLW38" s="2795"/>
      <c r="TLX38" s="2795"/>
      <c r="TLY38" s="2795"/>
      <c r="TLZ38" s="2795"/>
      <c r="TMA38" s="2795"/>
      <c r="TMB38" s="2795"/>
      <c r="TMC38" s="2795"/>
      <c r="TMD38" s="2795"/>
      <c r="TME38" s="2795"/>
      <c r="TMF38" s="2795"/>
      <c r="TMG38" s="2795"/>
      <c r="TMH38" s="2795"/>
      <c r="TMI38" s="2795"/>
      <c r="TMJ38" s="2795"/>
      <c r="TMK38" s="2795"/>
      <c r="TML38" s="2795"/>
      <c r="TMM38" s="2795"/>
      <c r="TMN38" s="2795"/>
      <c r="TMO38" s="2795"/>
      <c r="TMP38" s="2795"/>
      <c r="TMQ38" s="2795"/>
      <c r="TMR38" s="2795"/>
      <c r="TMS38" s="2795"/>
      <c r="TMT38" s="2795"/>
      <c r="TMU38" s="2795"/>
      <c r="TMV38" s="2795"/>
      <c r="TMW38" s="2795"/>
      <c r="TMX38" s="2795"/>
      <c r="TMY38" s="2795"/>
      <c r="TMZ38" s="2795"/>
      <c r="TNA38" s="2795"/>
      <c r="TNB38" s="2795"/>
      <c r="TNC38" s="2795"/>
      <c r="TND38" s="2795"/>
      <c r="TNE38" s="2795"/>
      <c r="TNF38" s="2795"/>
      <c r="TNG38" s="2795"/>
      <c r="TNH38" s="2795"/>
      <c r="TNI38" s="2795"/>
      <c r="TNJ38" s="2795"/>
      <c r="TNK38" s="2795"/>
      <c r="TNL38" s="2795"/>
      <c r="TNM38" s="2795"/>
      <c r="TNN38" s="2795"/>
      <c r="TNO38" s="2795"/>
      <c r="TNP38" s="2795"/>
      <c r="TNQ38" s="2795"/>
      <c r="TNR38" s="2795"/>
      <c r="TNS38" s="2795"/>
      <c r="TNT38" s="2795"/>
      <c r="TNU38" s="2795"/>
      <c r="TNV38" s="2795"/>
      <c r="TNW38" s="2795"/>
      <c r="TNX38" s="2795"/>
      <c r="TNY38" s="2795"/>
      <c r="TNZ38" s="2795"/>
      <c r="TOA38" s="2795"/>
      <c r="TOB38" s="2795"/>
      <c r="TOC38" s="2795"/>
      <c r="TOD38" s="2795"/>
      <c r="TOE38" s="2795"/>
      <c r="TOF38" s="2795"/>
      <c r="TOG38" s="2795"/>
      <c r="TOH38" s="2795"/>
      <c r="TOI38" s="2795"/>
      <c r="TOJ38" s="2795"/>
      <c r="TOK38" s="2795"/>
      <c r="TOL38" s="2795"/>
      <c r="TOM38" s="2795"/>
      <c r="TON38" s="2795"/>
      <c r="TOO38" s="2795"/>
      <c r="TOP38" s="2795"/>
      <c r="TOQ38" s="2795"/>
      <c r="TOR38" s="2795"/>
      <c r="TOS38" s="2795"/>
      <c r="TOT38" s="2795"/>
      <c r="TOU38" s="2795"/>
      <c r="TOV38" s="2795"/>
      <c r="TOW38" s="2795"/>
      <c r="TOX38" s="2795"/>
      <c r="TOY38" s="2795"/>
      <c r="TOZ38" s="2795"/>
      <c r="TPA38" s="2795"/>
      <c r="TPB38" s="2795"/>
      <c r="TPC38" s="2795"/>
      <c r="TPD38" s="2795"/>
      <c r="TPE38" s="2795"/>
      <c r="TPF38" s="2795"/>
      <c r="TPG38" s="2795"/>
      <c r="TPH38" s="2795"/>
      <c r="TPI38" s="2795"/>
      <c r="TPJ38" s="2795"/>
      <c r="TPK38" s="2795"/>
      <c r="TPL38" s="2795"/>
      <c r="TPM38" s="2795"/>
      <c r="TPN38" s="2795"/>
      <c r="TPO38" s="2795"/>
      <c r="TPP38" s="2795"/>
      <c r="TPQ38" s="2795"/>
      <c r="TPR38" s="2795"/>
      <c r="TPS38" s="2795"/>
      <c r="TPT38" s="2795"/>
      <c r="TPU38" s="2795"/>
      <c r="TPV38" s="2795"/>
      <c r="TPW38" s="2795"/>
      <c r="TPX38" s="2795"/>
      <c r="TPY38" s="2795"/>
      <c r="TPZ38" s="2795"/>
      <c r="TQA38" s="2795"/>
      <c r="TQB38" s="2795"/>
      <c r="TQC38" s="2795"/>
      <c r="TQD38" s="2795"/>
      <c r="TQE38" s="2795"/>
      <c r="TQF38" s="2795"/>
      <c r="TQG38" s="2795"/>
      <c r="TQH38" s="2795"/>
      <c r="TQI38" s="2795"/>
      <c r="TQJ38" s="2795"/>
      <c r="TQK38" s="2795"/>
      <c r="TQL38" s="2795"/>
      <c r="TQM38" s="2795"/>
      <c r="TQN38" s="2795"/>
      <c r="TQO38" s="2795"/>
      <c r="TQP38" s="2795"/>
      <c r="TQQ38" s="2795"/>
      <c r="TQR38" s="2795"/>
      <c r="TQS38" s="2795"/>
      <c r="TQT38" s="2795"/>
      <c r="TQU38" s="2795"/>
      <c r="TQV38" s="2795"/>
      <c r="TQW38" s="2795"/>
      <c r="TQX38" s="2795"/>
      <c r="TQY38" s="2795"/>
      <c r="TQZ38" s="2795"/>
      <c r="TRA38" s="2795"/>
      <c r="TRB38" s="2795"/>
      <c r="TRC38" s="2795"/>
      <c r="TRD38" s="2795"/>
      <c r="TRE38" s="2795"/>
      <c r="TRF38" s="2795"/>
      <c r="TRG38" s="2795"/>
      <c r="TRH38" s="2795"/>
      <c r="TRI38" s="2795"/>
      <c r="TRJ38" s="2795"/>
      <c r="TRK38" s="2795"/>
      <c r="TRL38" s="2795"/>
      <c r="TRM38" s="2795"/>
      <c r="TRN38" s="2795"/>
      <c r="TRO38" s="2795"/>
      <c r="TRP38" s="2795"/>
      <c r="TRQ38" s="2795"/>
      <c r="TRR38" s="2795"/>
      <c r="TRS38" s="2795"/>
      <c r="TRT38" s="2795"/>
      <c r="TRU38" s="2795"/>
      <c r="TRV38" s="2795"/>
      <c r="TRW38" s="2795"/>
      <c r="TRX38" s="2795"/>
      <c r="TRY38" s="2795"/>
      <c r="TRZ38" s="2795"/>
      <c r="TSA38" s="2795"/>
      <c r="TSB38" s="2795"/>
      <c r="TSC38" s="2795"/>
      <c r="TSD38" s="2795"/>
      <c r="TSE38" s="2795"/>
      <c r="TSF38" s="2795"/>
      <c r="TSG38" s="2795"/>
      <c r="TSH38" s="2795"/>
      <c r="TSI38" s="2795"/>
      <c r="TSJ38" s="2795"/>
      <c r="TSK38" s="2795"/>
      <c r="TSL38" s="2795"/>
      <c r="TSM38" s="2795"/>
      <c r="TSN38" s="2795"/>
      <c r="TSO38" s="2795"/>
      <c r="TSP38" s="2795"/>
      <c r="TSQ38" s="2795"/>
      <c r="TSR38" s="2795"/>
      <c r="TSS38" s="2795"/>
      <c r="TST38" s="2795"/>
      <c r="TSU38" s="2795"/>
      <c r="TSV38" s="2795"/>
      <c r="TSW38" s="2795"/>
      <c r="TSX38" s="2795"/>
      <c r="TSY38" s="2795"/>
      <c r="TSZ38" s="2795"/>
      <c r="TTA38" s="2795"/>
      <c r="TTB38" s="2795"/>
      <c r="TTC38" s="2795"/>
      <c r="TTD38" s="2795"/>
      <c r="TTE38" s="2795"/>
      <c r="TTF38" s="2795"/>
      <c r="TTG38" s="2795"/>
      <c r="TTH38" s="2795"/>
      <c r="TTI38" s="2795"/>
      <c r="TTJ38" s="2795"/>
      <c r="TTK38" s="2795"/>
      <c r="TTL38" s="2795"/>
      <c r="TTM38" s="2795"/>
      <c r="TTN38" s="2795"/>
      <c r="TTO38" s="2795"/>
      <c r="TTP38" s="2795"/>
      <c r="TTQ38" s="2795"/>
      <c r="TTR38" s="2795"/>
      <c r="TTS38" s="2795"/>
      <c r="TTT38" s="2795"/>
      <c r="TTU38" s="2795"/>
      <c r="TTV38" s="2795"/>
      <c r="TTW38" s="2795"/>
      <c r="TTX38" s="2795"/>
      <c r="TTY38" s="2795"/>
      <c r="TTZ38" s="2795"/>
      <c r="TUA38" s="2795"/>
      <c r="TUB38" s="2795"/>
      <c r="TUC38" s="2795"/>
      <c r="TUD38" s="2795"/>
      <c r="TUE38" s="2795"/>
      <c r="TUF38" s="2795"/>
      <c r="TUG38" s="2795"/>
      <c r="TUH38" s="2795"/>
      <c r="TUI38" s="2795"/>
      <c r="TUJ38" s="2795"/>
      <c r="TUK38" s="2795"/>
      <c r="TUL38" s="2795"/>
      <c r="TUM38" s="2795"/>
      <c r="TUN38" s="2795"/>
      <c r="TUO38" s="2795"/>
      <c r="TUP38" s="2795"/>
      <c r="TUQ38" s="2795"/>
      <c r="TUR38" s="2795"/>
      <c r="TUS38" s="2795"/>
      <c r="TUT38" s="2795"/>
      <c r="TUU38" s="2795"/>
      <c r="TUV38" s="2795"/>
      <c r="TUW38" s="2795"/>
      <c r="TUX38" s="2795"/>
      <c r="TUY38" s="2795"/>
      <c r="TUZ38" s="2795"/>
      <c r="TVA38" s="2795"/>
      <c r="TVB38" s="2795"/>
      <c r="TVC38" s="2795"/>
      <c r="TVD38" s="2795"/>
      <c r="TVE38" s="2795"/>
      <c r="TVF38" s="2795"/>
      <c r="TVG38" s="2795"/>
      <c r="TVH38" s="2795"/>
      <c r="TVI38" s="2795"/>
      <c r="TVJ38" s="2795"/>
      <c r="TVK38" s="2795"/>
      <c r="TVL38" s="2795"/>
      <c r="TVM38" s="2795"/>
      <c r="TVN38" s="2795"/>
      <c r="TVO38" s="2795"/>
      <c r="TVP38" s="2795"/>
      <c r="TVQ38" s="2795"/>
      <c r="TVR38" s="2795"/>
      <c r="TVS38" s="2795"/>
      <c r="TVT38" s="2795"/>
      <c r="TVU38" s="2795"/>
      <c r="TVV38" s="2795"/>
      <c r="TVW38" s="2795"/>
      <c r="TVX38" s="2795"/>
      <c r="TVY38" s="2795"/>
      <c r="TVZ38" s="2795"/>
      <c r="TWA38" s="2795"/>
      <c r="TWB38" s="2795"/>
      <c r="TWC38" s="2795"/>
      <c r="TWD38" s="2795"/>
      <c r="TWE38" s="2795"/>
      <c r="TWF38" s="2795"/>
      <c r="TWG38" s="2795"/>
      <c r="TWH38" s="2795"/>
      <c r="TWI38" s="2795"/>
      <c r="TWJ38" s="2795"/>
      <c r="TWK38" s="2795"/>
      <c r="TWL38" s="2795"/>
      <c r="TWM38" s="2795"/>
      <c r="TWN38" s="2795"/>
      <c r="TWO38" s="2795"/>
      <c r="TWP38" s="2795"/>
      <c r="TWQ38" s="2795"/>
      <c r="TWR38" s="2795"/>
      <c r="TWS38" s="2795"/>
      <c r="TWT38" s="2795"/>
      <c r="TWU38" s="2795"/>
      <c r="TWV38" s="2795"/>
      <c r="TWW38" s="2795"/>
      <c r="TWX38" s="2795"/>
      <c r="TWY38" s="2795"/>
      <c r="TWZ38" s="2795"/>
      <c r="TXA38" s="2795"/>
      <c r="TXB38" s="2795"/>
      <c r="TXC38" s="2795"/>
      <c r="TXD38" s="2795"/>
      <c r="TXE38" s="2795"/>
      <c r="TXF38" s="2795"/>
      <c r="TXG38" s="2795"/>
      <c r="TXH38" s="2795"/>
      <c r="TXI38" s="2795"/>
      <c r="TXJ38" s="2795"/>
      <c r="TXK38" s="2795"/>
      <c r="TXL38" s="2795"/>
      <c r="TXM38" s="2795"/>
      <c r="TXN38" s="2795"/>
      <c r="TXO38" s="2795"/>
      <c r="TXP38" s="2795"/>
      <c r="TXQ38" s="2795"/>
      <c r="TXR38" s="2795"/>
      <c r="TXS38" s="2795"/>
      <c r="TXT38" s="2795"/>
      <c r="TXU38" s="2795"/>
      <c r="TXV38" s="2795"/>
      <c r="TXW38" s="2795"/>
      <c r="TXX38" s="2795"/>
      <c r="TXY38" s="2795"/>
      <c r="TXZ38" s="2795"/>
      <c r="TYA38" s="2795"/>
      <c r="TYB38" s="2795"/>
      <c r="TYC38" s="2795"/>
      <c r="TYD38" s="2795"/>
      <c r="TYE38" s="2795"/>
      <c r="TYF38" s="2795"/>
      <c r="TYG38" s="2795"/>
      <c r="TYH38" s="2795"/>
      <c r="TYI38" s="2795"/>
      <c r="TYJ38" s="2795"/>
      <c r="TYK38" s="2795"/>
      <c r="TYL38" s="2795"/>
      <c r="TYM38" s="2795"/>
      <c r="TYN38" s="2795"/>
      <c r="TYO38" s="2795"/>
      <c r="TYP38" s="2795"/>
      <c r="TYQ38" s="2795"/>
      <c r="TYR38" s="2795"/>
      <c r="TYS38" s="2795"/>
      <c r="TYT38" s="2795"/>
      <c r="TYU38" s="2795"/>
      <c r="TYV38" s="2795"/>
      <c r="TYW38" s="2795"/>
      <c r="TYX38" s="2795"/>
      <c r="TYY38" s="2795"/>
      <c r="TYZ38" s="2795"/>
      <c r="TZA38" s="2795"/>
      <c r="TZB38" s="2795"/>
      <c r="TZC38" s="2795"/>
      <c r="TZD38" s="2795"/>
      <c r="TZE38" s="2795"/>
      <c r="TZF38" s="2795"/>
      <c r="TZG38" s="2795"/>
      <c r="TZH38" s="2795"/>
      <c r="TZI38" s="2795"/>
      <c r="TZJ38" s="2795"/>
      <c r="TZK38" s="2795"/>
      <c r="TZL38" s="2795"/>
      <c r="TZM38" s="2795"/>
      <c r="TZN38" s="2795"/>
      <c r="TZO38" s="2795"/>
      <c r="TZP38" s="2795"/>
      <c r="TZQ38" s="2795"/>
      <c r="TZR38" s="2795"/>
      <c r="TZS38" s="2795"/>
      <c r="TZT38" s="2795"/>
      <c r="TZU38" s="2795"/>
      <c r="TZV38" s="2795"/>
      <c r="TZW38" s="2795"/>
      <c r="TZX38" s="2795"/>
      <c r="TZY38" s="2795"/>
      <c r="TZZ38" s="2795"/>
      <c r="UAA38" s="2795"/>
      <c r="UAB38" s="2795"/>
      <c r="UAC38" s="2795"/>
      <c r="UAD38" s="2795"/>
      <c r="UAE38" s="2795"/>
      <c r="UAF38" s="2795"/>
      <c r="UAG38" s="2795"/>
      <c r="UAH38" s="2795"/>
      <c r="UAI38" s="2795"/>
      <c r="UAJ38" s="2795"/>
      <c r="UAK38" s="2795"/>
      <c r="UAL38" s="2795"/>
      <c r="UAM38" s="2795"/>
      <c r="UAN38" s="2795"/>
      <c r="UAO38" s="2795"/>
      <c r="UAP38" s="2795"/>
      <c r="UAQ38" s="2795"/>
      <c r="UAR38" s="2795"/>
      <c r="UAS38" s="2795"/>
      <c r="UAT38" s="2795"/>
      <c r="UAU38" s="2795"/>
      <c r="UAV38" s="2795"/>
      <c r="UAW38" s="2795"/>
      <c r="UAX38" s="2795"/>
      <c r="UAY38" s="2795"/>
      <c r="UAZ38" s="2795"/>
      <c r="UBA38" s="2795"/>
      <c r="UBB38" s="2795"/>
      <c r="UBC38" s="2795"/>
      <c r="UBD38" s="2795"/>
      <c r="UBE38" s="2795"/>
      <c r="UBF38" s="2795"/>
      <c r="UBG38" s="2795"/>
      <c r="UBH38" s="2795"/>
      <c r="UBI38" s="2795"/>
      <c r="UBJ38" s="2795"/>
      <c r="UBK38" s="2795"/>
      <c r="UBL38" s="2795"/>
      <c r="UBM38" s="2795"/>
      <c r="UBN38" s="2795"/>
      <c r="UBO38" s="2795"/>
      <c r="UBP38" s="2795"/>
      <c r="UBQ38" s="2795"/>
      <c r="UBR38" s="2795"/>
      <c r="UBS38" s="2795"/>
      <c r="UBT38" s="2795"/>
      <c r="UBU38" s="2795"/>
      <c r="UBV38" s="2795"/>
      <c r="UBW38" s="2795"/>
      <c r="UBX38" s="2795"/>
      <c r="UBY38" s="2795"/>
      <c r="UBZ38" s="2795"/>
      <c r="UCA38" s="2795"/>
      <c r="UCB38" s="2795"/>
      <c r="UCC38" s="2795"/>
      <c r="UCD38" s="2795"/>
      <c r="UCE38" s="2795"/>
      <c r="UCF38" s="2795"/>
      <c r="UCG38" s="2795"/>
      <c r="UCH38" s="2795"/>
      <c r="UCI38" s="2795"/>
      <c r="UCJ38" s="2795"/>
      <c r="UCK38" s="2795"/>
      <c r="UCL38" s="2795"/>
      <c r="UCM38" s="2795"/>
      <c r="UCN38" s="2795"/>
      <c r="UCO38" s="2795"/>
      <c r="UCP38" s="2795"/>
      <c r="UCQ38" s="2795"/>
      <c r="UCR38" s="2795"/>
      <c r="UCS38" s="2795"/>
      <c r="UCT38" s="2795"/>
      <c r="UCU38" s="2795"/>
      <c r="UCV38" s="2795"/>
      <c r="UCW38" s="2795"/>
      <c r="UCX38" s="2795"/>
      <c r="UCY38" s="2795"/>
      <c r="UCZ38" s="2795"/>
      <c r="UDA38" s="2795"/>
      <c r="UDB38" s="2795"/>
      <c r="UDC38" s="2795"/>
      <c r="UDD38" s="2795"/>
      <c r="UDE38" s="2795"/>
      <c r="UDF38" s="2795"/>
      <c r="UDG38" s="2795"/>
      <c r="UDH38" s="2795"/>
      <c r="UDI38" s="2795"/>
      <c r="UDJ38" s="2795"/>
      <c r="UDK38" s="2795"/>
      <c r="UDL38" s="2795"/>
      <c r="UDM38" s="2795"/>
      <c r="UDN38" s="2795"/>
      <c r="UDO38" s="2795"/>
      <c r="UDP38" s="2795"/>
      <c r="UDQ38" s="2795"/>
      <c r="UDR38" s="2795"/>
      <c r="UDS38" s="2795"/>
      <c r="UDT38" s="2795"/>
      <c r="UDU38" s="2795"/>
      <c r="UDV38" s="2795"/>
      <c r="UDW38" s="2795"/>
      <c r="UDX38" s="2795"/>
      <c r="UDY38" s="2795"/>
      <c r="UDZ38" s="2795"/>
      <c r="UEA38" s="2795"/>
      <c r="UEB38" s="2795"/>
      <c r="UEC38" s="2795"/>
      <c r="UED38" s="2795"/>
      <c r="UEE38" s="2795"/>
      <c r="UEF38" s="2795"/>
      <c r="UEG38" s="2795"/>
      <c r="UEH38" s="2795"/>
      <c r="UEI38" s="2795"/>
      <c r="UEJ38" s="2795"/>
      <c r="UEK38" s="2795"/>
      <c r="UEL38" s="2795"/>
      <c r="UEM38" s="2795"/>
      <c r="UEN38" s="2795"/>
      <c r="UEO38" s="2795"/>
      <c r="UEP38" s="2795"/>
      <c r="UEQ38" s="2795"/>
      <c r="UER38" s="2795"/>
      <c r="UES38" s="2795"/>
      <c r="UET38" s="2795"/>
      <c r="UEU38" s="2795"/>
      <c r="UEV38" s="2795"/>
      <c r="UEW38" s="2795"/>
      <c r="UEX38" s="2795"/>
      <c r="UEY38" s="2795"/>
      <c r="UEZ38" s="2795"/>
      <c r="UFA38" s="2795"/>
      <c r="UFB38" s="2795"/>
      <c r="UFC38" s="2795"/>
      <c r="UFD38" s="2795"/>
      <c r="UFE38" s="2795"/>
      <c r="UFF38" s="2795"/>
      <c r="UFG38" s="2795"/>
      <c r="UFH38" s="2795"/>
      <c r="UFI38" s="2795"/>
      <c r="UFJ38" s="2795"/>
      <c r="UFK38" s="2795"/>
      <c r="UFL38" s="2795"/>
      <c r="UFM38" s="2795"/>
      <c r="UFN38" s="2795"/>
      <c r="UFO38" s="2795"/>
      <c r="UFP38" s="2795"/>
      <c r="UFQ38" s="2795"/>
      <c r="UFR38" s="2795"/>
      <c r="UFS38" s="2795"/>
      <c r="UFT38" s="2795"/>
      <c r="UFU38" s="2795"/>
      <c r="UFV38" s="2795"/>
      <c r="UFW38" s="2795"/>
      <c r="UFX38" s="2795"/>
      <c r="UFY38" s="2795"/>
      <c r="UFZ38" s="2795"/>
      <c r="UGA38" s="2795"/>
      <c r="UGB38" s="2795"/>
      <c r="UGC38" s="2795"/>
      <c r="UGD38" s="2795"/>
      <c r="UGE38" s="2795"/>
      <c r="UGF38" s="2795"/>
      <c r="UGG38" s="2795"/>
      <c r="UGH38" s="2795"/>
      <c r="UGI38" s="2795"/>
      <c r="UGJ38" s="2795"/>
      <c r="UGK38" s="2795"/>
      <c r="UGL38" s="2795"/>
      <c r="UGM38" s="2795"/>
      <c r="UGN38" s="2795"/>
      <c r="UGO38" s="2795"/>
      <c r="UGP38" s="2795"/>
      <c r="UGQ38" s="2795"/>
      <c r="UGR38" s="2795"/>
      <c r="UGS38" s="2795"/>
      <c r="UGT38" s="2795"/>
      <c r="UGU38" s="2795"/>
      <c r="UGV38" s="2795"/>
      <c r="UGW38" s="2795"/>
      <c r="UGX38" s="2795"/>
      <c r="UGY38" s="2795"/>
      <c r="UGZ38" s="2795"/>
      <c r="UHA38" s="2795"/>
      <c r="UHB38" s="2795"/>
      <c r="UHC38" s="2795"/>
      <c r="UHD38" s="2795"/>
      <c r="UHE38" s="2795"/>
      <c r="UHF38" s="2795"/>
      <c r="UHG38" s="2795"/>
      <c r="UHH38" s="2795"/>
      <c r="UHI38" s="2795"/>
      <c r="UHJ38" s="2795"/>
      <c r="UHK38" s="2795"/>
      <c r="UHL38" s="2795"/>
      <c r="UHM38" s="2795"/>
      <c r="UHN38" s="2795"/>
      <c r="UHO38" s="2795"/>
      <c r="UHP38" s="2795"/>
      <c r="UHQ38" s="2795"/>
      <c r="UHR38" s="2795"/>
      <c r="UHS38" s="2795"/>
      <c r="UHT38" s="2795"/>
      <c r="UHU38" s="2795"/>
      <c r="UHV38" s="2795"/>
      <c r="UHW38" s="2795"/>
      <c r="UHX38" s="2795"/>
      <c r="UHY38" s="2795"/>
      <c r="UHZ38" s="2795"/>
      <c r="UIA38" s="2795"/>
      <c r="UIB38" s="2795"/>
      <c r="UIC38" s="2795"/>
      <c r="UID38" s="2795"/>
      <c r="UIE38" s="2795"/>
      <c r="UIF38" s="2795"/>
      <c r="UIG38" s="2795"/>
      <c r="UIH38" s="2795"/>
      <c r="UII38" s="2795"/>
      <c r="UIJ38" s="2795"/>
      <c r="UIK38" s="2795"/>
      <c r="UIL38" s="2795"/>
      <c r="UIM38" s="2795"/>
      <c r="UIN38" s="2795"/>
      <c r="UIO38" s="2795"/>
      <c r="UIP38" s="2795"/>
      <c r="UIQ38" s="2795"/>
      <c r="UIR38" s="2795"/>
      <c r="UIS38" s="2795"/>
      <c r="UIT38" s="2795"/>
      <c r="UIU38" s="2795"/>
      <c r="UIV38" s="2795"/>
      <c r="UIW38" s="2795"/>
      <c r="UIX38" s="2795"/>
      <c r="UIY38" s="2795"/>
      <c r="UIZ38" s="2795"/>
      <c r="UJA38" s="2795"/>
      <c r="UJB38" s="2795"/>
      <c r="UJC38" s="2795"/>
      <c r="UJD38" s="2795"/>
      <c r="UJE38" s="2795"/>
      <c r="UJF38" s="2795"/>
      <c r="UJG38" s="2795"/>
      <c r="UJH38" s="2795"/>
      <c r="UJI38" s="2795"/>
      <c r="UJJ38" s="2795"/>
      <c r="UJK38" s="2795"/>
      <c r="UJL38" s="2795"/>
      <c r="UJM38" s="2795"/>
      <c r="UJN38" s="2795"/>
      <c r="UJO38" s="2795"/>
      <c r="UJP38" s="2795"/>
      <c r="UJQ38" s="2795"/>
      <c r="UJR38" s="2795"/>
      <c r="UJS38" s="2795"/>
      <c r="UJT38" s="2795"/>
      <c r="UJU38" s="2795"/>
      <c r="UJV38" s="2795"/>
      <c r="UJW38" s="2795"/>
      <c r="UJX38" s="2795"/>
      <c r="UJY38" s="2795"/>
      <c r="UJZ38" s="2795"/>
      <c r="UKA38" s="2795"/>
      <c r="UKB38" s="2795"/>
      <c r="UKC38" s="2795"/>
      <c r="UKD38" s="2795"/>
      <c r="UKE38" s="2795"/>
      <c r="UKF38" s="2795"/>
      <c r="UKG38" s="2795"/>
      <c r="UKH38" s="2795"/>
      <c r="UKI38" s="2795"/>
      <c r="UKJ38" s="2795"/>
      <c r="UKK38" s="2795"/>
      <c r="UKL38" s="2795"/>
      <c r="UKM38" s="2795"/>
      <c r="UKN38" s="2795"/>
      <c r="UKO38" s="2795"/>
      <c r="UKP38" s="2795"/>
      <c r="UKQ38" s="2795"/>
      <c r="UKR38" s="2795"/>
      <c r="UKS38" s="2795"/>
      <c r="UKT38" s="2795"/>
      <c r="UKU38" s="2795"/>
      <c r="UKV38" s="2795"/>
      <c r="UKW38" s="2795"/>
      <c r="UKX38" s="2795"/>
      <c r="UKY38" s="2795"/>
      <c r="UKZ38" s="2795"/>
      <c r="ULA38" s="2795"/>
      <c r="ULB38" s="2795"/>
      <c r="ULC38" s="2795"/>
      <c r="ULD38" s="2795"/>
      <c r="ULE38" s="2795"/>
      <c r="ULF38" s="2795"/>
      <c r="ULG38" s="2795"/>
      <c r="ULH38" s="2795"/>
      <c r="ULI38" s="2795"/>
      <c r="ULJ38" s="2795"/>
      <c r="ULK38" s="2795"/>
      <c r="ULL38" s="2795"/>
      <c r="ULM38" s="2795"/>
      <c r="ULN38" s="2795"/>
      <c r="ULO38" s="2795"/>
      <c r="ULP38" s="2795"/>
      <c r="ULQ38" s="2795"/>
      <c r="ULR38" s="2795"/>
      <c r="ULS38" s="2795"/>
      <c r="ULT38" s="2795"/>
      <c r="ULU38" s="2795"/>
      <c r="ULV38" s="2795"/>
      <c r="ULW38" s="2795"/>
      <c r="ULX38" s="2795"/>
      <c r="ULY38" s="2795"/>
      <c r="ULZ38" s="2795"/>
      <c r="UMA38" s="2795"/>
      <c r="UMB38" s="2795"/>
      <c r="UMC38" s="2795"/>
      <c r="UMD38" s="2795"/>
      <c r="UME38" s="2795"/>
      <c r="UMF38" s="2795"/>
      <c r="UMG38" s="2795"/>
      <c r="UMH38" s="2795"/>
      <c r="UMI38" s="2795"/>
      <c r="UMJ38" s="2795"/>
      <c r="UMK38" s="2795"/>
      <c r="UML38" s="2795"/>
      <c r="UMM38" s="2795"/>
      <c r="UMN38" s="2795"/>
      <c r="UMO38" s="2795"/>
      <c r="UMP38" s="2795"/>
      <c r="UMQ38" s="2795"/>
      <c r="UMR38" s="2795"/>
      <c r="UMS38" s="2795"/>
      <c r="UMT38" s="2795"/>
      <c r="UMU38" s="2795"/>
      <c r="UMV38" s="2795"/>
      <c r="UMW38" s="2795"/>
      <c r="UMX38" s="2795"/>
      <c r="UMY38" s="2795"/>
      <c r="UMZ38" s="2795"/>
      <c r="UNA38" s="2795"/>
      <c r="UNB38" s="2795"/>
      <c r="UNC38" s="2795"/>
      <c r="UND38" s="2795"/>
      <c r="UNE38" s="2795"/>
      <c r="UNF38" s="2795"/>
      <c r="UNG38" s="2795"/>
      <c r="UNH38" s="2795"/>
      <c r="UNI38" s="2795"/>
      <c r="UNJ38" s="2795"/>
      <c r="UNK38" s="2795"/>
      <c r="UNL38" s="2795"/>
      <c r="UNM38" s="2795"/>
      <c r="UNN38" s="2795"/>
      <c r="UNO38" s="2795"/>
      <c r="UNP38" s="2795"/>
      <c r="UNQ38" s="2795"/>
      <c r="UNR38" s="2795"/>
      <c r="UNS38" s="2795"/>
      <c r="UNT38" s="2795"/>
      <c r="UNU38" s="2795"/>
      <c r="UNV38" s="2795"/>
      <c r="UNW38" s="2795"/>
      <c r="UNX38" s="2795"/>
      <c r="UNY38" s="2795"/>
      <c r="UNZ38" s="2795"/>
      <c r="UOA38" s="2795"/>
      <c r="UOB38" s="2795"/>
      <c r="UOC38" s="2795"/>
      <c r="UOD38" s="2795"/>
      <c r="UOE38" s="2795"/>
      <c r="UOF38" s="2795"/>
      <c r="UOG38" s="2795"/>
      <c r="UOH38" s="2795"/>
      <c r="UOI38" s="2795"/>
      <c r="UOJ38" s="2795"/>
      <c r="UOK38" s="2795"/>
      <c r="UOL38" s="2795"/>
      <c r="UOM38" s="2795"/>
      <c r="UON38" s="2795"/>
      <c r="UOO38" s="2795"/>
      <c r="UOP38" s="2795"/>
      <c r="UOQ38" s="2795"/>
      <c r="UOR38" s="2795"/>
      <c r="UOS38" s="2795"/>
      <c r="UOT38" s="2795"/>
      <c r="UOU38" s="2795"/>
      <c r="UOV38" s="2795"/>
      <c r="UOW38" s="2795"/>
      <c r="UOX38" s="2795"/>
      <c r="UOY38" s="2795"/>
      <c r="UOZ38" s="2795"/>
      <c r="UPA38" s="2795"/>
      <c r="UPB38" s="2795"/>
      <c r="UPC38" s="2795"/>
      <c r="UPD38" s="2795"/>
      <c r="UPE38" s="2795"/>
      <c r="UPF38" s="2795"/>
      <c r="UPG38" s="2795"/>
      <c r="UPH38" s="2795"/>
      <c r="UPI38" s="2795"/>
      <c r="UPJ38" s="2795"/>
      <c r="UPK38" s="2795"/>
      <c r="UPL38" s="2795"/>
      <c r="UPM38" s="2795"/>
      <c r="UPN38" s="2795"/>
      <c r="UPO38" s="2795"/>
      <c r="UPP38" s="2795"/>
      <c r="UPQ38" s="2795"/>
      <c r="UPR38" s="2795"/>
      <c r="UPS38" s="2795"/>
      <c r="UPT38" s="2795"/>
      <c r="UPU38" s="2795"/>
      <c r="UPV38" s="2795"/>
      <c r="UPW38" s="2795"/>
      <c r="UPX38" s="2795"/>
      <c r="UPY38" s="2795"/>
      <c r="UPZ38" s="2795"/>
      <c r="UQA38" s="2795"/>
      <c r="UQB38" s="2795"/>
      <c r="UQC38" s="2795"/>
      <c r="UQD38" s="2795"/>
      <c r="UQE38" s="2795"/>
      <c r="UQF38" s="2795"/>
      <c r="UQG38" s="2795"/>
      <c r="UQH38" s="2795"/>
      <c r="UQI38" s="2795"/>
      <c r="UQJ38" s="2795"/>
      <c r="UQK38" s="2795"/>
      <c r="UQL38" s="2795"/>
      <c r="UQM38" s="2795"/>
      <c r="UQN38" s="2795"/>
      <c r="UQO38" s="2795"/>
      <c r="UQP38" s="2795"/>
      <c r="UQQ38" s="2795"/>
      <c r="UQR38" s="2795"/>
      <c r="UQS38" s="2795"/>
      <c r="UQT38" s="2795"/>
      <c r="UQU38" s="2795"/>
      <c r="UQV38" s="2795"/>
      <c r="UQW38" s="2795"/>
      <c r="UQX38" s="2795"/>
      <c r="UQY38" s="2795"/>
      <c r="UQZ38" s="2795"/>
      <c r="URA38" s="2795"/>
      <c r="URB38" s="2795"/>
      <c r="URC38" s="2795"/>
      <c r="URD38" s="2795"/>
      <c r="URE38" s="2795"/>
      <c r="URF38" s="2795"/>
      <c r="URG38" s="2795"/>
      <c r="URH38" s="2795"/>
      <c r="URI38" s="2795"/>
      <c r="URJ38" s="2795"/>
      <c r="URK38" s="2795"/>
      <c r="URL38" s="2795"/>
      <c r="URM38" s="2795"/>
      <c r="URN38" s="2795"/>
      <c r="URO38" s="2795"/>
      <c r="URP38" s="2795"/>
      <c r="URQ38" s="2795"/>
      <c r="URR38" s="2795"/>
      <c r="URS38" s="2795"/>
      <c r="URT38" s="2795"/>
      <c r="URU38" s="2795"/>
      <c r="URV38" s="2795"/>
      <c r="URW38" s="2795"/>
      <c r="URX38" s="2795"/>
      <c r="URY38" s="2795"/>
      <c r="URZ38" s="2795"/>
      <c r="USA38" s="2795"/>
      <c r="USB38" s="2795"/>
      <c r="USC38" s="2795"/>
      <c r="USD38" s="2795"/>
      <c r="USE38" s="2795"/>
      <c r="USF38" s="2795"/>
      <c r="USG38" s="2795"/>
      <c r="USH38" s="2795"/>
      <c r="USI38" s="2795"/>
      <c r="USJ38" s="2795"/>
      <c r="USK38" s="2795"/>
      <c r="USL38" s="2795"/>
      <c r="USM38" s="2795"/>
      <c r="USN38" s="2795"/>
      <c r="USO38" s="2795"/>
      <c r="USP38" s="2795"/>
      <c r="USQ38" s="2795"/>
      <c r="USR38" s="2795"/>
      <c r="USS38" s="2795"/>
      <c r="UST38" s="2795"/>
      <c r="USU38" s="2795"/>
      <c r="USV38" s="2795"/>
      <c r="USW38" s="2795"/>
      <c r="USX38" s="2795"/>
      <c r="USY38" s="2795"/>
      <c r="USZ38" s="2795"/>
      <c r="UTA38" s="2795"/>
      <c r="UTB38" s="2795"/>
      <c r="UTC38" s="2795"/>
      <c r="UTD38" s="2795"/>
      <c r="UTE38" s="2795"/>
      <c r="UTF38" s="2795"/>
      <c r="UTG38" s="2795"/>
      <c r="UTH38" s="2795"/>
      <c r="UTI38" s="2795"/>
      <c r="UTJ38" s="2795"/>
      <c r="UTK38" s="2795"/>
      <c r="UTL38" s="2795"/>
      <c r="UTM38" s="2795"/>
      <c r="UTN38" s="2795"/>
      <c r="UTO38" s="2795"/>
      <c r="UTP38" s="2795"/>
      <c r="UTQ38" s="2795"/>
      <c r="UTR38" s="2795"/>
      <c r="UTS38" s="2795"/>
      <c r="UTT38" s="2795"/>
      <c r="UTU38" s="2795"/>
      <c r="UTV38" s="2795"/>
      <c r="UTW38" s="2795"/>
      <c r="UTX38" s="2795"/>
      <c r="UTY38" s="2795"/>
      <c r="UTZ38" s="2795"/>
      <c r="UUA38" s="2795"/>
      <c r="UUB38" s="2795"/>
      <c r="UUC38" s="2795"/>
      <c r="UUD38" s="2795"/>
      <c r="UUE38" s="2795"/>
      <c r="UUF38" s="2795"/>
      <c r="UUG38" s="2795"/>
      <c r="UUH38" s="2795"/>
      <c r="UUI38" s="2795"/>
      <c r="UUJ38" s="2795"/>
      <c r="UUK38" s="2795"/>
      <c r="UUL38" s="2795"/>
      <c r="UUM38" s="2795"/>
      <c r="UUN38" s="2795"/>
      <c r="UUO38" s="2795"/>
      <c r="UUP38" s="2795"/>
      <c r="UUQ38" s="2795"/>
      <c r="UUR38" s="2795"/>
      <c r="UUS38" s="2795"/>
      <c r="UUT38" s="2795"/>
      <c r="UUU38" s="2795"/>
      <c r="UUV38" s="2795"/>
      <c r="UUW38" s="2795"/>
      <c r="UUX38" s="2795"/>
      <c r="UUY38" s="2795"/>
      <c r="UUZ38" s="2795"/>
      <c r="UVA38" s="2795"/>
      <c r="UVB38" s="2795"/>
      <c r="UVC38" s="2795"/>
      <c r="UVD38" s="2795"/>
      <c r="UVE38" s="2795"/>
      <c r="UVF38" s="2795"/>
      <c r="UVG38" s="2795"/>
      <c r="UVH38" s="2795"/>
      <c r="UVI38" s="2795"/>
      <c r="UVJ38" s="2795"/>
      <c r="UVK38" s="2795"/>
      <c r="UVL38" s="2795"/>
      <c r="UVM38" s="2795"/>
      <c r="UVN38" s="2795"/>
      <c r="UVO38" s="2795"/>
      <c r="UVP38" s="2795"/>
      <c r="UVQ38" s="2795"/>
      <c r="UVR38" s="2795"/>
      <c r="UVS38" s="2795"/>
      <c r="UVT38" s="2795"/>
      <c r="UVU38" s="2795"/>
      <c r="UVV38" s="2795"/>
      <c r="UVW38" s="2795"/>
      <c r="UVX38" s="2795"/>
      <c r="UVY38" s="2795"/>
      <c r="UVZ38" s="2795"/>
      <c r="UWA38" s="2795"/>
      <c r="UWB38" s="2795"/>
      <c r="UWC38" s="2795"/>
      <c r="UWD38" s="2795"/>
      <c r="UWE38" s="2795"/>
      <c r="UWF38" s="2795"/>
      <c r="UWG38" s="2795"/>
      <c r="UWH38" s="2795"/>
      <c r="UWI38" s="2795"/>
      <c r="UWJ38" s="2795"/>
      <c r="UWK38" s="2795"/>
      <c r="UWL38" s="2795"/>
      <c r="UWM38" s="2795"/>
      <c r="UWN38" s="2795"/>
      <c r="UWO38" s="2795"/>
      <c r="UWP38" s="2795"/>
      <c r="UWQ38" s="2795"/>
      <c r="UWR38" s="2795"/>
      <c r="UWS38" s="2795"/>
      <c r="UWT38" s="2795"/>
      <c r="UWU38" s="2795"/>
      <c r="UWV38" s="2795"/>
      <c r="UWW38" s="2795"/>
      <c r="UWX38" s="2795"/>
      <c r="UWY38" s="2795"/>
      <c r="UWZ38" s="2795"/>
      <c r="UXA38" s="2795"/>
      <c r="UXB38" s="2795"/>
      <c r="UXC38" s="2795"/>
      <c r="UXD38" s="2795"/>
      <c r="UXE38" s="2795"/>
      <c r="UXF38" s="2795"/>
      <c r="UXG38" s="2795"/>
      <c r="UXH38" s="2795"/>
      <c r="UXI38" s="2795"/>
      <c r="UXJ38" s="2795"/>
      <c r="UXK38" s="2795"/>
      <c r="UXL38" s="2795"/>
      <c r="UXM38" s="2795"/>
      <c r="UXN38" s="2795"/>
      <c r="UXO38" s="2795"/>
      <c r="UXP38" s="2795"/>
      <c r="UXQ38" s="2795"/>
      <c r="UXR38" s="2795"/>
      <c r="UXS38" s="2795"/>
      <c r="UXT38" s="2795"/>
      <c r="UXU38" s="2795"/>
      <c r="UXV38" s="2795"/>
      <c r="UXW38" s="2795"/>
      <c r="UXX38" s="2795"/>
      <c r="UXY38" s="2795"/>
      <c r="UXZ38" s="2795"/>
      <c r="UYA38" s="2795"/>
      <c r="UYB38" s="2795"/>
      <c r="UYC38" s="2795"/>
      <c r="UYD38" s="2795"/>
      <c r="UYE38" s="2795"/>
      <c r="UYF38" s="2795"/>
      <c r="UYG38" s="2795"/>
      <c r="UYH38" s="2795"/>
      <c r="UYI38" s="2795"/>
      <c r="UYJ38" s="2795"/>
      <c r="UYK38" s="2795"/>
      <c r="UYL38" s="2795"/>
      <c r="UYM38" s="2795"/>
      <c r="UYN38" s="2795"/>
      <c r="UYO38" s="2795"/>
      <c r="UYP38" s="2795"/>
      <c r="UYQ38" s="2795"/>
      <c r="UYR38" s="2795"/>
      <c r="UYS38" s="2795"/>
      <c r="UYT38" s="2795"/>
      <c r="UYU38" s="2795"/>
      <c r="UYV38" s="2795"/>
      <c r="UYW38" s="2795"/>
      <c r="UYX38" s="2795"/>
      <c r="UYY38" s="2795"/>
      <c r="UYZ38" s="2795"/>
      <c r="UZA38" s="2795"/>
      <c r="UZB38" s="2795"/>
      <c r="UZC38" s="2795"/>
      <c r="UZD38" s="2795"/>
      <c r="UZE38" s="2795"/>
      <c r="UZF38" s="2795"/>
      <c r="UZG38" s="2795"/>
      <c r="UZH38" s="2795"/>
      <c r="UZI38" s="2795"/>
      <c r="UZJ38" s="2795"/>
      <c r="UZK38" s="2795"/>
      <c r="UZL38" s="2795"/>
      <c r="UZM38" s="2795"/>
      <c r="UZN38" s="2795"/>
      <c r="UZO38" s="2795"/>
      <c r="UZP38" s="2795"/>
      <c r="UZQ38" s="2795"/>
      <c r="UZR38" s="2795"/>
      <c r="UZS38" s="2795"/>
      <c r="UZT38" s="2795"/>
      <c r="UZU38" s="2795"/>
      <c r="UZV38" s="2795"/>
      <c r="UZW38" s="2795"/>
      <c r="UZX38" s="2795"/>
      <c r="UZY38" s="2795"/>
      <c r="UZZ38" s="2795"/>
      <c r="VAA38" s="2795"/>
      <c r="VAB38" s="2795"/>
      <c r="VAC38" s="2795"/>
      <c r="VAD38" s="2795"/>
      <c r="VAE38" s="2795"/>
      <c r="VAF38" s="2795"/>
      <c r="VAG38" s="2795"/>
      <c r="VAH38" s="2795"/>
      <c r="VAI38" s="2795"/>
      <c r="VAJ38" s="2795"/>
      <c r="VAK38" s="2795"/>
      <c r="VAL38" s="2795"/>
      <c r="VAM38" s="2795"/>
      <c r="VAN38" s="2795"/>
      <c r="VAO38" s="2795"/>
      <c r="VAP38" s="2795"/>
      <c r="VAQ38" s="2795"/>
      <c r="VAR38" s="2795"/>
      <c r="VAS38" s="2795"/>
      <c r="VAT38" s="2795"/>
      <c r="VAU38" s="2795"/>
      <c r="VAV38" s="2795"/>
      <c r="VAW38" s="2795"/>
      <c r="VAX38" s="2795"/>
      <c r="VAY38" s="2795"/>
      <c r="VAZ38" s="2795"/>
      <c r="VBA38" s="2795"/>
      <c r="VBB38" s="2795"/>
      <c r="VBC38" s="2795"/>
      <c r="VBD38" s="2795"/>
      <c r="VBE38" s="2795"/>
      <c r="VBF38" s="2795"/>
      <c r="VBG38" s="2795"/>
      <c r="VBH38" s="2795"/>
      <c r="VBI38" s="2795"/>
      <c r="VBJ38" s="2795"/>
      <c r="VBK38" s="2795"/>
      <c r="VBL38" s="2795"/>
      <c r="VBM38" s="2795"/>
      <c r="VBN38" s="2795"/>
      <c r="VBO38" s="2795"/>
      <c r="VBP38" s="2795"/>
      <c r="VBQ38" s="2795"/>
      <c r="VBR38" s="2795"/>
      <c r="VBS38" s="2795"/>
      <c r="VBT38" s="2795"/>
      <c r="VBU38" s="2795"/>
      <c r="VBV38" s="2795"/>
      <c r="VBW38" s="2795"/>
      <c r="VBX38" s="2795"/>
      <c r="VBY38" s="2795"/>
      <c r="VBZ38" s="2795"/>
      <c r="VCA38" s="2795"/>
      <c r="VCB38" s="2795"/>
      <c r="VCC38" s="2795"/>
      <c r="VCD38" s="2795"/>
      <c r="VCE38" s="2795"/>
      <c r="VCF38" s="2795"/>
      <c r="VCG38" s="2795"/>
      <c r="VCH38" s="2795"/>
      <c r="VCI38" s="2795"/>
      <c r="VCJ38" s="2795"/>
      <c r="VCK38" s="2795"/>
      <c r="VCL38" s="2795"/>
      <c r="VCM38" s="2795"/>
      <c r="VCN38" s="2795"/>
      <c r="VCO38" s="2795"/>
      <c r="VCP38" s="2795"/>
      <c r="VCQ38" s="2795"/>
      <c r="VCR38" s="2795"/>
      <c r="VCS38" s="2795"/>
      <c r="VCT38" s="2795"/>
      <c r="VCU38" s="2795"/>
      <c r="VCV38" s="2795"/>
      <c r="VCW38" s="2795"/>
      <c r="VCX38" s="2795"/>
      <c r="VCY38" s="2795"/>
      <c r="VCZ38" s="2795"/>
      <c r="VDA38" s="2795"/>
      <c r="VDB38" s="2795"/>
      <c r="VDC38" s="2795"/>
      <c r="VDD38" s="2795"/>
      <c r="VDE38" s="2795"/>
      <c r="VDF38" s="2795"/>
      <c r="VDG38" s="2795"/>
      <c r="VDH38" s="2795"/>
      <c r="VDI38" s="2795"/>
      <c r="VDJ38" s="2795"/>
      <c r="VDK38" s="2795"/>
      <c r="VDL38" s="2795"/>
      <c r="VDM38" s="2795"/>
      <c r="VDN38" s="2795"/>
      <c r="VDO38" s="2795"/>
      <c r="VDP38" s="2795"/>
      <c r="VDQ38" s="2795"/>
      <c r="VDR38" s="2795"/>
      <c r="VDS38" s="2795"/>
      <c r="VDT38" s="2795"/>
      <c r="VDU38" s="2795"/>
      <c r="VDV38" s="2795"/>
      <c r="VDW38" s="2795"/>
      <c r="VDX38" s="2795"/>
      <c r="VDY38" s="2795"/>
      <c r="VDZ38" s="2795"/>
      <c r="VEA38" s="2795"/>
      <c r="VEB38" s="2795"/>
      <c r="VEC38" s="2795"/>
      <c r="VED38" s="2795"/>
      <c r="VEE38" s="2795"/>
      <c r="VEF38" s="2795"/>
      <c r="VEG38" s="2795"/>
      <c r="VEH38" s="2795"/>
      <c r="VEI38" s="2795"/>
      <c r="VEJ38" s="2795"/>
      <c r="VEK38" s="2795"/>
      <c r="VEL38" s="2795"/>
      <c r="VEM38" s="2795"/>
      <c r="VEN38" s="2795"/>
      <c r="VEO38" s="2795"/>
      <c r="VEP38" s="2795"/>
      <c r="VEQ38" s="2795"/>
      <c r="VER38" s="2795"/>
      <c r="VES38" s="2795"/>
      <c r="VET38" s="2795"/>
      <c r="VEU38" s="2795"/>
      <c r="VEV38" s="2795"/>
      <c r="VEW38" s="2795"/>
      <c r="VEX38" s="2795"/>
      <c r="VEY38" s="2795"/>
      <c r="VEZ38" s="2795"/>
      <c r="VFA38" s="2795"/>
      <c r="VFB38" s="2795"/>
      <c r="VFC38" s="2795"/>
      <c r="VFD38" s="2795"/>
      <c r="VFE38" s="2795"/>
      <c r="VFF38" s="2795"/>
      <c r="VFG38" s="2795"/>
      <c r="VFH38" s="2795"/>
      <c r="VFI38" s="2795"/>
      <c r="VFJ38" s="2795"/>
      <c r="VFK38" s="2795"/>
      <c r="VFL38" s="2795"/>
      <c r="VFM38" s="2795"/>
      <c r="VFN38" s="2795"/>
      <c r="VFO38" s="2795"/>
      <c r="VFP38" s="2795"/>
      <c r="VFQ38" s="2795"/>
      <c r="VFR38" s="2795"/>
      <c r="VFS38" s="2795"/>
      <c r="VFT38" s="2795"/>
      <c r="VFU38" s="2795"/>
      <c r="VFV38" s="2795"/>
      <c r="VFW38" s="2795"/>
      <c r="VFX38" s="2795"/>
      <c r="VFY38" s="2795"/>
      <c r="VFZ38" s="2795"/>
      <c r="VGA38" s="2795"/>
      <c r="VGB38" s="2795"/>
      <c r="VGC38" s="2795"/>
      <c r="VGD38" s="2795"/>
      <c r="VGE38" s="2795"/>
      <c r="VGF38" s="2795"/>
      <c r="VGG38" s="2795"/>
      <c r="VGH38" s="2795"/>
      <c r="VGI38" s="2795"/>
      <c r="VGJ38" s="2795"/>
      <c r="VGK38" s="2795"/>
      <c r="VGL38" s="2795"/>
      <c r="VGM38" s="2795"/>
      <c r="VGN38" s="2795"/>
      <c r="VGO38" s="2795"/>
      <c r="VGP38" s="2795"/>
      <c r="VGQ38" s="2795"/>
      <c r="VGR38" s="2795"/>
      <c r="VGS38" s="2795"/>
      <c r="VGT38" s="2795"/>
      <c r="VGU38" s="2795"/>
      <c r="VGV38" s="2795"/>
      <c r="VGW38" s="2795"/>
      <c r="VGX38" s="2795"/>
      <c r="VGY38" s="2795"/>
      <c r="VGZ38" s="2795"/>
      <c r="VHA38" s="2795"/>
      <c r="VHB38" s="2795"/>
      <c r="VHC38" s="2795"/>
      <c r="VHD38" s="2795"/>
      <c r="VHE38" s="2795"/>
      <c r="VHF38" s="2795"/>
      <c r="VHG38" s="2795"/>
      <c r="VHH38" s="2795"/>
      <c r="VHI38" s="2795"/>
      <c r="VHJ38" s="2795"/>
      <c r="VHK38" s="2795"/>
      <c r="VHL38" s="2795"/>
      <c r="VHM38" s="2795"/>
      <c r="VHN38" s="2795"/>
      <c r="VHO38" s="2795"/>
      <c r="VHP38" s="2795"/>
      <c r="VHQ38" s="2795"/>
      <c r="VHR38" s="2795"/>
      <c r="VHS38" s="2795"/>
      <c r="VHT38" s="2795"/>
      <c r="VHU38" s="2795"/>
      <c r="VHV38" s="2795"/>
      <c r="VHW38" s="2795"/>
      <c r="VHX38" s="2795"/>
      <c r="VHY38" s="2795"/>
      <c r="VHZ38" s="2795"/>
      <c r="VIA38" s="2795"/>
      <c r="VIB38" s="2795"/>
      <c r="VIC38" s="2795"/>
      <c r="VID38" s="2795"/>
      <c r="VIE38" s="2795"/>
      <c r="VIF38" s="2795"/>
      <c r="VIG38" s="2795"/>
      <c r="VIH38" s="2795"/>
      <c r="VII38" s="2795"/>
      <c r="VIJ38" s="2795"/>
      <c r="VIK38" s="2795"/>
      <c r="VIL38" s="2795"/>
      <c r="VIM38" s="2795"/>
      <c r="VIN38" s="2795"/>
      <c r="VIO38" s="2795"/>
      <c r="VIP38" s="2795"/>
      <c r="VIQ38" s="2795"/>
      <c r="VIR38" s="2795"/>
      <c r="VIS38" s="2795"/>
      <c r="VIT38" s="2795"/>
      <c r="VIU38" s="2795"/>
      <c r="VIV38" s="2795"/>
      <c r="VIW38" s="2795"/>
      <c r="VIX38" s="2795"/>
      <c r="VIY38" s="2795"/>
      <c r="VIZ38" s="2795"/>
      <c r="VJA38" s="2795"/>
      <c r="VJB38" s="2795"/>
      <c r="VJC38" s="2795"/>
      <c r="VJD38" s="2795"/>
      <c r="VJE38" s="2795"/>
      <c r="VJF38" s="2795"/>
      <c r="VJG38" s="2795"/>
      <c r="VJH38" s="2795"/>
      <c r="VJI38" s="2795"/>
      <c r="VJJ38" s="2795"/>
      <c r="VJK38" s="2795"/>
      <c r="VJL38" s="2795"/>
      <c r="VJM38" s="2795"/>
      <c r="VJN38" s="2795"/>
      <c r="VJO38" s="2795"/>
      <c r="VJP38" s="2795"/>
      <c r="VJQ38" s="2795"/>
      <c r="VJR38" s="2795"/>
      <c r="VJS38" s="2795"/>
      <c r="VJT38" s="2795"/>
      <c r="VJU38" s="2795"/>
      <c r="VJV38" s="2795"/>
      <c r="VJW38" s="2795"/>
      <c r="VJX38" s="2795"/>
      <c r="VJY38" s="2795"/>
      <c r="VJZ38" s="2795"/>
      <c r="VKA38" s="2795"/>
      <c r="VKB38" s="2795"/>
      <c r="VKC38" s="2795"/>
      <c r="VKD38" s="2795"/>
      <c r="VKE38" s="2795"/>
      <c r="VKF38" s="2795"/>
      <c r="VKG38" s="2795"/>
      <c r="VKH38" s="2795"/>
      <c r="VKI38" s="2795"/>
      <c r="VKJ38" s="2795"/>
      <c r="VKK38" s="2795"/>
      <c r="VKL38" s="2795"/>
      <c r="VKM38" s="2795"/>
      <c r="VKN38" s="2795"/>
      <c r="VKO38" s="2795"/>
      <c r="VKP38" s="2795"/>
      <c r="VKQ38" s="2795"/>
      <c r="VKR38" s="2795"/>
      <c r="VKS38" s="2795"/>
      <c r="VKT38" s="2795"/>
      <c r="VKU38" s="2795"/>
      <c r="VKV38" s="2795"/>
      <c r="VKW38" s="2795"/>
      <c r="VKX38" s="2795"/>
      <c r="VKY38" s="2795"/>
      <c r="VKZ38" s="2795"/>
      <c r="VLA38" s="2795"/>
      <c r="VLB38" s="2795"/>
      <c r="VLC38" s="2795"/>
      <c r="VLD38" s="2795"/>
      <c r="VLE38" s="2795"/>
      <c r="VLF38" s="2795"/>
      <c r="VLG38" s="2795"/>
      <c r="VLH38" s="2795"/>
      <c r="VLI38" s="2795"/>
      <c r="VLJ38" s="2795"/>
      <c r="VLK38" s="2795"/>
      <c r="VLL38" s="2795"/>
      <c r="VLM38" s="2795"/>
      <c r="VLN38" s="2795"/>
      <c r="VLO38" s="2795"/>
      <c r="VLP38" s="2795"/>
      <c r="VLQ38" s="2795"/>
      <c r="VLR38" s="2795"/>
      <c r="VLS38" s="2795"/>
      <c r="VLT38" s="2795"/>
      <c r="VLU38" s="2795"/>
      <c r="VLV38" s="2795"/>
      <c r="VLW38" s="2795"/>
      <c r="VLX38" s="2795"/>
      <c r="VLY38" s="2795"/>
      <c r="VLZ38" s="2795"/>
      <c r="VMA38" s="2795"/>
      <c r="VMB38" s="2795"/>
      <c r="VMC38" s="2795"/>
      <c r="VMD38" s="2795"/>
      <c r="VME38" s="2795"/>
      <c r="VMF38" s="2795"/>
      <c r="VMG38" s="2795"/>
      <c r="VMH38" s="2795"/>
      <c r="VMI38" s="2795"/>
      <c r="VMJ38" s="2795"/>
      <c r="VMK38" s="2795"/>
      <c r="VML38" s="2795"/>
      <c r="VMM38" s="2795"/>
      <c r="VMN38" s="2795"/>
      <c r="VMO38" s="2795"/>
      <c r="VMP38" s="2795"/>
      <c r="VMQ38" s="2795"/>
      <c r="VMR38" s="2795"/>
      <c r="VMS38" s="2795"/>
      <c r="VMT38" s="2795"/>
      <c r="VMU38" s="2795"/>
      <c r="VMV38" s="2795"/>
      <c r="VMW38" s="2795"/>
      <c r="VMX38" s="2795"/>
      <c r="VMY38" s="2795"/>
      <c r="VMZ38" s="2795"/>
      <c r="VNA38" s="2795"/>
      <c r="VNB38" s="2795"/>
      <c r="VNC38" s="2795"/>
      <c r="VND38" s="2795"/>
      <c r="VNE38" s="2795"/>
      <c r="VNF38" s="2795"/>
      <c r="VNG38" s="2795"/>
      <c r="VNH38" s="2795"/>
      <c r="VNI38" s="2795"/>
      <c r="VNJ38" s="2795"/>
      <c r="VNK38" s="2795"/>
      <c r="VNL38" s="2795"/>
      <c r="VNM38" s="2795"/>
      <c r="VNN38" s="2795"/>
      <c r="VNO38" s="2795"/>
      <c r="VNP38" s="2795"/>
      <c r="VNQ38" s="2795"/>
      <c r="VNR38" s="2795"/>
      <c r="VNS38" s="2795"/>
      <c r="VNT38" s="2795"/>
      <c r="VNU38" s="2795"/>
      <c r="VNV38" s="2795"/>
      <c r="VNW38" s="2795"/>
      <c r="VNX38" s="2795"/>
      <c r="VNY38" s="2795"/>
      <c r="VNZ38" s="2795"/>
      <c r="VOA38" s="2795"/>
      <c r="VOB38" s="2795"/>
      <c r="VOC38" s="2795"/>
      <c r="VOD38" s="2795"/>
      <c r="VOE38" s="2795"/>
      <c r="VOF38" s="2795"/>
      <c r="VOG38" s="2795"/>
      <c r="VOH38" s="2795"/>
      <c r="VOI38" s="2795"/>
      <c r="VOJ38" s="2795"/>
      <c r="VOK38" s="2795"/>
      <c r="VOL38" s="2795"/>
      <c r="VOM38" s="2795"/>
      <c r="VON38" s="2795"/>
      <c r="VOO38" s="2795"/>
      <c r="VOP38" s="2795"/>
      <c r="VOQ38" s="2795"/>
      <c r="VOR38" s="2795"/>
      <c r="VOS38" s="2795"/>
      <c r="VOT38" s="2795"/>
      <c r="VOU38" s="2795"/>
      <c r="VOV38" s="2795"/>
      <c r="VOW38" s="2795"/>
      <c r="VOX38" s="2795"/>
      <c r="VOY38" s="2795"/>
      <c r="VOZ38" s="2795"/>
      <c r="VPA38" s="2795"/>
      <c r="VPB38" s="2795"/>
      <c r="VPC38" s="2795"/>
      <c r="VPD38" s="2795"/>
      <c r="VPE38" s="2795"/>
      <c r="VPF38" s="2795"/>
      <c r="VPG38" s="2795"/>
      <c r="VPH38" s="2795"/>
      <c r="VPI38" s="2795"/>
      <c r="VPJ38" s="2795"/>
      <c r="VPK38" s="2795"/>
      <c r="VPL38" s="2795"/>
      <c r="VPM38" s="2795"/>
      <c r="VPN38" s="2795"/>
      <c r="VPO38" s="2795"/>
      <c r="VPP38" s="2795"/>
      <c r="VPQ38" s="2795"/>
      <c r="VPR38" s="2795"/>
      <c r="VPS38" s="2795"/>
      <c r="VPT38" s="2795"/>
      <c r="VPU38" s="2795"/>
      <c r="VPV38" s="2795"/>
      <c r="VPW38" s="2795"/>
      <c r="VPX38" s="2795"/>
      <c r="VPY38" s="2795"/>
      <c r="VPZ38" s="2795"/>
      <c r="VQA38" s="2795"/>
      <c r="VQB38" s="2795"/>
      <c r="VQC38" s="2795"/>
      <c r="VQD38" s="2795"/>
      <c r="VQE38" s="2795"/>
      <c r="VQF38" s="2795"/>
      <c r="VQG38" s="2795"/>
      <c r="VQH38" s="2795"/>
      <c r="VQI38" s="2795"/>
      <c r="VQJ38" s="2795"/>
      <c r="VQK38" s="2795"/>
      <c r="VQL38" s="2795"/>
      <c r="VQM38" s="2795"/>
      <c r="VQN38" s="2795"/>
      <c r="VQO38" s="2795"/>
      <c r="VQP38" s="2795"/>
      <c r="VQQ38" s="2795"/>
      <c r="VQR38" s="2795"/>
      <c r="VQS38" s="2795"/>
      <c r="VQT38" s="2795"/>
      <c r="VQU38" s="2795"/>
      <c r="VQV38" s="2795"/>
      <c r="VQW38" s="2795"/>
      <c r="VQX38" s="2795"/>
      <c r="VQY38" s="2795"/>
      <c r="VQZ38" s="2795"/>
      <c r="VRA38" s="2795"/>
      <c r="VRB38" s="2795"/>
      <c r="VRC38" s="2795"/>
      <c r="VRD38" s="2795"/>
      <c r="VRE38" s="2795"/>
      <c r="VRF38" s="2795"/>
      <c r="VRG38" s="2795"/>
      <c r="VRH38" s="2795"/>
      <c r="VRI38" s="2795"/>
      <c r="VRJ38" s="2795"/>
      <c r="VRK38" s="2795"/>
      <c r="VRL38" s="2795"/>
      <c r="VRM38" s="2795"/>
      <c r="VRN38" s="2795"/>
      <c r="VRO38" s="2795"/>
      <c r="VRP38" s="2795"/>
      <c r="VRQ38" s="2795"/>
      <c r="VRR38" s="2795"/>
      <c r="VRS38" s="2795"/>
      <c r="VRT38" s="2795"/>
      <c r="VRU38" s="2795"/>
      <c r="VRV38" s="2795"/>
      <c r="VRW38" s="2795"/>
      <c r="VRX38" s="2795"/>
      <c r="VRY38" s="2795"/>
      <c r="VRZ38" s="2795"/>
      <c r="VSA38" s="2795"/>
      <c r="VSB38" s="2795"/>
      <c r="VSC38" s="2795"/>
      <c r="VSD38" s="2795"/>
      <c r="VSE38" s="2795"/>
      <c r="VSF38" s="2795"/>
      <c r="VSG38" s="2795"/>
      <c r="VSH38" s="2795"/>
      <c r="VSI38" s="2795"/>
      <c r="VSJ38" s="2795"/>
      <c r="VSK38" s="2795"/>
      <c r="VSL38" s="2795"/>
      <c r="VSM38" s="2795"/>
      <c r="VSN38" s="2795"/>
      <c r="VSO38" s="2795"/>
      <c r="VSP38" s="2795"/>
      <c r="VSQ38" s="2795"/>
      <c r="VSR38" s="2795"/>
      <c r="VSS38" s="2795"/>
      <c r="VST38" s="2795"/>
      <c r="VSU38" s="2795"/>
      <c r="VSV38" s="2795"/>
      <c r="VSW38" s="2795"/>
      <c r="VSX38" s="2795"/>
      <c r="VSY38" s="2795"/>
      <c r="VSZ38" s="2795"/>
      <c r="VTA38" s="2795"/>
      <c r="VTB38" s="2795"/>
      <c r="VTC38" s="2795"/>
      <c r="VTD38" s="2795"/>
      <c r="VTE38" s="2795"/>
      <c r="VTF38" s="2795"/>
      <c r="VTG38" s="2795"/>
      <c r="VTH38" s="2795"/>
      <c r="VTI38" s="2795"/>
      <c r="VTJ38" s="2795"/>
      <c r="VTK38" s="2795"/>
      <c r="VTL38" s="2795"/>
      <c r="VTM38" s="2795"/>
      <c r="VTN38" s="2795"/>
      <c r="VTO38" s="2795"/>
      <c r="VTP38" s="2795"/>
      <c r="VTQ38" s="2795"/>
      <c r="VTR38" s="2795"/>
      <c r="VTS38" s="2795"/>
      <c r="VTT38" s="2795"/>
      <c r="VTU38" s="2795"/>
      <c r="VTV38" s="2795"/>
      <c r="VTW38" s="2795"/>
      <c r="VTX38" s="2795"/>
      <c r="VTY38" s="2795"/>
      <c r="VTZ38" s="2795"/>
      <c r="VUA38" s="2795"/>
      <c r="VUB38" s="2795"/>
      <c r="VUC38" s="2795"/>
      <c r="VUD38" s="2795"/>
      <c r="VUE38" s="2795"/>
      <c r="VUF38" s="2795"/>
      <c r="VUG38" s="2795"/>
      <c r="VUH38" s="2795"/>
      <c r="VUI38" s="2795"/>
      <c r="VUJ38" s="2795"/>
      <c r="VUK38" s="2795"/>
      <c r="VUL38" s="2795"/>
      <c r="VUM38" s="2795"/>
      <c r="VUN38" s="2795"/>
      <c r="VUO38" s="2795"/>
      <c r="VUP38" s="2795"/>
      <c r="VUQ38" s="2795"/>
      <c r="VUR38" s="2795"/>
      <c r="VUS38" s="2795"/>
      <c r="VUT38" s="2795"/>
      <c r="VUU38" s="2795"/>
      <c r="VUV38" s="2795"/>
      <c r="VUW38" s="2795"/>
      <c r="VUX38" s="2795"/>
      <c r="VUY38" s="2795"/>
      <c r="VUZ38" s="2795"/>
      <c r="VVA38" s="2795"/>
      <c r="VVB38" s="2795"/>
      <c r="VVC38" s="2795"/>
      <c r="VVD38" s="2795"/>
      <c r="VVE38" s="2795"/>
      <c r="VVF38" s="2795"/>
      <c r="VVG38" s="2795"/>
      <c r="VVH38" s="2795"/>
      <c r="VVI38" s="2795"/>
      <c r="VVJ38" s="2795"/>
      <c r="VVK38" s="2795"/>
      <c r="VVL38" s="2795"/>
      <c r="VVM38" s="2795"/>
      <c r="VVN38" s="2795"/>
      <c r="VVO38" s="2795"/>
      <c r="VVP38" s="2795"/>
      <c r="VVQ38" s="2795"/>
      <c r="VVR38" s="2795"/>
      <c r="VVS38" s="2795"/>
      <c r="VVT38" s="2795"/>
      <c r="VVU38" s="2795"/>
      <c r="VVV38" s="2795"/>
      <c r="VVW38" s="2795"/>
      <c r="VVX38" s="2795"/>
      <c r="VVY38" s="2795"/>
      <c r="VVZ38" s="2795"/>
      <c r="VWA38" s="2795"/>
      <c r="VWB38" s="2795"/>
      <c r="VWC38" s="2795"/>
      <c r="VWD38" s="2795"/>
      <c r="VWE38" s="2795"/>
      <c r="VWF38" s="2795"/>
      <c r="VWG38" s="2795"/>
      <c r="VWH38" s="2795"/>
      <c r="VWI38" s="2795"/>
      <c r="VWJ38" s="2795"/>
      <c r="VWK38" s="2795"/>
      <c r="VWL38" s="2795"/>
      <c r="VWM38" s="2795"/>
      <c r="VWN38" s="2795"/>
      <c r="VWO38" s="2795"/>
      <c r="VWP38" s="2795"/>
      <c r="VWQ38" s="2795"/>
      <c r="VWR38" s="2795"/>
      <c r="VWS38" s="2795"/>
      <c r="VWT38" s="2795"/>
      <c r="VWU38" s="2795"/>
      <c r="VWV38" s="2795"/>
      <c r="VWW38" s="2795"/>
      <c r="VWX38" s="2795"/>
      <c r="VWY38" s="2795"/>
      <c r="VWZ38" s="2795"/>
      <c r="VXA38" s="2795"/>
      <c r="VXB38" s="2795"/>
      <c r="VXC38" s="2795"/>
      <c r="VXD38" s="2795"/>
      <c r="VXE38" s="2795"/>
      <c r="VXF38" s="2795"/>
      <c r="VXG38" s="2795"/>
      <c r="VXH38" s="2795"/>
      <c r="VXI38" s="2795"/>
      <c r="VXJ38" s="2795"/>
      <c r="VXK38" s="2795"/>
      <c r="VXL38" s="2795"/>
      <c r="VXM38" s="2795"/>
      <c r="VXN38" s="2795"/>
      <c r="VXO38" s="2795"/>
      <c r="VXP38" s="2795"/>
      <c r="VXQ38" s="2795"/>
      <c r="VXR38" s="2795"/>
      <c r="VXS38" s="2795"/>
      <c r="VXT38" s="2795"/>
      <c r="VXU38" s="2795"/>
      <c r="VXV38" s="2795"/>
      <c r="VXW38" s="2795"/>
      <c r="VXX38" s="2795"/>
      <c r="VXY38" s="2795"/>
      <c r="VXZ38" s="2795"/>
      <c r="VYA38" s="2795"/>
      <c r="VYB38" s="2795"/>
      <c r="VYC38" s="2795"/>
      <c r="VYD38" s="2795"/>
      <c r="VYE38" s="2795"/>
      <c r="VYF38" s="2795"/>
      <c r="VYG38" s="2795"/>
      <c r="VYH38" s="2795"/>
      <c r="VYI38" s="2795"/>
      <c r="VYJ38" s="2795"/>
      <c r="VYK38" s="2795"/>
      <c r="VYL38" s="2795"/>
      <c r="VYM38" s="2795"/>
      <c r="VYN38" s="2795"/>
      <c r="VYO38" s="2795"/>
      <c r="VYP38" s="2795"/>
      <c r="VYQ38" s="2795"/>
      <c r="VYR38" s="2795"/>
      <c r="VYS38" s="2795"/>
      <c r="VYT38" s="2795"/>
      <c r="VYU38" s="2795"/>
      <c r="VYV38" s="2795"/>
      <c r="VYW38" s="2795"/>
      <c r="VYX38" s="2795"/>
      <c r="VYY38" s="2795"/>
      <c r="VYZ38" s="2795"/>
      <c r="VZA38" s="2795"/>
      <c r="VZB38" s="2795"/>
      <c r="VZC38" s="2795"/>
      <c r="VZD38" s="2795"/>
      <c r="VZE38" s="2795"/>
      <c r="VZF38" s="2795"/>
      <c r="VZG38" s="2795"/>
      <c r="VZH38" s="2795"/>
      <c r="VZI38" s="2795"/>
      <c r="VZJ38" s="2795"/>
      <c r="VZK38" s="2795"/>
      <c r="VZL38" s="2795"/>
      <c r="VZM38" s="2795"/>
      <c r="VZN38" s="2795"/>
      <c r="VZO38" s="2795"/>
      <c r="VZP38" s="2795"/>
      <c r="VZQ38" s="2795"/>
      <c r="VZR38" s="2795"/>
      <c r="VZS38" s="2795"/>
      <c r="VZT38" s="2795"/>
      <c r="VZU38" s="2795"/>
      <c r="VZV38" s="2795"/>
      <c r="VZW38" s="2795"/>
      <c r="VZX38" s="2795"/>
      <c r="VZY38" s="2795"/>
      <c r="VZZ38" s="2795"/>
      <c r="WAA38" s="2795"/>
      <c r="WAB38" s="2795"/>
      <c r="WAC38" s="2795"/>
      <c r="WAD38" s="2795"/>
      <c r="WAE38" s="2795"/>
      <c r="WAF38" s="2795"/>
      <c r="WAG38" s="2795"/>
      <c r="WAH38" s="2795"/>
      <c r="WAI38" s="2795"/>
      <c r="WAJ38" s="2795"/>
      <c r="WAK38" s="2795"/>
      <c r="WAL38" s="2795"/>
      <c r="WAM38" s="2795"/>
      <c r="WAN38" s="2795"/>
      <c r="WAO38" s="2795"/>
      <c r="WAP38" s="2795"/>
      <c r="WAQ38" s="2795"/>
      <c r="WAR38" s="2795"/>
      <c r="WAS38" s="2795"/>
      <c r="WAT38" s="2795"/>
      <c r="WAU38" s="2795"/>
      <c r="WAV38" s="2795"/>
      <c r="WAW38" s="2795"/>
      <c r="WAX38" s="2795"/>
      <c r="WAY38" s="2795"/>
      <c r="WAZ38" s="2795"/>
      <c r="WBA38" s="2795"/>
      <c r="WBB38" s="2795"/>
      <c r="WBC38" s="2795"/>
      <c r="WBD38" s="2795"/>
      <c r="WBE38" s="2795"/>
      <c r="WBF38" s="2795"/>
      <c r="WBG38" s="2795"/>
      <c r="WBH38" s="2795"/>
      <c r="WBI38" s="2795"/>
      <c r="WBJ38" s="2795"/>
      <c r="WBK38" s="2795"/>
      <c r="WBL38" s="2795"/>
      <c r="WBM38" s="2795"/>
      <c r="WBN38" s="2795"/>
      <c r="WBO38" s="2795"/>
      <c r="WBP38" s="2795"/>
      <c r="WBQ38" s="2795"/>
      <c r="WBR38" s="2795"/>
      <c r="WBS38" s="2795"/>
      <c r="WBT38" s="2795"/>
      <c r="WBU38" s="2795"/>
      <c r="WBV38" s="2795"/>
      <c r="WBW38" s="2795"/>
      <c r="WBX38" s="2795"/>
      <c r="WBY38" s="2795"/>
      <c r="WBZ38" s="2795"/>
      <c r="WCA38" s="2795"/>
      <c r="WCB38" s="2795"/>
      <c r="WCC38" s="2795"/>
      <c r="WCD38" s="2795"/>
      <c r="WCE38" s="2795"/>
      <c r="WCF38" s="2795"/>
      <c r="WCG38" s="2795"/>
      <c r="WCH38" s="2795"/>
      <c r="WCI38" s="2795"/>
      <c r="WCJ38" s="2795"/>
      <c r="WCK38" s="2795"/>
      <c r="WCL38" s="2795"/>
      <c r="WCM38" s="2795"/>
      <c r="WCN38" s="2795"/>
      <c r="WCO38" s="2795"/>
      <c r="WCP38" s="2795"/>
      <c r="WCQ38" s="2795"/>
      <c r="WCR38" s="2795"/>
      <c r="WCS38" s="2795"/>
      <c r="WCT38" s="2795"/>
      <c r="WCU38" s="2795"/>
      <c r="WCV38" s="2795"/>
      <c r="WCW38" s="2795"/>
      <c r="WCX38" s="2795"/>
      <c r="WCY38" s="2795"/>
      <c r="WCZ38" s="2795"/>
      <c r="WDA38" s="2795"/>
      <c r="WDB38" s="2795"/>
      <c r="WDC38" s="2795"/>
      <c r="WDD38" s="2795"/>
      <c r="WDE38" s="2795"/>
      <c r="WDF38" s="2795"/>
      <c r="WDG38" s="2795"/>
      <c r="WDH38" s="2795"/>
      <c r="WDI38" s="2795"/>
      <c r="WDJ38" s="2795"/>
      <c r="WDK38" s="2795"/>
      <c r="WDL38" s="2795"/>
      <c r="WDM38" s="2795"/>
      <c r="WDN38" s="2795"/>
      <c r="WDO38" s="2795"/>
      <c r="WDP38" s="2795"/>
      <c r="WDQ38" s="2795"/>
      <c r="WDR38" s="2795"/>
      <c r="WDS38" s="2795"/>
      <c r="WDT38" s="2795"/>
      <c r="WDU38" s="2795"/>
      <c r="WDV38" s="2795"/>
      <c r="WDW38" s="2795"/>
      <c r="WDX38" s="2795"/>
      <c r="WDY38" s="2795"/>
      <c r="WDZ38" s="2795"/>
      <c r="WEA38" s="2795"/>
      <c r="WEB38" s="2795"/>
      <c r="WEC38" s="2795"/>
      <c r="WED38" s="2795"/>
      <c r="WEE38" s="2795"/>
      <c r="WEF38" s="2795"/>
      <c r="WEG38" s="2795"/>
      <c r="WEH38" s="2795"/>
      <c r="WEI38" s="2795"/>
      <c r="WEJ38" s="2795"/>
      <c r="WEK38" s="2795"/>
      <c r="WEL38" s="2795"/>
      <c r="WEM38" s="2795"/>
      <c r="WEN38" s="2795"/>
      <c r="WEO38" s="2795"/>
      <c r="WEP38" s="2795"/>
      <c r="WEQ38" s="2795"/>
      <c r="WER38" s="2795"/>
      <c r="WES38" s="2795"/>
      <c r="WET38" s="2795"/>
      <c r="WEU38" s="2795"/>
      <c r="WEV38" s="2795"/>
      <c r="WEW38" s="2795"/>
      <c r="WEX38" s="2795"/>
      <c r="WEY38" s="2795"/>
      <c r="WEZ38" s="2795"/>
      <c r="WFA38" s="2795"/>
      <c r="WFB38" s="2795"/>
      <c r="WFC38" s="2795"/>
      <c r="WFD38" s="2795"/>
      <c r="WFE38" s="2795"/>
      <c r="WFF38" s="2795"/>
      <c r="WFG38" s="2795"/>
      <c r="WFH38" s="2795"/>
      <c r="WFI38" s="2795"/>
      <c r="WFJ38" s="2795"/>
      <c r="WFK38" s="2795"/>
      <c r="WFL38" s="2795"/>
      <c r="WFM38" s="2795"/>
      <c r="WFN38" s="2795"/>
      <c r="WFO38" s="2795"/>
      <c r="WFP38" s="2795"/>
      <c r="WFQ38" s="2795"/>
      <c r="WFR38" s="2795"/>
      <c r="WFS38" s="2795"/>
      <c r="WFT38" s="2795"/>
      <c r="WFU38" s="2795"/>
      <c r="WFV38" s="2795"/>
      <c r="WFW38" s="2795"/>
      <c r="WFX38" s="2795"/>
      <c r="WFY38" s="2795"/>
      <c r="WFZ38" s="2795"/>
      <c r="WGA38" s="2795"/>
      <c r="WGB38" s="2795"/>
      <c r="WGC38" s="2795"/>
      <c r="WGD38" s="2795"/>
      <c r="WGE38" s="2795"/>
      <c r="WGF38" s="2795"/>
      <c r="WGG38" s="2795"/>
      <c r="WGH38" s="2795"/>
      <c r="WGI38" s="2795"/>
      <c r="WGJ38" s="2795"/>
      <c r="WGK38" s="2795"/>
      <c r="WGL38" s="2795"/>
      <c r="WGM38" s="2795"/>
      <c r="WGN38" s="2795"/>
      <c r="WGO38" s="2795"/>
      <c r="WGP38" s="2795"/>
      <c r="WGQ38" s="2795"/>
      <c r="WGR38" s="2795"/>
      <c r="WGS38" s="2795"/>
      <c r="WGT38" s="2795"/>
      <c r="WGU38" s="2795"/>
      <c r="WGV38" s="2795"/>
      <c r="WGW38" s="2795"/>
      <c r="WGX38" s="2795"/>
      <c r="WGY38" s="2795"/>
      <c r="WGZ38" s="2795"/>
      <c r="WHA38" s="2795"/>
      <c r="WHB38" s="2795"/>
      <c r="WHC38" s="2795"/>
      <c r="WHD38" s="2795"/>
      <c r="WHE38" s="2795"/>
      <c r="WHF38" s="2795"/>
      <c r="WHG38" s="2795"/>
      <c r="WHH38" s="2795"/>
      <c r="WHI38" s="2795"/>
      <c r="WHJ38" s="2795"/>
      <c r="WHK38" s="2795"/>
      <c r="WHL38" s="2795"/>
      <c r="WHM38" s="2795"/>
      <c r="WHN38" s="2795"/>
      <c r="WHO38" s="2795"/>
      <c r="WHP38" s="2795"/>
      <c r="WHQ38" s="2795"/>
      <c r="WHR38" s="2795"/>
      <c r="WHS38" s="2795"/>
      <c r="WHT38" s="2795"/>
      <c r="WHU38" s="2795"/>
      <c r="WHV38" s="2795"/>
      <c r="WHW38" s="2795"/>
      <c r="WHX38" s="2795"/>
      <c r="WHY38" s="2795"/>
      <c r="WHZ38" s="2795"/>
      <c r="WIA38" s="2795"/>
      <c r="WIB38" s="2795"/>
      <c r="WIC38" s="2795"/>
      <c r="WID38" s="2795"/>
      <c r="WIE38" s="2795"/>
      <c r="WIF38" s="2795"/>
      <c r="WIG38" s="2795"/>
      <c r="WIH38" s="2795"/>
      <c r="WII38" s="2795"/>
      <c r="WIJ38" s="2795"/>
      <c r="WIK38" s="2795"/>
      <c r="WIL38" s="2795"/>
      <c r="WIM38" s="2795"/>
      <c r="WIN38" s="2795"/>
      <c r="WIO38" s="2795"/>
      <c r="WIP38" s="2795"/>
      <c r="WIQ38" s="2795"/>
      <c r="WIR38" s="2795"/>
      <c r="WIS38" s="2795"/>
      <c r="WIT38" s="2795"/>
      <c r="WIU38" s="2795"/>
      <c r="WIV38" s="2795"/>
      <c r="WIW38" s="2795"/>
      <c r="WIX38" s="2795"/>
      <c r="WIY38" s="2795"/>
      <c r="WIZ38" s="2795"/>
      <c r="WJA38" s="2795"/>
      <c r="WJB38" s="2795"/>
      <c r="WJC38" s="2795"/>
      <c r="WJD38" s="2795"/>
      <c r="WJE38" s="2795"/>
      <c r="WJF38" s="2795"/>
      <c r="WJG38" s="2795"/>
      <c r="WJH38" s="2795"/>
      <c r="WJI38" s="2795"/>
      <c r="WJJ38" s="2795"/>
      <c r="WJK38" s="2795"/>
      <c r="WJL38" s="2795"/>
      <c r="WJM38" s="2795"/>
      <c r="WJN38" s="2795"/>
      <c r="WJO38" s="2795"/>
      <c r="WJP38" s="2795"/>
      <c r="WJQ38" s="2795"/>
      <c r="WJR38" s="2795"/>
      <c r="WJS38" s="2795"/>
      <c r="WJT38" s="2795"/>
      <c r="WJU38" s="2795"/>
      <c r="WJV38" s="2795"/>
      <c r="WJW38" s="2795"/>
      <c r="WJX38" s="2795"/>
      <c r="WJY38" s="2795"/>
      <c r="WJZ38" s="2795"/>
      <c r="WKA38" s="2795"/>
      <c r="WKB38" s="2795"/>
      <c r="WKC38" s="2795"/>
      <c r="WKD38" s="2795"/>
      <c r="WKE38" s="2795"/>
      <c r="WKF38" s="2795"/>
      <c r="WKG38" s="2795"/>
      <c r="WKH38" s="2795"/>
      <c r="WKI38" s="2795"/>
      <c r="WKJ38" s="2795"/>
      <c r="WKK38" s="2795"/>
      <c r="WKL38" s="2795"/>
      <c r="WKM38" s="2795"/>
      <c r="WKN38" s="2795"/>
      <c r="WKO38" s="2795"/>
      <c r="WKP38" s="2795"/>
      <c r="WKQ38" s="2795"/>
      <c r="WKR38" s="2795"/>
      <c r="WKS38" s="2795"/>
      <c r="WKT38" s="2795"/>
      <c r="WKU38" s="2795"/>
      <c r="WKV38" s="2795"/>
      <c r="WKW38" s="2795"/>
      <c r="WKX38" s="2795"/>
      <c r="WKY38" s="2795"/>
      <c r="WKZ38" s="2795"/>
      <c r="WLA38" s="2795"/>
      <c r="WLB38" s="2795"/>
      <c r="WLC38" s="2795"/>
      <c r="WLD38" s="2795"/>
      <c r="WLE38" s="2795"/>
      <c r="WLF38" s="2795"/>
      <c r="WLG38" s="2795"/>
      <c r="WLH38" s="2795"/>
      <c r="WLI38" s="2795"/>
      <c r="WLJ38" s="2795"/>
      <c r="WLK38" s="2795"/>
      <c r="WLL38" s="2795"/>
      <c r="WLM38" s="2795"/>
      <c r="WLN38" s="2795"/>
      <c r="WLO38" s="2795"/>
      <c r="WLP38" s="2795"/>
      <c r="WLQ38" s="2795"/>
      <c r="WLR38" s="2795"/>
      <c r="WLS38" s="2795"/>
      <c r="WLT38" s="2795"/>
      <c r="WLU38" s="2795"/>
      <c r="WLV38" s="2795"/>
      <c r="WLW38" s="2795"/>
      <c r="WLX38" s="2795"/>
      <c r="WLY38" s="2795"/>
      <c r="WLZ38" s="2795"/>
      <c r="WMA38" s="2795"/>
      <c r="WMB38" s="2795"/>
      <c r="WMC38" s="2795"/>
      <c r="WMD38" s="2795"/>
      <c r="WME38" s="2795"/>
      <c r="WMF38" s="2795"/>
      <c r="WMG38" s="2795"/>
      <c r="WMH38" s="2795"/>
      <c r="WMI38" s="2795"/>
      <c r="WMJ38" s="2795"/>
      <c r="WMK38" s="2795"/>
      <c r="WML38" s="2795"/>
      <c r="WMM38" s="2795"/>
      <c r="WMN38" s="2795"/>
      <c r="WMO38" s="2795"/>
      <c r="WMP38" s="2795"/>
      <c r="WMQ38" s="2795"/>
      <c r="WMR38" s="2795"/>
      <c r="WMS38" s="2795"/>
      <c r="WMT38" s="2795"/>
      <c r="WMU38" s="2795"/>
      <c r="WMV38" s="2795"/>
      <c r="WMW38" s="2795"/>
      <c r="WMX38" s="2795"/>
      <c r="WMY38" s="2795"/>
      <c r="WMZ38" s="2795"/>
      <c r="WNA38" s="2795"/>
      <c r="WNB38" s="2795"/>
      <c r="WNC38" s="2795"/>
      <c r="WND38" s="2795"/>
      <c r="WNE38" s="2795"/>
      <c r="WNF38" s="2795"/>
      <c r="WNG38" s="2795"/>
      <c r="WNH38" s="2795"/>
      <c r="WNI38" s="2795"/>
      <c r="WNJ38" s="2795"/>
      <c r="WNK38" s="2795"/>
      <c r="WNL38" s="2795"/>
      <c r="WNM38" s="2795"/>
      <c r="WNN38" s="2795"/>
      <c r="WNO38" s="2795"/>
      <c r="WNP38" s="2795"/>
      <c r="WNQ38" s="2795"/>
      <c r="WNR38" s="2795"/>
      <c r="WNS38" s="2795"/>
      <c r="WNT38" s="2795"/>
      <c r="WNU38" s="2795"/>
      <c r="WNV38" s="2795"/>
      <c r="WNW38" s="2795"/>
      <c r="WNX38" s="2795"/>
      <c r="WNY38" s="2795"/>
      <c r="WNZ38" s="2795"/>
      <c r="WOA38" s="2795"/>
      <c r="WOB38" s="2795"/>
      <c r="WOC38" s="2795"/>
      <c r="WOD38" s="2795"/>
      <c r="WOE38" s="2795"/>
      <c r="WOF38" s="2795"/>
      <c r="WOG38" s="2795"/>
      <c r="WOH38" s="2795"/>
      <c r="WOI38" s="2795"/>
      <c r="WOJ38" s="2795"/>
      <c r="WOK38" s="2795"/>
      <c r="WOL38" s="2795"/>
      <c r="WOM38" s="2795"/>
      <c r="WON38" s="2795"/>
      <c r="WOO38" s="2795"/>
      <c r="WOP38" s="2795"/>
      <c r="WOQ38" s="2795"/>
      <c r="WOR38" s="2795"/>
      <c r="WOS38" s="2795"/>
      <c r="WOT38" s="2795"/>
      <c r="WOU38" s="2795"/>
      <c r="WOV38" s="2795"/>
      <c r="WOW38" s="2795"/>
      <c r="WOX38" s="2795"/>
      <c r="WOY38" s="2795"/>
      <c r="WOZ38" s="2795"/>
      <c r="WPA38" s="2795"/>
      <c r="WPB38" s="2795"/>
      <c r="WPC38" s="2795"/>
      <c r="WPD38" s="2795"/>
      <c r="WPE38" s="2795"/>
      <c r="WPF38" s="2795"/>
      <c r="WPG38" s="2795"/>
      <c r="WPH38" s="2795"/>
      <c r="WPI38" s="2795"/>
      <c r="WPJ38" s="2795"/>
      <c r="WPK38" s="2795"/>
      <c r="WPL38" s="2795"/>
      <c r="WPM38" s="2795"/>
      <c r="WPN38" s="2795"/>
      <c r="WPO38" s="2795"/>
      <c r="WPP38" s="2795"/>
      <c r="WPQ38" s="2795"/>
      <c r="WPR38" s="2795"/>
      <c r="WPS38" s="2795"/>
      <c r="WPT38" s="2795"/>
      <c r="WPU38" s="2795"/>
      <c r="WPV38" s="2795"/>
      <c r="WPW38" s="2795"/>
      <c r="WPX38" s="2795"/>
      <c r="WPY38" s="2795"/>
      <c r="WPZ38" s="2795"/>
      <c r="WQA38" s="2795"/>
      <c r="WQB38" s="2795"/>
      <c r="WQC38" s="2795"/>
      <c r="WQD38" s="2795"/>
      <c r="WQE38" s="2795"/>
      <c r="WQF38" s="2795"/>
      <c r="WQG38" s="2795"/>
      <c r="WQH38" s="2795"/>
      <c r="WQI38" s="2795"/>
      <c r="WQJ38" s="2795"/>
      <c r="WQK38" s="2795"/>
      <c r="WQL38" s="2795"/>
      <c r="WQM38" s="2795"/>
      <c r="WQN38" s="2795"/>
      <c r="WQO38" s="2795"/>
      <c r="WQP38" s="2795"/>
      <c r="WQQ38" s="2795"/>
      <c r="WQR38" s="2795"/>
      <c r="WQS38" s="2795"/>
      <c r="WQT38" s="2795"/>
      <c r="WQU38" s="2795"/>
      <c r="WQV38" s="2795"/>
      <c r="WQW38" s="2795"/>
      <c r="WQX38" s="2795"/>
      <c r="WQY38" s="2795"/>
      <c r="WQZ38" s="2795"/>
      <c r="WRA38" s="2795"/>
      <c r="WRB38" s="2795"/>
      <c r="WRC38" s="2795"/>
      <c r="WRD38" s="2795"/>
      <c r="WRE38" s="2795"/>
      <c r="WRF38" s="2795"/>
      <c r="WRG38" s="2795"/>
      <c r="WRH38" s="2795"/>
      <c r="WRI38" s="2795"/>
      <c r="WRJ38" s="2795"/>
      <c r="WRK38" s="2795"/>
      <c r="WRL38" s="2795"/>
      <c r="WRM38" s="2795"/>
      <c r="WRN38" s="2795"/>
      <c r="WRO38" s="2795"/>
      <c r="WRP38" s="2795"/>
      <c r="WRQ38" s="2795"/>
      <c r="WRR38" s="2795"/>
      <c r="WRS38" s="2795"/>
      <c r="WRT38" s="2795"/>
      <c r="WRU38" s="2795"/>
      <c r="WRV38" s="2795"/>
      <c r="WRW38" s="2795"/>
      <c r="WRX38" s="2795"/>
      <c r="WRY38" s="2795"/>
      <c r="WRZ38" s="2795"/>
      <c r="WSA38" s="2795"/>
      <c r="WSB38" s="2795"/>
      <c r="WSC38" s="2795"/>
      <c r="WSD38" s="2795"/>
      <c r="WSE38" s="2795"/>
      <c r="WSF38" s="2795"/>
      <c r="WSG38" s="2795"/>
      <c r="WSH38" s="2795"/>
      <c r="WSI38" s="2795"/>
      <c r="WSJ38" s="2795"/>
      <c r="WSK38" s="2795"/>
      <c r="WSL38" s="2795"/>
      <c r="WSM38" s="2795"/>
      <c r="WSN38" s="2795"/>
      <c r="WSO38" s="2795"/>
      <c r="WSP38" s="2795"/>
      <c r="WSQ38" s="2795"/>
      <c r="WSR38" s="2795"/>
      <c r="WSS38" s="2795"/>
      <c r="WST38" s="2795"/>
      <c r="WSU38" s="2795"/>
      <c r="WSV38" s="2795"/>
      <c r="WSW38" s="2795"/>
      <c r="WSX38" s="2795"/>
      <c r="WSY38" s="2795"/>
      <c r="WSZ38" s="2795"/>
      <c r="WTA38" s="2795"/>
      <c r="WTB38" s="2795"/>
      <c r="WTC38" s="2795"/>
      <c r="WTD38" s="2795"/>
      <c r="WTE38" s="2795"/>
      <c r="WTF38" s="2795"/>
      <c r="WTG38" s="2795"/>
      <c r="WTH38" s="2795"/>
      <c r="WTI38" s="2795"/>
      <c r="WTJ38" s="2795"/>
      <c r="WTK38" s="2795"/>
      <c r="WTL38" s="2795"/>
      <c r="WTM38" s="2795"/>
      <c r="WTN38" s="2795"/>
      <c r="WTO38" s="2795"/>
      <c r="WTP38" s="2795"/>
      <c r="WTQ38" s="2795"/>
      <c r="WTR38" s="2795"/>
      <c r="WTS38" s="2795"/>
      <c r="WTT38" s="2795"/>
      <c r="WTU38" s="2795"/>
      <c r="WTV38" s="2795"/>
      <c r="WTW38" s="2795"/>
      <c r="WTX38" s="2795"/>
      <c r="WTY38" s="2795"/>
      <c r="WTZ38" s="2795"/>
      <c r="WUA38" s="2795"/>
      <c r="WUB38" s="2795"/>
      <c r="WUC38" s="2795"/>
      <c r="WUD38" s="2795"/>
      <c r="WUE38" s="2795"/>
      <c r="WUF38" s="2795"/>
      <c r="WUG38" s="2795"/>
      <c r="WUH38" s="2795"/>
      <c r="WUI38" s="2795"/>
      <c r="WUJ38" s="2795"/>
      <c r="WUK38" s="2795"/>
      <c r="WUL38" s="2795"/>
      <c r="WUM38" s="2795"/>
      <c r="WUN38" s="2795"/>
      <c r="WUO38" s="2795"/>
      <c r="WUP38" s="2795"/>
      <c r="WUQ38" s="2795"/>
      <c r="WUR38" s="2795"/>
      <c r="WUS38" s="2795"/>
      <c r="WUT38" s="2795"/>
      <c r="WUU38" s="2795"/>
      <c r="WUV38" s="2795"/>
      <c r="WUW38" s="2795"/>
      <c r="WUX38" s="2795"/>
      <c r="WUY38" s="2795"/>
      <c r="WUZ38" s="2795"/>
      <c r="WVA38" s="2795"/>
      <c r="WVB38" s="2795"/>
      <c r="WVC38" s="2795"/>
      <c r="WVD38" s="2795"/>
      <c r="WVE38" s="2795"/>
      <c r="WVF38" s="2795"/>
      <c r="WVG38" s="2795"/>
      <c r="WVH38" s="2795"/>
      <c r="WVI38" s="2795"/>
      <c r="WVJ38" s="2795"/>
      <c r="WVK38" s="2795"/>
      <c r="WVL38" s="2795"/>
      <c r="WVM38" s="2795"/>
      <c r="WVN38" s="2795"/>
      <c r="WVO38" s="2795"/>
      <c r="WVP38" s="2795"/>
      <c r="WVQ38" s="2795"/>
      <c r="WVR38" s="2795"/>
      <c r="WVS38" s="2795"/>
      <c r="WVT38" s="2795"/>
      <c r="WVU38" s="2795"/>
      <c r="WVV38" s="2795"/>
      <c r="WVW38" s="2795"/>
      <c r="WVX38" s="2795"/>
      <c r="WVY38" s="2795"/>
      <c r="WVZ38" s="2795"/>
      <c r="WWA38" s="2795"/>
      <c r="WWB38" s="2795"/>
      <c r="WWC38" s="2795"/>
      <c r="WWD38" s="2795"/>
      <c r="WWE38" s="2795"/>
      <c r="WWF38" s="2795"/>
      <c r="WWG38" s="2795"/>
      <c r="WWH38" s="2795"/>
      <c r="WWI38" s="2795"/>
      <c r="WWJ38" s="2795"/>
      <c r="WWK38" s="2795"/>
      <c r="WWL38" s="2795"/>
      <c r="WWM38" s="2795"/>
      <c r="WWN38" s="2795"/>
      <c r="WWO38" s="2795"/>
      <c r="WWP38" s="2795"/>
      <c r="WWQ38" s="2795"/>
      <c r="WWR38" s="2795"/>
      <c r="WWS38" s="2795"/>
      <c r="WWT38" s="2795"/>
      <c r="WWU38" s="2795"/>
      <c r="WWV38" s="2795"/>
      <c r="WWW38" s="2795"/>
      <c r="WWX38" s="2795"/>
      <c r="WWY38" s="2795"/>
      <c r="WWZ38" s="2795"/>
      <c r="WXA38" s="2795"/>
      <c r="WXB38" s="2795"/>
      <c r="WXC38" s="2795"/>
      <c r="WXD38" s="2795"/>
      <c r="WXE38" s="2795"/>
      <c r="WXF38" s="2795"/>
      <c r="WXG38" s="2795"/>
      <c r="WXH38" s="2795"/>
      <c r="WXI38" s="2795"/>
      <c r="WXJ38" s="2795"/>
      <c r="WXK38" s="2795"/>
      <c r="WXL38" s="2795"/>
      <c r="WXM38" s="2795"/>
      <c r="WXN38" s="2795"/>
      <c r="WXO38" s="2795"/>
      <c r="WXP38" s="2795"/>
      <c r="WXQ38" s="2795"/>
      <c r="WXR38" s="2795"/>
      <c r="WXS38" s="2795"/>
      <c r="WXT38" s="2795"/>
      <c r="WXU38" s="2795"/>
      <c r="WXV38" s="2795"/>
      <c r="WXW38" s="2795"/>
      <c r="WXX38" s="2795"/>
      <c r="WXY38" s="2795"/>
      <c r="WXZ38" s="2795"/>
      <c r="WYA38" s="2795"/>
      <c r="WYB38" s="2795"/>
      <c r="WYC38" s="2795"/>
      <c r="WYD38" s="2795"/>
      <c r="WYE38" s="2795"/>
      <c r="WYF38" s="2795"/>
      <c r="WYG38" s="2795"/>
      <c r="WYH38" s="2795"/>
      <c r="WYI38" s="2795"/>
      <c r="WYJ38" s="2795"/>
      <c r="WYK38" s="2795"/>
      <c r="WYL38" s="2795"/>
      <c r="WYM38" s="2795"/>
      <c r="WYN38" s="2795"/>
      <c r="WYO38" s="2795"/>
      <c r="WYP38" s="2795"/>
      <c r="WYQ38" s="2795"/>
      <c r="WYR38" s="2795"/>
      <c r="WYS38" s="2795"/>
      <c r="WYT38" s="2795"/>
      <c r="WYU38" s="2795"/>
      <c r="WYV38" s="2795"/>
      <c r="WYW38" s="2795"/>
      <c r="WYX38" s="2795"/>
      <c r="WYY38" s="2795"/>
      <c r="WYZ38" s="2795"/>
      <c r="WZA38" s="2795"/>
      <c r="WZB38" s="2795"/>
      <c r="WZC38" s="2795"/>
      <c r="WZD38" s="2795"/>
      <c r="WZE38" s="2795"/>
      <c r="WZF38" s="2795"/>
      <c r="WZG38" s="2795"/>
      <c r="WZH38" s="2795"/>
      <c r="WZI38" s="2795"/>
      <c r="WZJ38" s="2795"/>
      <c r="WZK38" s="2795"/>
      <c r="WZL38" s="2795"/>
      <c r="WZM38" s="2795"/>
      <c r="WZN38" s="2795"/>
      <c r="WZO38" s="2795"/>
      <c r="WZP38" s="2795"/>
      <c r="WZQ38" s="2795"/>
      <c r="WZR38" s="2795"/>
      <c r="WZS38" s="2795"/>
      <c r="WZT38" s="2795"/>
      <c r="WZU38" s="2795"/>
      <c r="WZV38" s="2795"/>
      <c r="WZW38" s="2795"/>
      <c r="WZX38" s="2795"/>
      <c r="WZY38" s="2795"/>
      <c r="WZZ38" s="2795"/>
      <c r="XAA38" s="2795"/>
      <c r="XAB38" s="2795"/>
      <c r="XAC38" s="2795"/>
      <c r="XAD38" s="2795"/>
      <c r="XAE38" s="2795"/>
      <c r="XAF38" s="2795"/>
      <c r="XAG38" s="2795"/>
      <c r="XAH38" s="2795"/>
      <c r="XAI38" s="2795"/>
      <c r="XAJ38" s="2795"/>
      <c r="XAK38" s="2795"/>
      <c r="XAL38" s="2795"/>
      <c r="XAM38" s="2795"/>
      <c r="XAN38" s="2795"/>
      <c r="XAO38" s="2795"/>
      <c r="XAP38" s="2795"/>
      <c r="XAQ38" s="2795"/>
      <c r="XAR38" s="2795"/>
      <c r="XAS38" s="2795"/>
      <c r="XAT38" s="2795"/>
      <c r="XAU38" s="2795"/>
      <c r="XAV38" s="2795"/>
      <c r="XAW38" s="2795"/>
      <c r="XAX38" s="2795"/>
      <c r="XAY38" s="2795"/>
      <c r="XAZ38" s="2795"/>
      <c r="XBA38" s="2795"/>
      <c r="XBB38" s="2795"/>
      <c r="XBC38" s="2795"/>
      <c r="XBD38" s="2795"/>
      <c r="XBE38" s="2795"/>
      <c r="XBF38" s="2795"/>
      <c r="XBG38" s="2795"/>
      <c r="XBH38" s="2795"/>
      <c r="XBI38" s="2795"/>
      <c r="XBJ38" s="2795"/>
      <c r="XBK38" s="2795"/>
      <c r="XBL38" s="2795"/>
      <c r="XBM38" s="2795"/>
      <c r="XBN38" s="2795"/>
      <c r="XBO38" s="2795"/>
      <c r="XBP38" s="2795"/>
      <c r="XBQ38" s="2795"/>
      <c r="XBR38" s="2795"/>
      <c r="XBS38" s="2795"/>
      <c r="XBT38" s="2795"/>
      <c r="XBU38" s="2795"/>
      <c r="XBV38" s="2795"/>
      <c r="XBW38" s="2795"/>
      <c r="XBX38" s="2795"/>
      <c r="XBY38" s="2795"/>
      <c r="XBZ38" s="2795"/>
      <c r="XCA38" s="2795"/>
      <c r="XCB38" s="2795"/>
      <c r="XCC38" s="2795"/>
      <c r="XCD38" s="2795"/>
      <c r="XCE38" s="2795"/>
      <c r="XCF38" s="2795"/>
      <c r="XCG38" s="2795"/>
      <c r="XCH38" s="2795"/>
      <c r="XCI38" s="2795"/>
      <c r="XCJ38" s="2795"/>
      <c r="XCK38" s="2795"/>
      <c r="XCL38" s="2795"/>
      <c r="XCM38" s="2795"/>
      <c r="XCN38" s="2795"/>
      <c r="XCO38" s="2795"/>
      <c r="XCP38" s="2795"/>
      <c r="XCQ38" s="2795"/>
      <c r="XCR38" s="2795"/>
      <c r="XCS38" s="2795"/>
      <c r="XCT38" s="2795"/>
      <c r="XCU38" s="2795"/>
      <c r="XCV38" s="2795"/>
      <c r="XCW38" s="2795"/>
      <c r="XCX38" s="2795"/>
      <c r="XCY38" s="2795"/>
      <c r="XCZ38" s="2795"/>
      <c r="XDA38" s="2795"/>
      <c r="XDB38" s="2795"/>
      <c r="XDC38" s="2795"/>
      <c r="XDD38" s="2795"/>
      <c r="XDE38" s="2795"/>
      <c r="XDF38" s="2795"/>
      <c r="XDG38" s="2795"/>
      <c r="XDH38" s="2795"/>
      <c r="XDI38" s="2795"/>
      <c r="XDJ38" s="2795"/>
      <c r="XDK38" s="2795"/>
      <c r="XDL38" s="2795"/>
      <c r="XDM38" s="2795"/>
      <c r="XDN38" s="2795"/>
      <c r="XDO38" s="2795"/>
      <c r="XDP38" s="2795"/>
      <c r="XDQ38" s="2795"/>
      <c r="XDR38" s="2795"/>
      <c r="XDS38" s="2795"/>
      <c r="XDT38" s="2795"/>
      <c r="XDU38" s="2795"/>
      <c r="XDV38" s="2795"/>
      <c r="XDW38" s="2795"/>
      <c r="XDX38" s="2795"/>
      <c r="XDY38" s="2795"/>
      <c r="XDZ38" s="2795"/>
      <c r="XEA38" s="2795"/>
      <c r="XEB38" s="2795"/>
      <c r="XEC38" s="2795"/>
      <c r="XED38" s="2795"/>
      <c r="XEE38" s="2795"/>
      <c r="XEF38" s="2795"/>
      <c r="XEG38" s="2795"/>
      <c r="XEH38" s="2795"/>
      <c r="XEI38" s="2795"/>
      <c r="XEJ38" s="2795"/>
      <c r="XEK38" s="2795"/>
      <c r="XEL38" s="2795"/>
      <c r="XEM38" s="2795"/>
      <c r="XEN38" s="2795"/>
      <c r="XEO38" s="2795"/>
      <c r="XEP38" s="2795"/>
      <c r="XEQ38" s="2795"/>
      <c r="XER38" s="2795"/>
      <c r="XES38" s="2795"/>
      <c r="XET38" s="2795"/>
      <c r="XEU38" s="2795"/>
      <c r="XEV38" s="2795"/>
      <c r="XEW38" s="2795"/>
      <c r="XEX38" s="2795"/>
      <c r="XEY38" s="2795"/>
      <c r="XEZ38" s="2795"/>
      <c r="XFA38" s="2795"/>
      <c r="XFB38" s="2795"/>
      <c r="XFC38" s="2795"/>
      <c r="XFD38" s="2795"/>
    </row>
  </sheetData>
  <mergeCells count="4841">
    <mergeCell ref="XER38:XFD38"/>
    <mergeCell ref="WYU38:WZK38"/>
    <mergeCell ref="WZL38:XAB38"/>
    <mergeCell ref="XAC38:XAS38"/>
    <mergeCell ref="XAT38:XBJ38"/>
    <mergeCell ref="XBK38:XCA38"/>
    <mergeCell ref="XCB38:XCR38"/>
    <mergeCell ref="XCS38:XDI38"/>
    <mergeCell ref="XDJ38:XDZ38"/>
    <mergeCell ref="XEA38:XEQ38"/>
    <mergeCell ref="WSX38:WTN38"/>
    <mergeCell ref="WTO38:WUE38"/>
    <mergeCell ref="WUF38:WUV38"/>
    <mergeCell ref="WUW38:WVM38"/>
    <mergeCell ref="WVN38:WWD38"/>
    <mergeCell ref="WWE38:WWU38"/>
    <mergeCell ref="WWV38:WXL38"/>
    <mergeCell ref="WXM38:WYC38"/>
    <mergeCell ref="WYD38:WYT38"/>
    <mergeCell ref="WNA38:WNQ38"/>
    <mergeCell ref="WNR38:WOH38"/>
    <mergeCell ref="WOI38:WOY38"/>
    <mergeCell ref="WOZ38:WPP38"/>
    <mergeCell ref="WPQ38:WQG38"/>
    <mergeCell ref="WQH38:WQX38"/>
    <mergeCell ref="WQY38:WRO38"/>
    <mergeCell ref="WRP38:WSF38"/>
    <mergeCell ref="WSG38:WSW38"/>
    <mergeCell ref="WHD38:WHT38"/>
    <mergeCell ref="WHU38:WIK38"/>
    <mergeCell ref="WIL38:WJB38"/>
    <mergeCell ref="WJC38:WJS38"/>
    <mergeCell ref="WJT38:WKJ38"/>
    <mergeCell ref="WKK38:WLA38"/>
    <mergeCell ref="WLB38:WLR38"/>
    <mergeCell ref="WLS38:WMI38"/>
    <mergeCell ref="WMJ38:WMZ38"/>
    <mergeCell ref="WBG38:WBW38"/>
    <mergeCell ref="WBX38:WCN38"/>
    <mergeCell ref="WCO38:WDE38"/>
    <mergeCell ref="WDF38:WDV38"/>
    <mergeCell ref="WDW38:WEM38"/>
    <mergeCell ref="WEN38:WFD38"/>
    <mergeCell ref="WFE38:WFU38"/>
    <mergeCell ref="WFV38:WGL38"/>
    <mergeCell ref="WGM38:WHC38"/>
    <mergeCell ref="VVJ38:VVZ38"/>
    <mergeCell ref="VWA38:VWQ38"/>
    <mergeCell ref="VWR38:VXH38"/>
    <mergeCell ref="VXI38:VXY38"/>
    <mergeCell ref="VXZ38:VYP38"/>
    <mergeCell ref="VYQ38:VZG38"/>
    <mergeCell ref="VZH38:VZX38"/>
    <mergeCell ref="VZY38:WAO38"/>
    <mergeCell ref="WAP38:WBF38"/>
    <mergeCell ref="VPM38:VQC38"/>
    <mergeCell ref="VQD38:VQT38"/>
    <mergeCell ref="VQU38:VRK38"/>
    <mergeCell ref="VRL38:VSB38"/>
    <mergeCell ref="VSC38:VSS38"/>
    <mergeCell ref="VST38:VTJ38"/>
    <mergeCell ref="VTK38:VUA38"/>
    <mergeCell ref="VUB38:VUR38"/>
    <mergeCell ref="VUS38:VVI38"/>
    <mergeCell ref="VJP38:VKF38"/>
    <mergeCell ref="VKG38:VKW38"/>
    <mergeCell ref="VKX38:VLN38"/>
    <mergeCell ref="VLO38:VME38"/>
    <mergeCell ref="VMF38:VMV38"/>
    <mergeCell ref="VMW38:VNM38"/>
    <mergeCell ref="VNN38:VOD38"/>
    <mergeCell ref="VOE38:VOU38"/>
    <mergeCell ref="VOV38:VPL38"/>
    <mergeCell ref="VDS38:VEI38"/>
    <mergeCell ref="VEJ38:VEZ38"/>
    <mergeCell ref="VFA38:VFQ38"/>
    <mergeCell ref="VFR38:VGH38"/>
    <mergeCell ref="VGI38:VGY38"/>
    <mergeCell ref="VGZ38:VHP38"/>
    <mergeCell ref="VHQ38:VIG38"/>
    <mergeCell ref="VIH38:VIX38"/>
    <mergeCell ref="VIY38:VJO38"/>
    <mergeCell ref="UXV38:UYL38"/>
    <mergeCell ref="UYM38:UZC38"/>
    <mergeCell ref="UZD38:UZT38"/>
    <mergeCell ref="UZU38:VAK38"/>
    <mergeCell ref="VAL38:VBB38"/>
    <mergeCell ref="VBC38:VBS38"/>
    <mergeCell ref="VBT38:VCJ38"/>
    <mergeCell ref="VCK38:VDA38"/>
    <mergeCell ref="VDB38:VDR38"/>
    <mergeCell ref="URY38:USO38"/>
    <mergeCell ref="USP38:UTF38"/>
    <mergeCell ref="UTG38:UTW38"/>
    <mergeCell ref="UTX38:UUN38"/>
    <mergeCell ref="UUO38:UVE38"/>
    <mergeCell ref="UVF38:UVV38"/>
    <mergeCell ref="UVW38:UWM38"/>
    <mergeCell ref="UWN38:UXD38"/>
    <mergeCell ref="UXE38:UXU38"/>
    <mergeCell ref="UMB38:UMR38"/>
    <mergeCell ref="UMS38:UNI38"/>
    <mergeCell ref="UNJ38:UNZ38"/>
    <mergeCell ref="UOA38:UOQ38"/>
    <mergeCell ref="UOR38:UPH38"/>
    <mergeCell ref="UPI38:UPY38"/>
    <mergeCell ref="UPZ38:UQP38"/>
    <mergeCell ref="UQQ38:URG38"/>
    <mergeCell ref="URH38:URX38"/>
    <mergeCell ref="UGE38:UGU38"/>
    <mergeCell ref="UGV38:UHL38"/>
    <mergeCell ref="UHM38:UIC38"/>
    <mergeCell ref="UID38:UIT38"/>
    <mergeCell ref="UIU38:UJK38"/>
    <mergeCell ref="UJL38:UKB38"/>
    <mergeCell ref="UKC38:UKS38"/>
    <mergeCell ref="UKT38:ULJ38"/>
    <mergeCell ref="ULK38:UMA38"/>
    <mergeCell ref="UAH38:UAX38"/>
    <mergeCell ref="UAY38:UBO38"/>
    <mergeCell ref="UBP38:UCF38"/>
    <mergeCell ref="UCG38:UCW38"/>
    <mergeCell ref="UCX38:UDN38"/>
    <mergeCell ref="UDO38:UEE38"/>
    <mergeCell ref="UEF38:UEV38"/>
    <mergeCell ref="UEW38:UFM38"/>
    <mergeCell ref="UFN38:UGD38"/>
    <mergeCell ref="TUK38:TVA38"/>
    <mergeCell ref="TVB38:TVR38"/>
    <mergeCell ref="TVS38:TWI38"/>
    <mergeCell ref="TWJ38:TWZ38"/>
    <mergeCell ref="TXA38:TXQ38"/>
    <mergeCell ref="TXR38:TYH38"/>
    <mergeCell ref="TYI38:TYY38"/>
    <mergeCell ref="TYZ38:TZP38"/>
    <mergeCell ref="TZQ38:UAG38"/>
    <mergeCell ref="TON38:TPD38"/>
    <mergeCell ref="TPE38:TPU38"/>
    <mergeCell ref="TPV38:TQL38"/>
    <mergeCell ref="TQM38:TRC38"/>
    <mergeCell ref="TRD38:TRT38"/>
    <mergeCell ref="TRU38:TSK38"/>
    <mergeCell ref="TSL38:TTB38"/>
    <mergeCell ref="TTC38:TTS38"/>
    <mergeCell ref="TTT38:TUJ38"/>
    <mergeCell ref="TIQ38:TJG38"/>
    <mergeCell ref="TJH38:TJX38"/>
    <mergeCell ref="TJY38:TKO38"/>
    <mergeCell ref="TKP38:TLF38"/>
    <mergeCell ref="TLG38:TLW38"/>
    <mergeCell ref="TLX38:TMN38"/>
    <mergeCell ref="TMO38:TNE38"/>
    <mergeCell ref="TNF38:TNV38"/>
    <mergeCell ref="TNW38:TOM38"/>
    <mergeCell ref="TCT38:TDJ38"/>
    <mergeCell ref="TDK38:TEA38"/>
    <mergeCell ref="TEB38:TER38"/>
    <mergeCell ref="TES38:TFI38"/>
    <mergeCell ref="TFJ38:TFZ38"/>
    <mergeCell ref="TGA38:TGQ38"/>
    <mergeCell ref="TGR38:THH38"/>
    <mergeCell ref="THI38:THY38"/>
    <mergeCell ref="THZ38:TIP38"/>
    <mergeCell ref="SWW38:SXM38"/>
    <mergeCell ref="SXN38:SYD38"/>
    <mergeCell ref="SYE38:SYU38"/>
    <mergeCell ref="SYV38:SZL38"/>
    <mergeCell ref="SZM38:TAC38"/>
    <mergeCell ref="TAD38:TAT38"/>
    <mergeCell ref="TAU38:TBK38"/>
    <mergeCell ref="TBL38:TCB38"/>
    <mergeCell ref="TCC38:TCS38"/>
    <mergeCell ref="SQZ38:SRP38"/>
    <mergeCell ref="SRQ38:SSG38"/>
    <mergeCell ref="SSH38:SSX38"/>
    <mergeCell ref="SSY38:STO38"/>
    <mergeCell ref="STP38:SUF38"/>
    <mergeCell ref="SUG38:SUW38"/>
    <mergeCell ref="SUX38:SVN38"/>
    <mergeCell ref="SVO38:SWE38"/>
    <mergeCell ref="SWF38:SWV38"/>
    <mergeCell ref="SLC38:SLS38"/>
    <mergeCell ref="SLT38:SMJ38"/>
    <mergeCell ref="SMK38:SNA38"/>
    <mergeCell ref="SNB38:SNR38"/>
    <mergeCell ref="SNS38:SOI38"/>
    <mergeCell ref="SOJ38:SOZ38"/>
    <mergeCell ref="SPA38:SPQ38"/>
    <mergeCell ref="SPR38:SQH38"/>
    <mergeCell ref="SQI38:SQY38"/>
    <mergeCell ref="SFF38:SFV38"/>
    <mergeCell ref="SFW38:SGM38"/>
    <mergeCell ref="SGN38:SHD38"/>
    <mergeCell ref="SHE38:SHU38"/>
    <mergeCell ref="SHV38:SIL38"/>
    <mergeCell ref="SIM38:SJC38"/>
    <mergeCell ref="SJD38:SJT38"/>
    <mergeCell ref="SJU38:SKK38"/>
    <mergeCell ref="SKL38:SLB38"/>
    <mergeCell ref="RZI38:RZY38"/>
    <mergeCell ref="RZZ38:SAP38"/>
    <mergeCell ref="SAQ38:SBG38"/>
    <mergeCell ref="SBH38:SBX38"/>
    <mergeCell ref="SBY38:SCO38"/>
    <mergeCell ref="SCP38:SDF38"/>
    <mergeCell ref="SDG38:SDW38"/>
    <mergeCell ref="SDX38:SEN38"/>
    <mergeCell ref="SEO38:SFE38"/>
    <mergeCell ref="RTL38:RUB38"/>
    <mergeCell ref="RUC38:RUS38"/>
    <mergeCell ref="RUT38:RVJ38"/>
    <mergeCell ref="RVK38:RWA38"/>
    <mergeCell ref="RWB38:RWR38"/>
    <mergeCell ref="RWS38:RXI38"/>
    <mergeCell ref="RXJ38:RXZ38"/>
    <mergeCell ref="RYA38:RYQ38"/>
    <mergeCell ref="RYR38:RZH38"/>
    <mergeCell ref="RNO38:ROE38"/>
    <mergeCell ref="ROF38:ROV38"/>
    <mergeCell ref="ROW38:RPM38"/>
    <mergeCell ref="RPN38:RQD38"/>
    <mergeCell ref="RQE38:RQU38"/>
    <mergeCell ref="RQV38:RRL38"/>
    <mergeCell ref="RRM38:RSC38"/>
    <mergeCell ref="RSD38:RST38"/>
    <mergeCell ref="RSU38:RTK38"/>
    <mergeCell ref="RHR38:RIH38"/>
    <mergeCell ref="RII38:RIY38"/>
    <mergeCell ref="RIZ38:RJP38"/>
    <mergeCell ref="RJQ38:RKG38"/>
    <mergeCell ref="RKH38:RKX38"/>
    <mergeCell ref="RKY38:RLO38"/>
    <mergeCell ref="RLP38:RMF38"/>
    <mergeCell ref="RMG38:RMW38"/>
    <mergeCell ref="RMX38:RNN38"/>
    <mergeCell ref="RBU38:RCK38"/>
    <mergeCell ref="RCL38:RDB38"/>
    <mergeCell ref="RDC38:RDS38"/>
    <mergeCell ref="RDT38:REJ38"/>
    <mergeCell ref="REK38:RFA38"/>
    <mergeCell ref="RFB38:RFR38"/>
    <mergeCell ref="RFS38:RGI38"/>
    <mergeCell ref="RGJ38:RGZ38"/>
    <mergeCell ref="RHA38:RHQ38"/>
    <mergeCell ref="QVX38:QWN38"/>
    <mergeCell ref="QWO38:QXE38"/>
    <mergeCell ref="QXF38:QXV38"/>
    <mergeCell ref="QXW38:QYM38"/>
    <mergeCell ref="QYN38:QZD38"/>
    <mergeCell ref="QZE38:QZU38"/>
    <mergeCell ref="QZV38:RAL38"/>
    <mergeCell ref="RAM38:RBC38"/>
    <mergeCell ref="RBD38:RBT38"/>
    <mergeCell ref="QQA38:QQQ38"/>
    <mergeCell ref="QQR38:QRH38"/>
    <mergeCell ref="QRI38:QRY38"/>
    <mergeCell ref="QRZ38:QSP38"/>
    <mergeCell ref="QSQ38:QTG38"/>
    <mergeCell ref="QTH38:QTX38"/>
    <mergeCell ref="QTY38:QUO38"/>
    <mergeCell ref="QUP38:QVF38"/>
    <mergeCell ref="QVG38:QVW38"/>
    <mergeCell ref="QKD38:QKT38"/>
    <mergeCell ref="QKU38:QLK38"/>
    <mergeCell ref="QLL38:QMB38"/>
    <mergeCell ref="QMC38:QMS38"/>
    <mergeCell ref="QMT38:QNJ38"/>
    <mergeCell ref="QNK38:QOA38"/>
    <mergeCell ref="QOB38:QOR38"/>
    <mergeCell ref="QOS38:QPI38"/>
    <mergeCell ref="QPJ38:QPZ38"/>
    <mergeCell ref="QEG38:QEW38"/>
    <mergeCell ref="QEX38:QFN38"/>
    <mergeCell ref="QFO38:QGE38"/>
    <mergeCell ref="QGF38:QGV38"/>
    <mergeCell ref="QGW38:QHM38"/>
    <mergeCell ref="QHN38:QID38"/>
    <mergeCell ref="QIE38:QIU38"/>
    <mergeCell ref="QIV38:QJL38"/>
    <mergeCell ref="QJM38:QKC38"/>
    <mergeCell ref="PYJ38:PYZ38"/>
    <mergeCell ref="PZA38:PZQ38"/>
    <mergeCell ref="PZR38:QAH38"/>
    <mergeCell ref="QAI38:QAY38"/>
    <mergeCell ref="QAZ38:QBP38"/>
    <mergeCell ref="QBQ38:QCG38"/>
    <mergeCell ref="QCH38:QCX38"/>
    <mergeCell ref="QCY38:QDO38"/>
    <mergeCell ref="QDP38:QEF38"/>
    <mergeCell ref="PSM38:PTC38"/>
    <mergeCell ref="PTD38:PTT38"/>
    <mergeCell ref="PTU38:PUK38"/>
    <mergeCell ref="PUL38:PVB38"/>
    <mergeCell ref="PVC38:PVS38"/>
    <mergeCell ref="PVT38:PWJ38"/>
    <mergeCell ref="PWK38:PXA38"/>
    <mergeCell ref="PXB38:PXR38"/>
    <mergeCell ref="PXS38:PYI38"/>
    <mergeCell ref="PMP38:PNF38"/>
    <mergeCell ref="PNG38:PNW38"/>
    <mergeCell ref="PNX38:PON38"/>
    <mergeCell ref="POO38:PPE38"/>
    <mergeCell ref="PPF38:PPV38"/>
    <mergeCell ref="PPW38:PQM38"/>
    <mergeCell ref="PQN38:PRD38"/>
    <mergeCell ref="PRE38:PRU38"/>
    <mergeCell ref="PRV38:PSL38"/>
    <mergeCell ref="PGS38:PHI38"/>
    <mergeCell ref="PHJ38:PHZ38"/>
    <mergeCell ref="PIA38:PIQ38"/>
    <mergeCell ref="PIR38:PJH38"/>
    <mergeCell ref="PJI38:PJY38"/>
    <mergeCell ref="PJZ38:PKP38"/>
    <mergeCell ref="PKQ38:PLG38"/>
    <mergeCell ref="PLH38:PLX38"/>
    <mergeCell ref="PLY38:PMO38"/>
    <mergeCell ref="PAV38:PBL38"/>
    <mergeCell ref="PBM38:PCC38"/>
    <mergeCell ref="PCD38:PCT38"/>
    <mergeCell ref="PCU38:PDK38"/>
    <mergeCell ref="PDL38:PEB38"/>
    <mergeCell ref="PEC38:PES38"/>
    <mergeCell ref="PET38:PFJ38"/>
    <mergeCell ref="PFK38:PGA38"/>
    <mergeCell ref="PGB38:PGR38"/>
    <mergeCell ref="OUY38:OVO38"/>
    <mergeCell ref="OVP38:OWF38"/>
    <mergeCell ref="OWG38:OWW38"/>
    <mergeCell ref="OWX38:OXN38"/>
    <mergeCell ref="OXO38:OYE38"/>
    <mergeCell ref="OYF38:OYV38"/>
    <mergeCell ref="OYW38:OZM38"/>
    <mergeCell ref="OZN38:PAD38"/>
    <mergeCell ref="PAE38:PAU38"/>
    <mergeCell ref="OPB38:OPR38"/>
    <mergeCell ref="OPS38:OQI38"/>
    <mergeCell ref="OQJ38:OQZ38"/>
    <mergeCell ref="ORA38:ORQ38"/>
    <mergeCell ref="ORR38:OSH38"/>
    <mergeCell ref="OSI38:OSY38"/>
    <mergeCell ref="OSZ38:OTP38"/>
    <mergeCell ref="OTQ38:OUG38"/>
    <mergeCell ref="OUH38:OUX38"/>
    <mergeCell ref="OJE38:OJU38"/>
    <mergeCell ref="OJV38:OKL38"/>
    <mergeCell ref="OKM38:OLC38"/>
    <mergeCell ref="OLD38:OLT38"/>
    <mergeCell ref="OLU38:OMK38"/>
    <mergeCell ref="OML38:ONB38"/>
    <mergeCell ref="ONC38:ONS38"/>
    <mergeCell ref="ONT38:OOJ38"/>
    <mergeCell ref="OOK38:OPA38"/>
    <mergeCell ref="ODH38:ODX38"/>
    <mergeCell ref="ODY38:OEO38"/>
    <mergeCell ref="OEP38:OFF38"/>
    <mergeCell ref="OFG38:OFW38"/>
    <mergeCell ref="OFX38:OGN38"/>
    <mergeCell ref="OGO38:OHE38"/>
    <mergeCell ref="OHF38:OHV38"/>
    <mergeCell ref="OHW38:OIM38"/>
    <mergeCell ref="OIN38:OJD38"/>
    <mergeCell ref="NXK38:NYA38"/>
    <mergeCell ref="NYB38:NYR38"/>
    <mergeCell ref="NYS38:NZI38"/>
    <mergeCell ref="NZJ38:NZZ38"/>
    <mergeCell ref="OAA38:OAQ38"/>
    <mergeCell ref="OAR38:OBH38"/>
    <mergeCell ref="OBI38:OBY38"/>
    <mergeCell ref="OBZ38:OCP38"/>
    <mergeCell ref="OCQ38:ODG38"/>
    <mergeCell ref="NRN38:NSD38"/>
    <mergeCell ref="NSE38:NSU38"/>
    <mergeCell ref="NSV38:NTL38"/>
    <mergeCell ref="NTM38:NUC38"/>
    <mergeCell ref="NUD38:NUT38"/>
    <mergeCell ref="NUU38:NVK38"/>
    <mergeCell ref="NVL38:NWB38"/>
    <mergeCell ref="NWC38:NWS38"/>
    <mergeCell ref="NWT38:NXJ38"/>
    <mergeCell ref="NLQ38:NMG38"/>
    <mergeCell ref="NMH38:NMX38"/>
    <mergeCell ref="NMY38:NNO38"/>
    <mergeCell ref="NNP38:NOF38"/>
    <mergeCell ref="NOG38:NOW38"/>
    <mergeCell ref="NOX38:NPN38"/>
    <mergeCell ref="NPO38:NQE38"/>
    <mergeCell ref="NQF38:NQV38"/>
    <mergeCell ref="NQW38:NRM38"/>
    <mergeCell ref="NFT38:NGJ38"/>
    <mergeCell ref="NGK38:NHA38"/>
    <mergeCell ref="NHB38:NHR38"/>
    <mergeCell ref="NHS38:NII38"/>
    <mergeCell ref="NIJ38:NIZ38"/>
    <mergeCell ref="NJA38:NJQ38"/>
    <mergeCell ref="NJR38:NKH38"/>
    <mergeCell ref="NKI38:NKY38"/>
    <mergeCell ref="NKZ38:NLP38"/>
    <mergeCell ref="MZW38:NAM38"/>
    <mergeCell ref="NAN38:NBD38"/>
    <mergeCell ref="NBE38:NBU38"/>
    <mergeCell ref="NBV38:NCL38"/>
    <mergeCell ref="NCM38:NDC38"/>
    <mergeCell ref="NDD38:NDT38"/>
    <mergeCell ref="NDU38:NEK38"/>
    <mergeCell ref="NEL38:NFB38"/>
    <mergeCell ref="NFC38:NFS38"/>
    <mergeCell ref="MTZ38:MUP38"/>
    <mergeCell ref="MUQ38:MVG38"/>
    <mergeCell ref="MVH38:MVX38"/>
    <mergeCell ref="MVY38:MWO38"/>
    <mergeCell ref="MWP38:MXF38"/>
    <mergeCell ref="MXG38:MXW38"/>
    <mergeCell ref="MXX38:MYN38"/>
    <mergeCell ref="MYO38:MZE38"/>
    <mergeCell ref="MZF38:MZV38"/>
    <mergeCell ref="MOC38:MOS38"/>
    <mergeCell ref="MOT38:MPJ38"/>
    <mergeCell ref="MPK38:MQA38"/>
    <mergeCell ref="MQB38:MQR38"/>
    <mergeCell ref="MQS38:MRI38"/>
    <mergeCell ref="MRJ38:MRZ38"/>
    <mergeCell ref="MSA38:MSQ38"/>
    <mergeCell ref="MSR38:MTH38"/>
    <mergeCell ref="MTI38:MTY38"/>
    <mergeCell ref="MIF38:MIV38"/>
    <mergeCell ref="MIW38:MJM38"/>
    <mergeCell ref="MJN38:MKD38"/>
    <mergeCell ref="MKE38:MKU38"/>
    <mergeCell ref="MKV38:MLL38"/>
    <mergeCell ref="MLM38:MMC38"/>
    <mergeCell ref="MMD38:MMT38"/>
    <mergeCell ref="MMU38:MNK38"/>
    <mergeCell ref="MNL38:MOB38"/>
    <mergeCell ref="MCI38:MCY38"/>
    <mergeCell ref="MCZ38:MDP38"/>
    <mergeCell ref="MDQ38:MEG38"/>
    <mergeCell ref="MEH38:MEX38"/>
    <mergeCell ref="MEY38:MFO38"/>
    <mergeCell ref="MFP38:MGF38"/>
    <mergeCell ref="MGG38:MGW38"/>
    <mergeCell ref="MGX38:MHN38"/>
    <mergeCell ref="MHO38:MIE38"/>
    <mergeCell ref="LWL38:LXB38"/>
    <mergeCell ref="LXC38:LXS38"/>
    <mergeCell ref="LXT38:LYJ38"/>
    <mergeCell ref="LYK38:LZA38"/>
    <mergeCell ref="LZB38:LZR38"/>
    <mergeCell ref="LZS38:MAI38"/>
    <mergeCell ref="MAJ38:MAZ38"/>
    <mergeCell ref="MBA38:MBQ38"/>
    <mergeCell ref="MBR38:MCH38"/>
    <mergeCell ref="LQO38:LRE38"/>
    <mergeCell ref="LRF38:LRV38"/>
    <mergeCell ref="LRW38:LSM38"/>
    <mergeCell ref="LSN38:LTD38"/>
    <mergeCell ref="LTE38:LTU38"/>
    <mergeCell ref="LTV38:LUL38"/>
    <mergeCell ref="LUM38:LVC38"/>
    <mergeCell ref="LVD38:LVT38"/>
    <mergeCell ref="LVU38:LWK38"/>
    <mergeCell ref="LKR38:LLH38"/>
    <mergeCell ref="LLI38:LLY38"/>
    <mergeCell ref="LLZ38:LMP38"/>
    <mergeCell ref="LMQ38:LNG38"/>
    <mergeCell ref="LNH38:LNX38"/>
    <mergeCell ref="LNY38:LOO38"/>
    <mergeCell ref="LOP38:LPF38"/>
    <mergeCell ref="LPG38:LPW38"/>
    <mergeCell ref="LPX38:LQN38"/>
    <mergeCell ref="LEU38:LFK38"/>
    <mergeCell ref="LFL38:LGB38"/>
    <mergeCell ref="LGC38:LGS38"/>
    <mergeCell ref="LGT38:LHJ38"/>
    <mergeCell ref="LHK38:LIA38"/>
    <mergeCell ref="LIB38:LIR38"/>
    <mergeCell ref="LIS38:LJI38"/>
    <mergeCell ref="LJJ38:LJZ38"/>
    <mergeCell ref="LKA38:LKQ38"/>
    <mergeCell ref="KYX38:KZN38"/>
    <mergeCell ref="KZO38:LAE38"/>
    <mergeCell ref="LAF38:LAV38"/>
    <mergeCell ref="LAW38:LBM38"/>
    <mergeCell ref="LBN38:LCD38"/>
    <mergeCell ref="LCE38:LCU38"/>
    <mergeCell ref="LCV38:LDL38"/>
    <mergeCell ref="LDM38:LEC38"/>
    <mergeCell ref="LED38:LET38"/>
    <mergeCell ref="KTA38:KTQ38"/>
    <mergeCell ref="KTR38:KUH38"/>
    <mergeCell ref="KUI38:KUY38"/>
    <mergeCell ref="KUZ38:KVP38"/>
    <mergeCell ref="KVQ38:KWG38"/>
    <mergeCell ref="KWH38:KWX38"/>
    <mergeCell ref="KWY38:KXO38"/>
    <mergeCell ref="KXP38:KYF38"/>
    <mergeCell ref="KYG38:KYW38"/>
    <mergeCell ref="KND38:KNT38"/>
    <mergeCell ref="KNU38:KOK38"/>
    <mergeCell ref="KOL38:KPB38"/>
    <mergeCell ref="KPC38:KPS38"/>
    <mergeCell ref="KPT38:KQJ38"/>
    <mergeCell ref="KQK38:KRA38"/>
    <mergeCell ref="KRB38:KRR38"/>
    <mergeCell ref="KRS38:KSI38"/>
    <mergeCell ref="KSJ38:KSZ38"/>
    <mergeCell ref="KHG38:KHW38"/>
    <mergeCell ref="KHX38:KIN38"/>
    <mergeCell ref="KIO38:KJE38"/>
    <mergeCell ref="KJF38:KJV38"/>
    <mergeCell ref="KJW38:KKM38"/>
    <mergeCell ref="KKN38:KLD38"/>
    <mergeCell ref="KLE38:KLU38"/>
    <mergeCell ref="KLV38:KML38"/>
    <mergeCell ref="KMM38:KNC38"/>
    <mergeCell ref="KBJ38:KBZ38"/>
    <mergeCell ref="KCA38:KCQ38"/>
    <mergeCell ref="KCR38:KDH38"/>
    <mergeCell ref="KDI38:KDY38"/>
    <mergeCell ref="KDZ38:KEP38"/>
    <mergeCell ref="KEQ38:KFG38"/>
    <mergeCell ref="KFH38:KFX38"/>
    <mergeCell ref="KFY38:KGO38"/>
    <mergeCell ref="KGP38:KHF38"/>
    <mergeCell ref="JVM38:JWC38"/>
    <mergeCell ref="JWD38:JWT38"/>
    <mergeCell ref="JWU38:JXK38"/>
    <mergeCell ref="JXL38:JYB38"/>
    <mergeCell ref="JYC38:JYS38"/>
    <mergeCell ref="JYT38:JZJ38"/>
    <mergeCell ref="JZK38:KAA38"/>
    <mergeCell ref="KAB38:KAR38"/>
    <mergeCell ref="KAS38:KBI38"/>
    <mergeCell ref="JPP38:JQF38"/>
    <mergeCell ref="JQG38:JQW38"/>
    <mergeCell ref="JQX38:JRN38"/>
    <mergeCell ref="JRO38:JSE38"/>
    <mergeCell ref="JSF38:JSV38"/>
    <mergeCell ref="JSW38:JTM38"/>
    <mergeCell ref="JTN38:JUD38"/>
    <mergeCell ref="JUE38:JUU38"/>
    <mergeCell ref="JUV38:JVL38"/>
    <mergeCell ref="JJS38:JKI38"/>
    <mergeCell ref="JKJ38:JKZ38"/>
    <mergeCell ref="JLA38:JLQ38"/>
    <mergeCell ref="JLR38:JMH38"/>
    <mergeCell ref="JMI38:JMY38"/>
    <mergeCell ref="JMZ38:JNP38"/>
    <mergeCell ref="JNQ38:JOG38"/>
    <mergeCell ref="JOH38:JOX38"/>
    <mergeCell ref="JOY38:JPO38"/>
    <mergeCell ref="JDV38:JEL38"/>
    <mergeCell ref="JEM38:JFC38"/>
    <mergeCell ref="JFD38:JFT38"/>
    <mergeCell ref="JFU38:JGK38"/>
    <mergeCell ref="JGL38:JHB38"/>
    <mergeCell ref="JHC38:JHS38"/>
    <mergeCell ref="JHT38:JIJ38"/>
    <mergeCell ref="JIK38:JJA38"/>
    <mergeCell ref="JJB38:JJR38"/>
    <mergeCell ref="IXY38:IYO38"/>
    <mergeCell ref="IYP38:IZF38"/>
    <mergeCell ref="IZG38:IZW38"/>
    <mergeCell ref="IZX38:JAN38"/>
    <mergeCell ref="JAO38:JBE38"/>
    <mergeCell ref="JBF38:JBV38"/>
    <mergeCell ref="JBW38:JCM38"/>
    <mergeCell ref="JCN38:JDD38"/>
    <mergeCell ref="JDE38:JDU38"/>
    <mergeCell ref="ISB38:ISR38"/>
    <mergeCell ref="ISS38:ITI38"/>
    <mergeCell ref="ITJ38:ITZ38"/>
    <mergeCell ref="IUA38:IUQ38"/>
    <mergeCell ref="IUR38:IVH38"/>
    <mergeCell ref="IVI38:IVY38"/>
    <mergeCell ref="IVZ38:IWP38"/>
    <mergeCell ref="IWQ38:IXG38"/>
    <mergeCell ref="IXH38:IXX38"/>
    <mergeCell ref="IME38:IMU38"/>
    <mergeCell ref="IMV38:INL38"/>
    <mergeCell ref="INM38:IOC38"/>
    <mergeCell ref="IOD38:IOT38"/>
    <mergeCell ref="IOU38:IPK38"/>
    <mergeCell ref="IPL38:IQB38"/>
    <mergeCell ref="IQC38:IQS38"/>
    <mergeCell ref="IQT38:IRJ38"/>
    <mergeCell ref="IRK38:ISA38"/>
    <mergeCell ref="IGH38:IGX38"/>
    <mergeCell ref="IGY38:IHO38"/>
    <mergeCell ref="IHP38:IIF38"/>
    <mergeCell ref="IIG38:IIW38"/>
    <mergeCell ref="IIX38:IJN38"/>
    <mergeCell ref="IJO38:IKE38"/>
    <mergeCell ref="IKF38:IKV38"/>
    <mergeCell ref="IKW38:ILM38"/>
    <mergeCell ref="ILN38:IMD38"/>
    <mergeCell ref="IAK38:IBA38"/>
    <mergeCell ref="IBB38:IBR38"/>
    <mergeCell ref="IBS38:ICI38"/>
    <mergeCell ref="ICJ38:ICZ38"/>
    <mergeCell ref="IDA38:IDQ38"/>
    <mergeCell ref="IDR38:IEH38"/>
    <mergeCell ref="IEI38:IEY38"/>
    <mergeCell ref="IEZ38:IFP38"/>
    <mergeCell ref="IFQ38:IGG38"/>
    <mergeCell ref="HUN38:HVD38"/>
    <mergeCell ref="HVE38:HVU38"/>
    <mergeCell ref="HVV38:HWL38"/>
    <mergeCell ref="HWM38:HXC38"/>
    <mergeCell ref="HXD38:HXT38"/>
    <mergeCell ref="HXU38:HYK38"/>
    <mergeCell ref="HYL38:HZB38"/>
    <mergeCell ref="HZC38:HZS38"/>
    <mergeCell ref="HZT38:IAJ38"/>
    <mergeCell ref="HOQ38:HPG38"/>
    <mergeCell ref="HPH38:HPX38"/>
    <mergeCell ref="HPY38:HQO38"/>
    <mergeCell ref="HQP38:HRF38"/>
    <mergeCell ref="HRG38:HRW38"/>
    <mergeCell ref="HRX38:HSN38"/>
    <mergeCell ref="HSO38:HTE38"/>
    <mergeCell ref="HTF38:HTV38"/>
    <mergeCell ref="HTW38:HUM38"/>
    <mergeCell ref="HIT38:HJJ38"/>
    <mergeCell ref="HJK38:HKA38"/>
    <mergeCell ref="HKB38:HKR38"/>
    <mergeCell ref="HKS38:HLI38"/>
    <mergeCell ref="HLJ38:HLZ38"/>
    <mergeCell ref="HMA38:HMQ38"/>
    <mergeCell ref="HMR38:HNH38"/>
    <mergeCell ref="HNI38:HNY38"/>
    <mergeCell ref="HNZ38:HOP38"/>
    <mergeCell ref="HCW38:HDM38"/>
    <mergeCell ref="HDN38:HED38"/>
    <mergeCell ref="HEE38:HEU38"/>
    <mergeCell ref="HEV38:HFL38"/>
    <mergeCell ref="HFM38:HGC38"/>
    <mergeCell ref="HGD38:HGT38"/>
    <mergeCell ref="HGU38:HHK38"/>
    <mergeCell ref="HHL38:HIB38"/>
    <mergeCell ref="HIC38:HIS38"/>
    <mergeCell ref="GWZ38:GXP38"/>
    <mergeCell ref="GXQ38:GYG38"/>
    <mergeCell ref="GYH38:GYX38"/>
    <mergeCell ref="GYY38:GZO38"/>
    <mergeCell ref="GZP38:HAF38"/>
    <mergeCell ref="HAG38:HAW38"/>
    <mergeCell ref="HAX38:HBN38"/>
    <mergeCell ref="HBO38:HCE38"/>
    <mergeCell ref="HCF38:HCV38"/>
    <mergeCell ref="GRC38:GRS38"/>
    <mergeCell ref="GRT38:GSJ38"/>
    <mergeCell ref="GSK38:GTA38"/>
    <mergeCell ref="GTB38:GTR38"/>
    <mergeCell ref="GTS38:GUI38"/>
    <mergeCell ref="GUJ38:GUZ38"/>
    <mergeCell ref="GVA38:GVQ38"/>
    <mergeCell ref="GVR38:GWH38"/>
    <mergeCell ref="GWI38:GWY38"/>
    <mergeCell ref="GLF38:GLV38"/>
    <mergeCell ref="GLW38:GMM38"/>
    <mergeCell ref="GMN38:GND38"/>
    <mergeCell ref="GNE38:GNU38"/>
    <mergeCell ref="GNV38:GOL38"/>
    <mergeCell ref="GOM38:GPC38"/>
    <mergeCell ref="GPD38:GPT38"/>
    <mergeCell ref="GPU38:GQK38"/>
    <mergeCell ref="GQL38:GRB38"/>
    <mergeCell ref="GFI38:GFY38"/>
    <mergeCell ref="GFZ38:GGP38"/>
    <mergeCell ref="GGQ38:GHG38"/>
    <mergeCell ref="GHH38:GHX38"/>
    <mergeCell ref="GHY38:GIO38"/>
    <mergeCell ref="GIP38:GJF38"/>
    <mergeCell ref="GJG38:GJW38"/>
    <mergeCell ref="GJX38:GKN38"/>
    <mergeCell ref="GKO38:GLE38"/>
    <mergeCell ref="FZL38:GAB38"/>
    <mergeCell ref="GAC38:GAS38"/>
    <mergeCell ref="GAT38:GBJ38"/>
    <mergeCell ref="GBK38:GCA38"/>
    <mergeCell ref="GCB38:GCR38"/>
    <mergeCell ref="GCS38:GDI38"/>
    <mergeCell ref="GDJ38:GDZ38"/>
    <mergeCell ref="GEA38:GEQ38"/>
    <mergeCell ref="GER38:GFH38"/>
    <mergeCell ref="FTO38:FUE38"/>
    <mergeCell ref="FUF38:FUV38"/>
    <mergeCell ref="FUW38:FVM38"/>
    <mergeCell ref="FVN38:FWD38"/>
    <mergeCell ref="FWE38:FWU38"/>
    <mergeCell ref="FWV38:FXL38"/>
    <mergeCell ref="FXM38:FYC38"/>
    <mergeCell ref="FYD38:FYT38"/>
    <mergeCell ref="FYU38:FZK38"/>
    <mergeCell ref="FNR38:FOH38"/>
    <mergeCell ref="FOI38:FOY38"/>
    <mergeCell ref="FOZ38:FPP38"/>
    <mergeCell ref="FPQ38:FQG38"/>
    <mergeCell ref="FQH38:FQX38"/>
    <mergeCell ref="FQY38:FRO38"/>
    <mergeCell ref="FRP38:FSF38"/>
    <mergeCell ref="FSG38:FSW38"/>
    <mergeCell ref="FSX38:FTN38"/>
    <mergeCell ref="FHU38:FIK38"/>
    <mergeCell ref="FIL38:FJB38"/>
    <mergeCell ref="FJC38:FJS38"/>
    <mergeCell ref="FJT38:FKJ38"/>
    <mergeCell ref="FKK38:FLA38"/>
    <mergeCell ref="FLB38:FLR38"/>
    <mergeCell ref="FLS38:FMI38"/>
    <mergeCell ref="FMJ38:FMZ38"/>
    <mergeCell ref="FNA38:FNQ38"/>
    <mergeCell ref="FBX38:FCN38"/>
    <mergeCell ref="FCO38:FDE38"/>
    <mergeCell ref="FDF38:FDV38"/>
    <mergeCell ref="FDW38:FEM38"/>
    <mergeCell ref="FEN38:FFD38"/>
    <mergeCell ref="FFE38:FFU38"/>
    <mergeCell ref="FFV38:FGL38"/>
    <mergeCell ref="FGM38:FHC38"/>
    <mergeCell ref="FHD38:FHT38"/>
    <mergeCell ref="EWA38:EWQ38"/>
    <mergeCell ref="EWR38:EXH38"/>
    <mergeCell ref="EXI38:EXY38"/>
    <mergeCell ref="EXZ38:EYP38"/>
    <mergeCell ref="EYQ38:EZG38"/>
    <mergeCell ref="EZH38:EZX38"/>
    <mergeCell ref="EZY38:FAO38"/>
    <mergeCell ref="FAP38:FBF38"/>
    <mergeCell ref="FBG38:FBW38"/>
    <mergeCell ref="EQD38:EQT38"/>
    <mergeCell ref="EQU38:ERK38"/>
    <mergeCell ref="ERL38:ESB38"/>
    <mergeCell ref="ESC38:ESS38"/>
    <mergeCell ref="EST38:ETJ38"/>
    <mergeCell ref="ETK38:EUA38"/>
    <mergeCell ref="EUB38:EUR38"/>
    <mergeCell ref="EUS38:EVI38"/>
    <mergeCell ref="EVJ38:EVZ38"/>
    <mergeCell ref="EKG38:EKW38"/>
    <mergeCell ref="EKX38:ELN38"/>
    <mergeCell ref="ELO38:EME38"/>
    <mergeCell ref="EMF38:EMV38"/>
    <mergeCell ref="EMW38:ENM38"/>
    <mergeCell ref="ENN38:EOD38"/>
    <mergeCell ref="EOE38:EOU38"/>
    <mergeCell ref="EOV38:EPL38"/>
    <mergeCell ref="EPM38:EQC38"/>
    <mergeCell ref="EEJ38:EEZ38"/>
    <mergeCell ref="EFA38:EFQ38"/>
    <mergeCell ref="EFR38:EGH38"/>
    <mergeCell ref="EGI38:EGY38"/>
    <mergeCell ref="EGZ38:EHP38"/>
    <mergeCell ref="EHQ38:EIG38"/>
    <mergeCell ref="EIH38:EIX38"/>
    <mergeCell ref="EIY38:EJO38"/>
    <mergeCell ref="EJP38:EKF38"/>
    <mergeCell ref="DYM38:DZC38"/>
    <mergeCell ref="DZD38:DZT38"/>
    <mergeCell ref="DZU38:EAK38"/>
    <mergeCell ref="EAL38:EBB38"/>
    <mergeCell ref="EBC38:EBS38"/>
    <mergeCell ref="EBT38:ECJ38"/>
    <mergeCell ref="ECK38:EDA38"/>
    <mergeCell ref="EDB38:EDR38"/>
    <mergeCell ref="EDS38:EEI38"/>
    <mergeCell ref="DSP38:DTF38"/>
    <mergeCell ref="DTG38:DTW38"/>
    <mergeCell ref="DTX38:DUN38"/>
    <mergeCell ref="DUO38:DVE38"/>
    <mergeCell ref="DVF38:DVV38"/>
    <mergeCell ref="DVW38:DWM38"/>
    <mergeCell ref="DWN38:DXD38"/>
    <mergeCell ref="DXE38:DXU38"/>
    <mergeCell ref="DXV38:DYL38"/>
    <mergeCell ref="DMS38:DNI38"/>
    <mergeCell ref="DNJ38:DNZ38"/>
    <mergeCell ref="DOA38:DOQ38"/>
    <mergeCell ref="DOR38:DPH38"/>
    <mergeCell ref="DPI38:DPY38"/>
    <mergeCell ref="DPZ38:DQP38"/>
    <mergeCell ref="DQQ38:DRG38"/>
    <mergeCell ref="DRH38:DRX38"/>
    <mergeCell ref="DRY38:DSO38"/>
    <mergeCell ref="DGV38:DHL38"/>
    <mergeCell ref="DHM38:DIC38"/>
    <mergeCell ref="DID38:DIT38"/>
    <mergeCell ref="DIU38:DJK38"/>
    <mergeCell ref="DJL38:DKB38"/>
    <mergeCell ref="DKC38:DKS38"/>
    <mergeCell ref="DKT38:DLJ38"/>
    <mergeCell ref="DLK38:DMA38"/>
    <mergeCell ref="DMB38:DMR38"/>
    <mergeCell ref="DAY38:DBO38"/>
    <mergeCell ref="DBP38:DCF38"/>
    <mergeCell ref="DCG38:DCW38"/>
    <mergeCell ref="DCX38:DDN38"/>
    <mergeCell ref="DDO38:DEE38"/>
    <mergeCell ref="DEF38:DEV38"/>
    <mergeCell ref="DEW38:DFM38"/>
    <mergeCell ref="DFN38:DGD38"/>
    <mergeCell ref="DGE38:DGU38"/>
    <mergeCell ref="CVB38:CVR38"/>
    <mergeCell ref="CVS38:CWI38"/>
    <mergeCell ref="CWJ38:CWZ38"/>
    <mergeCell ref="CXA38:CXQ38"/>
    <mergeCell ref="CXR38:CYH38"/>
    <mergeCell ref="CYI38:CYY38"/>
    <mergeCell ref="CYZ38:CZP38"/>
    <mergeCell ref="CZQ38:DAG38"/>
    <mergeCell ref="DAH38:DAX38"/>
    <mergeCell ref="CPE38:CPU38"/>
    <mergeCell ref="CPV38:CQL38"/>
    <mergeCell ref="CQM38:CRC38"/>
    <mergeCell ref="CRD38:CRT38"/>
    <mergeCell ref="CRU38:CSK38"/>
    <mergeCell ref="CSL38:CTB38"/>
    <mergeCell ref="CTC38:CTS38"/>
    <mergeCell ref="CTT38:CUJ38"/>
    <mergeCell ref="CUK38:CVA38"/>
    <mergeCell ref="CJH38:CJX38"/>
    <mergeCell ref="CJY38:CKO38"/>
    <mergeCell ref="CKP38:CLF38"/>
    <mergeCell ref="CLG38:CLW38"/>
    <mergeCell ref="CLX38:CMN38"/>
    <mergeCell ref="CMO38:CNE38"/>
    <mergeCell ref="CNF38:CNV38"/>
    <mergeCell ref="CNW38:COM38"/>
    <mergeCell ref="CON38:CPD38"/>
    <mergeCell ref="CDK38:CEA38"/>
    <mergeCell ref="CEB38:CER38"/>
    <mergeCell ref="CES38:CFI38"/>
    <mergeCell ref="CFJ38:CFZ38"/>
    <mergeCell ref="CGA38:CGQ38"/>
    <mergeCell ref="CGR38:CHH38"/>
    <mergeCell ref="CHI38:CHY38"/>
    <mergeCell ref="CHZ38:CIP38"/>
    <mergeCell ref="CIQ38:CJG38"/>
    <mergeCell ref="BXN38:BYD38"/>
    <mergeCell ref="BYE38:BYU38"/>
    <mergeCell ref="BYV38:BZL38"/>
    <mergeCell ref="BZM38:CAC38"/>
    <mergeCell ref="CAD38:CAT38"/>
    <mergeCell ref="CAU38:CBK38"/>
    <mergeCell ref="CBL38:CCB38"/>
    <mergeCell ref="CCC38:CCS38"/>
    <mergeCell ref="CCT38:CDJ38"/>
    <mergeCell ref="BRQ38:BSG38"/>
    <mergeCell ref="BSH38:BSX38"/>
    <mergeCell ref="BSY38:BTO38"/>
    <mergeCell ref="BTP38:BUF38"/>
    <mergeCell ref="BUG38:BUW38"/>
    <mergeCell ref="BUX38:BVN38"/>
    <mergeCell ref="BVO38:BWE38"/>
    <mergeCell ref="BWF38:BWV38"/>
    <mergeCell ref="BWW38:BXM38"/>
    <mergeCell ref="BLT38:BMJ38"/>
    <mergeCell ref="BMK38:BNA38"/>
    <mergeCell ref="BNB38:BNR38"/>
    <mergeCell ref="BNS38:BOI38"/>
    <mergeCell ref="BOJ38:BOZ38"/>
    <mergeCell ref="BPA38:BPQ38"/>
    <mergeCell ref="BPR38:BQH38"/>
    <mergeCell ref="BQI38:BQY38"/>
    <mergeCell ref="BQZ38:BRP38"/>
    <mergeCell ref="BFW38:BGM38"/>
    <mergeCell ref="BGN38:BHD38"/>
    <mergeCell ref="BHE38:BHU38"/>
    <mergeCell ref="BHV38:BIL38"/>
    <mergeCell ref="BIM38:BJC38"/>
    <mergeCell ref="BJD38:BJT38"/>
    <mergeCell ref="BJU38:BKK38"/>
    <mergeCell ref="BKL38:BLB38"/>
    <mergeCell ref="BLC38:BLS38"/>
    <mergeCell ref="AZZ38:BAP38"/>
    <mergeCell ref="BAQ38:BBG38"/>
    <mergeCell ref="BBH38:BBX38"/>
    <mergeCell ref="BBY38:BCO38"/>
    <mergeCell ref="BCP38:BDF38"/>
    <mergeCell ref="BDG38:BDW38"/>
    <mergeCell ref="BDX38:BEN38"/>
    <mergeCell ref="BEO38:BFE38"/>
    <mergeCell ref="BFF38:BFV38"/>
    <mergeCell ref="AUC38:AUS38"/>
    <mergeCell ref="AUT38:AVJ38"/>
    <mergeCell ref="AVK38:AWA38"/>
    <mergeCell ref="AWB38:AWR38"/>
    <mergeCell ref="AWS38:AXI38"/>
    <mergeCell ref="AXJ38:AXZ38"/>
    <mergeCell ref="AYA38:AYQ38"/>
    <mergeCell ref="AYR38:AZH38"/>
    <mergeCell ref="AZI38:AZY38"/>
    <mergeCell ref="AOF38:AOV38"/>
    <mergeCell ref="AOW38:APM38"/>
    <mergeCell ref="APN38:AQD38"/>
    <mergeCell ref="AQE38:AQU38"/>
    <mergeCell ref="AQV38:ARL38"/>
    <mergeCell ref="ARM38:ASC38"/>
    <mergeCell ref="ASD38:AST38"/>
    <mergeCell ref="ASU38:ATK38"/>
    <mergeCell ref="ATL38:AUB38"/>
    <mergeCell ref="AII38:AIY38"/>
    <mergeCell ref="AIZ38:AJP38"/>
    <mergeCell ref="AJQ38:AKG38"/>
    <mergeCell ref="AKH38:AKX38"/>
    <mergeCell ref="AKY38:ALO38"/>
    <mergeCell ref="ALP38:AMF38"/>
    <mergeCell ref="AMG38:AMW38"/>
    <mergeCell ref="AMX38:ANN38"/>
    <mergeCell ref="ANO38:AOE38"/>
    <mergeCell ref="ACL38:ADB38"/>
    <mergeCell ref="ADC38:ADS38"/>
    <mergeCell ref="ADT38:AEJ38"/>
    <mergeCell ref="AEK38:AFA38"/>
    <mergeCell ref="AFB38:AFR38"/>
    <mergeCell ref="AFS38:AGI38"/>
    <mergeCell ref="AGJ38:AGZ38"/>
    <mergeCell ref="AHA38:AHQ38"/>
    <mergeCell ref="AHR38:AIH38"/>
    <mergeCell ref="WO38:XE38"/>
    <mergeCell ref="XF38:XV38"/>
    <mergeCell ref="XW38:YM38"/>
    <mergeCell ref="YN38:ZD38"/>
    <mergeCell ref="ZE38:ZU38"/>
    <mergeCell ref="ZV38:AAL38"/>
    <mergeCell ref="AAM38:ABC38"/>
    <mergeCell ref="ABD38:ABT38"/>
    <mergeCell ref="ABU38:ACK38"/>
    <mergeCell ref="QR38:RH38"/>
    <mergeCell ref="RI38:RY38"/>
    <mergeCell ref="RZ38:SP38"/>
    <mergeCell ref="SQ38:TG38"/>
    <mergeCell ref="TH38:TX38"/>
    <mergeCell ref="TY38:UO38"/>
    <mergeCell ref="UP38:VF38"/>
    <mergeCell ref="VG38:VW38"/>
    <mergeCell ref="VX38:WN38"/>
    <mergeCell ref="KU38:LK38"/>
    <mergeCell ref="LL38:MB38"/>
    <mergeCell ref="MC38:MS38"/>
    <mergeCell ref="MT38:NJ38"/>
    <mergeCell ref="NK38:OA38"/>
    <mergeCell ref="OB38:OR38"/>
    <mergeCell ref="OS38:PI38"/>
    <mergeCell ref="PJ38:PZ38"/>
    <mergeCell ref="QA38:QQ38"/>
    <mergeCell ref="XBK37:XCA37"/>
    <mergeCell ref="XCB37:XCR37"/>
    <mergeCell ref="XCS37:XDI37"/>
    <mergeCell ref="XDJ37:XDZ37"/>
    <mergeCell ref="XEA37:XEQ37"/>
    <mergeCell ref="XER37:XFD37"/>
    <mergeCell ref="A38:Q38"/>
    <mergeCell ref="R38:AH38"/>
    <mergeCell ref="AI38:AY38"/>
    <mergeCell ref="AZ38:BP38"/>
    <mergeCell ref="BQ38:CG38"/>
    <mergeCell ref="CH38:CX38"/>
    <mergeCell ref="CY38:DO38"/>
    <mergeCell ref="DP38:EF38"/>
    <mergeCell ref="EG38:EW38"/>
    <mergeCell ref="EX38:FN38"/>
    <mergeCell ref="FO38:GE38"/>
    <mergeCell ref="GF38:GV38"/>
    <mergeCell ref="GW38:HM38"/>
    <mergeCell ref="HN38:ID38"/>
    <mergeCell ref="IE38:IU38"/>
    <mergeCell ref="IV38:JL38"/>
    <mergeCell ref="JM38:KC38"/>
    <mergeCell ref="KD38:KT38"/>
    <mergeCell ref="WVN37:WWD37"/>
    <mergeCell ref="WWE37:WWU37"/>
    <mergeCell ref="WWV37:WXL37"/>
    <mergeCell ref="WXM37:WYC37"/>
    <mergeCell ref="WYD37:WYT37"/>
    <mergeCell ref="WYU37:WZK37"/>
    <mergeCell ref="WZL37:XAB37"/>
    <mergeCell ref="XAC37:XAS37"/>
    <mergeCell ref="XAT37:XBJ37"/>
    <mergeCell ref="WPQ37:WQG37"/>
    <mergeCell ref="WQH37:WQX37"/>
    <mergeCell ref="WQY37:WRO37"/>
    <mergeCell ref="WRP37:WSF37"/>
    <mergeCell ref="WSG37:WSW37"/>
    <mergeCell ref="WSX37:WTN37"/>
    <mergeCell ref="WTO37:WUE37"/>
    <mergeCell ref="WUF37:WUV37"/>
    <mergeCell ref="WUW37:WVM37"/>
    <mergeCell ref="WJT37:WKJ37"/>
    <mergeCell ref="WKK37:WLA37"/>
    <mergeCell ref="WLB37:WLR37"/>
    <mergeCell ref="WLS37:WMI37"/>
    <mergeCell ref="WMJ37:WMZ37"/>
    <mergeCell ref="WNA37:WNQ37"/>
    <mergeCell ref="WNR37:WOH37"/>
    <mergeCell ref="WOI37:WOY37"/>
    <mergeCell ref="WOZ37:WPP37"/>
    <mergeCell ref="WDW37:WEM37"/>
    <mergeCell ref="WEN37:WFD37"/>
    <mergeCell ref="WFE37:WFU37"/>
    <mergeCell ref="WFV37:WGL37"/>
    <mergeCell ref="WGM37:WHC37"/>
    <mergeCell ref="WHD37:WHT37"/>
    <mergeCell ref="WHU37:WIK37"/>
    <mergeCell ref="WIL37:WJB37"/>
    <mergeCell ref="WJC37:WJS37"/>
    <mergeCell ref="VXZ37:VYP37"/>
    <mergeCell ref="VYQ37:VZG37"/>
    <mergeCell ref="VZH37:VZX37"/>
    <mergeCell ref="VZY37:WAO37"/>
    <mergeCell ref="WAP37:WBF37"/>
    <mergeCell ref="WBG37:WBW37"/>
    <mergeCell ref="WBX37:WCN37"/>
    <mergeCell ref="WCO37:WDE37"/>
    <mergeCell ref="WDF37:WDV37"/>
    <mergeCell ref="VSC37:VSS37"/>
    <mergeCell ref="VST37:VTJ37"/>
    <mergeCell ref="VTK37:VUA37"/>
    <mergeCell ref="VUB37:VUR37"/>
    <mergeCell ref="VUS37:VVI37"/>
    <mergeCell ref="VVJ37:VVZ37"/>
    <mergeCell ref="VWA37:VWQ37"/>
    <mergeCell ref="VWR37:VXH37"/>
    <mergeCell ref="VXI37:VXY37"/>
    <mergeCell ref="VMF37:VMV37"/>
    <mergeCell ref="VMW37:VNM37"/>
    <mergeCell ref="VNN37:VOD37"/>
    <mergeCell ref="VOE37:VOU37"/>
    <mergeCell ref="VOV37:VPL37"/>
    <mergeCell ref="VPM37:VQC37"/>
    <mergeCell ref="VQD37:VQT37"/>
    <mergeCell ref="VQU37:VRK37"/>
    <mergeCell ref="VRL37:VSB37"/>
    <mergeCell ref="VGI37:VGY37"/>
    <mergeCell ref="VGZ37:VHP37"/>
    <mergeCell ref="VHQ37:VIG37"/>
    <mergeCell ref="VIH37:VIX37"/>
    <mergeCell ref="VIY37:VJO37"/>
    <mergeCell ref="VJP37:VKF37"/>
    <mergeCell ref="VKG37:VKW37"/>
    <mergeCell ref="VKX37:VLN37"/>
    <mergeCell ref="VLO37:VME37"/>
    <mergeCell ref="VAL37:VBB37"/>
    <mergeCell ref="VBC37:VBS37"/>
    <mergeCell ref="VBT37:VCJ37"/>
    <mergeCell ref="VCK37:VDA37"/>
    <mergeCell ref="VDB37:VDR37"/>
    <mergeCell ref="VDS37:VEI37"/>
    <mergeCell ref="VEJ37:VEZ37"/>
    <mergeCell ref="VFA37:VFQ37"/>
    <mergeCell ref="VFR37:VGH37"/>
    <mergeCell ref="UUO37:UVE37"/>
    <mergeCell ref="UVF37:UVV37"/>
    <mergeCell ref="UVW37:UWM37"/>
    <mergeCell ref="UWN37:UXD37"/>
    <mergeCell ref="UXE37:UXU37"/>
    <mergeCell ref="UXV37:UYL37"/>
    <mergeCell ref="UYM37:UZC37"/>
    <mergeCell ref="UZD37:UZT37"/>
    <mergeCell ref="UZU37:VAK37"/>
    <mergeCell ref="UOR37:UPH37"/>
    <mergeCell ref="UPI37:UPY37"/>
    <mergeCell ref="UPZ37:UQP37"/>
    <mergeCell ref="UQQ37:URG37"/>
    <mergeCell ref="URH37:URX37"/>
    <mergeCell ref="URY37:USO37"/>
    <mergeCell ref="USP37:UTF37"/>
    <mergeCell ref="UTG37:UTW37"/>
    <mergeCell ref="UTX37:UUN37"/>
    <mergeCell ref="UIU37:UJK37"/>
    <mergeCell ref="UJL37:UKB37"/>
    <mergeCell ref="UKC37:UKS37"/>
    <mergeCell ref="UKT37:ULJ37"/>
    <mergeCell ref="ULK37:UMA37"/>
    <mergeCell ref="UMB37:UMR37"/>
    <mergeCell ref="UMS37:UNI37"/>
    <mergeCell ref="UNJ37:UNZ37"/>
    <mergeCell ref="UOA37:UOQ37"/>
    <mergeCell ref="UCX37:UDN37"/>
    <mergeCell ref="UDO37:UEE37"/>
    <mergeCell ref="UEF37:UEV37"/>
    <mergeCell ref="UEW37:UFM37"/>
    <mergeCell ref="UFN37:UGD37"/>
    <mergeCell ref="UGE37:UGU37"/>
    <mergeCell ref="UGV37:UHL37"/>
    <mergeCell ref="UHM37:UIC37"/>
    <mergeCell ref="UID37:UIT37"/>
    <mergeCell ref="TXA37:TXQ37"/>
    <mergeCell ref="TXR37:TYH37"/>
    <mergeCell ref="TYI37:TYY37"/>
    <mergeCell ref="TYZ37:TZP37"/>
    <mergeCell ref="TZQ37:UAG37"/>
    <mergeCell ref="UAH37:UAX37"/>
    <mergeCell ref="UAY37:UBO37"/>
    <mergeCell ref="UBP37:UCF37"/>
    <mergeCell ref="UCG37:UCW37"/>
    <mergeCell ref="TRD37:TRT37"/>
    <mergeCell ref="TRU37:TSK37"/>
    <mergeCell ref="TSL37:TTB37"/>
    <mergeCell ref="TTC37:TTS37"/>
    <mergeCell ref="TTT37:TUJ37"/>
    <mergeCell ref="TUK37:TVA37"/>
    <mergeCell ref="TVB37:TVR37"/>
    <mergeCell ref="TVS37:TWI37"/>
    <mergeCell ref="TWJ37:TWZ37"/>
    <mergeCell ref="TLG37:TLW37"/>
    <mergeCell ref="TLX37:TMN37"/>
    <mergeCell ref="TMO37:TNE37"/>
    <mergeCell ref="TNF37:TNV37"/>
    <mergeCell ref="TNW37:TOM37"/>
    <mergeCell ref="TON37:TPD37"/>
    <mergeCell ref="TPE37:TPU37"/>
    <mergeCell ref="TPV37:TQL37"/>
    <mergeCell ref="TQM37:TRC37"/>
    <mergeCell ref="TFJ37:TFZ37"/>
    <mergeCell ref="TGA37:TGQ37"/>
    <mergeCell ref="TGR37:THH37"/>
    <mergeCell ref="THI37:THY37"/>
    <mergeCell ref="THZ37:TIP37"/>
    <mergeCell ref="TIQ37:TJG37"/>
    <mergeCell ref="TJH37:TJX37"/>
    <mergeCell ref="TJY37:TKO37"/>
    <mergeCell ref="TKP37:TLF37"/>
    <mergeCell ref="SZM37:TAC37"/>
    <mergeCell ref="TAD37:TAT37"/>
    <mergeCell ref="TAU37:TBK37"/>
    <mergeCell ref="TBL37:TCB37"/>
    <mergeCell ref="TCC37:TCS37"/>
    <mergeCell ref="TCT37:TDJ37"/>
    <mergeCell ref="TDK37:TEA37"/>
    <mergeCell ref="TEB37:TER37"/>
    <mergeCell ref="TES37:TFI37"/>
    <mergeCell ref="STP37:SUF37"/>
    <mergeCell ref="SUG37:SUW37"/>
    <mergeCell ref="SUX37:SVN37"/>
    <mergeCell ref="SVO37:SWE37"/>
    <mergeCell ref="SWF37:SWV37"/>
    <mergeCell ref="SWW37:SXM37"/>
    <mergeCell ref="SXN37:SYD37"/>
    <mergeCell ref="SYE37:SYU37"/>
    <mergeCell ref="SYV37:SZL37"/>
    <mergeCell ref="SNS37:SOI37"/>
    <mergeCell ref="SOJ37:SOZ37"/>
    <mergeCell ref="SPA37:SPQ37"/>
    <mergeCell ref="SPR37:SQH37"/>
    <mergeCell ref="SQI37:SQY37"/>
    <mergeCell ref="SQZ37:SRP37"/>
    <mergeCell ref="SRQ37:SSG37"/>
    <mergeCell ref="SSH37:SSX37"/>
    <mergeCell ref="SSY37:STO37"/>
    <mergeCell ref="SHV37:SIL37"/>
    <mergeCell ref="SIM37:SJC37"/>
    <mergeCell ref="SJD37:SJT37"/>
    <mergeCell ref="SJU37:SKK37"/>
    <mergeCell ref="SKL37:SLB37"/>
    <mergeCell ref="SLC37:SLS37"/>
    <mergeCell ref="SLT37:SMJ37"/>
    <mergeCell ref="SMK37:SNA37"/>
    <mergeCell ref="SNB37:SNR37"/>
    <mergeCell ref="SBY37:SCO37"/>
    <mergeCell ref="SCP37:SDF37"/>
    <mergeCell ref="SDG37:SDW37"/>
    <mergeCell ref="SDX37:SEN37"/>
    <mergeCell ref="SEO37:SFE37"/>
    <mergeCell ref="SFF37:SFV37"/>
    <mergeCell ref="SFW37:SGM37"/>
    <mergeCell ref="SGN37:SHD37"/>
    <mergeCell ref="SHE37:SHU37"/>
    <mergeCell ref="RWB37:RWR37"/>
    <mergeCell ref="RWS37:RXI37"/>
    <mergeCell ref="RXJ37:RXZ37"/>
    <mergeCell ref="RYA37:RYQ37"/>
    <mergeCell ref="RYR37:RZH37"/>
    <mergeCell ref="RZI37:RZY37"/>
    <mergeCell ref="RZZ37:SAP37"/>
    <mergeCell ref="SAQ37:SBG37"/>
    <mergeCell ref="SBH37:SBX37"/>
    <mergeCell ref="RQE37:RQU37"/>
    <mergeCell ref="RQV37:RRL37"/>
    <mergeCell ref="RRM37:RSC37"/>
    <mergeCell ref="RSD37:RST37"/>
    <mergeCell ref="RSU37:RTK37"/>
    <mergeCell ref="RTL37:RUB37"/>
    <mergeCell ref="RUC37:RUS37"/>
    <mergeCell ref="RUT37:RVJ37"/>
    <mergeCell ref="RVK37:RWA37"/>
    <mergeCell ref="RKH37:RKX37"/>
    <mergeCell ref="RKY37:RLO37"/>
    <mergeCell ref="RLP37:RMF37"/>
    <mergeCell ref="RMG37:RMW37"/>
    <mergeCell ref="RMX37:RNN37"/>
    <mergeCell ref="RNO37:ROE37"/>
    <mergeCell ref="ROF37:ROV37"/>
    <mergeCell ref="ROW37:RPM37"/>
    <mergeCell ref="RPN37:RQD37"/>
    <mergeCell ref="REK37:RFA37"/>
    <mergeCell ref="RFB37:RFR37"/>
    <mergeCell ref="RFS37:RGI37"/>
    <mergeCell ref="RGJ37:RGZ37"/>
    <mergeCell ref="RHA37:RHQ37"/>
    <mergeCell ref="RHR37:RIH37"/>
    <mergeCell ref="RII37:RIY37"/>
    <mergeCell ref="RIZ37:RJP37"/>
    <mergeCell ref="RJQ37:RKG37"/>
    <mergeCell ref="QYN37:QZD37"/>
    <mergeCell ref="QZE37:QZU37"/>
    <mergeCell ref="QZV37:RAL37"/>
    <mergeCell ref="RAM37:RBC37"/>
    <mergeCell ref="RBD37:RBT37"/>
    <mergeCell ref="RBU37:RCK37"/>
    <mergeCell ref="RCL37:RDB37"/>
    <mergeCell ref="RDC37:RDS37"/>
    <mergeCell ref="RDT37:REJ37"/>
    <mergeCell ref="QSQ37:QTG37"/>
    <mergeCell ref="QTH37:QTX37"/>
    <mergeCell ref="QTY37:QUO37"/>
    <mergeCell ref="QUP37:QVF37"/>
    <mergeCell ref="QVG37:QVW37"/>
    <mergeCell ref="QVX37:QWN37"/>
    <mergeCell ref="QWO37:QXE37"/>
    <mergeCell ref="QXF37:QXV37"/>
    <mergeCell ref="QXW37:QYM37"/>
    <mergeCell ref="QMT37:QNJ37"/>
    <mergeCell ref="QNK37:QOA37"/>
    <mergeCell ref="QOB37:QOR37"/>
    <mergeCell ref="QOS37:QPI37"/>
    <mergeCell ref="QPJ37:QPZ37"/>
    <mergeCell ref="QQA37:QQQ37"/>
    <mergeCell ref="QQR37:QRH37"/>
    <mergeCell ref="QRI37:QRY37"/>
    <mergeCell ref="QRZ37:QSP37"/>
    <mergeCell ref="QGW37:QHM37"/>
    <mergeCell ref="QHN37:QID37"/>
    <mergeCell ref="QIE37:QIU37"/>
    <mergeCell ref="QIV37:QJL37"/>
    <mergeCell ref="QJM37:QKC37"/>
    <mergeCell ref="QKD37:QKT37"/>
    <mergeCell ref="QKU37:QLK37"/>
    <mergeCell ref="QLL37:QMB37"/>
    <mergeCell ref="QMC37:QMS37"/>
    <mergeCell ref="QAZ37:QBP37"/>
    <mergeCell ref="QBQ37:QCG37"/>
    <mergeCell ref="QCH37:QCX37"/>
    <mergeCell ref="QCY37:QDO37"/>
    <mergeCell ref="QDP37:QEF37"/>
    <mergeCell ref="QEG37:QEW37"/>
    <mergeCell ref="QEX37:QFN37"/>
    <mergeCell ref="QFO37:QGE37"/>
    <mergeCell ref="QGF37:QGV37"/>
    <mergeCell ref="PVC37:PVS37"/>
    <mergeCell ref="PVT37:PWJ37"/>
    <mergeCell ref="PWK37:PXA37"/>
    <mergeCell ref="PXB37:PXR37"/>
    <mergeCell ref="PXS37:PYI37"/>
    <mergeCell ref="PYJ37:PYZ37"/>
    <mergeCell ref="PZA37:PZQ37"/>
    <mergeCell ref="PZR37:QAH37"/>
    <mergeCell ref="QAI37:QAY37"/>
    <mergeCell ref="PPF37:PPV37"/>
    <mergeCell ref="PPW37:PQM37"/>
    <mergeCell ref="PQN37:PRD37"/>
    <mergeCell ref="PRE37:PRU37"/>
    <mergeCell ref="PRV37:PSL37"/>
    <mergeCell ref="PSM37:PTC37"/>
    <mergeCell ref="PTD37:PTT37"/>
    <mergeCell ref="PTU37:PUK37"/>
    <mergeCell ref="PUL37:PVB37"/>
    <mergeCell ref="PJI37:PJY37"/>
    <mergeCell ref="PJZ37:PKP37"/>
    <mergeCell ref="PKQ37:PLG37"/>
    <mergeCell ref="PLH37:PLX37"/>
    <mergeCell ref="PLY37:PMO37"/>
    <mergeCell ref="PMP37:PNF37"/>
    <mergeCell ref="PNG37:PNW37"/>
    <mergeCell ref="PNX37:PON37"/>
    <mergeCell ref="POO37:PPE37"/>
    <mergeCell ref="PDL37:PEB37"/>
    <mergeCell ref="PEC37:PES37"/>
    <mergeCell ref="PET37:PFJ37"/>
    <mergeCell ref="PFK37:PGA37"/>
    <mergeCell ref="PGB37:PGR37"/>
    <mergeCell ref="PGS37:PHI37"/>
    <mergeCell ref="PHJ37:PHZ37"/>
    <mergeCell ref="PIA37:PIQ37"/>
    <mergeCell ref="PIR37:PJH37"/>
    <mergeCell ref="OXO37:OYE37"/>
    <mergeCell ref="OYF37:OYV37"/>
    <mergeCell ref="OYW37:OZM37"/>
    <mergeCell ref="OZN37:PAD37"/>
    <mergeCell ref="PAE37:PAU37"/>
    <mergeCell ref="PAV37:PBL37"/>
    <mergeCell ref="PBM37:PCC37"/>
    <mergeCell ref="PCD37:PCT37"/>
    <mergeCell ref="PCU37:PDK37"/>
    <mergeCell ref="ORR37:OSH37"/>
    <mergeCell ref="OSI37:OSY37"/>
    <mergeCell ref="OSZ37:OTP37"/>
    <mergeCell ref="OTQ37:OUG37"/>
    <mergeCell ref="OUH37:OUX37"/>
    <mergeCell ref="OUY37:OVO37"/>
    <mergeCell ref="OVP37:OWF37"/>
    <mergeCell ref="OWG37:OWW37"/>
    <mergeCell ref="OWX37:OXN37"/>
    <mergeCell ref="OLU37:OMK37"/>
    <mergeCell ref="OML37:ONB37"/>
    <mergeCell ref="ONC37:ONS37"/>
    <mergeCell ref="ONT37:OOJ37"/>
    <mergeCell ref="OOK37:OPA37"/>
    <mergeCell ref="OPB37:OPR37"/>
    <mergeCell ref="OPS37:OQI37"/>
    <mergeCell ref="OQJ37:OQZ37"/>
    <mergeCell ref="ORA37:ORQ37"/>
    <mergeCell ref="OFX37:OGN37"/>
    <mergeCell ref="OGO37:OHE37"/>
    <mergeCell ref="OHF37:OHV37"/>
    <mergeCell ref="OHW37:OIM37"/>
    <mergeCell ref="OIN37:OJD37"/>
    <mergeCell ref="OJE37:OJU37"/>
    <mergeCell ref="OJV37:OKL37"/>
    <mergeCell ref="OKM37:OLC37"/>
    <mergeCell ref="OLD37:OLT37"/>
    <mergeCell ref="OAA37:OAQ37"/>
    <mergeCell ref="OAR37:OBH37"/>
    <mergeCell ref="OBI37:OBY37"/>
    <mergeCell ref="OBZ37:OCP37"/>
    <mergeCell ref="OCQ37:ODG37"/>
    <mergeCell ref="ODH37:ODX37"/>
    <mergeCell ref="ODY37:OEO37"/>
    <mergeCell ref="OEP37:OFF37"/>
    <mergeCell ref="OFG37:OFW37"/>
    <mergeCell ref="NUD37:NUT37"/>
    <mergeCell ref="NUU37:NVK37"/>
    <mergeCell ref="NVL37:NWB37"/>
    <mergeCell ref="NWC37:NWS37"/>
    <mergeCell ref="NWT37:NXJ37"/>
    <mergeCell ref="NXK37:NYA37"/>
    <mergeCell ref="NYB37:NYR37"/>
    <mergeCell ref="NYS37:NZI37"/>
    <mergeCell ref="NZJ37:NZZ37"/>
    <mergeCell ref="NOG37:NOW37"/>
    <mergeCell ref="NOX37:NPN37"/>
    <mergeCell ref="NPO37:NQE37"/>
    <mergeCell ref="NQF37:NQV37"/>
    <mergeCell ref="NQW37:NRM37"/>
    <mergeCell ref="NRN37:NSD37"/>
    <mergeCell ref="NSE37:NSU37"/>
    <mergeCell ref="NSV37:NTL37"/>
    <mergeCell ref="NTM37:NUC37"/>
    <mergeCell ref="NIJ37:NIZ37"/>
    <mergeCell ref="NJA37:NJQ37"/>
    <mergeCell ref="NJR37:NKH37"/>
    <mergeCell ref="NKI37:NKY37"/>
    <mergeCell ref="NKZ37:NLP37"/>
    <mergeCell ref="NLQ37:NMG37"/>
    <mergeCell ref="NMH37:NMX37"/>
    <mergeCell ref="NMY37:NNO37"/>
    <mergeCell ref="NNP37:NOF37"/>
    <mergeCell ref="NCM37:NDC37"/>
    <mergeCell ref="NDD37:NDT37"/>
    <mergeCell ref="NDU37:NEK37"/>
    <mergeCell ref="NEL37:NFB37"/>
    <mergeCell ref="NFC37:NFS37"/>
    <mergeCell ref="NFT37:NGJ37"/>
    <mergeCell ref="NGK37:NHA37"/>
    <mergeCell ref="NHB37:NHR37"/>
    <mergeCell ref="NHS37:NII37"/>
    <mergeCell ref="MWP37:MXF37"/>
    <mergeCell ref="MXG37:MXW37"/>
    <mergeCell ref="MXX37:MYN37"/>
    <mergeCell ref="MYO37:MZE37"/>
    <mergeCell ref="MZF37:MZV37"/>
    <mergeCell ref="MZW37:NAM37"/>
    <mergeCell ref="NAN37:NBD37"/>
    <mergeCell ref="NBE37:NBU37"/>
    <mergeCell ref="NBV37:NCL37"/>
    <mergeCell ref="MQS37:MRI37"/>
    <mergeCell ref="MRJ37:MRZ37"/>
    <mergeCell ref="MSA37:MSQ37"/>
    <mergeCell ref="MSR37:MTH37"/>
    <mergeCell ref="MTI37:MTY37"/>
    <mergeCell ref="MTZ37:MUP37"/>
    <mergeCell ref="MUQ37:MVG37"/>
    <mergeCell ref="MVH37:MVX37"/>
    <mergeCell ref="MVY37:MWO37"/>
    <mergeCell ref="MKV37:MLL37"/>
    <mergeCell ref="MLM37:MMC37"/>
    <mergeCell ref="MMD37:MMT37"/>
    <mergeCell ref="MMU37:MNK37"/>
    <mergeCell ref="MNL37:MOB37"/>
    <mergeCell ref="MOC37:MOS37"/>
    <mergeCell ref="MOT37:MPJ37"/>
    <mergeCell ref="MPK37:MQA37"/>
    <mergeCell ref="MQB37:MQR37"/>
    <mergeCell ref="MEY37:MFO37"/>
    <mergeCell ref="MFP37:MGF37"/>
    <mergeCell ref="MGG37:MGW37"/>
    <mergeCell ref="MGX37:MHN37"/>
    <mergeCell ref="MHO37:MIE37"/>
    <mergeCell ref="MIF37:MIV37"/>
    <mergeCell ref="MIW37:MJM37"/>
    <mergeCell ref="MJN37:MKD37"/>
    <mergeCell ref="MKE37:MKU37"/>
    <mergeCell ref="LZB37:LZR37"/>
    <mergeCell ref="LZS37:MAI37"/>
    <mergeCell ref="MAJ37:MAZ37"/>
    <mergeCell ref="MBA37:MBQ37"/>
    <mergeCell ref="MBR37:MCH37"/>
    <mergeCell ref="MCI37:MCY37"/>
    <mergeCell ref="MCZ37:MDP37"/>
    <mergeCell ref="MDQ37:MEG37"/>
    <mergeCell ref="MEH37:MEX37"/>
    <mergeCell ref="LTE37:LTU37"/>
    <mergeCell ref="LTV37:LUL37"/>
    <mergeCell ref="LUM37:LVC37"/>
    <mergeCell ref="LVD37:LVT37"/>
    <mergeCell ref="LVU37:LWK37"/>
    <mergeCell ref="LWL37:LXB37"/>
    <mergeCell ref="LXC37:LXS37"/>
    <mergeCell ref="LXT37:LYJ37"/>
    <mergeCell ref="LYK37:LZA37"/>
    <mergeCell ref="LNH37:LNX37"/>
    <mergeCell ref="LNY37:LOO37"/>
    <mergeCell ref="LOP37:LPF37"/>
    <mergeCell ref="LPG37:LPW37"/>
    <mergeCell ref="LPX37:LQN37"/>
    <mergeCell ref="LQO37:LRE37"/>
    <mergeCell ref="LRF37:LRV37"/>
    <mergeCell ref="LRW37:LSM37"/>
    <mergeCell ref="LSN37:LTD37"/>
    <mergeCell ref="LHK37:LIA37"/>
    <mergeCell ref="LIB37:LIR37"/>
    <mergeCell ref="LIS37:LJI37"/>
    <mergeCell ref="LJJ37:LJZ37"/>
    <mergeCell ref="LKA37:LKQ37"/>
    <mergeCell ref="LKR37:LLH37"/>
    <mergeCell ref="LLI37:LLY37"/>
    <mergeCell ref="LLZ37:LMP37"/>
    <mergeCell ref="LMQ37:LNG37"/>
    <mergeCell ref="LBN37:LCD37"/>
    <mergeCell ref="LCE37:LCU37"/>
    <mergeCell ref="LCV37:LDL37"/>
    <mergeCell ref="LDM37:LEC37"/>
    <mergeCell ref="LED37:LET37"/>
    <mergeCell ref="LEU37:LFK37"/>
    <mergeCell ref="LFL37:LGB37"/>
    <mergeCell ref="LGC37:LGS37"/>
    <mergeCell ref="LGT37:LHJ37"/>
    <mergeCell ref="KVQ37:KWG37"/>
    <mergeCell ref="KWH37:KWX37"/>
    <mergeCell ref="KWY37:KXO37"/>
    <mergeCell ref="KXP37:KYF37"/>
    <mergeCell ref="KYG37:KYW37"/>
    <mergeCell ref="KYX37:KZN37"/>
    <mergeCell ref="KZO37:LAE37"/>
    <mergeCell ref="LAF37:LAV37"/>
    <mergeCell ref="LAW37:LBM37"/>
    <mergeCell ref="KPT37:KQJ37"/>
    <mergeCell ref="KQK37:KRA37"/>
    <mergeCell ref="KRB37:KRR37"/>
    <mergeCell ref="KRS37:KSI37"/>
    <mergeCell ref="KSJ37:KSZ37"/>
    <mergeCell ref="KTA37:KTQ37"/>
    <mergeCell ref="KTR37:KUH37"/>
    <mergeCell ref="KUI37:KUY37"/>
    <mergeCell ref="KUZ37:KVP37"/>
    <mergeCell ref="KJW37:KKM37"/>
    <mergeCell ref="KKN37:KLD37"/>
    <mergeCell ref="KLE37:KLU37"/>
    <mergeCell ref="KLV37:KML37"/>
    <mergeCell ref="KMM37:KNC37"/>
    <mergeCell ref="KND37:KNT37"/>
    <mergeCell ref="KNU37:KOK37"/>
    <mergeCell ref="KOL37:KPB37"/>
    <mergeCell ref="KPC37:KPS37"/>
    <mergeCell ref="KDZ37:KEP37"/>
    <mergeCell ref="KEQ37:KFG37"/>
    <mergeCell ref="KFH37:KFX37"/>
    <mergeCell ref="KFY37:KGO37"/>
    <mergeCell ref="KGP37:KHF37"/>
    <mergeCell ref="KHG37:KHW37"/>
    <mergeCell ref="KHX37:KIN37"/>
    <mergeCell ref="KIO37:KJE37"/>
    <mergeCell ref="KJF37:KJV37"/>
    <mergeCell ref="JYC37:JYS37"/>
    <mergeCell ref="JYT37:JZJ37"/>
    <mergeCell ref="JZK37:KAA37"/>
    <mergeCell ref="KAB37:KAR37"/>
    <mergeCell ref="KAS37:KBI37"/>
    <mergeCell ref="KBJ37:KBZ37"/>
    <mergeCell ref="KCA37:KCQ37"/>
    <mergeCell ref="KCR37:KDH37"/>
    <mergeCell ref="KDI37:KDY37"/>
    <mergeCell ref="JSF37:JSV37"/>
    <mergeCell ref="JSW37:JTM37"/>
    <mergeCell ref="JTN37:JUD37"/>
    <mergeCell ref="JUE37:JUU37"/>
    <mergeCell ref="JUV37:JVL37"/>
    <mergeCell ref="JVM37:JWC37"/>
    <mergeCell ref="JWD37:JWT37"/>
    <mergeCell ref="JWU37:JXK37"/>
    <mergeCell ref="JXL37:JYB37"/>
    <mergeCell ref="JMI37:JMY37"/>
    <mergeCell ref="JMZ37:JNP37"/>
    <mergeCell ref="JNQ37:JOG37"/>
    <mergeCell ref="JOH37:JOX37"/>
    <mergeCell ref="JOY37:JPO37"/>
    <mergeCell ref="JPP37:JQF37"/>
    <mergeCell ref="JQG37:JQW37"/>
    <mergeCell ref="JQX37:JRN37"/>
    <mergeCell ref="JRO37:JSE37"/>
    <mergeCell ref="JGL37:JHB37"/>
    <mergeCell ref="JHC37:JHS37"/>
    <mergeCell ref="JHT37:JIJ37"/>
    <mergeCell ref="JIK37:JJA37"/>
    <mergeCell ref="JJB37:JJR37"/>
    <mergeCell ref="JJS37:JKI37"/>
    <mergeCell ref="JKJ37:JKZ37"/>
    <mergeCell ref="JLA37:JLQ37"/>
    <mergeCell ref="JLR37:JMH37"/>
    <mergeCell ref="JAO37:JBE37"/>
    <mergeCell ref="JBF37:JBV37"/>
    <mergeCell ref="JBW37:JCM37"/>
    <mergeCell ref="JCN37:JDD37"/>
    <mergeCell ref="JDE37:JDU37"/>
    <mergeCell ref="JDV37:JEL37"/>
    <mergeCell ref="JEM37:JFC37"/>
    <mergeCell ref="JFD37:JFT37"/>
    <mergeCell ref="JFU37:JGK37"/>
    <mergeCell ref="IUR37:IVH37"/>
    <mergeCell ref="IVI37:IVY37"/>
    <mergeCell ref="IVZ37:IWP37"/>
    <mergeCell ref="IWQ37:IXG37"/>
    <mergeCell ref="IXH37:IXX37"/>
    <mergeCell ref="IXY37:IYO37"/>
    <mergeCell ref="IYP37:IZF37"/>
    <mergeCell ref="IZG37:IZW37"/>
    <mergeCell ref="IZX37:JAN37"/>
    <mergeCell ref="IOU37:IPK37"/>
    <mergeCell ref="IPL37:IQB37"/>
    <mergeCell ref="IQC37:IQS37"/>
    <mergeCell ref="IQT37:IRJ37"/>
    <mergeCell ref="IRK37:ISA37"/>
    <mergeCell ref="ISB37:ISR37"/>
    <mergeCell ref="ISS37:ITI37"/>
    <mergeCell ref="ITJ37:ITZ37"/>
    <mergeCell ref="IUA37:IUQ37"/>
    <mergeCell ref="IIX37:IJN37"/>
    <mergeCell ref="IJO37:IKE37"/>
    <mergeCell ref="IKF37:IKV37"/>
    <mergeCell ref="IKW37:ILM37"/>
    <mergeCell ref="ILN37:IMD37"/>
    <mergeCell ref="IME37:IMU37"/>
    <mergeCell ref="IMV37:INL37"/>
    <mergeCell ref="INM37:IOC37"/>
    <mergeCell ref="IOD37:IOT37"/>
    <mergeCell ref="IDA37:IDQ37"/>
    <mergeCell ref="IDR37:IEH37"/>
    <mergeCell ref="IEI37:IEY37"/>
    <mergeCell ref="IEZ37:IFP37"/>
    <mergeCell ref="IFQ37:IGG37"/>
    <mergeCell ref="IGH37:IGX37"/>
    <mergeCell ref="IGY37:IHO37"/>
    <mergeCell ref="IHP37:IIF37"/>
    <mergeCell ref="IIG37:IIW37"/>
    <mergeCell ref="HXD37:HXT37"/>
    <mergeCell ref="HXU37:HYK37"/>
    <mergeCell ref="HYL37:HZB37"/>
    <mergeCell ref="HZC37:HZS37"/>
    <mergeCell ref="HZT37:IAJ37"/>
    <mergeCell ref="IAK37:IBA37"/>
    <mergeCell ref="IBB37:IBR37"/>
    <mergeCell ref="IBS37:ICI37"/>
    <mergeCell ref="ICJ37:ICZ37"/>
    <mergeCell ref="HRG37:HRW37"/>
    <mergeCell ref="HRX37:HSN37"/>
    <mergeCell ref="HSO37:HTE37"/>
    <mergeCell ref="HTF37:HTV37"/>
    <mergeCell ref="HTW37:HUM37"/>
    <mergeCell ref="HUN37:HVD37"/>
    <mergeCell ref="HVE37:HVU37"/>
    <mergeCell ref="HVV37:HWL37"/>
    <mergeCell ref="HWM37:HXC37"/>
    <mergeCell ref="HLJ37:HLZ37"/>
    <mergeCell ref="HMA37:HMQ37"/>
    <mergeCell ref="HMR37:HNH37"/>
    <mergeCell ref="HNI37:HNY37"/>
    <mergeCell ref="HNZ37:HOP37"/>
    <mergeCell ref="HOQ37:HPG37"/>
    <mergeCell ref="HPH37:HPX37"/>
    <mergeCell ref="HPY37:HQO37"/>
    <mergeCell ref="HQP37:HRF37"/>
    <mergeCell ref="HFM37:HGC37"/>
    <mergeCell ref="HGD37:HGT37"/>
    <mergeCell ref="HGU37:HHK37"/>
    <mergeCell ref="HHL37:HIB37"/>
    <mergeCell ref="HIC37:HIS37"/>
    <mergeCell ref="HIT37:HJJ37"/>
    <mergeCell ref="HJK37:HKA37"/>
    <mergeCell ref="HKB37:HKR37"/>
    <mergeCell ref="HKS37:HLI37"/>
    <mergeCell ref="GZP37:HAF37"/>
    <mergeCell ref="HAG37:HAW37"/>
    <mergeCell ref="HAX37:HBN37"/>
    <mergeCell ref="HBO37:HCE37"/>
    <mergeCell ref="HCF37:HCV37"/>
    <mergeCell ref="HCW37:HDM37"/>
    <mergeCell ref="HDN37:HED37"/>
    <mergeCell ref="HEE37:HEU37"/>
    <mergeCell ref="HEV37:HFL37"/>
    <mergeCell ref="GTS37:GUI37"/>
    <mergeCell ref="GUJ37:GUZ37"/>
    <mergeCell ref="GVA37:GVQ37"/>
    <mergeCell ref="GVR37:GWH37"/>
    <mergeCell ref="GWI37:GWY37"/>
    <mergeCell ref="GWZ37:GXP37"/>
    <mergeCell ref="GXQ37:GYG37"/>
    <mergeCell ref="GYH37:GYX37"/>
    <mergeCell ref="GYY37:GZO37"/>
    <mergeCell ref="GNV37:GOL37"/>
    <mergeCell ref="GOM37:GPC37"/>
    <mergeCell ref="GPD37:GPT37"/>
    <mergeCell ref="GPU37:GQK37"/>
    <mergeCell ref="GQL37:GRB37"/>
    <mergeCell ref="GRC37:GRS37"/>
    <mergeCell ref="GRT37:GSJ37"/>
    <mergeCell ref="GSK37:GTA37"/>
    <mergeCell ref="GTB37:GTR37"/>
    <mergeCell ref="GHY37:GIO37"/>
    <mergeCell ref="GIP37:GJF37"/>
    <mergeCell ref="GJG37:GJW37"/>
    <mergeCell ref="GJX37:GKN37"/>
    <mergeCell ref="GKO37:GLE37"/>
    <mergeCell ref="GLF37:GLV37"/>
    <mergeCell ref="GLW37:GMM37"/>
    <mergeCell ref="GMN37:GND37"/>
    <mergeCell ref="GNE37:GNU37"/>
    <mergeCell ref="GCB37:GCR37"/>
    <mergeCell ref="GCS37:GDI37"/>
    <mergeCell ref="GDJ37:GDZ37"/>
    <mergeCell ref="GEA37:GEQ37"/>
    <mergeCell ref="GER37:GFH37"/>
    <mergeCell ref="GFI37:GFY37"/>
    <mergeCell ref="GFZ37:GGP37"/>
    <mergeCell ref="GGQ37:GHG37"/>
    <mergeCell ref="GHH37:GHX37"/>
    <mergeCell ref="FWE37:FWU37"/>
    <mergeCell ref="FWV37:FXL37"/>
    <mergeCell ref="FXM37:FYC37"/>
    <mergeCell ref="FYD37:FYT37"/>
    <mergeCell ref="FYU37:FZK37"/>
    <mergeCell ref="FZL37:GAB37"/>
    <mergeCell ref="GAC37:GAS37"/>
    <mergeCell ref="GAT37:GBJ37"/>
    <mergeCell ref="GBK37:GCA37"/>
    <mergeCell ref="FQH37:FQX37"/>
    <mergeCell ref="FQY37:FRO37"/>
    <mergeCell ref="FRP37:FSF37"/>
    <mergeCell ref="FSG37:FSW37"/>
    <mergeCell ref="FSX37:FTN37"/>
    <mergeCell ref="FTO37:FUE37"/>
    <mergeCell ref="FUF37:FUV37"/>
    <mergeCell ref="FUW37:FVM37"/>
    <mergeCell ref="FVN37:FWD37"/>
    <mergeCell ref="FKK37:FLA37"/>
    <mergeCell ref="FLB37:FLR37"/>
    <mergeCell ref="FLS37:FMI37"/>
    <mergeCell ref="FMJ37:FMZ37"/>
    <mergeCell ref="FNA37:FNQ37"/>
    <mergeCell ref="FNR37:FOH37"/>
    <mergeCell ref="FOI37:FOY37"/>
    <mergeCell ref="FOZ37:FPP37"/>
    <mergeCell ref="FPQ37:FQG37"/>
    <mergeCell ref="FEN37:FFD37"/>
    <mergeCell ref="FFE37:FFU37"/>
    <mergeCell ref="FFV37:FGL37"/>
    <mergeCell ref="FGM37:FHC37"/>
    <mergeCell ref="FHD37:FHT37"/>
    <mergeCell ref="FHU37:FIK37"/>
    <mergeCell ref="FIL37:FJB37"/>
    <mergeCell ref="FJC37:FJS37"/>
    <mergeCell ref="FJT37:FKJ37"/>
    <mergeCell ref="EYQ37:EZG37"/>
    <mergeCell ref="EZH37:EZX37"/>
    <mergeCell ref="EZY37:FAO37"/>
    <mergeCell ref="FAP37:FBF37"/>
    <mergeCell ref="FBG37:FBW37"/>
    <mergeCell ref="FBX37:FCN37"/>
    <mergeCell ref="FCO37:FDE37"/>
    <mergeCell ref="FDF37:FDV37"/>
    <mergeCell ref="FDW37:FEM37"/>
    <mergeCell ref="EST37:ETJ37"/>
    <mergeCell ref="ETK37:EUA37"/>
    <mergeCell ref="EUB37:EUR37"/>
    <mergeCell ref="EUS37:EVI37"/>
    <mergeCell ref="EVJ37:EVZ37"/>
    <mergeCell ref="EWA37:EWQ37"/>
    <mergeCell ref="EWR37:EXH37"/>
    <mergeCell ref="EXI37:EXY37"/>
    <mergeCell ref="EXZ37:EYP37"/>
    <mergeCell ref="EMW37:ENM37"/>
    <mergeCell ref="ENN37:EOD37"/>
    <mergeCell ref="EOE37:EOU37"/>
    <mergeCell ref="EOV37:EPL37"/>
    <mergeCell ref="EPM37:EQC37"/>
    <mergeCell ref="EQD37:EQT37"/>
    <mergeCell ref="EQU37:ERK37"/>
    <mergeCell ref="ERL37:ESB37"/>
    <mergeCell ref="ESC37:ESS37"/>
    <mergeCell ref="EGZ37:EHP37"/>
    <mergeCell ref="EHQ37:EIG37"/>
    <mergeCell ref="EIH37:EIX37"/>
    <mergeCell ref="EIY37:EJO37"/>
    <mergeCell ref="EJP37:EKF37"/>
    <mergeCell ref="EKG37:EKW37"/>
    <mergeCell ref="EKX37:ELN37"/>
    <mergeCell ref="ELO37:EME37"/>
    <mergeCell ref="EMF37:EMV37"/>
    <mergeCell ref="EBC37:EBS37"/>
    <mergeCell ref="EBT37:ECJ37"/>
    <mergeCell ref="ECK37:EDA37"/>
    <mergeCell ref="EDB37:EDR37"/>
    <mergeCell ref="EDS37:EEI37"/>
    <mergeCell ref="EEJ37:EEZ37"/>
    <mergeCell ref="EFA37:EFQ37"/>
    <mergeCell ref="EFR37:EGH37"/>
    <mergeCell ref="EGI37:EGY37"/>
    <mergeCell ref="DVF37:DVV37"/>
    <mergeCell ref="DVW37:DWM37"/>
    <mergeCell ref="DWN37:DXD37"/>
    <mergeCell ref="DXE37:DXU37"/>
    <mergeCell ref="DXV37:DYL37"/>
    <mergeCell ref="DYM37:DZC37"/>
    <mergeCell ref="DZD37:DZT37"/>
    <mergeCell ref="DZU37:EAK37"/>
    <mergeCell ref="EAL37:EBB37"/>
    <mergeCell ref="DPI37:DPY37"/>
    <mergeCell ref="DPZ37:DQP37"/>
    <mergeCell ref="DQQ37:DRG37"/>
    <mergeCell ref="DRH37:DRX37"/>
    <mergeCell ref="DRY37:DSO37"/>
    <mergeCell ref="DSP37:DTF37"/>
    <mergeCell ref="DTG37:DTW37"/>
    <mergeCell ref="DTX37:DUN37"/>
    <mergeCell ref="DUO37:DVE37"/>
    <mergeCell ref="DJL37:DKB37"/>
    <mergeCell ref="DKC37:DKS37"/>
    <mergeCell ref="DKT37:DLJ37"/>
    <mergeCell ref="DLK37:DMA37"/>
    <mergeCell ref="DMB37:DMR37"/>
    <mergeCell ref="DMS37:DNI37"/>
    <mergeCell ref="DNJ37:DNZ37"/>
    <mergeCell ref="DOA37:DOQ37"/>
    <mergeCell ref="DOR37:DPH37"/>
    <mergeCell ref="DDO37:DEE37"/>
    <mergeCell ref="DEF37:DEV37"/>
    <mergeCell ref="DEW37:DFM37"/>
    <mergeCell ref="DFN37:DGD37"/>
    <mergeCell ref="DGE37:DGU37"/>
    <mergeCell ref="DGV37:DHL37"/>
    <mergeCell ref="DHM37:DIC37"/>
    <mergeCell ref="DID37:DIT37"/>
    <mergeCell ref="DIU37:DJK37"/>
    <mergeCell ref="CXR37:CYH37"/>
    <mergeCell ref="CYI37:CYY37"/>
    <mergeCell ref="CYZ37:CZP37"/>
    <mergeCell ref="CZQ37:DAG37"/>
    <mergeCell ref="DAH37:DAX37"/>
    <mergeCell ref="DAY37:DBO37"/>
    <mergeCell ref="DBP37:DCF37"/>
    <mergeCell ref="DCG37:DCW37"/>
    <mergeCell ref="DCX37:DDN37"/>
    <mergeCell ref="CRU37:CSK37"/>
    <mergeCell ref="CSL37:CTB37"/>
    <mergeCell ref="CTC37:CTS37"/>
    <mergeCell ref="CTT37:CUJ37"/>
    <mergeCell ref="CUK37:CVA37"/>
    <mergeCell ref="CVB37:CVR37"/>
    <mergeCell ref="CVS37:CWI37"/>
    <mergeCell ref="CWJ37:CWZ37"/>
    <mergeCell ref="CXA37:CXQ37"/>
    <mergeCell ref="CLX37:CMN37"/>
    <mergeCell ref="CMO37:CNE37"/>
    <mergeCell ref="CNF37:CNV37"/>
    <mergeCell ref="CNW37:COM37"/>
    <mergeCell ref="CON37:CPD37"/>
    <mergeCell ref="CPE37:CPU37"/>
    <mergeCell ref="CPV37:CQL37"/>
    <mergeCell ref="CQM37:CRC37"/>
    <mergeCell ref="CRD37:CRT37"/>
    <mergeCell ref="CGA37:CGQ37"/>
    <mergeCell ref="CGR37:CHH37"/>
    <mergeCell ref="CHI37:CHY37"/>
    <mergeCell ref="CHZ37:CIP37"/>
    <mergeCell ref="CIQ37:CJG37"/>
    <mergeCell ref="CJH37:CJX37"/>
    <mergeCell ref="CJY37:CKO37"/>
    <mergeCell ref="CKP37:CLF37"/>
    <mergeCell ref="CLG37:CLW37"/>
    <mergeCell ref="CAD37:CAT37"/>
    <mergeCell ref="CAU37:CBK37"/>
    <mergeCell ref="CBL37:CCB37"/>
    <mergeCell ref="CCC37:CCS37"/>
    <mergeCell ref="CCT37:CDJ37"/>
    <mergeCell ref="CDK37:CEA37"/>
    <mergeCell ref="CEB37:CER37"/>
    <mergeCell ref="CES37:CFI37"/>
    <mergeCell ref="CFJ37:CFZ37"/>
    <mergeCell ref="BUG37:BUW37"/>
    <mergeCell ref="BUX37:BVN37"/>
    <mergeCell ref="BVO37:BWE37"/>
    <mergeCell ref="BWF37:BWV37"/>
    <mergeCell ref="BWW37:BXM37"/>
    <mergeCell ref="BXN37:BYD37"/>
    <mergeCell ref="BYE37:BYU37"/>
    <mergeCell ref="BYV37:BZL37"/>
    <mergeCell ref="BZM37:CAC37"/>
    <mergeCell ref="BOJ37:BOZ37"/>
    <mergeCell ref="BPA37:BPQ37"/>
    <mergeCell ref="BPR37:BQH37"/>
    <mergeCell ref="BQI37:BQY37"/>
    <mergeCell ref="BQZ37:BRP37"/>
    <mergeCell ref="BRQ37:BSG37"/>
    <mergeCell ref="BSH37:BSX37"/>
    <mergeCell ref="BSY37:BTO37"/>
    <mergeCell ref="BTP37:BUF37"/>
    <mergeCell ref="BIM37:BJC37"/>
    <mergeCell ref="BJD37:BJT37"/>
    <mergeCell ref="BJU37:BKK37"/>
    <mergeCell ref="BKL37:BLB37"/>
    <mergeCell ref="BLC37:BLS37"/>
    <mergeCell ref="BLT37:BMJ37"/>
    <mergeCell ref="BMK37:BNA37"/>
    <mergeCell ref="BNB37:BNR37"/>
    <mergeCell ref="BNS37:BOI37"/>
    <mergeCell ref="BCP37:BDF37"/>
    <mergeCell ref="BDG37:BDW37"/>
    <mergeCell ref="BDX37:BEN37"/>
    <mergeCell ref="BEO37:BFE37"/>
    <mergeCell ref="BFF37:BFV37"/>
    <mergeCell ref="BFW37:BGM37"/>
    <mergeCell ref="BGN37:BHD37"/>
    <mergeCell ref="BHE37:BHU37"/>
    <mergeCell ref="BHV37:BIL37"/>
    <mergeCell ref="AWS37:AXI37"/>
    <mergeCell ref="AXJ37:AXZ37"/>
    <mergeCell ref="AYA37:AYQ37"/>
    <mergeCell ref="AYR37:AZH37"/>
    <mergeCell ref="AZI37:AZY37"/>
    <mergeCell ref="AZZ37:BAP37"/>
    <mergeCell ref="BAQ37:BBG37"/>
    <mergeCell ref="BBH37:BBX37"/>
    <mergeCell ref="BBY37:BCO37"/>
    <mergeCell ref="AQV37:ARL37"/>
    <mergeCell ref="ARM37:ASC37"/>
    <mergeCell ref="ASD37:AST37"/>
    <mergeCell ref="ASU37:ATK37"/>
    <mergeCell ref="ATL37:AUB37"/>
    <mergeCell ref="AUC37:AUS37"/>
    <mergeCell ref="AUT37:AVJ37"/>
    <mergeCell ref="AVK37:AWA37"/>
    <mergeCell ref="AWB37:AWR37"/>
    <mergeCell ref="AKY37:ALO37"/>
    <mergeCell ref="ALP37:AMF37"/>
    <mergeCell ref="AMG37:AMW37"/>
    <mergeCell ref="AMX37:ANN37"/>
    <mergeCell ref="ANO37:AOE37"/>
    <mergeCell ref="AOF37:AOV37"/>
    <mergeCell ref="AOW37:APM37"/>
    <mergeCell ref="APN37:AQD37"/>
    <mergeCell ref="AQE37:AQU37"/>
    <mergeCell ref="AFB37:AFR37"/>
    <mergeCell ref="AFS37:AGI37"/>
    <mergeCell ref="AGJ37:AGZ37"/>
    <mergeCell ref="AHA37:AHQ37"/>
    <mergeCell ref="AHR37:AIH37"/>
    <mergeCell ref="AII37:AIY37"/>
    <mergeCell ref="AIZ37:AJP37"/>
    <mergeCell ref="AJQ37:AKG37"/>
    <mergeCell ref="AKH37:AKX37"/>
    <mergeCell ref="ZE37:ZU37"/>
    <mergeCell ref="ZV37:AAL37"/>
    <mergeCell ref="AAM37:ABC37"/>
    <mergeCell ref="ABD37:ABT37"/>
    <mergeCell ref="ABU37:ACK37"/>
    <mergeCell ref="ACL37:ADB37"/>
    <mergeCell ref="ADC37:ADS37"/>
    <mergeCell ref="ADT37:AEJ37"/>
    <mergeCell ref="AEK37:AFA37"/>
    <mergeCell ref="TH37:TX37"/>
    <mergeCell ref="TY37:UO37"/>
    <mergeCell ref="UP37:VF37"/>
    <mergeCell ref="VG37:VW37"/>
    <mergeCell ref="VX37:WN37"/>
    <mergeCell ref="WO37:XE37"/>
    <mergeCell ref="XF37:XV37"/>
    <mergeCell ref="XW37:YM37"/>
    <mergeCell ref="YN37:ZD37"/>
    <mergeCell ref="NK37:OA37"/>
    <mergeCell ref="OB37:OR37"/>
    <mergeCell ref="OS37:PI37"/>
    <mergeCell ref="PJ37:PZ37"/>
    <mergeCell ref="QA37:QQ37"/>
    <mergeCell ref="QR37:RH37"/>
    <mergeCell ref="RI37:RY37"/>
    <mergeCell ref="RZ37:SP37"/>
    <mergeCell ref="SQ37:TG37"/>
    <mergeCell ref="XEA36:XEQ36"/>
    <mergeCell ref="XER36:XFD36"/>
    <mergeCell ref="A37:Q37"/>
    <mergeCell ref="R37:AH37"/>
    <mergeCell ref="AI37:AY37"/>
    <mergeCell ref="AZ37:BP37"/>
    <mergeCell ref="BQ37:CG37"/>
    <mergeCell ref="CH37:CX37"/>
    <mergeCell ref="CY37:DO37"/>
    <mergeCell ref="DP37:EF37"/>
    <mergeCell ref="EG37:EW37"/>
    <mergeCell ref="EX37:FN37"/>
    <mergeCell ref="FO37:GE37"/>
    <mergeCell ref="GF37:GV37"/>
    <mergeCell ref="GW37:HM37"/>
    <mergeCell ref="HN37:ID37"/>
    <mergeCell ref="IE37:IU37"/>
    <mergeCell ref="IV37:JL37"/>
    <mergeCell ref="JM37:KC37"/>
    <mergeCell ref="KD37:KT37"/>
    <mergeCell ref="KU37:LK37"/>
    <mergeCell ref="LL37:MB37"/>
    <mergeCell ref="MC37:MS37"/>
    <mergeCell ref="MT37:NJ37"/>
    <mergeCell ref="WYD36:WYT36"/>
    <mergeCell ref="WYU36:WZK36"/>
    <mergeCell ref="WZL36:XAB36"/>
    <mergeCell ref="XAC36:XAS36"/>
    <mergeCell ref="XAT36:XBJ36"/>
    <mergeCell ref="XBK36:XCA36"/>
    <mergeCell ref="XCB36:XCR36"/>
    <mergeCell ref="XCS36:XDI36"/>
    <mergeCell ref="XDJ36:XDZ36"/>
    <mergeCell ref="WSG36:WSW36"/>
    <mergeCell ref="WSX36:WTN36"/>
    <mergeCell ref="WTO36:WUE36"/>
    <mergeCell ref="WUF36:WUV36"/>
    <mergeCell ref="WUW36:WVM36"/>
    <mergeCell ref="WVN36:WWD36"/>
    <mergeCell ref="WWE36:WWU36"/>
    <mergeCell ref="WWV36:WXL36"/>
    <mergeCell ref="WXM36:WYC36"/>
    <mergeCell ref="WMJ36:WMZ36"/>
    <mergeCell ref="WNA36:WNQ36"/>
    <mergeCell ref="WNR36:WOH36"/>
    <mergeCell ref="WOI36:WOY36"/>
    <mergeCell ref="WOZ36:WPP36"/>
    <mergeCell ref="WPQ36:WQG36"/>
    <mergeCell ref="WQH36:WQX36"/>
    <mergeCell ref="WQY36:WRO36"/>
    <mergeCell ref="WRP36:WSF36"/>
    <mergeCell ref="WGM36:WHC36"/>
    <mergeCell ref="WHD36:WHT36"/>
    <mergeCell ref="WHU36:WIK36"/>
    <mergeCell ref="WIL36:WJB36"/>
    <mergeCell ref="WJC36:WJS36"/>
    <mergeCell ref="WJT36:WKJ36"/>
    <mergeCell ref="WKK36:WLA36"/>
    <mergeCell ref="WLB36:WLR36"/>
    <mergeCell ref="WLS36:WMI36"/>
    <mergeCell ref="WAP36:WBF36"/>
    <mergeCell ref="WBG36:WBW36"/>
    <mergeCell ref="WBX36:WCN36"/>
    <mergeCell ref="WCO36:WDE36"/>
    <mergeCell ref="WDF36:WDV36"/>
    <mergeCell ref="WDW36:WEM36"/>
    <mergeCell ref="WEN36:WFD36"/>
    <mergeCell ref="WFE36:WFU36"/>
    <mergeCell ref="WFV36:WGL36"/>
    <mergeCell ref="VUS36:VVI36"/>
    <mergeCell ref="VVJ36:VVZ36"/>
    <mergeCell ref="VWA36:VWQ36"/>
    <mergeCell ref="VWR36:VXH36"/>
    <mergeCell ref="VXI36:VXY36"/>
    <mergeCell ref="VXZ36:VYP36"/>
    <mergeCell ref="VYQ36:VZG36"/>
    <mergeCell ref="VZH36:VZX36"/>
    <mergeCell ref="VZY36:WAO36"/>
    <mergeCell ref="VOV36:VPL36"/>
    <mergeCell ref="VPM36:VQC36"/>
    <mergeCell ref="VQD36:VQT36"/>
    <mergeCell ref="VQU36:VRK36"/>
    <mergeCell ref="VRL36:VSB36"/>
    <mergeCell ref="VSC36:VSS36"/>
    <mergeCell ref="VST36:VTJ36"/>
    <mergeCell ref="VTK36:VUA36"/>
    <mergeCell ref="VUB36:VUR36"/>
    <mergeCell ref="VIY36:VJO36"/>
    <mergeCell ref="VJP36:VKF36"/>
    <mergeCell ref="VKG36:VKW36"/>
    <mergeCell ref="VKX36:VLN36"/>
    <mergeCell ref="VLO36:VME36"/>
    <mergeCell ref="VMF36:VMV36"/>
    <mergeCell ref="VMW36:VNM36"/>
    <mergeCell ref="VNN36:VOD36"/>
    <mergeCell ref="VOE36:VOU36"/>
    <mergeCell ref="VDB36:VDR36"/>
    <mergeCell ref="VDS36:VEI36"/>
    <mergeCell ref="VEJ36:VEZ36"/>
    <mergeCell ref="VFA36:VFQ36"/>
    <mergeCell ref="VFR36:VGH36"/>
    <mergeCell ref="VGI36:VGY36"/>
    <mergeCell ref="VGZ36:VHP36"/>
    <mergeCell ref="VHQ36:VIG36"/>
    <mergeCell ref="VIH36:VIX36"/>
    <mergeCell ref="UXE36:UXU36"/>
    <mergeCell ref="UXV36:UYL36"/>
    <mergeCell ref="UYM36:UZC36"/>
    <mergeCell ref="UZD36:UZT36"/>
    <mergeCell ref="UZU36:VAK36"/>
    <mergeCell ref="VAL36:VBB36"/>
    <mergeCell ref="VBC36:VBS36"/>
    <mergeCell ref="VBT36:VCJ36"/>
    <mergeCell ref="VCK36:VDA36"/>
    <mergeCell ref="URH36:URX36"/>
    <mergeCell ref="URY36:USO36"/>
    <mergeCell ref="USP36:UTF36"/>
    <mergeCell ref="UTG36:UTW36"/>
    <mergeCell ref="UTX36:UUN36"/>
    <mergeCell ref="UUO36:UVE36"/>
    <mergeCell ref="UVF36:UVV36"/>
    <mergeCell ref="UVW36:UWM36"/>
    <mergeCell ref="UWN36:UXD36"/>
    <mergeCell ref="ULK36:UMA36"/>
    <mergeCell ref="UMB36:UMR36"/>
    <mergeCell ref="UMS36:UNI36"/>
    <mergeCell ref="UNJ36:UNZ36"/>
    <mergeCell ref="UOA36:UOQ36"/>
    <mergeCell ref="UOR36:UPH36"/>
    <mergeCell ref="UPI36:UPY36"/>
    <mergeCell ref="UPZ36:UQP36"/>
    <mergeCell ref="UQQ36:URG36"/>
    <mergeCell ref="UFN36:UGD36"/>
    <mergeCell ref="UGE36:UGU36"/>
    <mergeCell ref="UGV36:UHL36"/>
    <mergeCell ref="UHM36:UIC36"/>
    <mergeCell ref="UID36:UIT36"/>
    <mergeCell ref="UIU36:UJK36"/>
    <mergeCell ref="UJL36:UKB36"/>
    <mergeCell ref="UKC36:UKS36"/>
    <mergeCell ref="UKT36:ULJ36"/>
    <mergeCell ref="TZQ36:UAG36"/>
    <mergeCell ref="UAH36:UAX36"/>
    <mergeCell ref="UAY36:UBO36"/>
    <mergeCell ref="UBP36:UCF36"/>
    <mergeCell ref="UCG36:UCW36"/>
    <mergeCell ref="UCX36:UDN36"/>
    <mergeCell ref="UDO36:UEE36"/>
    <mergeCell ref="UEF36:UEV36"/>
    <mergeCell ref="UEW36:UFM36"/>
    <mergeCell ref="TTT36:TUJ36"/>
    <mergeCell ref="TUK36:TVA36"/>
    <mergeCell ref="TVB36:TVR36"/>
    <mergeCell ref="TVS36:TWI36"/>
    <mergeCell ref="TWJ36:TWZ36"/>
    <mergeCell ref="TXA36:TXQ36"/>
    <mergeCell ref="TXR36:TYH36"/>
    <mergeCell ref="TYI36:TYY36"/>
    <mergeCell ref="TYZ36:TZP36"/>
    <mergeCell ref="TNW36:TOM36"/>
    <mergeCell ref="TON36:TPD36"/>
    <mergeCell ref="TPE36:TPU36"/>
    <mergeCell ref="TPV36:TQL36"/>
    <mergeCell ref="TQM36:TRC36"/>
    <mergeCell ref="TRD36:TRT36"/>
    <mergeCell ref="TRU36:TSK36"/>
    <mergeCell ref="TSL36:TTB36"/>
    <mergeCell ref="TTC36:TTS36"/>
    <mergeCell ref="THZ36:TIP36"/>
    <mergeCell ref="TIQ36:TJG36"/>
    <mergeCell ref="TJH36:TJX36"/>
    <mergeCell ref="TJY36:TKO36"/>
    <mergeCell ref="TKP36:TLF36"/>
    <mergeCell ref="TLG36:TLW36"/>
    <mergeCell ref="TLX36:TMN36"/>
    <mergeCell ref="TMO36:TNE36"/>
    <mergeCell ref="TNF36:TNV36"/>
    <mergeCell ref="TCC36:TCS36"/>
    <mergeCell ref="TCT36:TDJ36"/>
    <mergeCell ref="TDK36:TEA36"/>
    <mergeCell ref="TEB36:TER36"/>
    <mergeCell ref="TES36:TFI36"/>
    <mergeCell ref="TFJ36:TFZ36"/>
    <mergeCell ref="TGA36:TGQ36"/>
    <mergeCell ref="TGR36:THH36"/>
    <mergeCell ref="THI36:THY36"/>
    <mergeCell ref="SWF36:SWV36"/>
    <mergeCell ref="SWW36:SXM36"/>
    <mergeCell ref="SXN36:SYD36"/>
    <mergeCell ref="SYE36:SYU36"/>
    <mergeCell ref="SYV36:SZL36"/>
    <mergeCell ref="SZM36:TAC36"/>
    <mergeCell ref="TAD36:TAT36"/>
    <mergeCell ref="TAU36:TBK36"/>
    <mergeCell ref="TBL36:TCB36"/>
    <mergeCell ref="SQI36:SQY36"/>
    <mergeCell ref="SQZ36:SRP36"/>
    <mergeCell ref="SRQ36:SSG36"/>
    <mergeCell ref="SSH36:SSX36"/>
    <mergeCell ref="SSY36:STO36"/>
    <mergeCell ref="STP36:SUF36"/>
    <mergeCell ref="SUG36:SUW36"/>
    <mergeCell ref="SUX36:SVN36"/>
    <mergeCell ref="SVO36:SWE36"/>
    <mergeCell ref="SKL36:SLB36"/>
    <mergeCell ref="SLC36:SLS36"/>
    <mergeCell ref="SLT36:SMJ36"/>
    <mergeCell ref="SMK36:SNA36"/>
    <mergeCell ref="SNB36:SNR36"/>
    <mergeCell ref="SNS36:SOI36"/>
    <mergeCell ref="SOJ36:SOZ36"/>
    <mergeCell ref="SPA36:SPQ36"/>
    <mergeCell ref="SPR36:SQH36"/>
    <mergeCell ref="SEO36:SFE36"/>
    <mergeCell ref="SFF36:SFV36"/>
    <mergeCell ref="SFW36:SGM36"/>
    <mergeCell ref="SGN36:SHD36"/>
    <mergeCell ref="SHE36:SHU36"/>
    <mergeCell ref="SHV36:SIL36"/>
    <mergeCell ref="SIM36:SJC36"/>
    <mergeCell ref="SJD36:SJT36"/>
    <mergeCell ref="SJU36:SKK36"/>
    <mergeCell ref="RYR36:RZH36"/>
    <mergeCell ref="RZI36:RZY36"/>
    <mergeCell ref="RZZ36:SAP36"/>
    <mergeCell ref="SAQ36:SBG36"/>
    <mergeCell ref="SBH36:SBX36"/>
    <mergeCell ref="SBY36:SCO36"/>
    <mergeCell ref="SCP36:SDF36"/>
    <mergeCell ref="SDG36:SDW36"/>
    <mergeCell ref="SDX36:SEN36"/>
    <mergeCell ref="RSU36:RTK36"/>
    <mergeCell ref="RTL36:RUB36"/>
    <mergeCell ref="RUC36:RUS36"/>
    <mergeCell ref="RUT36:RVJ36"/>
    <mergeCell ref="RVK36:RWA36"/>
    <mergeCell ref="RWB36:RWR36"/>
    <mergeCell ref="RWS36:RXI36"/>
    <mergeCell ref="RXJ36:RXZ36"/>
    <mergeCell ref="RYA36:RYQ36"/>
    <mergeCell ref="RMX36:RNN36"/>
    <mergeCell ref="RNO36:ROE36"/>
    <mergeCell ref="ROF36:ROV36"/>
    <mergeCell ref="ROW36:RPM36"/>
    <mergeCell ref="RPN36:RQD36"/>
    <mergeCell ref="RQE36:RQU36"/>
    <mergeCell ref="RQV36:RRL36"/>
    <mergeCell ref="RRM36:RSC36"/>
    <mergeCell ref="RSD36:RST36"/>
    <mergeCell ref="RHA36:RHQ36"/>
    <mergeCell ref="RHR36:RIH36"/>
    <mergeCell ref="RII36:RIY36"/>
    <mergeCell ref="RIZ36:RJP36"/>
    <mergeCell ref="RJQ36:RKG36"/>
    <mergeCell ref="RKH36:RKX36"/>
    <mergeCell ref="RKY36:RLO36"/>
    <mergeCell ref="RLP36:RMF36"/>
    <mergeCell ref="RMG36:RMW36"/>
    <mergeCell ref="RBD36:RBT36"/>
    <mergeCell ref="RBU36:RCK36"/>
    <mergeCell ref="RCL36:RDB36"/>
    <mergeCell ref="RDC36:RDS36"/>
    <mergeCell ref="RDT36:REJ36"/>
    <mergeCell ref="REK36:RFA36"/>
    <mergeCell ref="RFB36:RFR36"/>
    <mergeCell ref="RFS36:RGI36"/>
    <mergeCell ref="RGJ36:RGZ36"/>
    <mergeCell ref="QVG36:QVW36"/>
    <mergeCell ref="QVX36:QWN36"/>
    <mergeCell ref="QWO36:QXE36"/>
    <mergeCell ref="QXF36:QXV36"/>
    <mergeCell ref="QXW36:QYM36"/>
    <mergeCell ref="QYN36:QZD36"/>
    <mergeCell ref="QZE36:QZU36"/>
    <mergeCell ref="QZV36:RAL36"/>
    <mergeCell ref="RAM36:RBC36"/>
    <mergeCell ref="QPJ36:QPZ36"/>
    <mergeCell ref="QQA36:QQQ36"/>
    <mergeCell ref="QQR36:QRH36"/>
    <mergeCell ref="QRI36:QRY36"/>
    <mergeCell ref="QRZ36:QSP36"/>
    <mergeCell ref="QSQ36:QTG36"/>
    <mergeCell ref="QTH36:QTX36"/>
    <mergeCell ref="QTY36:QUO36"/>
    <mergeCell ref="QUP36:QVF36"/>
    <mergeCell ref="QJM36:QKC36"/>
    <mergeCell ref="QKD36:QKT36"/>
    <mergeCell ref="QKU36:QLK36"/>
    <mergeCell ref="QLL36:QMB36"/>
    <mergeCell ref="QMC36:QMS36"/>
    <mergeCell ref="QMT36:QNJ36"/>
    <mergeCell ref="QNK36:QOA36"/>
    <mergeCell ref="QOB36:QOR36"/>
    <mergeCell ref="QOS36:QPI36"/>
    <mergeCell ref="QDP36:QEF36"/>
    <mergeCell ref="QEG36:QEW36"/>
    <mergeCell ref="QEX36:QFN36"/>
    <mergeCell ref="QFO36:QGE36"/>
    <mergeCell ref="QGF36:QGV36"/>
    <mergeCell ref="QGW36:QHM36"/>
    <mergeCell ref="QHN36:QID36"/>
    <mergeCell ref="QIE36:QIU36"/>
    <mergeCell ref="QIV36:QJL36"/>
    <mergeCell ref="PXS36:PYI36"/>
    <mergeCell ref="PYJ36:PYZ36"/>
    <mergeCell ref="PZA36:PZQ36"/>
    <mergeCell ref="PZR36:QAH36"/>
    <mergeCell ref="QAI36:QAY36"/>
    <mergeCell ref="QAZ36:QBP36"/>
    <mergeCell ref="QBQ36:QCG36"/>
    <mergeCell ref="QCH36:QCX36"/>
    <mergeCell ref="QCY36:QDO36"/>
    <mergeCell ref="PRV36:PSL36"/>
    <mergeCell ref="PSM36:PTC36"/>
    <mergeCell ref="PTD36:PTT36"/>
    <mergeCell ref="PTU36:PUK36"/>
    <mergeCell ref="PUL36:PVB36"/>
    <mergeCell ref="PVC36:PVS36"/>
    <mergeCell ref="PVT36:PWJ36"/>
    <mergeCell ref="PWK36:PXA36"/>
    <mergeCell ref="PXB36:PXR36"/>
    <mergeCell ref="PLY36:PMO36"/>
    <mergeCell ref="PMP36:PNF36"/>
    <mergeCell ref="PNG36:PNW36"/>
    <mergeCell ref="PNX36:PON36"/>
    <mergeCell ref="POO36:PPE36"/>
    <mergeCell ref="PPF36:PPV36"/>
    <mergeCell ref="PPW36:PQM36"/>
    <mergeCell ref="PQN36:PRD36"/>
    <mergeCell ref="PRE36:PRU36"/>
    <mergeCell ref="PGB36:PGR36"/>
    <mergeCell ref="PGS36:PHI36"/>
    <mergeCell ref="PHJ36:PHZ36"/>
    <mergeCell ref="PIA36:PIQ36"/>
    <mergeCell ref="PIR36:PJH36"/>
    <mergeCell ref="PJI36:PJY36"/>
    <mergeCell ref="PJZ36:PKP36"/>
    <mergeCell ref="PKQ36:PLG36"/>
    <mergeCell ref="PLH36:PLX36"/>
    <mergeCell ref="PAE36:PAU36"/>
    <mergeCell ref="PAV36:PBL36"/>
    <mergeCell ref="PBM36:PCC36"/>
    <mergeCell ref="PCD36:PCT36"/>
    <mergeCell ref="PCU36:PDK36"/>
    <mergeCell ref="PDL36:PEB36"/>
    <mergeCell ref="PEC36:PES36"/>
    <mergeCell ref="PET36:PFJ36"/>
    <mergeCell ref="PFK36:PGA36"/>
    <mergeCell ref="OUH36:OUX36"/>
    <mergeCell ref="OUY36:OVO36"/>
    <mergeCell ref="OVP36:OWF36"/>
    <mergeCell ref="OWG36:OWW36"/>
    <mergeCell ref="OWX36:OXN36"/>
    <mergeCell ref="OXO36:OYE36"/>
    <mergeCell ref="OYF36:OYV36"/>
    <mergeCell ref="OYW36:OZM36"/>
    <mergeCell ref="OZN36:PAD36"/>
    <mergeCell ref="OOK36:OPA36"/>
    <mergeCell ref="OPB36:OPR36"/>
    <mergeCell ref="OPS36:OQI36"/>
    <mergeCell ref="OQJ36:OQZ36"/>
    <mergeCell ref="ORA36:ORQ36"/>
    <mergeCell ref="ORR36:OSH36"/>
    <mergeCell ref="OSI36:OSY36"/>
    <mergeCell ref="OSZ36:OTP36"/>
    <mergeCell ref="OTQ36:OUG36"/>
    <mergeCell ref="OIN36:OJD36"/>
    <mergeCell ref="OJE36:OJU36"/>
    <mergeCell ref="OJV36:OKL36"/>
    <mergeCell ref="OKM36:OLC36"/>
    <mergeCell ref="OLD36:OLT36"/>
    <mergeCell ref="OLU36:OMK36"/>
    <mergeCell ref="OML36:ONB36"/>
    <mergeCell ref="ONC36:ONS36"/>
    <mergeCell ref="ONT36:OOJ36"/>
    <mergeCell ref="OCQ36:ODG36"/>
    <mergeCell ref="ODH36:ODX36"/>
    <mergeCell ref="ODY36:OEO36"/>
    <mergeCell ref="OEP36:OFF36"/>
    <mergeCell ref="OFG36:OFW36"/>
    <mergeCell ref="OFX36:OGN36"/>
    <mergeCell ref="OGO36:OHE36"/>
    <mergeCell ref="OHF36:OHV36"/>
    <mergeCell ref="OHW36:OIM36"/>
    <mergeCell ref="NWT36:NXJ36"/>
    <mergeCell ref="NXK36:NYA36"/>
    <mergeCell ref="NYB36:NYR36"/>
    <mergeCell ref="NYS36:NZI36"/>
    <mergeCell ref="NZJ36:NZZ36"/>
    <mergeCell ref="OAA36:OAQ36"/>
    <mergeCell ref="OAR36:OBH36"/>
    <mergeCell ref="OBI36:OBY36"/>
    <mergeCell ref="OBZ36:OCP36"/>
    <mergeCell ref="NQW36:NRM36"/>
    <mergeCell ref="NRN36:NSD36"/>
    <mergeCell ref="NSE36:NSU36"/>
    <mergeCell ref="NSV36:NTL36"/>
    <mergeCell ref="NTM36:NUC36"/>
    <mergeCell ref="NUD36:NUT36"/>
    <mergeCell ref="NUU36:NVK36"/>
    <mergeCell ref="NVL36:NWB36"/>
    <mergeCell ref="NWC36:NWS36"/>
    <mergeCell ref="NKZ36:NLP36"/>
    <mergeCell ref="NLQ36:NMG36"/>
    <mergeCell ref="NMH36:NMX36"/>
    <mergeCell ref="NMY36:NNO36"/>
    <mergeCell ref="NNP36:NOF36"/>
    <mergeCell ref="NOG36:NOW36"/>
    <mergeCell ref="NOX36:NPN36"/>
    <mergeCell ref="NPO36:NQE36"/>
    <mergeCell ref="NQF36:NQV36"/>
    <mergeCell ref="NFC36:NFS36"/>
    <mergeCell ref="NFT36:NGJ36"/>
    <mergeCell ref="NGK36:NHA36"/>
    <mergeCell ref="NHB36:NHR36"/>
    <mergeCell ref="NHS36:NII36"/>
    <mergeCell ref="NIJ36:NIZ36"/>
    <mergeCell ref="NJA36:NJQ36"/>
    <mergeCell ref="NJR36:NKH36"/>
    <mergeCell ref="NKI36:NKY36"/>
    <mergeCell ref="MZF36:MZV36"/>
    <mergeCell ref="MZW36:NAM36"/>
    <mergeCell ref="NAN36:NBD36"/>
    <mergeCell ref="NBE36:NBU36"/>
    <mergeCell ref="NBV36:NCL36"/>
    <mergeCell ref="NCM36:NDC36"/>
    <mergeCell ref="NDD36:NDT36"/>
    <mergeCell ref="NDU36:NEK36"/>
    <mergeCell ref="NEL36:NFB36"/>
    <mergeCell ref="MTI36:MTY36"/>
    <mergeCell ref="MTZ36:MUP36"/>
    <mergeCell ref="MUQ36:MVG36"/>
    <mergeCell ref="MVH36:MVX36"/>
    <mergeCell ref="MVY36:MWO36"/>
    <mergeCell ref="MWP36:MXF36"/>
    <mergeCell ref="MXG36:MXW36"/>
    <mergeCell ref="MXX36:MYN36"/>
    <mergeCell ref="MYO36:MZE36"/>
    <mergeCell ref="MNL36:MOB36"/>
    <mergeCell ref="MOC36:MOS36"/>
    <mergeCell ref="MOT36:MPJ36"/>
    <mergeCell ref="MPK36:MQA36"/>
    <mergeCell ref="MQB36:MQR36"/>
    <mergeCell ref="MQS36:MRI36"/>
    <mergeCell ref="MRJ36:MRZ36"/>
    <mergeCell ref="MSA36:MSQ36"/>
    <mergeCell ref="MSR36:MTH36"/>
    <mergeCell ref="MHO36:MIE36"/>
    <mergeCell ref="MIF36:MIV36"/>
    <mergeCell ref="MIW36:MJM36"/>
    <mergeCell ref="MJN36:MKD36"/>
    <mergeCell ref="MKE36:MKU36"/>
    <mergeCell ref="MKV36:MLL36"/>
    <mergeCell ref="MLM36:MMC36"/>
    <mergeCell ref="MMD36:MMT36"/>
    <mergeCell ref="MMU36:MNK36"/>
    <mergeCell ref="MBR36:MCH36"/>
    <mergeCell ref="MCI36:MCY36"/>
    <mergeCell ref="MCZ36:MDP36"/>
    <mergeCell ref="MDQ36:MEG36"/>
    <mergeCell ref="MEH36:MEX36"/>
    <mergeCell ref="MEY36:MFO36"/>
    <mergeCell ref="MFP36:MGF36"/>
    <mergeCell ref="MGG36:MGW36"/>
    <mergeCell ref="MGX36:MHN36"/>
    <mergeCell ref="LVU36:LWK36"/>
    <mergeCell ref="LWL36:LXB36"/>
    <mergeCell ref="LXC36:LXS36"/>
    <mergeCell ref="LXT36:LYJ36"/>
    <mergeCell ref="LYK36:LZA36"/>
    <mergeCell ref="LZB36:LZR36"/>
    <mergeCell ref="LZS36:MAI36"/>
    <mergeCell ref="MAJ36:MAZ36"/>
    <mergeCell ref="MBA36:MBQ36"/>
    <mergeCell ref="LPX36:LQN36"/>
    <mergeCell ref="LQO36:LRE36"/>
    <mergeCell ref="LRF36:LRV36"/>
    <mergeCell ref="LRW36:LSM36"/>
    <mergeCell ref="LSN36:LTD36"/>
    <mergeCell ref="LTE36:LTU36"/>
    <mergeCell ref="LTV36:LUL36"/>
    <mergeCell ref="LUM36:LVC36"/>
    <mergeCell ref="LVD36:LVT36"/>
    <mergeCell ref="LKA36:LKQ36"/>
    <mergeCell ref="LKR36:LLH36"/>
    <mergeCell ref="LLI36:LLY36"/>
    <mergeCell ref="LLZ36:LMP36"/>
    <mergeCell ref="LMQ36:LNG36"/>
    <mergeCell ref="LNH36:LNX36"/>
    <mergeCell ref="LNY36:LOO36"/>
    <mergeCell ref="LOP36:LPF36"/>
    <mergeCell ref="LPG36:LPW36"/>
    <mergeCell ref="LED36:LET36"/>
    <mergeCell ref="LEU36:LFK36"/>
    <mergeCell ref="LFL36:LGB36"/>
    <mergeCell ref="LGC36:LGS36"/>
    <mergeCell ref="LGT36:LHJ36"/>
    <mergeCell ref="LHK36:LIA36"/>
    <mergeCell ref="LIB36:LIR36"/>
    <mergeCell ref="LIS36:LJI36"/>
    <mergeCell ref="LJJ36:LJZ36"/>
    <mergeCell ref="KYG36:KYW36"/>
    <mergeCell ref="KYX36:KZN36"/>
    <mergeCell ref="KZO36:LAE36"/>
    <mergeCell ref="LAF36:LAV36"/>
    <mergeCell ref="LAW36:LBM36"/>
    <mergeCell ref="LBN36:LCD36"/>
    <mergeCell ref="LCE36:LCU36"/>
    <mergeCell ref="LCV36:LDL36"/>
    <mergeCell ref="LDM36:LEC36"/>
    <mergeCell ref="KSJ36:KSZ36"/>
    <mergeCell ref="KTA36:KTQ36"/>
    <mergeCell ref="KTR36:KUH36"/>
    <mergeCell ref="KUI36:KUY36"/>
    <mergeCell ref="KUZ36:KVP36"/>
    <mergeCell ref="KVQ36:KWG36"/>
    <mergeCell ref="KWH36:KWX36"/>
    <mergeCell ref="KWY36:KXO36"/>
    <mergeCell ref="KXP36:KYF36"/>
    <mergeCell ref="KMM36:KNC36"/>
    <mergeCell ref="KND36:KNT36"/>
    <mergeCell ref="KNU36:KOK36"/>
    <mergeCell ref="KOL36:KPB36"/>
    <mergeCell ref="KPC36:KPS36"/>
    <mergeCell ref="KPT36:KQJ36"/>
    <mergeCell ref="KQK36:KRA36"/>
    <mergeCell ref="KRB36:KRR36"/>
    <mergeCell ref="KRS36:KSI36"/>
    <mergeCell ref="KGP36:KHF36"/>
    <mergeCell ref="KHG36:KHW36"/>
    <mergeCell ref="KHX36:KIN36"/>
    <mergeCell ref="KIO36:KJE36"/>
    <mergeCell ref="KJF36:KJV36"/>
    <mergeCell ref="KJW36:KKM36"/>
    <mergeCell ref="KKN36:KLD36"/>
    <mergeCell ref="KLE36:KLU36"/>
    <mergeCell ref="KLV36:KML36"/>
    <mergeCell ref="KAS36:KBI36"/>
    <mergeCell ref="KBJ36:KBZ36"/>
    <mergeCell ref="KCA36:KCQ36"/>
    <mergeCell ref="KCR36:KDH36"/>
    <mergeCell ref="KDI36:KDY36"/>
    <mergeCell ref="KDZ36:KEP36"/>
    <mergeCell ref="KEQ36:KFG36"/>
    <mergeCell ref="KFH36:KFX36"/>
    <mergeCell ref="KFY36:KGO36"/>
    <mergeCell ref="JUV36:JVL36"/>
    <mergeCell ref="JVM36:JWC36"/>
    <mergeCell ref="JWD36:JWT36"/>
    <mergeCell ref="JWU36:JXK36"/>
    <mergeCell ref="JXL36:JYB36"/>
    <mergeCell ref="JYC36:JYS36"/>
    <mergeCell ref="JYT36:JZJ36"/>
    <mergeCell ref="JZK36:KAA36"/>
    <mergeCell ref="KAB36:KAR36"/>
    <mergeCell ref="JOY36:JPO36"/>
    <mergeCell ref="JPP36:JQF36"/>
    <mergeCell ref="JQG36:JQW36"/>
    <mergeCell ref="JQX36:JRN36"/>
    <mergeCell ref="JRO36:JSE36"/>
    <mergeCell ref="JSF36:JSV36"/>
    <mergeCell ref="JSW36:JTM36"/>
    <mergeCell ref="JTN36:JUD36"/>
    <mergeCell ref="JUE36:JUU36"/>
    <mergeCell ref="JJB36:JJR36"/>
    <mergeCell ref="JJS36:JKI36"/>
    <mergeCell ref="JKJ36:JKZ36"/>
    <mergeCell ref="JLA36:JLQ36"/>
    <mergeCell ref="JLR36:JMH36"/>
    <mergeCell ref="JMI36:JMY36"/>
    <mergeCell ref="JMZ36:JNP36"/>
    <mergeCell ref="JNQ36:JOG36"/>
    <mergeCell ref="JOH36:JOX36"/>
    <mergeCell ref="JDE36:JDU36"/>
    <mergeCell ref="JDV36:JEL36"/>
    <mergeCell ref="JEM36:JFC36"/>
    <mergeCell ref="JFD36:JFT36"/>
    <mergeCell ref="JFU36:JGK36"/>
    <mergeCell ref="JGL36:JHB36"/>
    <mergeCell ref="JHC36:JHS36"/>
    <mergeCell ref="JHT36:JIJ36"/>
    <mergeCell ref="JIK36:JJA36"/>
    <mergeCell ref="IXH36:IXX36"/>
    <mergeCell ref="IXY36:IYO36"/>
    <mergeCell ref="IYP36:IZF36"/>
    <mergeCell ref="IZG36:IZW36"/>
    <mergeCell ref="IZX36:JAN36"/>
    <mergeCell ref="JAO36:JBE36"/>
    <mergeCell ref="JBF36:JBV36"/>
    <mergeCell ref="JBW36:JCM36"/>
    <mergeCell ref="JCN36:JDD36"/>
    <mergeCell ref="IRK36:ISA36"/>
    <mergeCell ref="ISB36:ISR36"/>
    <mergeCell ref="ISS36:ITI36"/>
    <mergeCell ref="ITJ36:ITZ36"/>
    <mergeCell ref="IUA36:IUQ36"/>
    <mergeCell ref="IUR36:IVH36"/>
    <mergeCell ref="IVI36:IVY36"/>
    <mergeCell ref="IVZ36:IWP36"/>
    <mergeCell ref="IWQ36:IXG36"/>
    <mergeCell ref="ILN36:IMD36"/>
    <mergeCell ref="IME36:IMU36"/>
    <mergeCell ref="IMV36:INL36"/>
    <mergeCell ref="INM36:IOC36"/>
    <mergeCell ref="IOD36:IOT36"/>
    <mergeCell ref="IOU36:IPK36"/>
    <mergeCell ref="IPL36:IQB36"/>
    <mergeCell ref="IQC36:IQS36"/>
    <mergeCell ref="IQT36:IRJ36"/>
    <mergeCell ref="IFQ36:IGG36"/>
    <mergeCell ref="IGH36:IGX36"/>
    <mergeCell ref="IGY36:IHO36"/>
    <mergeCell ref="IHP36:IIF36"/>
    <mergeCell ref="IIG36:IIW36"/>
    <mergeCell ref="IIX36:IJN36"/>
    <mergeCell ref="IJO36:IKE36"/>
    <mergeCell ref="IKF36:IKV36"/>
    <mergeCell ref="IKW36:ILM36"/>
    <mergeCell ref="HZT36:IAJ36"/>
    <mergeCell ref="IAK36:IBA36"/>
    <mergeCell ref="IBB36:IBR36"/>
    <mergeCell ref="IBS36:ICI36"/>
    <mergeCell ref="ICJ36:ICZ36"/>
    <mergeCell ref="IDA36:IDQ36"/>
    <mergeCell ref="IDR36:IEH36"/>
    <mergeCell ref="IEI36:IEY36"/>
    <mergeCell ref="IEZ36:IFP36"/>
    <mergeCell ref="HTW36:HUM36"/>
    <mergeCell ref="HUN36:HVD36"/>
    <mergeCell ref="HVE36:HVU36"/>
    <mergeCell ref="HVV36:HWL36"/>
    <mergeCell ref="HWM36:HXC36"/>
    <mergeCell ref="HXD36:HXT36"/>
    <mergeCell ref="HXU36:HYK36"/>
    <mergeCell ref="HYL36:HZB36"/>
    <mergeCell ref="HZC36:HZS36"/>
    <mergeCell ref="HNZ36:HOP36"/>
    <mergeCell ref="HOQ36:HPG36"/>
    <mergeCell ref="HPH36:HPX36"/>
    <mergeCell ref="HPY36:HQO36"/>
    <mergeCell ref="HQP36:HRF36"/>
    <mergeCell ref="HRG36:HRW36"/>
    <mergeCell ref="HRX36:HSN36"/>
    <mergeCell ref="HSO36:HTE36"/>
    <mergeCell ref="HTF36:HTV36"/>
    <mergeCell ref="HIC36:HIS36"/>
    <mergeCell ref="HIT36:HJJ36"/>
    <mergeCell ref="HJK36:HKA36"/>
    <mergeCell ref="HKB36:HKR36"/>
    <mergeCell ref="HKS36:HLI36"/>
    <mergeCell ref="HLJ36:HLZ36"/>
    <mergeCell ref="HMA36:HMQ36"/>
    <mergeCell ref="HMR36:HNH36"/>
    <mergeCell ref="HNI36:HNY36"/>
    <mergeCell ref="HCF36:HCV36"/>
    <mergeCell ref="HCW36:HDM36"/>
    <mergeCell ref="HDN36:HED36"/>
    <mergeCell ref="HEE36:HEU36"/>
    <mergeCell ref="HEV36:HFL36"/>
    <mergeCell ref="HFM36:HGC36"/>
    <mergeCell ref="HGD36:HGT36"/>
    <mergeCell ref="HGU36:HHK36"/>
    <mergeCell ref="HHL36:HIB36"/>
    <mergeCell ref="GWI36:GWY36"/>
    <mergeCell ref="GWZ36:GXP36"/>
    <mergeCell ref="GXQ36:GYG36"/>
    <mergeCell ref="GYH36:GYX36"/>
    <mergeCell ref="GYY36:GZO36"/>
    <mergeCell ref="GZP36:HAF36"/>
    <mergeCell ref="HAG36:HAW36"/>
    <mergeCell ref="HAX36:HBN36"/>
    <mergeCell ref="HBO36:HCE36"/>
    <mergeCell ref="GQL36:GRB36"/>
    <mergeCell ref="GRC36:GRS36"/>
    <mergeCell ref="GRT36:GSJ36"/>
    <mergeCell ref="GSK36:GTA36"/>
    <mergeCell ref="GTB36:GTR36"/>
    <mergeCell ref="GTS36:GUI36"/>
    <mergeCell ref="GUJ36:GUZ36"/>
    <mergeCell ref="GVA36:GVQ36"/>
    <mergeCell ref="GVR36:GWH36"/>
    <mergeCell ref="GKO36:GLE36"/>
    <mergeCell ref="GLF36:GLV36"/>
    <mergeCell ref="GLW36:GMM36"/>
    <mergeCell ref="GMN36:GND36"/>
    <mergeCell ref="GNE36:GNU36"/>
    <mergeCell ref="GNV36:GOL36"/>
    <mergeCell ref="GOM36:GPC36"/>
    <mergeCell ref="GPD36:GPT36"/>
    <mergeCell ref="GPU36:GQK36"/>
    <mergeCell ref="GER36:GFH36"/>
    <mergeCell ref="GFI36:GFY36"/>
    <mergeCell ref="GFZ36:GGP36"/>
    <mergeCell ref="GGQ36:GHG36"/>
    <mergeCell ref="GHH36:GHX36"/>
    <mergeCell ref="GHY36:GIO36"/>
    <mergeCell ref="GIP36:GJF36"/>
    <mergeCell ref="GJG36:GJW36"/>
    <mergeCell ref="GJX36:GKN36"/>
    <mergeCell ref="FYU36:FZK36"/>
    <mergeCell ref="FZL36:GAB36"/>
    <mergeCell ref="GAC36:GAS36"/>
    <mergeCell ref="GAT36:GBJ36"/>
    <mergeCell ref="GBK36:GCA36"/>
    <mergeCell ref="GCB36:GCR36"/>
    <mergeCell ref="GCS36:GDI36"/>
    <mergeCell ref="GDJ36:GDZ36"/>
    <mergeCell ref="GEA36:GEQ36"/>
    <mergeCell ref="FSX36:FTN36"/>
    <mergeCell ref="FTO36:FUE36"/>
    <mergeCell ref="FUF36:FUV36"/>
    <mergeCell ref="FUW36:FVM36"/>
    <mergeCell ref="FVN36:FWD36"/>
    <mergeCell ref="FWE36:FWU36"/>
    <mergeCell ref="FWV36:FXL36"/>
    <mergeCell ref="FXM36:FYC36"/>
    <mergeCell ref="FYD36:FYT36"/>
    <mergeCell ref="FNA36:FNQ36"/>
    <mergeCell ref="FNR36:FOH36"/>
    <mergeCell ref="FOI36:FOY36"/>
    <mergeCell ref="FOZ36:FPP36"/>
    <mergeCell ref="FPQ36:FQG36"/>
    <mergeCell ref="FQH36:FQX36"/>
    <mergeCell ref="FQY36:FRO36"/>
    <mergeCell ref="FRP36:FSF36"/>
    <mergeCell ref="FSG36:FSW36"/>
    <mergeCell ref="FHD36:FHT36"/>
    <mergeCell ref="FHU36:FIK36"/>
    <mergeCell ref="FIL36:FJB36"/>
    <mergeCell ref="FJC36:FJS36"/>
    <mergeCell ref="FJT36:FKJ36"/>
    <mergeCell ref="FKK36:FLA36"/>
    <mergeCell ref="FLB36:FLR36"/>
    <mergeCell ref="FLS36:FMI36"/>
    <mergeCell ref="FMJ36:FMZ36"/>
    <mergeCell ref="FBG36:FBW36"/>
    <mergeCell ref="FBX36:FCN36"/>
    <mergeCell ref="FCO36:FDE36"/>
    <mergeCell ref="FDF36:FDV36"/>
    <mergeCell ref="FDW36:FEM36"/>
    <mergeCell ref="FEN36:FFD36"/>
    <mergeCell ref="FFE36:FFU36"/>
    <mergeCell ref="FFV36:FGL36"/>
    <mergeCell ref="FGM36:FHC36"/>
    <mergeCell ref="EVJ36:EVZ36"/>
    <mergeCell ref="EWA36:EWQ36"/>
    <mergeCell ref="EWR36:EXH36"/>
    <mergeCell ref="EXI36:EXY36"/>
    <mergeCell ref="EXZ36:EYP36"/>
    <mergeCell ref="EYQ36:EZG36"/>
    <mergeCell ref="EZH36:EZX36"/>
    <mergeCell ref="EZY36:FAO36"/>
    <mergeCell ref="FAP36:FBF36"/>
    <mergeCell ref="EPM36:EQC36"/>
    <mergeCell ref="EQD36:EQT36"/>
    <mergeCell ref="EQU36:ERK36"/>
    <mergeCell ref="ERL36:ESB36"/>
    <mergeCell ref="ESC36:ESS36"/>
    <mergeCell ref="EST36:ETJ36"/>
    <mergeCell ref="ETK36:EUA36"/>
    <mergeCell ref="EUB36:EUR36"/>
    <mergeCell ref="EUS36:EVI36"/>
    <mergeCell ref="EJP36:EKF36"/>
    <mergeCell ref="EKG36:EKW36"/>
    <mergeCell ref="EKX36:ELN36"/>
    <mergeCell ref="ELO36:EME36"/>
    <mergeCell ref="EMF36:EMV36"/>
    <mergeCell ref="EMW36:ENM36"/>
    <mergeCell ref="ENN36:EOD36"/>
    <mergeCell ref="EOE36:EOU36"/>
    <mergeCell ref="EOV36:EPL36"/>
    <mergeCell ref="EDS36:EEI36"/>
    <mergeCell ref="EEJ36:EEZ36"/>
    <mergeCell ref="EFA36:EFQ36"/>
    <mergeCell ref="EFR36:EGH36"/>
    <mergeCell ref="EGI36:EGY36"/>
    <mergeCell ref="EGZ36:EHP36"/>
    <mergeCell ref="EHQ36:EIG36"/>
    <mergeCell ref="EIH36:EIX36"/>
    <mergeCell ref="EIY36:EJO36"/>
    <mergeCell ref="DXV36:DYL36"/>
    <mergeCell ref="DYM36:DZC36"/>
    <mergeCell ref="DZD36:DZT36"/>
    <mergeCell ref="DZU36:EAK36"/>
    <mergeCell ref="EAL36:EBB36"/>
    <mergeCell ref="EBC36:EBS36"/>
    <mergeCell ref="EBT36:ECJ36"/>
    <mergeCell ref="ECK36:EDA36"/>
    <mergeCell ref="EDB36:EDR36"/>
    <mergeCell ref="DRY36:DSO36"/>
    <mergeCell ref="DSP36:DTF36"/>
    <mergeCell ref="DTG36:DTW36"/>
    <mergeCell ref="DTX36:DUN36"/>
    <mergeCell ref="DUO36:DVE36"/>
    <mergeCell ref="DVF36:DVV36"/>
    <mergeCell ref="DVW36:DWM36"/>
    <mergeCell ref="DWN36:DXD36"/>
    <mergeCell ref="DXE36:DXU36"/>
    <mergeCell ref="DMB36:DMR36"/>
    <mergeCell ref="DMS36:DNI36"/>
    <mergeCell ref="DNJ36:DNZ36"/>
    <mergeCell ref="DOA36:DOQ36"/>
    <mergeCell ref="DOR36:DPH36"/>
    <mergeCell ref="DPI36:DPY36"/>
    <mergeCell ref="DPZ36:DQP36"/>
    <mergeCell ref="DQQ36:DRG36"/>
    <mergeCell ref="DRH36:DRX36"/>
    <mergeCell ref="DGE36:DGU36"/>
    <mergeCell ref="DGV36:DHL36"/>
    <mergeCell ref="DHM36:DIC36"/>
    <mergeCell ref="DID36:DIT36"/>
    <mergeCell ref="DIU36:DJK36"/>
    <mergeCell ref="DJL36:DKB36"/>
    <mergeCell ref="DKC36:DKS36"/>
    <mergeCell ref="DKT36:DLJ36"/>
    <mergeCell ref="DLK36:DMA36"/>
    <mergeCell ref="DAH36:DAX36"/>
    <mergeCell ref="DAY36:DBO36"/>
    <mergeCell ref="DBP36:DCF36"/>
    <mergeCell ref="DCG36:DCW36"/>
    <mergeCell ref="DCX36:DDN36"/>
    <mergeCell ref="DDO36:DEE36"/>
    <mergeCell ref="DEF36:DEV36"/>
    <mergeCell ref="DEW36:DFM36"/>
    <mergeCell ref="DFN36:DGD36"/>
    <mergeCell ref="CUK36:CVA36"/>
    <mergeCell ref="CVB36:CVR36"/>
    <mergeCell ref="CVS36:CWI36"/>
    <mergeCell ref="CWJ36:CWZ36"/>
    <mergeCell ref="CXA36:CXQ36"/>
    <mergeCell ref="CXR36:CYH36"/>
    <mergeCell ref="CYI36:CYY36"/>
    <mergeCell ref="CYZ36:CZP36"/>
    <mergeCell ref="CZQ36:DAG36"/>
    <mergeCell ref="CON36:CPD36"/>
    <mergeCell ref="CPE36:CPU36"/>
    <mergeCell ref="CPV36:CQL36"/>
    <mergeCell ref="CQM36:CRC36"/>
    <mergeCell ref="CRD36:CRT36"/>
    <mergeCell ref="CRU36:CSK36"/>
    <mergeCell ref="CSL36:CTB36"/>
    <mergeCell ref="CTC36:CTS36"/>
    <mergeCell ref="CTT36:CUJ36"/>
    <mergeCell ref="CIQ36:CJG36"/>
    <mergeCell ref="CJH36:CJX36"/>
    <mergeCell ref="CJY36:CKO36"/>
    <mergeCell ref="CKP36:CLF36"/>
    <mergeCell ref="CLG36:CLW36"/>
    <mergeCell ref="CLX36:CMN36"/>
    <mergeCell ref="CMO36:CNE36"/>
    <mergeCell ref="CNF36:CNV36"/>
    <mergeCell ref="CNW36:COM36"/>
    <mergeCell ref="CCT36:CDJ36"/>
    <mergeCell ref="CDK36:CEA36"/>
    <mergeCell ref="CEB36:CER36"/>
    <mergeCell ref="CES36:CFI36"/>
    <mergeCell ref="CFJ36:CFZ36"/>
    <mergeCell ref="CGA36:CGQ36"/>
    <mergeCell ref="CGR36:CHH36"/>
    <mergeCell ref="CHI36:CHY36"/>
    <mergeCell ref="CHZ36:CIP36"/>
    <mergeCell ref="BWW36:BXM36"/>
    <mergeCell ref="BXN36:BYD36"/>
    <mergeCell ref="BYE36:BYU36"/>
    <mergeCell ref="BYV36:BZL36"/>
    <mergeCell ref="BZM36:CAC36"/>
    <mergeCell ref="CAD36:CAT36"/>
    <mergeCell ref="CAU36:CBK36"/>
    <mergeCell ref="CBL36:CCB36"/>
    <mergeCell ref="CCC36:CCS36"/>
    <mergeCell ref="BQZ36:BRP36"/>
    <mergeCell ref="BRQ36:BSG36"/>
    <mergeCell ref="BSH36:BSX36"/>
    <mergeCell ref="BSY36:BTO36"/>
    <mergeCell ref="BTP36:BUF36"/>
    <mergeCell ref="BUG36:BUW36"/>
    <mergeCell ref="BUX36:BVN36"/>
    <mergeCell ref="BVO36:BWE36"/>
    <mergeCell ref="BWF36:BWV36"/>
    <mergeCell ref="BLC36:BLS36"/>
    <mergeCell ref="BLT36:BMJ36"/>
    <mergeCell ref="BMK36:BNA36"/>
    <mergeCell ref="BNB36:BNR36"/>
    <mergeCell ref="BNS36:BOI36"/>
    <mergeCell ref="BOJ36:BOZ36"/>
    <mergeCell ref="BPA36:BPQ36"/>
    <mergeCell ref="BPR36:BQH36"/>
    <mergeCell ref="BQI36:BQY36"/>
    <mergeCell ref="BFF36:BFV36"/>
    <mergeCell ref="BFW36:BGM36"/>
    <mergeCell ref="BGN36:BHD36"/>
    <mergeCell ref="BHE36:BHU36"/>
    <mergeCell ref="BHV36:BIL36"/>
    <mergeCell ref="BIM36:BJC36"/>
    <mergeCell ref="BJD36:BJT36"/>
    <mergeCell ref="BJU36:BKK36"/>
    <mergeCell ref="BKL36:BLB36"/>
    <mergeCell ref="AZI36:AZY36"/>
    <mergeCell ref="AZZ36:BAP36"/>
    <mergeCell ref="BAQ36:BBG36"/>
    <mergeCell ref="BBH36:BBX36"/>
    <mergeCell ref="BBY36:BCO36"/>
    <mergeCell ref="BCP36:BDF36"/>
    <mergeCell ref="BDG36:BDW36"/>
    <mergeCell ref="BDX36:BEN36"/>
    <mergeCell ref="BEO36:BFE36"/>
    <mergeCell ref="ATL36:AUB36"/>
    <mergeCell ref="AUC36:AUS36"/>
    <mergeCell ref="AUT36:AVJ36"/>
    <mergeCell ref="AVK36:AWA36"/>
    <mergeCell ref="AWB36:AWR36"/>
    <mergeCell ref="AWS36:AXI36"/>
    <mergeCell ref="AXJ36:AXZ36"/>
    <mergeCell ref="AYA36:AYQ36"/>
    <mergeCell ref="AYR36:AZH36"/>
    <mergeCell ref="ANO36:AOE36"/>
    <mergeCell ref="AOF36:AOV36"/>
    <mergeCell ref="AOW36:APM36"/>
    <mergeCell ref="APN36:AQD36"/>
    <mergeCell ref="AQE36:AQU36"/>
    <mergeCell ref="AQV36:ARL36"/>
    <mergeCell ref="ARM36:ASC36"/>
    <mergeCell ref="ASD36:AST36"/>
    <mergeCell ref="ASU36:ATK36"/>
    <mergeCell ref="AHR36:AIH36"/>
    <mergeCell ref="AII36:AIY36"/>
    <mergeCell ref="AIZ36:AJP36"/>
    <mergeCell ref="AJQ36:AKG36"/>
    <mergeCell ref="AKH36:AKX36"/>
    <mergeCell ref="AKY36:ALO36"/>
    <mergeCell ref="ALP36:AMF36"/>
    <mergeCell ref="AMG36:AMW36"/>
    <mergeCell ref="AMX36:ANN36"/>
    <mergeCell ref="ABU36:ACK36"/>
    <mergeCell ref="ACL36:ADB36"/>
    <mergeCell ref="ADC36:ADS36"/>
    <mergeCell ref="ADT36:AEJ36"/>
    <mergeCell ref="AEK36:AFA36"/>
    <mergeCell ref="AFB36:AFR36"/>
    <mergeCell ref="AFS36:AGI36"/>
    <mergeCell ref="AGJ36:AGZ36"/>
    <mergeCell ref="AHA36:AHQ36"/>
    <mergeCell ref="VX36:WN36"/>
    <mergeCell ref="WO36:XE36"/>
    <mergeCell ref="XF36:XV36"/>
    <mergeCell ref="XW36:YM36"/>
    <mergeCell ref="YN36:ZD36"/>
    <mergeCell ref="ZE36:ZU36"/>
    <mergeCell ref="ZV36:AAL36"/>
    <mergeCell ref="AAM36:ABC36"/>
    <mergeCell ref="ABD36:ABT36"/>
    <mergeCell ref="QA36:QQ36"/>
    <mergeCell ref="QR36:RH36"/>
    <mergeCell ref="RI36:RY36"/>
    <mergeCell ref="RZ36:SP36"/>
    <mergeCell ref="SQ36:TG36"/>
    <mergeCell ref="TH36:TX36"/>
    <mergeCell ref="TY36:UO36"/>
    <mergeCell ref="UP36:VF36"/>
    <mergeCell ref="VG36:VW36"/>
    <mergeCell ref="KD36:KT36"/>
    <mergeCell ref="KU36:LK36"/>
    <mergeCell ref="LL36:MB36"/>
    <mergeCell ref="MC36:MS36"/>
    <mergeCell ref="MT36:NJ36"/>
    <mergeCell ref="NK36:OA36"/>
    <mergeCell ref="OB36:OR36"/>
    <mergeCell ref="OS36:PI36"/>
    <mergeCell ref="PJ36:PZ36"/>
    <mergeCell ref="XAT35:XBJ35"/>
    <mergeCell ref="XBK35:XCA35"/>
    <mergeCell ref="XCB35:XCR35"/>
    <mergeCell ref="XCS35:XDI35"/>
    <mergeCell ref="XDJ35:XDZ35"/>
    <mergeCell ref="XEA35:XEQ35"/>
    <mergeCell ref="XER35:XFD35"/>
    <mergeCell ref="A36:Q36"/>
    <mergeCell ref="R36:AH36"/>
    <mergeCell ref="AI36:AY36"/>
    <mergeCell ref="AZ36:BP36"/>
    <mergeCell ref="BQ36:CG36"/>
    <mergeCell ref="CH36:CX36"/>
    <mergeCell ref="CY36:DO36"/>
    <mergeCell ref="DP36:EF36"/>
    <mergeCell ref="EG36:EW36"/>
    <mergeCell ref="EX36:FN36"/>
    <mergeCell ref="FO36:GE36"/>
    <mergeCell ref="GF36:GV36"/>
    <mergeCell ref="GW36:HM36"/>
    <mergeCell ref="HN36:ID36"/>
    <mergeCell ref="IE36:IU36"/>
    <mergeCell ref="IV36:JL36"/>
    <mergeCell ref="JM36:KC36"/>
    <mergeCell ref="WUW35:WVM35"/>
    <mergeCell ref="WVN35:WWD35"/>
    <mergeCell ref="WWE35:WWU35"/>
    <mergeCell ref="WWV35:WXL35"/>
    <mergeCell ref="WXM35:WYC35"/>
    <mergeCell ref="WYD35:WYT35"/>
    <mergeCell ref="WYU35:WZK35"/>
    <mergeCell ref="WZL35:XAB35"/>
    <mergeCell ref="XAC35:XAS35"/>
    <mergeCell ref="WOZ35:WPP35"/>
    <mergeCell ref="WPQ35:WQG35"/>
    <mergeCell ref="WQH35:WQX35"/>
    <mergeCell ref="WQY35:WRO35"/>
    <mergeCell ref="WRP35:WSF35"/>
    <mergeCell ref="WSG35:WSW35"/>
    <mergeCell ref="WSX35:WTN35"/>
    <mergeCell ref="WTO35:WUE35"/>
    <mergeCell ref="WUF35:WUV35"/>
    <mergeCell ref="WJC35:WJS35"/>
    <mergeCell ref="WJT35:WKJ35"/>
    <mergeCell ref="WKK35:WLA35"/>
    <mergeCell ref="WLB35:WLR35"/>
    <mergeCell ref="WLS35:WMI35"/>
    <mergeCell ref="WMJ35:WMZ35"/>
    <mergeCell ref="WNA35:WNQ35"/>
    <mergeCell ref="WNR35:WOH35"/>
    <mergeCell ref="WOI35:WOY35"/>
    <mergeCell ref="WDF35:WDV35"/>
    <mergeCell ref="WDW35:WEM35"/>
    <mergeCell ref="WEN35:WFD35"/>
    <mergeCell ref="WFE35:WFU35"/>
    <mergeCell ref="WFV35:WGL35"/>
    <mergeCell ref="WGM35:WHC35"/>
    <mergeCell ref="WHD35:WHT35"/>
    <mergeCell ref="WHU35:WIK35"/>
    <mergeCell ref="WIL35:WJB35"/>
    <mergeCell ref="VXI35:VXY35"/>
    <mergeCell ref="VXZ35:VYP35"/>
    <mergeCell ref="VYQ35:VZG35"/>
    <mergeCell ref="VZH35:VZX35"/>
    <mergeCell ref="VZY35:WAO35"/>
    <mergeCell ref="WAP35:WBF35"/>
    <mergeCell ref="WBG35:WBW35"/>
    <mergeCell ref="WBX35:WCN35"/>
    <mergeCell ref="WCO35:WDE35"/>
    <mergeCell ref="VRL35:VSB35"/>
    <mergeCell ref="VSC35:VSS35"/>
    <mergeCell ref="VST35:VTJ35"/>
    <mergeCell ref="VTK35:VUA35"/>
    <mergeCell ref="VUB35:VUR35"/>
    <mergeCell ref="VUS35:VVI35"/>
    <mergeCell ref="VVJ35:VVZ35"/>
    <mergeCell ref="VWA35:VWQ35"/>
    <mergeCell ref="VWR35:VXH35"/>
    <mergeCell ref="VLO35:VME35"/>
    <mergeCell ref="VMF35:VMV35"/>
    <mergeCell ref="VMW35:VNM35"/>
    <mergeCell ref="VNN35:VOD35"/>
    <mergeCell ref="VOE35:VOU35"/>
    <mergeCell ref="VOV35:VPL35"/>
    <mergeCell ref="VPM35:VQC35"/>
    <mergeCell ref="VQD35:VQT35"/>
    <mergeCell ref="VQU35:VRK35"/>
    <mergeCell ref="VFR35:VGH35"/>
    <mergeCell ref="VGI35:VGY35"/>
    <mergeCell ref="VGZ35:VHP35"/>
    <mergeCell ref="VHQ35:VIG35"/>
    <mergeCell ref="VIH35:VIX35"/>
    <mergeCell ref="VIY35:VJO35"/>
    <mergeCell ref="VJP35:VKF35"/>
    <mergeCell ref="VKG35:VKW35"/>
    <mergeCell ref="VKX35:VLN35"/>
    <mergeCell ref="UZU35:VAK35"/>
    <mergeCell ref="VAL35:VBB35"/>
    <mergeCell ref="VBC35:VBS35"/>
    <mergeCell ref="VBT35:VCJ35"/>
    <mergeCell ref="VCK35:VDA35"/>
    <mergeCell ref="VDB35:VDR35"/>
    <mergeCell ref="VDS35:VEI35"/>
    <mergeCell ref="VEJ35:VEZ35"/>
    <mergeCell ref="VFA35:VFQ35"/>
    <mergeCell ref="UTX35:UUN35"/>
    <mergeCell ref="UUO35:UVE35"/>
    <mergeCell ref="UVF35:UVV35"/>
    <mergeCell ref="UVW35:UWM35"/>
    <mergeCell ref="UWN35:UXD35"/>
    <mergeCell ref="UXE35:UXU35"/>
    <mergeCell ref="UXV35:UYL35"/>
    <mergeCell ref="UYM35:UZC35"/>
    <mergeCell ref="UZD35:UZT35"/>
    <mergeCell ref="UOA35:UOQ35"/>
    <mergeCell ref="UOR35:UPH35"/>
    <mergeCell ref="UPI35:UPY35"/>
    <mergeCell ref="UPZ35:UQP35"/>
    <mergeCell ref="UQQ35:URG35"/>
    <mergeCell ref="URH35:URX35"/>
    <mergeCell ref="URY35:USO35"/>
    <mergeCell ref="USP35:UTF35"/>
    <mergeCell ref="UTG35:UTW35"/>
    <mergeCell ref="UID35:UIT35"/>
    <mergeCell ref="UIU35:UJK35"/>
    <mergeCell ref="UJL35:UKB35"/>
    <mergeCell ref="UKC35:UKS35"/>
    <mergeCell ref="UKT35:ULJ35"/>
    <mergeCell ref="ULK35:UMA35"/>
    <mergeCell ref="UMB35:UMR35"/>
    <mergeCell ref="UMS35:UNI35"/>
    <mergeCell ref="UNJ35:UNZ35"/>
    <mergeCell ref="UCG35:UCW35"/>
    <mergeCell ref="UCX35:UDN35"/>
    <mergeCell ref="UDO35:UEE35"/>
    <mergeCell ref="UEF35:UEV35"/>
    <mergeCell ref="UEW35:UFM35"/>
    <mergeCell ref="UFN35:UGD35"/>
    <mergeCell ref="UGE35:UGU35"/>
    <mergeCell ref="UGV35:UHL35"/>
    <mergeCell ref="UHM35:UIC35"/>
    <mergeCell ref="TWJ35:TWZ35"/>
    <mergeCell ref="TXA35:TXQ35"/>
    <mergeCell ref="TXR35:TYH35"/>
    <mergeCell ref="TYI35:TYY35"/>
    <mergeCell ref="TYZ35:TZP35"/>
    <mergeCell ref="TZQ35:UAG35"/>
    <mergeCell ref="UAH35:UAX35"/>
    <mergeCell ref="UAY35:UBO35"/>
    <mergeCell ref="UBP35:UCF35"/>
    <mergeCell ref="TQM35:TRC35"/>
    <mergeCell ref="TRD35:TRT35"/>
    <mergeCell ref="TRU35:TSK35"/>
    <mergeCell ref="TSL35:TTB35"/>
    <mergeCell ref="TTC35:TTS35"/>
    <mergeCell ref="TTT35:TUJ35"/>
    <mergeCell ref="TUK35:TVA35"/>
    <mergeCell ref="TVB35:TVR35"/>
    <mergeCell ref="TVS35:TWI35"/>
    <mergeCell ref="TKP35:TLF35"/>
    <mergeCell ref="TLG35:TLW35"/>
    <mergeCell ref="TLX35:TMN35"/>
    <mergeCell ref="TMO35:TNE35"/>
    <mergeCell ref="TNF35:TNV35"/>
    <mergeCell ref="TNW35:TOM35"/>
    <mergeCell ref="TON35:TPD35"/>
    <mergeCell ref="TPE35:TPU35"/>
    <mergeCell ref="TPV35:TQL35"/>
    <mergeCell ref="TES35:TFI35"/>
    <mergeCell ref="TFJ35:TFZ35"/>
    <mergeCell ref="TGA35:TGQ35"/>
    <mergeCell ref="TGR35:THH35"/>
    <mergeCell ref="THI35:THY35"/>
    <mergeCell ref="THZ35:TIP35"/>
    <mergeCell ref="TIQ35:TJG35"/>
    <mergeCell ref="TJH35:TJX35"/>
    <mergeCell ref="TJY35:TKO35"/>
    <mergeCell ref="SYV35:SZL35"/>
    <mergeCell ref="SZM35:TAC35"/>
    <mergeCell ref="TAD35:TAT35"/>
    <mergeCell ref="TAU35:TBK35"/>
    <mergeCell ref="TBL35:TCB35"/>
    <mergeCell ref="TCC35:TCS35"/>
    <mergeCell ref="TCT35:TDJ35"/>
    <mergeCell ref="TDK35:TEA35"/>
    <mergeCell ref="TEB35:TER35"/>
    <mergeCell ref="SSY35:STO35"/>
    <mergeCell ref="STP35:SUF35"/>
    <mergeCell ref="SUG35:SUW35"/>
    <mergeCell ref="SUX35:SVN35"/>
    <mergeCell ref="SVO35:SWE35"/>
    <mergeCell ref="SWF35:SWV35"/>
    <mergeCell ref="SWW35:SXM35"/>
    <mergeCell ref="SXN35:SYD35"/>
    <mergeCell ref="SYE35:SYU35"/>
    <mergeCell ref="SNB35:SNR35"/>
    <mergeCell ref="SNS35:SOI35"/>
    <mergeCell ref="SOJ35:SOZ35"/>
    <mergeCell ref="SPA35:SPQ35"/>
    <mergeCell ref="SPR35:SQH35"/>
    <mergeCell ref="SQI35:SQY35"/>
    <mergeCell ref="SQZ35:SRP35"/>
    <mergeCell ref="SRQ35:SSG35"/>
    <mergeCell ref="SSH35:SSX35"/>
    <mergeCell ref="SHE35:SHU35"/>
    <mergeCell ref="SHV35:SIL35"/>
    <mergeCell ref="SIM35:SJC35"/>
    <mergeCell ref="SJD35:SJT35"/>
    <mergeCell ref="SJU35:SKK35"/>
    <mergeCell ref="SKL35:SLB35"/>
    <mergeCell ref="SLC35:SLS35"/>
    <mergeCell ref="SLT35:SMJ35"/>
    <mergeCell ref="SMK35:SNA35"/>
    <mergeCell ref="SBH35:SBX35"/>
    <mergeCell ref="SBY35:SCO35"/>
    <mergeCell ref="SCP35:SDF35"/>
    <mergeCell ref="SDG35:SDW35"/>
    <mergeCell ref="SDX35:SEN35"/>
    <mergeCell ref="SEO35:SFE35"/>
    <mergeCell ref="SFF35:SFV35"/>
    <mergeCell ref="SFW35:SGM35"/>
    <mergeCell ref="SGN35:SHD35"/>
    <mergeCell ref="RVK35:RWA35"/>
    <mergeCell ref="RWB35:RWR35"/>
    <mergeCell ref="RWS35:RXI35"/>
    <mergeCell ref="RXJ35:RXZ35"/>
    <mergeCell ref="RYA35:RYQ35"/>
    <mergeCell ref="RYR35:RZH35"/>
    <mergeCell ref="RZI35:RZY35"/>
    <mergeCell ref="RZZ35:SAP35"/>
    <mergeCell ref="SAQ35:SBG35"/>
    <mergeCell ref="RPN35:RQD35"/>
    <mergeCell ref="RQE35:RQU35"/>
    <mergeCell ref="RQV35:RRL35"/>
    <mergeCell ref="RRM35:RSC35"/>
    <mergeCell ref="RSD35:RST35"/>
    <mergeCell ref="RSU35:RTK35"/>
    <mergeCell ref="RTL35:RUB35"/>
    <mergeCell ref="RUC35:RUS35"/>
    <mergeCell ref="RUT35:RVJ35"/>
    <mergeCell ref="RJQ35:RKG35"/>
    <mergeCell ref="RKH35:RKX35"/>
    <mergeCell ref="RKY35:RLO35"/>
    <mergeCell ref="RLP35:RMF35"/>
    <mergeCell ref="RMG35:RMW35"/>
    <mergeCell ref="RMX35:RNN35"/>
    <mergeCell ref="RNO35:ROE35"/>
    <mergeCell ref="ROF35:ROV35"/>
    <mergeCell ref="ROW35:RPM35"/>
    <mergeCell ref="RDT35:REJ35"/>
    <mergeCell ref="REK35:RFA35"/>
    <mergeCell ref="RFB35:RFR35"/>
    <mergeCell ref="RFS35:RGI35"/>
    <mergeCell ref="RGJ35:RGZ35"/>
    <mergeCell ref="RHA35:RHQ35"/>
    <mergeCell ref="RHR35:RIH35"/>
    <mergeCell ref="RII35:RIY35"/>
    <mergeCell ref="RIZ35:RJP35"/>
    <mergeCell ref="QXW35:QYM35"/>
    <mergeCell ref="QYN35:QZD35"/>
    <mergeCell ref="QZE35:QZU35"/>
    <mergeCell ref="QZV35:RAL35"/>
    <mergeCell ref="RAM35:RBC35"/>
    <mergeCell ref="RBD35:RBT35"/>
    <mergeCell ref="RBU35:RCK35"/>
    <mergeCell ref="RCL35:RDB35"/>
    <mergeCell ref="RDC35:RDS35"/>
    <mergeCell ref="QRZ35:QSP35"/>
    <mergeCell ref="QSQ35:QTG35"/>
    <mergeCell ref="QTH35:QTX35"/>
    <mergeCell ref="QTY35:QUO35"/>
    <mergeCell ref="QUP35:QVF35"/>
    <mergeCell ref="QVG35:QVW35"/>
    <mergeCell ref="QVX35:QWN35"/>
    <mergeCell ref="QWO35:QXE35"/>
    <mergeCell ref="QXF35:QXV35"/>
    <mergeCell ref="QMC35:QMS35"/>
    <mergeCell ref="QMT35:QNJ35"/>
    <mergeCell ref="QNK35:QOA35"/>
    <mergeCell ref="QOB35:QOR35"/>
    <mergeCell ref="QOS35:QPI35"/>
    <mergeCell ref="QPJ35:QPZ35"/>
    <mergeCell ref="QQA35:QQQ35"/>
    <mergeCell ref="QQR35:QRH35"/>
    <mergeCell ref="QRI35:QRY35"/>
    <mergeCell ref="QGF35:QGV35"/>
    <mergeCell ref="QGW35:QHM35"/>
    <mergeCell ref="QHN35:QID35"/>
    <mergeCell ref="QIE35:QIU35"/>
    <mergeCell ref="QIV35:QJL35"/>
    <mergeCell ref="QJM35:QKC35"/>
    <mergeCell ref="QKD35:QKT35"/>
    <mergeCell ref="QKU35:QLK35"/>
    <mergeCell ref="QLL35:QMB35"/>
    <mergeCell ref="QAI35:QAY35"/>
    <mergeCell ref="QAZ35:QBP35"/>
    <mergeCell ref="QBQ35:QCG35"/>
    <mergeCell ref="QCH35:QCX35"/>
    <mergeCell ref="QCY35:QDO35"/>
    <mergeCell ref="QDP35:QEF35"/>
    <mergeCell ref="QEG35:QEW35"/>
    <mergeCell ref="QEX35:QFN35"/>
    <mergeCell ref="QFO35:QGE35"/>
    <mergeCell ref="PUL35:PVB35"/>
    <mergeCell ref="PVC35:PVS35"/>
    <mergeCell ref="PVT35:PWJ35"/>
    <mergeCell ref="PWK35:PXA35"/>
    <mergeCell ref="PXB35:PXR35"/>
    <mergeCell ref="PXS35:PYI35"/>
    <mergeCell ref="PYJ35:PYZ35"/>
    <mergeCell ref="PZA35:PZQ35"/>
    <mergeCell ref="PZR35:QAH35"/>
    <mergeCell ref="POO35:PPE35"/>
    <mergeCell ref="PPF35:PPV35"/>
    <mergeCell ref="PPW35:PQM35"/>
    <mergeCell ref="PQN35:PRD35"/>
    <mergeCell ref="PRE35:PRU35"/>
    <mergeCell ref="PRV35:PSL35"/>
    <mergeCell ref="PSM35:PTC35"/>
    <mergeCell ref="PTD35:PTT35"/>
    <mergeCell ref="PTU35:PUK35"/>
    <mergeCell ref="PIR35:PJH35"/>
    <mergeCell ref="PJI35:PJY35"/>
    <mergeCell ref="PJZ35:PKP35"/>
    <mergeCell ref="PKQ35:PLG35"/>
    <mergeCell ref="PLH35:PLX35"/>
    <mergeCell ref="PLY35:PMO35"/>
    <mergeCell ref="PMP35:PNF35"/>
    <mergeCell ref="PNG35:PNW35"/>
    <mergeCell ref="PNX35:PON35"/>
    <mergeCell ref="PCU35:PDK35"/>
    <mergeCell ref="PDL35:PEB35"/>
    <mergeCell ref="PEC35:PES35"/>
    <mergeCell ref="PET35:PFJ35"/>
    <mergeCell ref="PFK35:PGA35"/>
    <mergeCell ref="PGB35:PGR35"/>
    <mergeCell ref="PGS35:PHI35"/>
    <mergeCell ref="PHJ35:PHZ35"/>
    <mergeCell ref="PIA35:PIQ35"/>
    <mergeCell ref="OWX35:OXN35"/>
    <mergeCell ref="OXO35:OYE35"/>
    <mergeCell ref="OYF35:OYV35"/>
    <mergeCell ref="OYW35:OZM35"/>
    <mergeCell ref="OZN35:PAD35"/>
    <mergeCell ref="PAE35:PAU35"/>
    <mergeCell ref="PAV35:PBL35"/>
    <mergeCell ref="PBM35:PCC35"/>
    <mergeCell ref="PCD35:PCT35"/>
    <mergeCell ref="ORA35:ORQ35"/>
    <mergeCell ref="ORR35:OSH35"/>
    <mergeCell ref="OSI35:OSY35"/>
    <mergeCell ref="OSZ35:OTP35"/>
    <mergeCell ref="OTQ35:OUG35"/>
    <mergeCell ref="OUH35:OUX35"/>
    <mergeCell ref="OUY35:OVO35"/>
    <mergeCell ref="OVP35:OWF35"/>
    <mergeCell ref="OWG35:OWW35"/>
    <mergeCell ref="OLD35:OLT35"/>
    <mergeCell ref="OLU35:OMK35"/>
    <mergeCell ref="OML35:ONB35"/>
    <mergeCell ref="ONC35:ONS35"/>
    <mergeCell ref="ONT35:OOJ35"/>
    <mergeCell ref="OOK35:OPA35"/>
    <mergeCell ref="OPB35:OPR35"/>
    <mergeCell ref="OPS35:OQI35"/>
    <mergeCell ref="OQJ35:OQZ35"/>
    <mergeCell ref="OFG35:OFW35"/>
    <mergeCell ref="OFX35:OGN35"/>
    <mergeCell ref="OGO35:OHE35"/>
    <mergeCell ref="OHF35:OHV35"/>
    <mergeCell ref="OHW35:OIM35"/>
    <mergeCell ref="OIN35:OJD35"/>
    <mergeCell ref="OJE35:OJU35"/>
    <mergeCell ref="OJV35:OKL35"/>
    <mergeCell ref="OKM35:OLC35"/>
    <mergeCell ref="NZJ35:NZZ35"/>
    <mergeCell ref="OAA35:OAQ35"/>
    <mergeCell ref="OAR35:OBH35"/>
    <mergeCell ref="OBI35:OBY35"/>
    <mergeCell ref="OBZ35:OCP35"/>
    <mergeCell ref="OCQ35:ODG35"/>
    <mergeCell ref="ODH35:ODX35"/>
    <mergeCell ref="ODY35:OEO35"/>
    <mergeCell ref="OEP35:OFF35"/>
    <mergeCell ref="NTM35:NUC35"/>
    <mergeCell ref="NUD35:NUT35"/>
    <mergeCell ref="NUU35:NVK35"/>
    <mergeCell ref="NVL35:NWB35"/>
    <mergeCell ref="NWC35:NWS35"/>
    <mergeCell ref="NWT35:NXJ35"/>
    <mergeCell ref="NXK35:NYA35"/>
    <mergeCell ref="NYB35:NYR35"/>
    <mergeCell ref="NYS35:NZI35"/>
    <mergeCell ref="NNP35:NOF35"/>
    <mergeCell ref="NOG35:NOW35"/>
    <mergeCell ref="NOX35:NPN35"/>
    <mergeCell ref="NPO35:NQE35"/>
    <mergeCell ref="NQF35:NQV35"/>
    <mergeCell ref="NQW35:NRM35"/>
    <mergeCell ref="NRN35:NSD35"/>
    <mergeCell ref="NSE35:NSU35"/>
    <mergeCell ref="NSV35:NTL35"/>
    <mergeCell ref="NHS35:NII35"/>
    <mergeCell ref="NIJ35:NIZ35"/>
    <mergeCell ref="NJA35:NJQ35"/>
    <mergeCell ref="NJR35:NKH35"/>
    <mergeCell ref="NKI35:NKY35"/>
    <mergeCell ref="NKZ35:NLP35"/>
    <mergeCell ref="NLQ35:NMG35"/>
    <mergeCell ref="NMH35:NMX35"/>
    <mergeCell ref="NMY35:NNO35"/>
    <mergeCell ref="NBV35:NCL35"/>
    <mergeCell ref="NCM35:NDC35"/>
    <mergeCell ref="NDD35:NDT35"/>
    <mergeCell ref="NDU35:NEK35"/>
    <mergeCell ref="NEL35:NFB35"/>
    <mergeCell ref="NFC35:NFS35"/>
    <mergeCell ref="NFT35:NGJ35"/>
    <mergeCell ref="NGK35:NHA35"/>
    <mergeCell ref="NHB35:NHR35"/>
    <mergeCell ref="MVY35:MWO35"/>
    <mergeCell ref="MWP35:MXF35"/>
    <mergeCell ref="MXG35:MXW35"/>
    <mergeCell ref="MXX35:MYN35"/>
    <mergeCell ref="MYO35:MZE35"/>
    <mergeCell ref="MZF35:MZV35"/>
    <mergeCell ref="MZW35:NAM35"/>
    <mergeCell ref="NAN35:NBD35"/>
    <mergeCell ref="NBE35:NBU35"/>
    <mergeCell ref="MQB35:MQR35"/>
    <mergeCell ref="MQS35:MRI35"/>
    <mergeCell ref="MRJ35:MRZ35"/>
    <mergeCell ref="MSA35:MSQ35"/>
    <mergeCell ref="MSR35:MTH35"/>
    <mergeCell ref="MTI35:MTY35"/>
    <mergeCell ref="MTZ35:MUP35"/>
    <mergeCell ref="MUQ35:MVG35"/>
    <mergeCell ref="MVH35:MVX35"/>
    <mergeCell ref="MKE35:MKU35"/>
    <mergeCell ref="MKV35:MLL35"/>
    <mergeCell ref="MLM35:MMC35"/>
    <mergeCell ref="MMD35:MMT35"/>
    <mergeCell ref="MMU35:MNK35"/>
    <mergeCell ref="MNL35:MOB35"/>
    <mergeCell ref="MOC35:MOS35"/>
    <mergeCell ref="MOT35:MPJ35"/>
    <mergeCell ref="MPK35:MQA35"/>
    <mergeCell ref="MEH35:MEX35"/>
    <mergeCell ref="MEY35:MFO35"/>
    <mergeCell ref="MFP35:MGF35"/>
    <mergeCell ref="MGG35:MGW35"/>
    <mergeCell ref="MGX35:MHN35"/>
    <mergeCell ref="MHO35:MIE35"/>
    <mergeCell ref="MIF35:MIV35"/>
    <mergeCell ref="MIW35:MJM35"/>
    <mergeCell ref="MJN35:MKD35"/>
    <mergeCell ref="LYK35:LZA35"/>
    <mergeCell ref="LZB35:LZR35"/>
    <mergeCell ref="LZS35:MAI35"/>
    <mergeCell ref="MAJ35:MAZ35"/>
    <mergeCell ref="MBA35:MBQ35"/>
    <mergeCell ref="MBR35:MCH35"/>
    <mergeCell ref="MCI35:MCY35"/>
    <mergeCell ref="MCZ35:MDP35"/>
    <mergeCell ref="MDQ35:MEG35"/>
    <mergeCell ref="LSN35:LTD35"/>
    <mergeCell ref="LTE35:LTU35"/>
    <mergeCell ref="LTV35:LUL35"/>
    <mergeCell ref="LUM35:LVC35"/>
    <mergeCell ref="LVD35:LVT35"/>
    <mergeCell ref="LVU35:LWK35"/>
    <mergeCell ref="LWL35:LXB35"/>
    <mergeCell ref="LXC35:LXS35"/>
    <mergeCell ref="LXT35:LYJ35"/>
    <mergeCell ref="LMQ35:LNG35"/>
    <mergeCell ref="LNH35:LNX35"/>
    <mergeCell ref="LNY35:LOO35"/>
    <mergeCell ref="LOP35:LPF35"/>
    <mergeCell ref="LPG35:LPW35"/>
    <mergeCell ref="LPX35:LQN35"/>
    <mergeCell ref="LQO35:LRE35"/>
    <mergeCell ref="LRF35:LRV35"/>
    <mergeCell ref="LRW35:LSM35"/>
    <mergeCell ref="LGT35:LHJ35"/>
    <mergeCell ref="LHK35:LIA35"/>
    <mergeCell ref="LIB35:LIR35"/>
    <mergeCell ref="LIS35:LJI35"/>
    <mergeCell ref="LJJ35:LJZ35"/>
    <mergeCell ref="LKA35:LKQ35"/>
    <mergeCell ref="LKR35:LLH35"/>
    <mergeCell ref="LLI35:LLY35"/>
    <mergeCell ref="LLZ35:LMP35"/>
    <mergeCell ref="LAW35:LBM35"/>
    <mergeCell ref="LBN35:LCD35"/>
    <mergeCell ref="LCE35:LCU35"/>
    <mergeCell ref="LCV35:LDL35"/>
    <mergeCell ref="LDM35:LEC35"/>
    <mergeCell ref="LED35:LET35"/>
    <mergeCell ref="LEU35:LFK35"/>
    <mergeCell ref="LFL35:LGB35"/>
    <mergeCell ref="LGC35:LGS35"/>
    <mergeCell ref="KUZ35:KVP35"/>
    <mergeCell ref="KVQ35:KWG35"/>
    <mergeCell ref="KWH35:KWX35"/>
    <mergeCell ref="KWY35:KXO35"/>
    <mergeCell ref="KXP35:KYF35"/>
    <mergeCell ref="KYG35:KYW35"/>
    <mergeCell ref="KYX35:KZN35"/>
    <mergeCell ref="KZO35:LAE35"/>
    <mergeCell ref="LAF35:LAV35"/>
    <mergeCell ref="KPC35:KPS35"/>
    <mergeCell ref="KPT35:KQJ35"/>
    <mergeCell ref="KQK35:KRA35"/>
    <mergeCell ref="KRB35:KRR35"/>
    <mergeCell ref="KRS35:KSI35"/>
    <mergeCell ref="KSJ35:KSZ35"/>
    <mergeCell ref="KTA35:KTQ35"/>
    <mergeCell ref="KTR35:KUH35"/>
    <mergeCell ref="KUI35:KUY35"/>
    <mergeCell ref="KJF35:KJV35"/>
    <mergeCell ref="KJW35:KKM35"/>
    <mergeCell ref="KKN35:KLD35"/>
    <mergeCell ref="KLE35:KLU35"/>
    <mergeCell ref="KLV35:KML35"/>
    <mergeCell ref="KMM35:KNC35"/>
    <mergeCell ref="KND35:KNT35"/>
    <mergeCell ref="KNU35:KOK35"/>
    <mergeCell ref="KOL35:KPB35"/>
    <mergeCell ref="KDI35:KDY35"/>
    <mergeCell ref="KDZ35:KEP35"/>
    <mergeCell ref="KEQ35:KFG35"/>
    <mergeCell ref="KFH35:KFX35"/>
    <mergeCell ref="KFY35:KGO35"/>
    <mergeCell ref="KGP35:KHF35"/>
    <mergeCell ref="KHG35:KHW35"/>
    <mergeCell ref="KHX35:KIN35"/>
    <mergeCell ref="KIO35:KJE35"/>
    <mergeCell ref="JXL35:JYB35"/>
    <mergeCell ref="JYC35:JYS35"/>
    <mergeCell ref="JYT35:JZJ35"/>
    <mergeCell ref="JZK35:KAA35"/>
    <mergeCell ref="KAB35:KAR35"/>
    <mergeCell ref="KAS35:KBI35"/>
    <mergeCell ref="KBJ35:KBZ35"/>
    <mergeCell ref="KCA35:KCQ35"/>
    <mergeCell ref="KCR35:KDH35"/>
    <mergeCell ref="JRO35:JSE35"/>
    <mergeCell ref="JSF35:JSV35"/>
    <mergeCell ref="JSW35:JTM35"/>
    <mergeCell ref="JTN35:JUD35"/>
    <mergeCell ref="JUE35:JUU35"/>
    <mergeCell ref="JUV35:JVL35"/>
    <mergeCell ref="JVM35:JWC35"/>
    <mergeCell ref="JWD35:JWT35"/>
    <mergeCell ref="JWU35:JXK35"/>
    <mergeCell ref="JLR35:JMH35"/>
    <mergeCell ref="JMI35:JMY35"/>
    <mergeCell ref="JMZ35:JNP35"/>
    <mergeCell ref="JNQ35:JOG35"/>
    <mergeCell ref="JOH35:JOX35"/>
    <mergeCell ref="JOY35:JPO35"/>
    <mergeCell ref="JPP35:JQF35"/>
    <mergeCell ref="JQG35:JQW35"/>
    <mergeCell ref="JQX35:JRN35"/>
    <mergeCell ref="JFU35:JGK35"/>
    <mergeCell ref="JGL35:JHB35"/>
    <mergeCell ref="JHC35:JHS35"/>
    <mergeCell ref="JHT35:JIJ35"/>
    <mergeCell ref="JIK35:JJA35"/>
    <mergeCell ref="JJB35:JJR35"/>
    <mergeCell ref="JJS35:JKI35"/>
    <mergeCell ref="JKJ35:JKZ35"/>
    <mergeCell ref="JLA35:JLQ35"/>
    <mergeCell ref="IZX35:JAN35"/>
    <mergeCell ref="JAO35:JBE35"/>
    <mergeCell ref="JBF35:JBV35"/>
    <mergeCell ref="JBW35:JCM35"/>
    <mergeCell ref="JCN35:JDD35"/>
    <mergeCell ref="JDE35:JDU35"/>
    <mergeCell ref="JDV35:JEL35"/>
    <mergeCell ref="JEM35:JFC35"/>
    <mergeCell ref="JFD35:JFT35"/>
    <mergeCell ref="IUA35:IUQ35"/>
    <mergeCell ref="IUR35:IVH35"/>
    <mergeCell ref="IVI35:IVY35"/>
    <mergeCell ref="IVZ35:IWP35"/>
    <mergeCell ref="IWQ35:IXG35"/>
    <mergeCell ref="IXH35:IXX35"/>
    <mergeCell ref="IXY35:IYO35"/>
    <mergeCell ref="IYP35:IZF35"/>
    <mergeCell ref="IZG35:IZW35"/>
    <mergeCell ref="IOD35:IOT35"/>
    <mergeCell ref="IOU35:IPK35"/>
    <mergeCell ref="IPL35:IQB35"/>
    <mergeCell ref="IQC35:IQS35"/>
    <mergeCell ref="IQT35:IRJ35"/>
    <mergeCell ref="IRK35:ISA35"/>
    <mergeCell ref="ISB35:ISR35"/>
    <mergeCell ref="ISS35:ITI35"/>
    <mergeCell ref="ITJ35:ITZ35"/>
    <mergeCell ref="IIG35:IIW35"/>
    <mergeCell ref="IIX35:IJN35"/>
    <mergeCell ref="IJO35:IKE35"/>
    <mergeCell ref="IKF35:IKV35"/>
    <mergeCell ref="IKW35:ILM35"/>
    <mergeCell ref="ILN35:IMD35"/>
    <mergeCell ref="IME35:IMU35"/>
    <mergeCell ref="IMV35:INL35"/>
    <mergeCell ref="INM35:IOC35"/>
    <mergeCell ref="ICJ35:ICZ35"/>
    <mergeCell ref="IDA35:IDQ35"/>
    <mergeCell ref="IDR35:IEH35"/>
    <mergeCell ref="IEI35:IEY35"/>
    <mergeCell ref="IEZ35:IFP35"/>
    <mergeCell ref="IFQ35:IGG35"/>
    <mergeCell ref="IGH35:IGX35"/>
    <mergeCell ref="IGY35:IHO35"/>
    <mergeCell ref="IHP35:IIF35"/>
    <mergeCell ref="HWM35:HXC35"/>
    <mergeCell ref="HXD35:HXT35"/>
    <mergeCell ref="HXU35:HYK35"/>
    <mergeCell ref="HYL35:HZB35"/>
    <mergeCell ref="HZC35:HZS35"/>
    <mergeCell ref="HZT35:IAJ35"/>
    <mergeCell ref="IAK35:IBA35"/>
    <mergeCell ref="IBB35:IBR35"/>
    <mergeCell ref="IBS35:ICI35"/>
    <mergeCell ref="HQP35:HRF35"/>
    <mergeCell ref="HRG35:HRW35"/>
    <mergeCell ref="HRX35:HSN35"/>
    <mergeCell ref="HSO35:HTE35"/>
    <mergeCell ref="HTF35:HTV35"/>
    <mergeCell ref="HTW35:HUM35"/>
    <mergeCell ref="HUN35:HVD35"/>
    <mergeCell ref="HVE35:HVU35"/>
    <mergeCell ref="HVV35:HWL35"/>
    <mergeCell ref="HKS35:HLI35"/>
    <mergeCell ref="HLJ35:HLZ35"/>
    <mergeCell ref="HMA35:HMQ35"/>
    <mergeCell ref="HMR35:HNH35"/>
    <mergeCell ref="HNI35:HNY35"/>
    <mergeCell ref="HNZ35:HOP35"/>
    <mergeCell ref="HOQ35:HPG35"/>
    <mergeCell ref="HPH35:HPX35"/>
    <mergeCell ref="HPY35:HQO35"/>
    <mergeCell ref="HEV35:HFL35"/>
    <mergeCell ref="HFM35:HGC35"/>
    <mergeCell ref="HGD35:HGT35"/>
    <mergeCell ref="HGU35:HHK35"/>
    <mergeCell ref="HHL35:HIB35"/>
    <mergeCell ref="HIC35:HIS35"/>
    <mergeCell ref="HIT35:HJJ35"/>
    <mergeCell ref="HJK35:HKA35"/>
    <mergeCell ref="HKB35:HKR35"/>
    <mergeCell ref="GYY35:GZO35"/>
    <mergeCell ref="GZP35:HAF35"/>
    <mergeCell ref="HAG35:HAW35"/>
    <mergeCell ref="HAX35:HBN35"/>
    <mergeCell ref="HBO35:HCE35"/>
    <mergeCell ref="HCF35:HCV35"/>
    <mergeCell ref="HCW35:HDM35"/>
    <mergeCell ref="HDN35:HED35"/>
    <mergeCell ref="HEE35:HEU35"/>
    <mergeCell ref="GTB35:GTR35"/>
    <mergeCell ref="GTS35:GUI35"/>
    <mergeCell ref="GUJ35:GUZ35"/>
    <mergeCell ref="GVA35:GVQ35"/>
    <mergeCell ref="GVR35:GWH35"/>
    <mergeCell ref="GWI35:GWY35"/>
    <mergeCell ref="GWZ35:GXP35"/>
    <mergeCell ref="GXQ35:GYG35"/>
    <mergeCell ref="GYH35:GYX35"/>
    <mergeCell ref="GNE35:GNU35"/>
    <mergeCell ref="GNV35:GOL35"/>
    <mergeCell ref="GOM35:GPC35"/>
    <mergeCell ref="GPD35:GPT35"/>
    <mergeCell ref="GPU35:GQK35"/>
    <mergeCell ref="GQL35:GRB35"/>
    <mergeCell ref="GRC35:GRS35"/>
    <mergeCell ref="GRT35:GSJ35"/>
    <mergeCell ref="GSK35:GTA35"/>
    <mergeCell ref="GHH35:GHX35"/>
    <mergeCell ref="GHY35:GIO35"/>
    <mergeCell ref="GIP35:GJF35"/>
    <mergeCell ref="GJG35:GJW35"/>
    <mergeCell ref="GJX35:GKN35"/>
    <mergeCell ref="GKO35:GLE35"/>
    <mergeCell ref="GLF35:GLV35"/>
    <mergeCell ref="GLW35:GMM35"/>
    <mergeCell ref="GMN35:GND35"/>
    <mergeCell ref="GBK35:GCA35"/>
    <mergeCell ref="GCB35:GCR35"/>
    <mergeCell ref="GCS35:GDI35"/>
    <mergeCell ref="GDJ35:GDZ35"/>
    <mergeCell ref="GEA35:GEQ35"/>
    <mergeCell ref="GER35:GFH35"/>
    <mergeCell ref="GFI35:GFY35"/>
    <mergeCell ref="GFZ35:GGP35"/>
    <mergeCell ref="GGQ35:GHG35"/>
    <mergeCell ref="FVN35:FWD35"/>
    <mergeCell ref="FWE35:FWU35"/>
    <mergeCell ref="FWV35:FXL35"/>
    <mergeCell ref="FXM35:FYC35"/>
    <mergeCell ref="FYD35:FYT35"/>
    <mergeCell ref="FYU35:FZK35"/>
    <mergeCell ref="FZL35:GAB35"/>
    <mergeCell ref="GAC35:GAS35"/>
    <mergeCell ref="GAT35:GBJ35"/>
    <mergeCell ref="FPQ35:FQG35"/>
    <mergeCell ref="FQH35:FQX35"/>
    <mergeCell ref="FQY35:FRO35"/>
    <mergeCell ref="FRP35:FSF35"/>
    <mergeCell ref="FSG35:FSW35"/>
    <mergeCell ref="FSX35:FTN35"/>
    <mergeCell ref="FTO35:FUE35"/>
    <mergeCell ref="FUF35:FUV35"/>
    <mergeCell ref="FUW35:FVM35"/>
    <mergeCell ref="FJT35:FKJ35"/>
    <mergeCell ref="FKK35:FLA35"/>
    <mergeCell ref="FLB35:FLR35"/>
    <mergeCell ref="FLS35:FMI35"/>
    <mergeCell ref="FMJ35:FMZ35"/>
    <mergeCell ref="FNA35:FNQ35"/>
    <mergeCell ref="FNR35:FOH35"/>
    <mergeCell ref="FOI35:FOY35"/>
    <mergeCell ref="FOZ35:FPP35"/>
    <mergeCell ref="FDW35:FEM35"/>
    <mergeCell ref="FEN35:FFD35"/>
    <mergeCell ref="FFE35:FFU35"/>
    <mergeCell ref="FFV35:FGL35"/>
    <mergeCell ref="FGM35:FHC35"/>
    <mergeCell ref="FHD35:FHT35"/>
    <mergeCell ref="FHU35:FIK35"/>
    <mergeCell ref="FIL35:FJB35"/>
    <mergeCell ref="FJC35:FJS35"/>
    <mergeCell ref="EXZ35:EYP35"/>
    <mergeCell ref="EYQ35:EZG35"/>
    <mergeCell ref="EZH35:EZX35"/>
    <mergeCell ref="EZY35:FAO35"/>
    <mergeCell ref="FAP35:FBF35"/>
    <mergeCell ref="FBG35:FBW35"/>
    <mergeCell ref="FBX35:FCN35"/>
    <mergeCell ref="FCO35:FDE35"/>
    <mergeCell ref="FDF35:FDV35"/>
    <mergeCell ref="ESC35:ESS35"/>
    <mergeCell ref="EST35:ETJ35"/>
    <mergeCell ref="ETK35:EUA35"/>
    <mergeCell ref="EUB35:EUR35"/>
    <mergeCell ref="EUS35:EVI35"/>
    <mergeCell ref="EVJ35:EVZ35"/>
    <mergeCell ref="EWA35:EWQ35"/>
    <mergeCell ref="EWR35:EXH35"/>
    <mergeCell ref="EXI35:EXY35"/>
    <mergeCell ref="EMF35:EMV35"/>
    <mergeCell ref="EMW35:ENM35"/>
    <mergeCell ref="ENN35:EOD35"/>
    <mergeCell ref="EOE35:EOU35"/>
    <mergeCell ref="EOV35:EPL35"/>
    <mergeCell ref="EPM35:EQC35"/>
    <mergeCell ref="EQD35:EQT35"/>
    <mergeCell ref="EQU35:ERK35"/>
    <mergeCell ref="ERL35:ESB35"/>
    <mergeCell ref="EGI35:EGY35"/>
    <mergeCell ref="EGZ35:EHP35"/>
    <mergeCell ref="EHQ35:EIG35"/>
    <mergeCell ref="EIH35:EIX35"/>
    <mergeCell ref="EIY35:EJO35"/>
    <mergeCell ref="EJP35:EKF35"/>
    <mergeCell ref="EKG35:EKW35"/>
    <mergeCell ref="EKX35:ELN35"/>
    <mergeCell ref="ELO35:EME35"/>
    <mergeCell ref="EAL35:EBB35"/>
    <mergeCell ref="EBC35:EBS35"/>
    <mergeCell ref="EBT35:ECJ35"/>
    <mergeCell ref="ECK35:EDA35"/>
    <mergeCell ref="EDB35:EDR35"/>
    <mergeCell ref="EDS35:EEI35"/>
    <mergeCell ref="EEJ35:EEZ35"/>
    <mergeCell ref="EFA35:EFQ35"/>
    <mergeCell ref="EFR35:EGH35"/>
    <mergeCell ref="DUO35:DVE35"/>
    <mergeCell ref="DVF35:DVV35"/>
    <mergeCell ref="DVW35:DWM35"/>
    <mergeCell ref="DWN35:DXD35"/>
    <mergeCell ref="DXE35:DXU35"/>
    <mergeCell ref="DXV35:DYL35"/>
    <mergeCell ref="DYM35:DZC35"/>
    <mergeCell ref="DZD35:DZT35"/>
    <mergeCell ref="DZU35:EAK35"/>
    <mergeCell ref="DOR35:DPH35"/>
    <mergeCell ref="DPI35:DPY35"/>
    <mergeCell ref="DPZ35:DQP35"/>
    <mergeCell ref="DQQ35:DRG35"/>
    <mergeCell ref="DRH35:DRX35"/>
    <mergeCell ref="DRY35:DSO35"/>
    <mergeCell ref="DSP35:DTF35"/>
    <mergeCell ref="DTG35:DTW35"/>
    <mergeCell ref="DTX35:DUN35"/>
    <mergeCell ref="DIU35:DJK35"/>
    <mergeCell ref="DJL35:DKB35"/>
    <mergeCell ref="DKC35:DKS35"/>
    <mergeCell ref="DKT35:DLJ35"/>
    <mergeCell ref="DLK35:DMA35"/>
    <mergeCell ref="DMB35:DMR35"/>
    <mergeCell ref="DMS35:DNI35"/>
    <mergeCell ref="DNJ35:DNZ35"/>
    <mergeCell ref="DOA35:DOQ35"/>
    <mergeCell ref="DCX35:DDN35"/>
    <mergeCell ref="DDO35:DEE35"/>
    <mergeCell ref="DEF35:DEV35"/>
    <mergeCell ref="DEW35:DFM35"/>
    <mergeCell ref="DFN35:DGD35"/>
    <mergeCell ref="DGE35:DGU35"/>
    <mergeCell ref="DGV35:DHL35"/>
    <mergeCell ref="DHM35:DIC35"/>
    <mergeCell ref="DID35:DIT35"/>
    <mergeCell ref="CXA35:CXQ35"/>
    <mergeCell ref="CXR35:CYH35"/>
    <mergeCell ref="CYI35:CYY35"/>
    <mergeCell ref="CYZ35:CZP35"/>
    <mergeCell ref="CZQ35:DAG35"/>
    <mergeCell ref="DAH35:DAX35"/>
    <mergeCell ref="DAY35:DBO35"/>
    <mergeCell ref="DBP35:DCF35"/>
    <mergeCell ref="DCG35:DCW35"/>
    <mergeCell ref="CRD35:CRT35"/>
    <mergeCell ref="CRU35:CSK35"/>
    <mergeCell ref="CSL35:CTB35"/>
    <mergeCell ref="CTC35:CTS35"/>
    <mergeCell ref="CTT35:CUJ35"/>
    <mergeCell ref="CUK35:CVA35"/>
    <mergeCell ref="CVB35:CVR35"/>
    <mergeCell ref="CVS35:CWI35"/>
    <mergeCell ref="CWJ35:CWZ35"/>
    <mergeCell ref="CLG35:CLW35"/>
    <mergeCell ref="CLX35:CMN35"/>
    <mergeCell ref="CMO35:CNE35"/>
    <mergeCell ref="CNF35:CNV35"/>
    <mergeCell ref="CNW35:COM35"/>
    <mergeCell ref="CON35:CPD35"/>
    <mergeCell ref="CPE35:CPU35"/>
    <mergeCell ref="CPV35:CQL35"/>
    <mergeCell ref="CQM35:CRC35"/>
    <mergeCell ref="CFJ35:CFZ35"/>
    <mergeCell ref="CGA35:CGQ35"/>
    <mergeCell ref="CGR35:CHH35"/>
    <mergeCell ref="CHI35:CHY35"/>
    <mergeCell ref="CHZ35:CIP35"/>
    <mergeCell ref="CIQ35:CJG35"/>
    <mergeCell ref="CJH35:CJX35"/>
    <mergeCell ref="CJY35:CKO35"/>
    <mergeCell ref="CKP35:CLF35"/>
    <mergeCell ref="BZM35:CAC35"/>
    <mergeCell ref="CAD35:CAT35"/>
    <mergeCell ref="CAU35:CBK35"/>
    <mergeCell ref="CBL35:CCB35"/>
    <mergeCell ref="CCC35:CCS35"/>
    <mergeCell ref="CCT35:CDJ35"/>
    <mergeCell ref="CDK35:CEA35"/>
    <mergeCell ref="CEB35:CER35"/>
    <mergeCell ref="CES35:CFI35"/>
    <mergeCell ref="BTP35:BUF35"/>
    <mergeCell ref="BUG35:BUW35"/>
    <mergeCell ref="BUX35:BVN35"/>
    <mergeCell ref="BVO35:BWE35"/>
    <mergeCell ref="BWF35:BWV35"/>
    <mergeCell ref="BWW35:BXM35"/>
    <mergeCell ref="BXN35:BYD35"/>
    <mergeCell ref="BYE35:BYU35"/>
    <mergeCell ref="BYV35:BZL35"/>
    <mergeCell ref="BNS35:BOI35"/>
    <mergeCell ref="BOJ35:BOZ35"/>
    <mergeCell ref="BPA35:BPQ35"/>
    <mergeCell ref="BPR35:BQH35"/>
    <mergeCell ref="BQI35:BQY35"/>
    <mergeCell ref="BQZ35:BRP35"/>
    <mergeCell ref="BRQ35:BSG35"/>
    <mergeCell ref="BSH35:BSX35"/>
    <mergeCell ref="BSY35:BTO35"/>
    <mergeCell ref="BHV35:BIL35"/>
    <mergeCell ref="BIM35:BJC35"/>
    <mergeCell ref="BJD35:BJT35"/>
    <mergeCell ref="BJU35:BKK35"/>
    <mergeCell ref="BKL35:BLB35"/>
    <mergeCell ref="BLC35:BLS35"/>
    <mergeCell ref="BLT35:BMJ35"/>
    <mergeCell ref="BMK35:BNA35"/>
    <mergeCell ref="BNB35:BNR35"/>
    <mergeCell ref="BBY35:BCO35"/>
    <mergeCell ref="BCP35:BDF35"/>
    <mergeCell ref="BDG35:BDW35"/>
    <mergeCell ref="BDX35:BEN35"/>
    <mergeCell ref="BEO35:BFE35"/>
    <mergeCell ref="BFF35:BFV35"/>
    <mergeCell ref="BFW35:BGM35"/>
    <mergeCell ref="BGN35:BHD35"/>
    <mergeCell ref="BHE35:BHU35"/>
    <mergeCell ref="AWB35:AWR35"/>
    <mergeCell ref="AWS35:AXI35"/>
    <mergeCell ref="AXJ35:AXZ35"/>
    <mergeCell ref="AYA35:AYQ35"/>
    <mergeCell ref="AYR35:AZH35"/>
    <mergeCell ref="AZI35:AZY35"/>
    <mergeCell ref="AZZ35:BAP35"/>
    <mergeCell ref="BAQ35:BBG35"/>
    <mergeCell ref="BBH35:BBX35"/>
    <mergeCell ref="AQE35:AQU35"/>
    <mergeCell ref="AQV35:ARL35"/>
    <mergeCell ref="ARM35:ASC35"/>
    <mergeCell ref="ASD35:AST35"/>
    <mergeCell ref="ASU35:ATK35"/>
    <mergeCell ref="ATL35:AUB35"/>
    <mergeCell ref="AUC35:AUS35"/>
    <mergeCell ref="AUT35:AVJ35"/>
    <mergeCell ref="AVK35:AWA35"/>
    <mergeCell ref="AKH35:AKX35"/>
    <mergeCell ref="AKY35:ALO35"/>
    <mergeCell ref="ALP35:AMF35"/>
    <mergeCell ref="AMG35:AMW35"/>
    <mergeCell ref="AMX35:ANN35"/>
    <mergeCell ref="ANO35:AOE35"/>
    <mergeCell ref="AOF35:AOV35"/>
    <mergeCell ref="AOW35:APM35"/>
    <mergeCell ref="APN35:AQD35"/>
    <mergeCell ref="AEK35:AFA35"/>
    <mergeCell ref="AFB35:AFR35"/>
    <mergeCell ref="AFS35:AGI35"/>
    <mergeCell ref="AGJ35:AGZ35"/>
    <mergeCell ref="AHA35:AHQ35"/>
    <mergeCell ref="AHR35:AIH35"/>
    <mergeCell ref="AII35:AIY35"/>
    <mergeCell ref="AIZ35:AJP35"/>
    <mergeCell ref="AJQ35:AKG35"/>
    <mergeCell ref="YN35:ZD35"/>
    <mergeCell ref="ZE35:ZU35"/>
    <mergeCell ref="ZV35:AAL35"/>
    <mergeCell ref="AAM35:ABC35"/>
    <mergeCell ref="ABD35:ABT35"/>
    <mergeCell ref="ABU35:ACK35"/>
    <mergeCell ref="ACL35:ADB35"/>
    <mergeCell ref="ADC35:ADS35"/>
    <mergeCell ref="ADT35:AEJ35"/>
    <mergeCell ref="SQ35:TG35"/>
    <mergeCell ref="TH35:TX35"/>
    <mergeCell ref="TY35:UO35"/>
    <mergeCell ref="UP35:VF35"/>
    <mergeCell ref="VG35:VW35"/>
    <mergeCell ref="VX35:WN35"/>
    <mergeCell ref="WO35:XE35"/>
    <mergeCell ref="XF35:XV35"/>
    <mergeCell ref="XW35:YM35"/>
    <mergeCell ref="MT35:NJ35"/>
    <mergeCell ref="NK35:OA35"/>
    <mergeCell ref="OB35:OR35"/>
    <mergeCell ref="OS35:PI35"/>
    <mergeCell ref="PJ35:PZ35"/>
    <mergeCell ref="QA35:QQ35"/>
    <mergeCell ref="QR35:RH35"/>
    <mergeCell ref="RI35:RY35"/>
    <mergeCell ref="RZ35:SP35"/>
    <mergeCell ref="GW35:HM35"/>
    <mergeCell ref="HN35:ID35"/>
    <mergeCell ref="IE35:IU35"/>
    <mergeCell ref="IV35:JL35"/>
    <mergeCell ref="JM35:KC35"/>
    <mergeCell ref="KD35:KT35"/>
    <mergeCell ref="KU35:LK35"/>
    <mergeCell ref="LL35:MB35"/>
    <mergeCell ref="MC35:MS35"/>
    <mergeCell ref="AZ35:BP35"/>
    <mergeCell ref="BQ35:CG35"/>
    <mergeCell ref="CH35:CX35"/>
    <mergeCell ref="CY35:DO35"/>
    <mergeCell ref="DP35:EF35"/>
    <mergeCell ref="EG35:EW35"/>
    <mergeCell ref="EX35:FN35"/>
    <mergeCell ref="FO35:GE35"/>
    <mergeCell ref="GF35:GV35"/>
    <mergeCell ref="A2:Q2"/>
    <mergeCell ref="A34:Q34"/>
    <mergeCell ref="A35:Q35"/>
    <mergeCell ref="R35:AH35"/>
    <mergeCell ref="AI35:AY35"/>
    <mergeCell ref="XCB33:XCR33"/>
    <mergeCell ref="XCS33:XDI33"/>
    <mergeCell ref="XDJ33:XDZ33"/>
    <mergeCell ref="WMJ33:WMZ33"/>
    <mergeCell ref="WNA33:WNQ33"/>
    <mergeCell ref="WNR33:WOH33"/>
    <mergeCell ref="WOI33:WOY33"/>
    <mergeCell ref="WOZ33:WPP33"/>
    <mergeCell ref="WPQ33:WQG33"/>
    <mergeCell ref="WIL33:WJB33"/>
    <mergeCell ref="WJC33:WJS33"/>
    <mergeCell ref="WJT33:WKJ33"/>
    <mergeCell ref="WKK33:WLA33"/>
    <mergeCell ref="WLB33:WLR33"/>
    <mergeCell ref="WLS33:WMI33"/>
    <mergeCell ref="WEN33:WFD33"/>
    <mergeCell ref="WFE33:WFU33"/>
    <mergeCell ref="WFV33:WGL33"/>
    <mergeCell ref="XEA33:XEQ33"/>
    <mergeCell ref="XER33:XFD33"/>
    <mergeCell ref="WYD33:WYT33"/>
    <mergeCell ref="WYU33:WZK33"/>
    <mergeCell ref="WZL33:XAB33"/>
    <mergeCell ref="XAC33:XAS33"/>
    <mergeCell ref="XAT33:XBJ33"/>
    <mergeCell ref="XBK33:XCA33"/>
    <mergeCell ref="WUF33:WUV33"/>
    <mergeCell ref="WUW33:WVM33"/>
    <mergeCell ref="WVN33:WWD33"/>
    <mergeCell ref="WWE33:WWU33"/>
    <mergeCell ref="WWV33:WXL33"/>
    <mergeCell ref="WXM33:WYC33"/>
    <mergeCell ref="WQH33:WQX33"/>
    <mergeCell ref="WQY33:WRO33"/>
    <mergeCell ref="WRP33:WSF33"/>
    <mergeCell ref="WSG33:WSW33"/>
    <mergeCell ref="WSX33:WTN33"/>
    <mergeCell ref="WTO33:WUE33"/>
    <mergeCell ref="WGM33:WHC33"/>
    <mergeCell ref="WHD33:WHT33"/>
    <mergeCell ref="WHU33:WIK33"/>
    <mergeCell ref="WAP33:WBF33"/>
    <mergeCell ref="WBG33:WBW33"/>
    <mergeCell ref="WBX33:WCN33"/>
    <mergeCell ref="WCO33:WDE33"/>
    <mergeCell ref="WDF33:WDV33"/>
    <mergeCell ref="WDW33:WEM33"/>
    <mergeCell ref="VWR33:VXH33"/>
    <mergeCell ref="VXI33:VXY33"/>
    <mergeCell ref="VXZ33:VYP33"/>
    <mergeCell ref="VYQ33:VZG33"/>
    <mergeCell ref="VZH33:VZX33"/>
    <mergeCell ref="VZY33:WAO33"/>
    <mergeCell ref="VST33:VTJ33"/>
    <mergeCell ref="VTK33:VUA33"/>
    <mergeCell ref="VUB33:VUR33"/>
    <mergeCell ref="VUS33:VVI33"/>
    <mergeCell ref="VVJ33:VVZ33"/>
    <mergeCell ref="VWA33:VWQ33"/>
    <mergeCell ref="VOV33:VPL33"/>
    <mergeCell ref="VPM33:VQC33"/>
    <mergeCell ref="VQD33:VQT33"/>
    <mergeCell ref="VQU33:VRK33"/>
    <mergeCell ref="VRL33:VSB33"/>
    <mergeCell ref="VSC33:VSS33"/>
    <mergeCell ref="VKX33:VLN33"/>
    <mergeCell ref="VLO33:VME33"/>
    <mergeCell ref="VMF33:VMV33"/>
    <mergeCell ref="VMW33:VNM33"/>
    <mergeCell ref="VNN33:VOD33"/>
    <mergeCell ref="VOE33:VOU33"/>
    <mergeCell ref="VGZ33:VHP33"/>
    <mergeCell ref="VHQ33:VIG33"/>
    <mergeCell ref="VIH33:VIX33"/>
    <mergeCell ref="VIY33:VJO33"/>
    <mergeCell ref="VJP33:VKF33"/>
    <mergeCell ref="VKG33:VKW33"/>
    <mergeCell ref="VDB33:VDR33"/>
    <mergeCell ref="VDS33:VEI33"/>
    <mergeCell ref="VEJ33:VEZ33"/>
    <mergeCell ref="VFA33:VFQ33"/>
    <mergeCell ref="VFR33:VGH33"/>
    <mergeCell ref="VGI33:VGY33"/>
    <mergeCell ref="UZD33:UZT33"/>
    <mergeCell ref="UZU33:VAK33"/>
    <mergeCell ref="VAL33:VBB33"/>
    <mergeCell ref="VBC33:VBS33"/>
    <mergeCell ref="VBT33:VCJ33"/>
    <mergeCell ref="VCK33:VDA33"/>
    <mergeCell ref="UVF33:UVV33"/>
    <mergeCell ref="UVW33:UWM33"/>
    <mergeCell ref="UWN33:UXD33"/>
    <mergeCell ref="UXE33:UXU33"/>
    <mergeCell ref="UXV33:UYL33"/>
    <mergeCell ref="UYM33:UZC33"/>
    <mergeCell ref="URH33:URX33"/>
    <mergeCell ref="URY33:USO33"/>
    <mergeCell ref="USP33:UTF33"/>
    <mergeCell ref="UTG33:UTW33"/>
    <mergeCell ref="UTX33:UUN33"/>
    <mergeCell ref="UUO33:UVE33"/>
    <mergeCell ref="UNJ33:UNZ33"/>
    <mergeCell ref="UOA33:UOQ33"/>
    <mergeCell ref="UOR33:UPH33"/>
    <mergeCell ref="UPI33:UPY33"/>
    <mergeCell ref="UPZ33:UQP33"/>
    <mergeCell ref="UQQ33:URG33"/>
    <mergeCell ref="UJL33:UKB33"/>
    <mergeCell ref="UKC33:UKS33"/>
    <mergeCell ref="UKT33:ULJ33"/>
    <mergeCell ref="ULK33:UMA33"/>
    <mergeCell ref="UMB33:UMR33"/>
    <mergeCell ref="UMS33:UNI33"/>
    <mergeCell ref="UFN33:UGD33"/>
    <mergeCell ref="UGE33:UGU33"/>
    <mergeCell ref="UGV33:UHL33"/>
    <mergeCell ref="UHM33:UIC33"/>
    <mergeCell ref="UID33:UIT33"/>
    <mergeCell ref="UIU33:UJK33"/>
    <mergeCell ref="UBP33:UCF33"/>
    <mergeCell ref="UCG33:UCW33"/>
    <mergeCell ref="UCX33:UDN33"/>
    <mergeCell ref="UDO33:UEE33"/>
    <mergeCell ref="UEF33:UEV33"/>
    <mergeCell ref="UEW33:UFM33"/>
    <mergeCell ref="TXR33:TYH33"/>
    <mergeCell ref="TYI33:TYY33"/>
    <mergeCell ref="TYZ33:TZP33"/>
    <mergeCell ref="TZQ33:UAG33"/>
    <mergeCell ref="UAH33:UAX33"/>
    <mergeCell ref="UAY33:UBO33"/>
    <mergeCell ref="TTT33:TUJ33"/>
    <mergeCell ref="TUK33:TVA33"/>
    <mergeCell ref="TVB33:TVR33"/>
    <mergeCell ref="TVS33:TWI33"/>
    <mergeCell ref="TWJ33:TWZ33"/>
    <mergeCell ref="TXA33:TXQ33"/>
    <mergeCell ref="TPV33:TQL33"/>
    <mergeCell ref="TQM33:TRC33"/>
    <mergeCell ref="TRD33:TRT33"/>
    <mergeCell ref="TRU33:TSK33"/>
    <mergeCell ref="TSL33:TTB33"/>
    <mergeCell ref="TTC33:TTS33"/>
    <mergeCell ref="TLX33:TMN33"/>
    <mergeCell ref="TMO33:TNE33"/>
    <mergeCell ref="TNF33:TNV33"/>
    <mergeCell ref="TNW33:TOM33"/>
    <mergeCell ref="TON33:TPD33"/>
    <mergeCell ref="TPE33:TPU33"/>
    <mergeCell ref="THZ33:TIP33"/>
    <mergeCell ref="TIQ33:TJG33"/>
    <mergeCell ref="TJH33:TJX33"/>
    <mergeCell ref="TJY33:TKO33"/>
    <mergeCell ref="TKP33:TLF33"/>
    <mergeCell ref="TLG33:TLW33"/>
    <mergeCell ref="TEB33:TER33"/>
    <mergeCell ref="TES33:TFI33"/>
    <mergeCell ref="TFJ33:TFZ33"/>
    <mergeCell ref="TGA33:TGQ33"/>
    <mergeCell ref="TGR33:THH33"/>
    <mergeCell ref="THI33:THY33"/>
    <mergeCell ref="TAD33:TAT33"/>
    <mergeCell ref="TAU33:TBK33"/>
    <mergeCell ref="TBL33:TCB33"/>
    <mergeCell ref="TCC33:TCS33"/>
    <mergeCell ref="TCT33:TDJ33"/>
    <mergeCell ref="TDK33:TEA33"/>
    <mergeCell ref="SWF33:SWV33"/>
    <mergeCell ref="SWW33:SXM33"/>
    <mergeCell ref="SXN33:SYD33"/>
    <mergeCell ref="SYE33:SYU33"/>
    <mergeCell ref="SYV33:SZL33"/>
    <mergeCell ref="SZM33:TAC33"/>
    <mergeCell ref="SSH33:SSX33"/>
    <mergeCell ref="SSY33:STO33"/>
    <mergeCell ref="STP33:SUF33"/>
    <mergeCell ref="SUG33:SUW33"/>
    <mergeCell ref="SUX33:SVN33"/>
    <mergeCell ref="SVO33:SWE33"/>
    <mergeCell ref="SOJ33:SOZ33"/>
    <mergeCell ref="SPA33:SPQ33"/>
    <mergeCell ref="SPR33:SQH33"/>
    <mergeCell ref="SQI33:SQY33"/>
    <mergeCell ref="SQZ33:SRP33"/>
    <mergeCell ref="SRQ33:SSG33"/>
    <mergeCell ref="SKL33:SLB33"/>
    <mergeCell ref="SLC33:SLS33"/>
    <mergeCell ref="SLT33:SMJ33"/>
    <mergeCell ref="SMK33:SNA33"/>
    <mergeCell ref="SNB33:SNR33"/>
    <mergeCell ref="SNS33:SOI33"/>
    <mergeCell ref="SGN33:SHD33"/>
    <mergeCell ref="SHE33:SHU33"/>
    <mergeCell ref="SHV33:SIL33"/>
    <mergeCell ref="SIM33:SJC33"/>
    <mergeCell ref="SJD33:SJT33"/>
    <mergeCell ref="SJU33:SKK33"/>
    <mergeCell ref="SCP33:SDF33"/>
    <mergeCell ref="SDG33:SDW33"/>
    <mergeCell ref="SDX33:SEN33"/>
    <mergeCell ref="SEO33:SFE33"/>
    <mergeCell ref="SFF33:SFV33"/>
    <mergeCell ref="SFW33:SGM33"/>
    <mergeCell ref="RYR33:RZH33"/>
    <mergeCell ref="RZI33:RZY33"/>
    <mergeCell ref="RZZ33:SAP33"/>
    <mergeCell ref="SAQ33:SBG33"/>
    <mergeCell ref="SBH33:SBX33"/>
    <mergeCell ref="SBY33:SCO33"/>
    <mergeCell ref="RUT33:RVJ33"/>
    <mergeCell ref="RVK33:RWA33"/>
    <mergeCell ref="RWB33:RWR33"/>
    <mergeCell ref="RWS33:RXI33"/>
    <mergeCell ref="RXJ33:RXZ33"/>
    <mergeCell ref="RYA33:RYQ33"/>
    <mergeCell ref="RQV33:RRL33"/>
    <mergeCell ref="RRM33:RSC33"/>
    <mergeCell ref="RSD33:RST33"/>
    <mergeCell ref="RSU33:RTK33"/>
    <mergeCell ref="RTL33:RUB33"/>
    <mergeCell ref="RUC33:RUS33"/>
    <mergeCell ref="RMX33:RNN33"/>
    <mergeCell ref="RNO33:ROE33"/>
    <mergeCell ref="ROF33:ROV33"/>
    <mergeCell ref="ROW33:RPM33"/>
    <mergeCell ref="RPN33:RQD33"/>
    <mergeCell ref="RQE33:RQU33"/>
    <mergeCell ref="RIZ33:RJP33"/>
    <mergeCell ref="RJQ33:RKG33"/>
    <mergeCell ref="RKH33:RKX33"/>
    <mergeCell ref="RKY33:RLO33"/>
    <mergeCell ref="RLP33:RMF33"/>
    <mergeCell ref="RMG33:RMW33"/>
    <mergeCell ref="RFB33:RFR33"/>
    <mergeCell ref="RFS33:RGI33"/>
    <mergeCell ref="RGJ33:RGZ33"/>
    <mergeCell ref="RHA33:RHQ33"/>
    <mergeCell ref="RHR33:RIH33"/>
    <mergeCell ref="RII33:RIY33"/>
    <mergeCell ref="RBD33:RBT33"/>
    <mergeCell ref="RBU33:RCK33"/>
    <mergeCell ref="RCL33:RDB33"/>
    <mergeCell ref="RDC33:RDS33"/>
    <mergeCell ref="RDT33:REJ33"/>
    <mergeCell ref="REK33:RFA33"/>
    <mergeCell ref="QXF33:QXV33"/>
    <mergeCell ref="QXW33:QYM33"/>
    <mergeCell ref="QYN33:QZD33"/>
    <mergeCell ref="QZE33:QZU33"/>
    <mergeCell ref="QZV33:RAL33"/>
    <mergeCell ref="RAM33:RBC33"/>
    <mergeCell ref="QTH33:QTX33"/>
    <mergeCell ref="QTY33:QUO33"/>
    <mergeCell ref="QUP33:QVF33"/>
    <mergeCell ref="QVG33:QVW33"/>
    <mergeCell ref="QVX33:QWN33"/>
    <mergeCell ref="QWO33:QXE33"/>
    <mergeCell ref="QPJ33:QPZ33"/>
    <mergeCell ref="QQA33:QQQ33"/>
    <mergeCell ref="QQR33:QRH33"/>
    <mergeCell ref="QRI33:QRY33"/>
    <mergeCell ref="QRZ33:QSP33"/>
    <mergeCell ref="QSQ33:QTG33"/>
    <mergeCell ref="QLL33:QMB33"/>
    <mergeCell ref="QMC33:QMS33"/>
    <mergeCell ref="QMT33:QNJ33"/>
    <mergeCell ref="QNK33:QOA33"/>
    <mergeCell ref="QOB33:QOR33"/>
    <mergeCell ref="QOS33:QPI33"/>
    <mergeCell ref="QHN33:QID33"/>
    <mergeCell ref="QIE33:QIU33"/>
    <mergeCell ref="QIV33:QJL33"/>
    <mergeCell ref="QJM33:QKC33"/>
    <mergeCell ref="QKD33:QKT33"/>
    <mergeCell ref="QKU33:QLK33"/>
    <mergeCell ref="QDP33:QEF33"/>
    <mergeCell ref="QEG33:QEW33"/>
    <mergeCell ref="QEX33:QFN33"/>
    <mergeCell ref="QFO33:QGE33"/>
    <mergeCell ref="QGF33:QGV33"/>
    <mergeCell ref="QGW33:QHM33"/>
    <mergeCell ref="PZR33:QAH33"/>
    <mergeCell ref="QAI33:QAY33"/>
    <mergeCell ref="QAZ33:QBP33"/>
    <mergeCell ref="QBQ33:QCG33"/>
    <mergeCell ref="QCH33:QCX33"/>
    <mergeCell ref="QCY33:QDO33"/>
    <mergeCell ref="PVT33:PWJ33"/>
    <mergeCell ref="PWK33:PXA33"/>
    <mergeCell ref="PXB33:PXR33"/>
    <mergeCell ref="PXS33:PYI33"/>
    <mergeCell ref="PYJ33:PYZ33"/>
    <mergeCell ref="PZA33:PZQ33"/>
    <mergeCell ref="PRV33:PSL33"/>
    <mergeCell ref="PSM33:PTC33"/>
    <mergeCell ref="PTD33:PTT33"/>
    <mergeCell ref="PTU33:PUK33"/>
    <mergeCell ref="PUL33:PVB33"/>
    <mergeCell ref="PVC33:PVS33"/>
    <mergeCell ref="PNX33:PON33"/>
    <mergeCell ref="POO33:PPE33"/>
    <mergeCell ref="PPF33:PPV33"/>
    <mergeCell ref="PPW33:PQM33"/>
    <mergeCell ref="PQN33:PRD33"/>
    <mergeCell ref="PRE33:PRU33"/>
    <mergeCell ref="PJZ33:PKP33"/>
    <mergeCell ref="PKQ33:PLG33"/>
    <mergeCell ref="PLH33:PLX33"/>
    <mergeCell ref="PLY33:PMO33"/>
    <mergeCell ref="PMP33:PNF33"/>
    <mergeCell ref="PNG33:PNW33"/>
    <mergeCell ref="PGB33:PGR33"/>
    <mergeCell ref="PGS33:PHI33"/>
    <mergeCell ref="PHJ33:PHZ33"/>
    <mergeCell ref="PIA33:PIQ33"/>
    <mergeCell ref="PIR33:PJH33"/>
    <mergeCell ref="PJI33:PJY33"/>
    <mergeCell ref="PCD33:PCT33"/>
    <mergeCell ref="PCU33:PDK33"/>
    <mergeCell ref="PDL33:PEB33"/>
    <mergeCell ref="PEC33:PES33"/>
    <mergeCell ref="PET33:PFJ33"/>
    <mergeCell ref="PFK33:PGA33"/>
    <mergeCell ref="OYF33:OYV33"/>
    <mergeCell ref="OYW33:OZM33"/>
    <mergeCell ref="OZN33:PAD33"/>
    <mergeCell ref="PAE33:PAU33"/>
    <mergeCell ref="PAV33:PBL33"/>
    <mergeCell ref="PBM33:PCC33"/>
    <mergeCell ref="OUH33:OUX33"/>
    <mergeCell ref="OUY33:OVO33"/>
    <mergeCell ref="OVP33:OWF33"/>
    <mergeCell ref="OWG33:OWW33"/>
    <mergeCell ref="OWX33:OXN33"/>
    <mergeCell ref="OXO33:OYE33"/>
    <mergeCell ref="OQJ33:OQZ33"/>
    <mergeCell ref="ORA33:ORQ33"/>
    <mergeCell ref="ORR33:OSH33"/>
    <mergeCell ref="OSI33:OSY33"/>
    <mergeCell ref="OSZ33:OTP33"/>
    <mergeCell ref="OTQ33:OUG33"/>
    <mergeCell ref="OML33:ONB33"/>
    <mergeCell ref="ONC33:ONS33"/>
    <mergeCell ref="ONT33:OOJ33"/>
    <mergeCell ref="OOK33:OPA33"/>
    <mergeCell ref="OPB33:OPR33"/>
    <mergeCell ref="OPS33:OQI33"/>
    <mergeCell ref="OIN33:OJD33"/>
    <mergeCell ref="OJE33:OJU33"/>
    <mergeCell ref="OJV33:OKL33"/>
    <mergeCell ref="OKM33:OLC33"/>
    <mergeCell ref="OLD33:OLT33"/>
    <mergeCell ref="OLU33:OMK33"/>
    <mergeCell ref="OEP33:OFF33"/>
    <mergeCell ref="OFG33:OFW33"/>
    <mergeCell ref="OFX33:OGN33"/>
    <mergeCell ref="OGO33:OHE33"/>
    <mergeCell ref="OHF33:OHV33"/>
    <mergeCell ref="OHW33:OIM33"/>
    <mergeCell ref="OAR33:OBH33"/>
    <mergeCell ref="OBI33:OBY33"/>
    <mergeCell ref="OBZ33:OCP33"/>
    <mergeCell ref="OCQ33:ODG33"/>
    <mergeCell ref="ODH33:ODX33"/>
    <mergeCell ref="ODY33:OEO33"/>
    <mergeCell ref="NWT33:NXJ33"/>
    <mergeCell ref="NXK33:NYA33"/>
    <mergeCell ref="NYB33:NYR33"/>
    <mergeCell ref="NYS33:NZI33"/>
    <mergeCell ref="NZJ33:NZZ33"/>
    <mergeCell ref="OAA33:OAQ33"/>
    <mergeCell ref="NSV33:NTL33"/>
    <mergeCell ref="NTM33:NUC33"/>
    <mergeCell ref="NUD33:NUT33"/>
    <mergeCell ref="NUU33:NVK33"/>
    <mergeCell ref="NVL33:NWB33"/>
    <mergeCell ref="NWC33:NWS33"/>
    <mergeCell ref="NOX33:NPN33"/>
    <mergeCell ref="NPO33:NQE33"/>
    <mergeCell ref="NQF33:NQV33"/>
    <mergeCell ref="NQW33:NRM33"/>
    <mergeCell ref="NRN33:NSD33"/>
    <mergeCell ref="NSE33:NSU33"/>
    <mergeCell ref="NKZ33:NLP33"/>
    <mergeCell ref="NLQ33:NMG33"/>
    <mergeCell ref="NMH33:NMX33"/>
    <mergeCell ref="NMY33:NNO33"/>
    <mergeCell ref="NNP33:NOF33"/>
    <mergeCell ref="NOG33:NOW33"/>
    <mergeCell ref="NHB33:NHR33"/>
    <mergeCell ref="NHS33:NII33"/>
    <mergeCell ref="NIJ33:NIZ33"/>
    <mergeCell ref="NJA33:NJQ33"/>
    <mergeCell ref="NJR33:NKH33"/>
    <mergeCell ref="NKI33:NKY33"/>
    <mergeCell ref="NDD33:NDT33"/>
    <mergeCell ref="NDU33:NEK33"/>
    <mergeCell ref="NEL33:NFB33"/>
    <mergeCell ref="NFC33:NFS33"/>
    <mergeCell ref="NFT33:NGJ33"/>
    <mergeCell ref="NGK33:NHA33"/>
    <mergeCell ref="MZF33:MZV33"/>
    <mergeCell ref="MZW33:NAM33"/>
    <mergeCell ref="NAN33:NBD33"/>
    <mergeCell ref="NBE33:NBU33"/>
    <mergeCell ref="NBV33:NCL33"/>
    <mergeCell ref="NCM33:NDC33"/>
    <mergeCell ref="MVH33:MVX33"/>
    <mergeCell ref="MVY33:MWO33"/>
    <mergeCell ref="MWP33:MXF33"/>
    <mergeCell ref="MXG33:MXW33"/>
    <mergeCell ref="MXX33:MYN33"/>
    <mergeCell ref="MYO33:MZE33"/>
    <mergeCell ref="MRJ33:MRZ33"/>
    <mergeCell ref="MSA33:MSQ33"/>
    <mergeCell ref="MSR33:MTH33"/>
    <mergeCell ref="MTI33:MTY33"/>
    <mergeCell ref="MTZ33:MUP33"/>
    <mergeCell ref="MUQ33:MVG33"/>
    <mergeCell ref="MNL33:MOB33"/>
    <mergeCell ref="MOC33:MOS33"/>
    <mergeCell ref="MOT33:MPJ33"/>
    <mergeCell ref="MPK33:MQA33"/>
    <mergeCell ref="MQB33:MQR33"/>
    <mergeCell ref="MQS33:MRI33"/>
    <mergeCell ref="MJN33:MKD33"/>
    <mergeCell ref="MKE33:MKU33"/>
    <mergeCell ref="MKV33:MLL33"/>
    <mergeCell ref="MLM33:MMC33"/>
    <mergeCell ref="MMD33:MMT33"/>
    <mergeCell ref="MMU33:MNK33"/>
    <mergeCell ref="MFP33:MGF33"/>
    <mergeCell ref="MGG33:MGW33"/>
    <mergeCell ref="MGX33:MHN33"/>
    <mergeCell ref="MHO33:MIE33"/>
    <mergeCell ref="MIF33:MIV33"/>
    <mergeCell ref="MIW33:MJM33"/>
    <mergeCell ref="MBR33:MCH33"/>
    <mergeCell ref="MCI33:MCY33"/>
    <mergeCell ref="MCZ33:MDP33"/>
    <mergeCell ref="MDQ33:MEG33"/>
    <mergeCell ref="MEH33:MEX33"/>
    <mergeCell ref="MEY33:MFO33"/>
    <mergeCell ref="LXT33:LYJ33"/>
    <mergeCell ref="LYK33:LZA33"/>
    <mergeCell ref="LZB33:LZR33"/>
    <mergeCell ref="LZS33:MAI33"/>
    <mergeCell ref="MAJ33:MAZ33"/>
    <mergeCell ref="MBA33:MBQ33"/>
    <mergeCell ref="LTV33:LUL33"/>
    <mergeCell ref="LUM33:LVC33"/>
    <mergeCell ref="LVD33:LVT33"/>
    <mergeCell ref="LVU33:LWK33"/>
    <mergeCell ref="LWL33:LXB33"/>
    <mergeCell ref="LXC33:LXS33"/>
    <mergeCell ref="LPX33:LQN33"/>
    <mergeCell ref="LQO33:LRE33"/>
    <mergeCell ref="LRF33:LRV33"/>
    <mergeCell ref="LRW33:LSM33"/>
    <mergeCell ref="LSN33:LTD33"/>
    <mergeCell ref="LTE33:LTU33"/>
    <mergeCell ref="LLZ33:LMP33"/>
    <mergeCell ref="LMQ33:LNG33"/>
    <mergeCell ref="LNH33:LNX33"/>
    <mergeCell ref="LNY33:LOO33"/>
    <mergeCell ref="LOP33:LPF33"/>
    <mergeCell ref="LPG33:LPW33"/>
    <mergeCell ref="LIB33:LIR33"/>
    <mergeCell ref="LIS33:LJI33"/>
    <mergeCell ref="LJJ33:LJZ33"/>
    <mergeCell ref="LKA33:LKQ33"/>
    <mergeCell ref="LKR33:LLH33"/>
    <mergeCell ref="LLI33:LLY33"/>
    <mergeCell ref="LED33:LET33"/>
    <mergeCell ref="LEU33:LFK33"/>
    <mergeCell ref="LFL33:LGB33"/>
    <mergeCell ref="LGC33:LGS33"/>
    <mergeCell ref="LGT33:LHJ33"/>
    <mergeCell ref="LHK33:LIA33"/>
    <mergeCell ref="LAF33:LAV33"/>
    <mergeCell ref="LAW33:LBM33"/>
    <mergeCell ref="LBN33:LCD33"/>
    <mergeCell ref="LCE33:LCU33"/>
    <mergeCell ref="LCV33:LDL33"/>
    <mergeCell ref="LDM33:LEC33"/>
    <mergeCell ref="KWH33:KWX33"/>
    <mergeCell ref="KWY33:KXO33"/>
    <mergeCell ref="KXP33:KYF33"/>
    <mergeCell ref="KYG33:KYW33"/>
    <mergeCell ref="KYX33:KZN33"/>
    <mergeCell ref="KZO33:LAE33"/>
    <mergeCell ref="KSJ33:KSZ33"/>
    <mergeCell ref="KTA33:KTQ33"/>
    <mergeCell ref="KTR33:KUH33"/>
    <mergeCell ref="KUI33:KUY33"/>
    <mergeCell ref="KUZ33:KVP33"/>
    <mergeCell ref="KVQ33:KWG33"/>
    <mergeCell ref="KOL33:KPB33"/>
    <mergeCell ref="KPC33:KPS33"/>
    <mergeCell ref="KPT33:KQJ33"/>
    <mergeCell ref="KQK33:KRA33"/>
    <mergeCell ref="KRB33:KRR33"/>
    <mergeCell ref="KRS33:KSI33"/>
    <mergeCell ref="KKN33:KLD33"/>
    <mergeCell ref="KLE33:KLU33"/>
    <mergeCell ref="KLV33:KML33"/>
    <mergeCell ref="KMM33:KNC33"/>
    <mergeCell ref="KND33:KNT33"/>
    <mergeCell ref="KNU33:KOK33"/>
    <mergeCell ref="KGP33:KHF33"/>
    <mergeCell ref="KHG33:KHW33"/>
    <mergeCell ref="KHX33:KIN33"/>
    <mergeCell ref="KIO33:KJE33"/>
    <mergeCell ref="KJF33:KJV33"/>
    <mergeCell ref="KJW33:KKM33"/>
    <mergeCell ref="KCR33:KDH33"/>
    <mergeCell ref="KDI33:KDY33"/>
    <mergeCell ref="KDZ33:KEP33"/>
    <mergeCell ref="KEQ33:KFG33"/>
    <mergeCell ref="KFH33:KFX33"/>
    <mergeCell ref="KFY33:KGO33"/>
    <mergeCell ref="JYT33:JZJ33"/>
    <mergeCell ref="JZK33:KAA33"/>
    <mergeCell ref="KAB33:KAR33"/>
    <mergeCell ref="KAS33:KBI33"/>
    <mergeCell ref="KBJ33:KBZ33"/>
    <mergeCell ref="KCA33:KCQ33"/>
    <mergeCell ref="JUV33:JVL33"/>
    <mergeCell ref="JVM33:JWC33"/>
    <mergeCell ref="JWD33:JWT33"/>
    <mergeCell ref="JWU33:JXK33"/>
    <mergeCell ref="JXL33:JYB33"/>
    <mergeCell ref="JYC33:JYS33"/>
    <mergeCell ref="JQX33:JRN33"/>
    <mergeCell ref="JRO33:JSE33"/>
    <mergeCell ref="JSF33:JSV33"/>
    <mergeCell ref="JSW33:JTM33"/>
    <mergeCell ref="JTN33:JUD33"/>
    <mergeCell ref="JUE33:JUU33"/>
    <mergeCell ref="JMZ33:JNP33"/>
    <mergeCell ref="JNQ33:JOG33"/>
    <mergeCell ref="JOH33:JOX33"/>
    <mergeCell ref="JOY33:JPO33"/>
    <mergeCell ref="JPP33:JQF33"/>
    <mergeCell ref="JQG33:JQW33"/>
    <mergeCell ref="JJB33:JJR33"/>
    <mergeCell ref="JJS33:JKI33"/>
    <mergeCell ref="JKJ33:JKZ33"/>
    <mergeCell ref="JLA33:JLQ33"/>
    <mergeCell ref="JLR33:JMH33"/>
    <mergeCell ref="JMI33:JMY33"/>
    <mergeCell ref="JFD33:JFT33"/>
    <mergeCell ref="JFU33:JGK33"/>
    <mergeCell ref="JGL33:JHB33"/>
    <mergeCell ref="JHC33:JHS33"/>
    <mergeCell ref="JHT33:JIJ33"/>
    <mergeCell ref="JIK33:JJA33"/>
    <mergeCell ref="JBF33:JBV33"/>
    <mergeCell ref="JBW33:JCM33"/>
    <mergeCell ref="JCN33:JDD33"/>
    <mergeCell ref="JDE33:JDU33"/>
    <mergeCell ref="JDV33:JEL33"/>
    <mergeCell ref="JEM33:JFC33"/>
    <mergeCell ref="IXH33:IXX33"/>
    <mergeCell ref="IXY33:IYO33"/>
    <mergeCell ref="IYP33:IZF33"/>
    <mergeCell ref="IZG33:IZW33"/>
    <mergeCell ref="IZX33:JAN33"/>
    <mergeCell ref="JAO33:JBE33"/>
    <mergeCell ref="ITJ33:ITZ33"/>
    <mergeCell ref="IUA33:IUQ33"/>
    <mergeCell ref="IUR33:IVH33"/>
    <mergeCell ref="IVI33:IVY33"/>
    <mergeCell ref="IVZ33:IWP33"/>
    <mergeCell ref="IWQ33:IXG33"/>
    <mergeCell ref="IPL33:IQB33"/>
    <mergeCell ref="IQC33:IQS33"/>
    <mergeCell ref="IQT33:IRJ33"/>
    <mergeCell ref="IRK33:ISA33"/>
    <mergeCell ref="ISB33:ISR33"/>
    <mergeCell ref="ISS33:ITI33"/>
    <mergeCell ref="ILN33:IMD33"/>
    <mergeCell ref="IME33:IMU33"/>
    <mergeCell ref="IMV33:INL33"/>
    <mergeCell ref="INM33:IOC33"/>
    <mergeCell ref="IOD33:IOT33"/>
    <mergeCell ref="IOU33:IPK33"/>
    <mergeCell ref="IHP33:IIF33"/>
    <mergeCell ref="IIG33:IIW33"/>
    <mergeCell ref="IIX33:IJN33"/>
    <mergeCell ref="IJO33:IKE33"/>
    <mergeCell ref="IKF33:IKV33"/>
    <mergeCell ref="IKW33:ILM33"/>
    <mergeCell ref="IDR33:IEH33"/>
    <mergeCell ref="IEI33:IEY33"/>
    <mergeCell ref="IEZ33:IFP33"/>
    <mergeCell ref="IFQ33:IGG33"/>
    <mergeCell ref="IGH33:IGX33"/>
    <mergeCell ref="IGY33:IHO33"/>
    <mergeCell ref="HZT33:IAJ33"/>
    <mergeCell ref="IAK33:IBA33"/>
    <mergeCell ref="IBB33:IBR33"/>
    <mergeCell ref="IBS33:ICI33"/>
    <mergeCell ref="ICJ33:ICZ33"/>
    <mergeCell ref="IDA33:IDQ33"/>
    <mergeCell ref="HVV33:HWL33"/>
    <mergeCell ref="HWM33:HXC33"/>
    <mergeCell ref="HXD33:HXT33"/>
    <mergeCell ref="HXU33:HYK33"/>
    <mergeCell ref="HYL33:HZB33"/>
    <mergeCell ref="HZC33:HZS33"/>
    <mergeCell ref="HRX33:HSN33"/>
    <mergeCell ref="HSO33:HTE33"/>
    <mergeCell ref="HTF33:HTV33"/>
    <mergeCell ref="HTW33:HUM33"/>
    <mergeCell ref="HUN33:HVD33"/>
    <mergeCell ref="HVE33:HVU33"/>
    <mergeCell ref="HNZ33:HOP33"/>
    <mergeCell ref="HOQ33:HPG33"/>
    <mergeCell ref="HPH33:HPX33"/>
    <mergeCell ref="HPY33:HQO33"/>
    <mergeCell ref="HQP33:HRF33"/>
    <mergeCell ref="HRG33:HRW33"/>
    <mergeCell ref="HKB33:HKR33"/>
    <mergeCell ref="HKS33:HLI33"/>
    <mergeCell ref="HLJ33:HLZ33"/>
    <mergeCell ref="HMA33:HMQ33"/>
    <mergeCell ref="HMR33:HNH33"/>
    <mergeCell ref="HNI33:HNY33"/>
    <mergeCell ref="HGD33:HGT33"/>
    <mergeCell ref="HGU33:HHK33"/>
    <mergeCell ref="HHL33:HIB33"/>
    <mergeCell ref="HIC33:HIS33"/>
    <mergeCell ref="HIT33:HJJ33"/>
    <mergeCell ref="HJK33:HKA33"/>
    <mergeCell ref="HCF33:HCV33"/>
    <mergeCell ref="HCW33:HDM33"/>
    <mergeCell ref="HDN33:HED33"/>
    <mergeCell ref="HEE33:HEU33"/>
    <mergeCell ref="HEV33:HFL33"/>
    <mergeCell ref="HFM33:HGC33"/>
    <mergeCell ref="GYH33:GYX33"/>
    <mergeCell ref="GYY33:GZO33"/>
    <mergeCell ref="GZP33:HAF33"/>
    <mergeCell ref="HAG33:HAW33"/>
    <mergeCell ref="HAX33:HBN33"/>
    <mergeCell ref="HBO33:HCE33"/>
    <mergeCell ref="GUJ33:GUZ33"/>
    <mergeCell ref="GVA33:GVQ33"/>
    <mergeCell ref="GVR33:GWH33"/>
    <mergeCell ref="GWI33:GWY33"/>
    <mergeCell ref="GWZ33:GXP33"/>
    <mergeCell ref="GXQ33:GYG33"/>
    <mergeCell ref="GQL33:GRB33"/>
    <mergeCell ref="GRC33:GRS33"/>
    <mergeCell ref="GRT33:GSJ33"/>
    <mergeCell ref="GSK33:GTA33"/>
    <mergeCell ref="GTB33:GTR33"/>
    <mergeCell ref="GTS33:GUI33"/>
    <mergeCell ref="GMN33:GND33"/>
    <mergeCell ref="GNE33:GNU33"/>
    <mergeCell ref="GNV33:GOL33"/>
    <mergeCell ref="GOM33:GPC33"/>
    <mergeCell ref="GPD33:GPT33"/>
    <mergeCell ref="GPU33:GQK33"/>
    <mergeCell ref="GIP33:GJF33"/>
    <mergeCell ref="GJG33:GJW33"/>
    <mergeCell ref="GJX33:GKN33"/>
    <mergeCell ref="GKO33:GLE33"/>
    <mergeCell ref="GLF33:GLV33"/>
    <mergeCell ref="GLW33:GMM33"/>
    <mergeCell ref="GER33:GFH33"/>
    <mergeCell ref="GFI33:GFY33"/>
    <mergeCell ref="GFZ33:GGP33"/>
    <mergeCell ref="GGQ33:GHG33"/>
    <mergeCell ref="GHH33:GHX33"/>
    <mergeCell ref="GHY33:GIO33"/>
    <mergeCell ref="GAT33:GBJ33"/>
    <mergeCell ref="GBK33:GCA33"/>
    <mergeCell ref="GCB33:GCR33"/>
    <mergeCell ref="GCS33:GDI33"/>
    <mergeCell ref="GDJ33:GDZ33"/>
    <mergeCell ref="GEA33:GEQ33"/>
    <mergeCell ref="FWV33:FXL33"/>
    <mergeCell ref="FXM33:FYC33"/>
    <mergeCell ref="FYD33:FYT33"/>
    <mergeCell ref="FYU33:FZK33"/>
    <mergeCell ref="FZL33:GAB33"/>
    <mergeCell ref="GAC33:GAS33"/>
    <mergeCell ref="FSX33:FTN33"/>
    <mergeCell ref="FTO33:FUE33"/>
    <mergeCell ref="FUF33:FUV33"/>
    <mergeCell ref="FUW33:FVM33"/>
    <mergeCell ref="FVN33:FWD33"/>
    <mergeCell ref="FWE33:FWU33"/>
    <mergeCell ref="FOZ33:FPP33"/>
    <mergeCell ref="FPQ33:FQG33"/>
    <mergeCell ref="FQH33:FQX33"/>
    <mergeCell ref="FQY33:FRO33"/>
    <mergeCell ref="FRP33:FSF33"/>
    <mergeCell ref="FSG33:FSW33"/>
    <mergeCell ref="FLB33:FLR33"/>
    <mergeCell ref="FLS33:FMI33"/>
    <mergeCell ref="FMJ33:FMZ33"/>
    <mergeCell ref="FNA33:FNQ33"/>
    <mergeCell ref="FNR33:FOH33"/>
    <mergeCell ref="FOI33:FOY33"/>
    <mergeCell ref="FHD33:FHT33"/>
    <mergeCell ref="FHU33:FIK33"/>
    <mergeCell ref="FIL33:FJB33"/>
    <mergeCell ref="FJC33:FJS33"/>
    <mergeCell ref="FJT33:FKJ33"/>
    <mergeCell ref="FKK33:FLA33"/>
    <mergeCell ref="FDF33:FDV33"/>
    <mergeCell ref="FDW33:FEM33"/>
    <mergeCell ref="FEN33:FFD33"/>
    <mergeCell ref="FFE33:FFU33"/>
    <mergeCell ref="FFV33:FGL33"/>
    <mergeCell ref="FGM33:FHC33"/>
    <mergeCell ref="EZH33:EZX33"/>
    <mergeCell ref="EZY33:FAO33"/>
    <mergeCell ref="FAP33:FBF33"/>
    <mergeCell ref="FBG33:FBW33"/>
    <mergeCell ref="FBX33:FCN33"/>
    <mergeCell ref="FCO33:FDE33"/>
    <mergeCell ref="EVJ33:EVZ33"/>
    <mergeCell ref="EWA33:EWQ33"/>
    <mergeCell ref="EWR33:EXH33"/>
    <mergeCell ref="EXI33:EXY33"/>
    <mergeCell ref="EXZ33:EYP33"/>
    <mergeCell ref="EYQ33:EZG33"/>
    <mergeCell ref="ERL33:ESB33"/>
    <mergeCell ref="ESC33:ESS33"/>
    <mergeCell ref="EST33:ETJ33"/>
    <mergeCell ref="ETK33:EUA33"/>
    <mergeCell ref="EUB33:EUR33"/>
    <mergeCell ref="EUS33:EVI33"/>
    <mergeCell ref="ENN33:EOD33"/>
    <mergeCell ref="EOE33:EOU33"/>
    <mergeCell ref="EOV33:EPL33"/>
    <mergeCell ref="EPM33:EQC33"/>
    <mergeCell ref="EQD33:EQT33"/>
    <mergeCell ref="EQU33:ERK33"/>
    <mergeCell ref="EJP33:EKF33"/>
    <mergeCell ref="EKG33:EKW33"/>
    <mergeCell ref="EKX33:ELN33"/>
    <mergeCell ref="ELO33:EME33"/>
    <mergeCell ref="EMF33:EMV33"/>
    <mergeCell ref="EMW33:ENM33"/>
    <mergeCell ref="EFR33:EGH33"/>
    <mergeCell ref="EGI33:EGY33"/>
    <mergeCell ref="EGZ33:EHP33"/>
    <mergeCell ref="EHQ33:EIG33"/>
    <mergeCell ref="EIH33:EIX33"/>
    <mergeCell ref="EIY33:EJO33"/>
    <mergeCell ref="EBT33:ECJ33"/>
    <mergeCell ref="ECK33:EDA33"/>
    <mergeCell ref="EDB33:EDR33"/>
    <mergeCell ref="EDS33:EEI33"/>
    <mergeCell ref="EEJ33:EEZ33"/>
    <mergeCell ref="EFA33:EFQ33"/>
    <mergeCell ref="DXV33:DYL33"/>
    <mergeCell ref="DYM33:DZC33"/>
    <mergeCell ref="DZD33:DZT33"/>
    <mergeCell ref="DZU33:EAK33"/>
    <mergeCell ref="EAL33:EBB33"/>
    <mergeCell ref="EBC33:EBS33"/>
    <mergeCell ref="DTX33:DUN33"/>
    <mergeCell ref="DUO33:DVE33"/>
    <mergeCell ref="DVF33:DVV33"/>
    <mergeCell ref="DVW33:DWM33"/>
    <mergeCell ref="DWN33:DXD33"/>
    <mergeCell ref="DXE33:DXU33"/>
    <mergeCell ref="DPZ33:DQP33"/>
    <mergeCell ref="DQQ33:DRG33"/>
    <mergeCell ref="DRH33:DRX33"/>
    <mergeCell ref="DRY33:DSO33"/>
    <mergeCell ref="DSP33:DTF33"/>
    <mergeCell ref="DTG33:DTW33"/>
    <mergeCell ref="DMB33:DMR33"/>
    <mergeCell ref="DMS33:DNI33"/>
    <mergeCell ref="DNJ33:DNZ33"/>
    <mergeCell ref="DOA33:DOQ33"/>
    <mergeCell ref="DOR33:DPH33"/>
    <mergeCell ref="DPI33:DPY33"/>
    <mergeCell ref="DID33:DIT33"/>
    <mergeCell ref="DIU33:DJK33"/>
    <mergeCell ref="DJL33:DKB33"/>
    <mergeCell ref="DKC33:DKS33"/>
    <mergeCell ref="DKT33:DLJ33"/>
    <mergeCell ref="DLK33:DMA33"/>
    <mergeCell ref="DEF33:DEV33"/>
    <mergeCell ref="DEW33:DFM33"/>
    <mergeCell ref="DFN33:DGD33"/>
    <mergeCell ref="DGE33:DGU33"/>
    <mergeCell ref="DGV33:DHL33"/>
    <mergeCell ref="DHM33:DIC33"/>
    <mergeCell ref="DAH33:DAX33"/>
    <mergeCell ref="DAY33:DBO33"/>
    <mergeCell ref="DBP33:DCF33"/>
    <mergeCell ref="DCG33:DCW33"/>
    <mergeCell ref="DCX33:DDN33"/>
    <mergeCell ref="DDO33:DEE33"/>
    <mergeCell ref="CWJ33:CWZ33"/>
    <mergeCell ref="CXA33:CXQ33"/>
    <mergeCell ref="CXR33:CYH33"/>
    <mergeCell ref="CYI33:CYY33"/>
    <mergeCell ref="CYZ33:CZP33"/>
    <mergeCell ref="CZQ33:DAG33"/>
    <mergeCell ref="CSL33:CTB33"/>
    <mergeCell ref="CTC33:CTS33"/>
    <mergeCell ref="CTT33:CUJ33"/>
    <mergeCell ref="CUK33:CVA33"/>
    <mergeCell ref="CVB33:CVR33"/>
    <mergeCell ref="CVS33:CWI33"/>
    <mergeCell ref="CON33:CPD33"/>
    <mergeCell ref="CPE33:CPU33"/>
    <mergeCell ref="CPV33:CQL33"/>
    <mergeCell ref="CQM33:CRC33"/>
    <mergeCell ref="CRD33:CRT33"/>
    <mergeCell ref="CRU33:CSK33"/>
    <mergeCell ref="CKP33:CLF33"/>
    <mergeCell ref="CLG33:CLW33"/>
    <mergeCell ref="CLX33:CMN33"/>
    <mergeCell ref="CMO33:CNE33"/>
    <mergeCell ref="CNF33:CNV33"/>
    <mergeCell ref="CNW33:COM33"/>
    <mergeCell ref="CGR33:CHH33"/>
    <mergeCell ref="CHI33:CHY33"/>
    <mergeCell ref="CHZ33:CIP33"/>
    <mergeCell ref="CIQ33:CJG33"/>
    <mergeCell ref="CJH33:CJX33"/>
    <mergeCell ref="CJY33:CKO33"/>
    <mergeCell ref="CCT33:CDJ33"/>
    <mergeCell ref="CDK33:CEA33"/>
    <mergeCell ref="CEB33:CER33"/>
    <mergeCell ref="CES33:CFI33"/>
    <mergeCell ref="CFJ33:CFZ33"/>
    <mergeCell ref="CGA33:CGQ33"/>
    <mergeCell ref="BYV33:BZL33"/>
    <mergeCell ref="BZM33:CAC33"/>
    <mergeCell ref="CAD33:CAT33"/>
    <mergeCell ref="CAU33:CBK33"/>
    <mergeCell ref="CBL33:CCB33"/>
    <mergeCell ref="CCC33:CCS33"/>
    <mergeCell ref="BUX33:BVN33"/>
    <mergeCell ref="BVO33:BWE33"/>
    <mergeCell ref="BWF33:BWV33"/>
    <mergeCell ref="BWW33:BXM33"/>
    <mergeCell ref="BXN33:BYD33"/>
    <mergeCell ref="BYE33:BYU33"/>
    <mergeCell ref="BQZ33:BRP33"/>
    <mergeCell ref="BRQ33:BSG33"/>
    <mergeCell ref="BSH33:BSX33"/>
    <mergeCell ref="BSY33:BTO33"/>
    <mergeCell ref="BTP33:BUF33"/>
    <mergeCell ref="BUG33:BUW33"/>
    <mergeCell ref="BNB33:BNR33"/>
    <mergeCell ref="BNS33:BOI33"/>
    <mergeCell ref="BOJ33:BOZ33"/>
    <mergeCell ref="BPA33:BPQ33"/>
    <mergeCell ref="BPR33:BQH33"/>
    <mergeCell ref="BQI33:BQY33"/>
    <mergeCell ref="BJD33:BJT33"/>
    <mergeCell ref="BJU33:BKK33"/>
    <mergeCell ref="BKL33:BLB33"/>
    <mergeCell ref="BLC33:BLS33"/>
    <mergeCell ref="BLT33:BMJ33"/>
    <mergeCell ref="BMK33:BNA33"/>
    <mergeCell ref="BFF33:BFV33"/>
    <mergeCell ref="BFW33:BGM33"/>
    <mergeCell ref="BGN33:BHD33"/>
    <mergeCell ref="BHE33:BHU33"/>
    <mergeCell ref="BHV33:BIL33"/>
    <mergeCell ref="BIM33:BJC33"/>
    <mergeCell ref="BBH33:BBX33"/>
    <mergeCell ref="BBY33:BCO33"/>
    <mergeCell ref="BCP33:BDF33"/>
    <mergeCell ref="BDG33:BDW33"/>
    <mergeCell ref="BDX33:BEN33"/>
    <mergeCell ref="BEO33:BFE33"/>
    <mergeCell ref="AXJ33:AXZ33"/>
    <mergeCell ref="AYA33:AYQ33"/>
    <mergeCell ref="AYR33:AZH33"/>
    <mergeCell ref="AZI33:AZY33"/>
    <mergeCell ref="AZZ33:BAP33"/>
    <mergeCell ref="BAQ33:BBG33"/>
    <mergeCell ref="ATL33:AUB33"/>
    <mergeCell ref="AUC33:AUS33"/>
    <mergeCell ref="AUT33:AVJ33"/>
    <mergeCell ref="AVK33:AWA33"/>
    <mergeCell ref="AWB33:AWR33"/>
    <mergeCell ref="AWS33:AXI33"/>
    <mergeCell ref="APN33:AQD33"/>
    <mergeCell ref="AQE33:AQU33"/>
    <mergeCell ref="AQV33:ARL33"/>
    <mergeCell ref="ARM33:ASC33"/>
    <mergeCell ref="ASD33:AST33"/>
    <mergeCell ref="ASU33:ATK33"/>
    <mergeCell ref="ALP33:AMF33"/>
    <mergeCell ref="AMG33:AMW33"/>
    <mergeCell ref="AMX33:ANN33"/>
    <mergeCell ref="ANO33:AOE33"/>
    <mergeCell ref="AOF33:AOV33"/>
    <mergeCell ref="AOW33:APM33"/>
    <mergeCell ref="AHR33:AIH33"/>
    <mergeCell ref="AII33:AIY33"/>
    <mergeCell ref="AIZ33:AJP33"/>
    <mergeCell ref="AJQ33:AKG33"/>
    <mergeCell ref="AKH33:AKX33"/>
    <mergeCell ref="AKY33:ALO33"/>
    <mergeCell ref="ADT33:AEJ33"/>
    <mergeCell ref="AEK33:AFA33"/>
    <mergeCell ref="AFB33:AFR33"/>
    <mergeCell ref="AFS33:AGI33"/>
    <mergeCell ref="AGJ33:AGZ33"/>
    <mergeCell ref="AHA33:AHQ33"/>
    <mergeCell ref="ZV33:AAL33"/>
    <mergeCell ref="AAM33:ABC33"/>
    <mergeCell ref="ABD33:ABT33"/>
    <mergeCell ref="ABU33:ACK33"/>
    <mergeCell ref="ACL33:ADB33"/>
    <mergeCell ref="ADC33:ADS33"/>
    <mergeCell ref="VX33:WN33"/>
    <mergeCell ref="WO33:XE33"/>
    <mergeCell ref="XF33:XV33"/>
    <mergeCell ref="XW33:YM33"/>
    <mergeCell ref="YN33:ZD33"/>
    <mergeCell ref="ZE33:ZU33"/>
    <mergeCell ref="RZ33:SP33"/>
    <mergeCell ref="SQ33:TG33"/>
    <mergeCell ref="TH33:TX33"/>
    <mergeCell ref="TY33:UO33"/>
    <mergeCell ref="UP33:VF33"/>
    <mergeCell ref="VG33:VW33"/>
    <mergeCell ref="OB33:OR33"/>
    <mergeCell ref="OS33:PI33"/>
    <mergeCell ref="PJ33:PZ33"/>
    <mergeCell ref="QA33:QQ33"/>
    <mergeCell ref="QR33:RH33"/>
    <mergeCell ref="RI33:RY33"/>
    <mergeCell ref="KD33:KT33"/>
    <mergeCell ref="KU33:LK33"/>
    <mergeCell ref="LL33:MB33"/>
    <mergeCell ref="MC33:MS33"/>
    <mergeCell ref="MT33:NJ33"/>
    <mergeCell ref="NK33:OA33"/>
    <mergeCell ref="GF33:GV33"/>
    <mergeCell ref="GW33:HM33"/>
    <mergeCell ref="HN33:ID33"/>
    <mergeCell ref="IE33:IU33"/>
    <mergeCell ref="IV33:JL33"/>
    <mergeCell ref="JM33:KC33"/>
    <mergeCell ref="CH33:CX33"/>
    <mergeCell ref="CY33:DO33"/>
    <mergeCell ref="DP33:EF33"/>
    <mergeCell ref="EG33:EW33"/>
    <mergeCell ref="EX33:FN33"/>
    <mergeCell ref="FO33:GE33"/>
    <mergeCell ref="A14:Q14"/>
    <mergeCell ref="A15:Q15"/>
    <mergeCell ref="A16:Q16"/>
    <mergeCell ref="A17:Q17"/>
    <mergeCell ref="A18:Q18"/>
    <mergeCell ref="A19:Q19"/>
    <mergeCell ref="A32:Q32"/>
    <mergeCell ref="A33:Q33"/>
    <mergeCell ref="R33:AH33"/>
    <mergeCell ref="AI33:AY33"/>
    <mergeCell ref="AZ33:BP33"/>
    <mergeCell ref="BQ33:CG33"/>
    <mergeCell ref="A26:Q26"/>
    <mergeCell ref="A27:Q27"/>
    <mergeCell ref="A28:Q28"/>
    <mergeCell ref="A29:Q29"/>
    <mergeCell ref="A30:Q30"/>
    <mergeCell ref="A31:Q31"/>
    <mergeCell ref="A20:Q20"/>
    <mergeCell ref="A21:Q21"/>
    <mergeCell ref="A22:Q22"/>
    <mergeCell ref="A23:Q23"/>
    <mergeCell ref="A24:Q24"/>
    <mergeCell ref="A25:Q2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sheetPr>
  <dimension ref="A2:A10"/>
  <sheetViews>
    <sheetView workbookViewId="0">
      <selection activeCell="G37" sqref="G37"/>
    </sheetView>
  </sheetViews>
  <sheetFormatPr defaultRowHeight="14.4"/>
  <cols>
    <col min="1" max="1" width="42.44140625" customWidth="1"/>
  </cols>
  <sheetData>
    <row r="2" spans="1:1" ht="15.6">
      <c r="A2" s="267" t="s">
        <v>1137</v>
      </c>
    </row>
    <row r="3" spans="1:1" ht="15.6">
      <c r="A3" s="267" t="s">
        <v>1121</v>
      </c>
    </row>
    <row r="5" spans="1:1">
      <c r="A5" s="268" t="s">
        <v>1142</v>
      </c>
    </row>
    <row r="6" spans="1:1" ht="15.6">
      <c r="A6" s="267">
        <v>2018</v>
      </c>
    </row>
    <row r="7" spans="1:1">
      <c r="A7" s="268" t="s">
        <v>1106</v>
      </c>
    </row>
    <row r="8" spans="1:1" ht="15.6">
      <c r="A8" s="267" t="s">
        <v>2274</v>
      </c>
    </row>
    <row r="9" spans="1:1">
      <c r="A9" s="268" t="s">
        <v>1143</v>
      </c>
    </row>
    <row r="10" spans="1:1" ht="15.6">
      <c r="A10" s="267" t="s">
        <v>1144</v>
      </c>
    </row>
  </sheetData>
  <dataValidations count="5">
    <dataValidation type="list" allowBlank="1" showInputMessage="1" showErrorMessage="1" sqref="A2">
      <formula1>Stakeholders_List</formula1>
    </dataValidation>
    <dataValidation type="list" allowBlank="1" showInputMessage="1" showErrorMessage="1" sqref="A3">
      <formula1>State_List</formula1>
    </dataValidation>
    <dataValidation type="list" allowBlank="1" showInputMessage="1" showErrorMessage="1" sqref="A6">
      <formula1>Year_list</formula1>
    </dataValidation>
    <dataValidation type="list" allowBlank="1" showInputMessage="1" showErrorMessage="1" sqref="A8">
      <formula1>Report_Archive_list</formula1>
    </dataValidation>
    <dataValidation type="list" allowBlank="1" showInputMessage="1" showErrorMessage="1" sqref="A10">
      <formula1>ReportName_List</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8CC646"/>
  </sheetPr>
  <dimension ref="A1:AG57"/>
  <sheetViews>
    <sheetView topLeftCell="H2" workbookViewId="0"/>
  </sheetViews>
  <sheetFormatPr defaultRowHeight="14.4" outlineLevelCol="1"/>
  <cols>
    <col min="1" max="1" width="7.6640625" style="100" hidden="1" customWidth="1" outlineLevel="1"/>
    <col min="2" max="2" width="12.88671875" hidden="1" customWidth="1" outlineLevel="1"/>
    <col min="3" max="3" width="16.5546875" hidden="1" customWidth="1" outlineLevel="1"/>
    <col min="4" max="4" width="13.44140625" hidden="1" customWidth="1" outlineLevel="1"/>
    <col min="5" max="5" width="12.33203125" hidden="1" customWidth="1" outlineLevel="1"/>
    <col min="6" max="6" width="9" hidden="1" customWidth="1" outlineLevel="1"/>
    <col min="7" max="7" width="10.88671875" hidden="1" customWidth="1" outlineLevel="1"/>
    <col min="8" max="8" width="7" customWidth="1" collapsed="1"/>
    <col min="9" max="9" width="43.33203125" customWidth="1"/>
    <col min="10" max="10" width="40.6640625" customWidth="1"/>
    <col min="11" max="29" width="14.33203125" customWidth="1"/>
    <col min="30" max="30" width="9.44140625" customWidth="1"/>
    <col min="31" max="31" width="11.6640625" customWidth="1"/>
  </cols>
  <sheetData>
    <row r="1" spans="1:33" s="106" customFormat="1" ht="43.5" hidden="1" customHeight="1">
      <c r="A1" s="100"/>
      <c r="I1" s="106">
        <v>2018</v>
      </c>
      <c r="J1" s="106">
        <v>2019</v>
      </c>
      <c r="K1" s="106">
        <v>2019</v>
      </c>
      <c r="R1" s="106">
        <v>1</v>
      </c>
      <c r="T1" s="106">
        <v>3</v>
      </c>
      <c r="V1" s="106">
        <v>2</v>
      </c>
      <c r="X1" s="106">
        <v>1</v>
      </c>
      <c r="Z1" s="106">
        <v>3</v>
      </c>
      <c r="AB1" s="106">
        <v>2</v>
      </c>
      <c r="AE1"/>
    </row>
    <row r="2" spans="1:33" s="106" customFormat="1">
      <c r="A2" s="100"/>
      <c r="K2" s="2797" t="s">
        <v>1671</v>
      </c>
      <c r="L2" s="2798"/>
      <c r="M2" s="2798"/>
      <c r="N2" s="2798"/>
      <c r="O2" s="2798"/>
      <c r="P2" s="2798"/>
      <c r="Q2" s="2798"/>
      <c r="R2" s="2798"/>
      <c r="S2" s="2798"/>
      <c r="T2" s="2798"/>
      <c r="U2" s="2798"/>
      <c r="V2" s="2798"/>
      <c r="W2" s="2798"/>
      <c r="X2" s="2798"/>
      <c r="Y2" s="2798"/>
      <c r="Z2" s="2798"/>
      <c r="AA2" s="2798"/>
      <c r="AB2" s="2798"/>
      <c r="AC2" s="2799"/>
      <c r="AD2"/>
      <c r="AE2"/>
    </row>
    <row r="3" spans="1:33">
      <c r="D3" t="s">
        <v>191</v>
      </c>
      <c r="H3" s="2816" t="str">
        <f>Selection!A2&amp;"'s 2018-2019 Savings Forecast"</f>
        <v>Puget Sound Energy's 2018-2019 Savings Forecast</v>
      </c>
      <c r="I3" s="2816"/>
      <c r="J3" s="2816"/>
      <c r="K3" s="2800" t="s">
        <v>878</v>
      </c>
      <c r="L3" s="2801"/>
      <c r="M3" s="2801"/>
      <c r="N3" s="2801"/>
      <c r="O3" s="2801"/>
      <c r="P3" s="2801"/>
      <c r="Q3" s="2802"/>
      <c r="R3" s="2807">
        <v>2018</v>
      </c>
      <c r="S3" s="2807"/>
      <c r="T3" s="2807"/>
      <c r="U3" s="2807"/>
      <c r="V3" s="2807"/>
      <c r="W3" s="2807"/>
      <c r="X3" s="2808">
        <v>2019</v>
      </c>
      <c r="Y3" s="2809"/>
      <c r="Z3" s="2809"/>
      <c r="AA3" s="2809"/>
      <c r="AB3" s="2809"/>
      <c r="AC3" s="2810"/>
    </row>
    <row r="4" spans="1:33">
      <c r="D4" s="2817">
        <v>2018</v>
      </c>
      <c r="E4" s="2817"/>
      <c r="F4" s="2817">
        <v>2019</v>
      </c>
      <c r="G4" s="2817"/>
      <c r="H4" s="2816"/>
      <c r="I4" s="2816"/>
      <c r="J4" s="2816"/>
      <c r="K4" s="2803" t="s">
        <v>862</v>
      </c>
      <c r="L4" s="2804"/>
      <c r="M4" s="2804"/>
      <c r="N4" s="2804"/>
      <c r="O4" s="2804"/>
      <c r="P4" s="2812" t="s">
        <v>237</v>
      </c>
      <c r="Q4" s="2813"/>
      <c r="R4" s="2804" t="s">
        <v>862</v>
      </c>
      <c r="S4" s="2804"/>
      <c r="T4" s="2804"/>
      <c r="U4" s="2804"/>
      <c r="V4" s="2812" t="s">
        <v>237</v>
      </c>
      <c r="W4" s="2812"/>
      <c r="X4" s="2803" t="s">
        <v>862</v>
      </c>
      <c r="Y4" s="2804"/>
      <c r="Z4" s="2804"/>
      <c r="AA4" s="2804"/>
      <c r="AB4" s="2812" t="s">
        <v>237</v>
      </c>
      <c r="AC4" s="2813"/>
    </row>
    <row r="5" spans="1:33" ht="42.75" customHeight="1">
      <c r="A5" s="100" t="s">
        <v>848</v>
      </c>
      <c r="B5" t="s">
        <v>849</v>
      </c>
      <c r="D5" t="s">
        <v>874</v>
      </c>
      <c r="E5" t="s">
        <v>875</v>
      </c>
      <c r="F5" t="s">
        <v>874</v>
      </c>
      <c r="G5" t="s">
        <v>876</v>
      </c>
      <c r="H5" s="2838" t="s">
        <v>3</v>
      </c>
      <c r="I5" s="2836" t="s">
        <v>847</v>
      </c>
      <c r="J5" s="2834" t="s">
        <v>850</v>
      </c>
      <c r="K5" s="2811" t="s">
        <v>865</v>
      </c>
      <c r="L5" s="2805"/>
      <c r="M5" s="2806"/>
      <c r="N5" s="2806" t="s">
        <v>864</v>
      </c>
      <c r="O5" s="2806"/>
      <c r="P5" s="2805" t="s">
        <v>863</v>
      </c>
      <c r="Q5" s="2814"/>
      <c r="R5" s="2805" t="s">
        <v>865</v>
      </c>
      <c r="S5" s="2806"/>
      <c r="T5" s="2805" t="s">
        <v>864</v>
      </c>
      <c r="U5" s="2806"/>
      <c r="V5" s="2805" t="s">
        <v>863</v>
      </c>
      <c r="W5" s="2815"/>
      <c r="X5" s="2811" t="s">
        <v>865</v>
      </c>
      <c r="Y5" s="2806"/>
      <c r="Z5" s="2805" t="s">
        <v>864</v>
      </c>
      <c r="AA5" s="2806"/>
      <c r="AB5" s="2805" t="s">
        <v>863</v>
      </c>
      <c r="AC5" s="2814"/>
      <c r="AD5" s="649"/>
    </row>
    <row r="6" spans="1:33" ht="33.75" customHeight="1">
      <c r="H6" s="2839"/>
      <c r="I6" s="2837"/>
      <c r="J6" s="2835"/>
      <c r="K6" s="2824" t="s">
        <v>1319</v>
      </c>
      <c r="L6" s="2825"/>
      <c r="M6" s="666" t="s">
        <v>1247</v>
      </c>
      <c r="N6" s="667" t="s">
        <v>1245</v>
      </c>
      <c r="O6" s="666" t="s">
        <v>1247</v>
      </c>
      <c r="P6" s="668" t="s">
        <v>1245</v>
      </c>
      <c r="Q6" s="671" t="s">
        <v>1247</v>
      </c>
      <c r="R6" s="668" t="s">
        <v>1245</v>
      </c>
      <c r="S6" s="666" t="s">
        <v>1247</v>
      </c>
      <c r="T6" s="668" t="s">
        <v>1245</v>
      </c>
      <c r="U6" s="666" t="s">
        <v>1247</v>
      </c>
      <c r="V6" s="668" t="s">
        <v>1245</v>
      </c>
      <c r="W6" s="669" t="s">
        <v>1247</v>
      </c>
      <c r="X6" s="670" t="s">
        <v>1245</v>
      </c>
      <c r="Y6" s="666" t="s">
        <v>1247</v>
      </c>
      <c r="Z6" s="668" t="s">
        <v>1245</v>
      </c>
      <c r="AA6" s="666" t="s">
        <v>1247</v>
      </c>
      <c r="AB6" s="668" t="s">
        <v>1245</v>
      </c>
      <c r="AC6" s="671" t="s">
        <v>1247</v>
      </c>
      <c r="AD6" s="650"/>
    </row>
    <row r="7" spans="1:33" ht="15" customHeight="1">
      <c r="A7" s="100" t="s">
        <v>333</v>
      </c>
      <c r="B7" s="101" t="s">
        <v>318</v>
      </c>
      <c r="C7" s="101" t="str">
        <f>INDEX(Programs!B:B,MATCH(' Summary by Program'!B7,Programs!$E:$E,0))</f>
        <v>Ductless Heat Pumps</v>
      </c>
      <c r="D7" s="114">
        <v>0.95</v>
      </c>
      <c r="E7" s="114">
        <v>1.1599999999999999</v>
      </c>
      <c r="F7" s="114">
        <v>0.9</v>
      </c>
      <c r="G7" s="114">
        <v>1.1599999999999999</v>
      </c>
      <c r="H7" s="2831" t="s">
        <v>300</v>
      </c>
      <c r="I7" s="148" t="str">
        <f>INDEX(Programs!B:B,MATCH(' Summary by Program'!B7,Programs!$E:$E,0))</f>
        <v>Ductless Heat Pumps</v>
      </c>
      <c r="J7" s="672" t="s">
        <v>151</v>
      </c>
      <c r="K7" s="682">
        <f ca="1">R7+X7</f>
        <v>0.42987652269013871</v>
      </c>
      <c r="L7" s="298" t="str">
        <f ca="1">TEXT(R7*D7+X7*F7,"0.##")&amp;"-"&amp;TEXT(R7*E7+G7*X7,"0.#0")</f>
        <v>0.39-0.50</v>
      </c>
      <c r="M7" s="301">
        <f>S7+Y7</f>
        <v>0</v>
      </c>
      <c r="N7" s="123">
        <f t="shared" ref="N7:N30" ca="1" si="0">T7+Z7</f>
        <v>0</v>
      </c>
      <c r="O7" s="122">
        <f>U7+AA7</f>
        <v>0</v>
      </c>
      <c r="P7" s="124">
        <f t="shared" ref="P7:P30" ca="1" si="1">V7+AB7</f>
        <v>0</v>
      </c>
      <c r="Q7" s="151" t="str">
        <f t="shared" ref="Q7:Q30" ca="1" si="2">IF(V7=0,"","("&amp;TEXT($D7*V7+$F7*AB7,"#.##")&amp;"-"&amp;TEXT($E7*V7+$G7*AB7,"#.##")&amp;")")</f>
        <v/>
      </c>
      <c r="R7" s="123">
        <f t="shared" ref="R7:R30" ca="1" si="3">SUMIFS(INDIRECT($A7&amp;"!$v:$v"),INDIRECT($A7&amp;"!$f:$f"),R$1,INDIRECT($A7&amp;"!$i:$i"),$C7,INDIRECT($A7&amp;"!$l:$l"),$I$1)</f>
        <v>0.12057140314350885</v>
      </c>
      <c r="S7" s="656">
        <v>0</v>
      </c>
      <c r="T7" s="123">
        <f t="shared" ref="T7:T30" ca="1" si="4">SUMIFS(INDIRECT($A7&amp;"!$v:$v"),INDIRECT($A7&amp;"!$f:$f"),T$1,INDIRECT($A7&amp;"!$i:$i"),$C7,INDIRECT($A7&amp;"!$l:$l"),$I$1)</f>
        <v>0</v>
      </c>
      <c r="U7" s="122">
        <v>0</v>
      </c>
      <c r="V7" s="124">
        <f t="shared" ref="V7:V30" ca="1" si="5">SUMIFS(INDIRECT($A7&amp;"!$v:$v"),INDIRECT($A7&amp;"!$f:$f"),V$1,INDIRECT($A7&amp;"!$i:$i"),$C7,INDIRECT($A7&amp;"!$l:$l"),$I$1)</f>
        <v>0</v>
      </c>
      <c r="W7" s="150">
        <v>0</v>
      </c>
      <c r="X7" s="149">
        <f t="shared" ref="X7:X30" ca="1" si="6">SUMIFS(INDIRECT($A7&amp;"!$v:$v"),INDIRECT($A7&amp;"!$f:$f"),X$1,INDIRECT($A7&amp;"!$i:$i"),$C7,INDIRECT($A7&amp;"!$l:$l"),$J$1)</f>
        <v>0.30930511954662987</v>
      </c>
      <c r="Y7" s="656">
        <v>0</v>
      </c>
      <c r="Z7" s="123">
        <f t="shared" ref="Z7:Z30" ca="1" si="7">SUMIFS(INDIRECT($A7&amp;"!$v:$v"),INDIRECT($A7&amp;"!$f:$f"),Z$1,INDIRECT($A7&amp;"!$i:$i"),$C7,INDIRECT($A7&amp;"!$l:$l"),$J$1)</f>
        <v>0</v>
      </c>
      <c r="AA7" s="122">
        <v>0</v>
      </c>
      <c r="AB7" s="123">
        <f ca="1">SUMIFS(INDIRECT($A7&amp;"!$v:$v"),INDIRECT($A7&amp;"!$f:$f"),AB$1,INDIRECT($A7&amp;"!$i:$i"),$C7,INDIRECT($A7&amp;"!$l:$l"),$K$1)</f>
        <v>0</v>
      </c>
      <c r="AC7" s="151" t="str">
        <f t="shared" ref="AC7:AC27" ca="1" si="8">IF(AB7=0,"","("&amp;TEXT($F7*AB7,"#.##")&amp;"-"&amp;TEXT($G7*AB7,"#.##")&amp;")")</f>
        <v/>
      </c>
      <c r="AD7" s="652">
        <f ca="1">R7-S7</f>
        <v>0.12057140314350885</v>
      </c>
      <c r="AE7" s="240">
        <f ca="1">K7-M7</f>
        <v>0.42987652269013871</v>
      </c>
    </row>
    <row r="8" spans="1:33">
      <c r="A8" s="100" t="s">
        <v>334</v>
      </c>
      <c r="B8" s="101" t="s">
        <v>319</v>
      </c>
      <c r="C8" s="101" t="str">
        <f>INDEX(Programs!B:B,MATCH(' Summary by Program'!B8,Programs!$E:$E,0))</f>
        <v>Heat Pump Water Heaters</v>
      </c>
      <c r="D8" s="114">
        <v>1</v>
      </c>
      <c r="E8" s="114">
        <v>1</v>
      </c>
      <c r="F8" s="114">
        <v>0.78</v>
      </c>
      <c r="G8" s="114">
        <v>1.1000000000000001</v>
      </c>
      <c r="H8" s="2828"/>
      <c r="I8" s="120" t="str">
        <f>INDEX(Programs!B:B,MATCH(' Summary by Program'!B8,Programs!$E:$E,0))</f>
        <v>Heat Pump Water Heaters</v>
      </c>
      <c r="J8" s="673" t="s">
        <v>153</v>
      </c>
      <c r="K8" s="683">
        <f ca="1">R8+X8</f>
        <v>0.15877525682685129</v>
      </c>
      <c r="L8" s="298" t="str">
        <f ca="1">TEXT(R8*D8+X8*F8,"0.##")&amp;"-"&amp;TEXT(R8*E8+G8*X8,"0.#0")</f>
        <v>0.14-0.17</v>
      </c>
      <c r="M8" s="302">
        <f t="shared" ref="M8:M30" si="9">S8+Y8</f>
        <v>0</v>
      </c>
      <c r="N8" s="116">
        <f t="shared" ca="1" si="0"/>
        <v>0</v>
      </c>
      <c r="O8" s="117">
        <f t="shared" ref="O8:O30" si="10">U8+AA8</f>
        <v>0</v>
      </c>
      <c r="P8" s="115">
        <f t="shared" ca="1" si="1"/>
        <v>0</v>
      </c>
      <c r="Q8" s="141" t="str">
        <f t="shared" ca="1" si="2"/>
        <v/>
      </c>
      <c r="R8" s="116">
        <f t="shared" ca="1" si="3"/>
        <v>7.7608772874699569E-2</v>
      </c>
      <c r="S8" s="657">
        <v>0</v>
      </c>
      <c r="T8" s="116">
        <f t="shared" ca="1" si="4"/>
        <v>0</v>
      </c>
      <c r="U8" s="117">
        <v>0</v>
      </c>
      <c r="V8" s="115">
        <f t="shared" ca="1" si="5"/>
        <v>0</v>
      </c>
      <c r="W8" s="136">
        <v>0</v>
      </c>
      <c r="X8" s="140">
        <f t="shared" ca="1" si="6"/>
        <v>8.1166483952151716E-2</v>
      </c>
      <c r="Y8" s="657">
        <v>0</v>
      </c>
      <c r="Z8" s="116">
        <f t="shared" ca="1" si="7"/>
        <v>0</v>
      </c>
      <c r="AA8" s="117">
        <v>0</v>
      </c>
      <c r="AB8" s="116">
        <f t="shared" ref="AB8:AB30" ca="1" si="11">SUMIFS(INDIRECT($A8&amp;"!$v:$v"),INDIRECT($A8&amp;"!$f:$f"),AB$1,INDIRECT($A8&amp;"!$i:$i"),$C8,INDIRECT($A8&amp;"!$l:$l"),$K$1)</f>
        <v>0</v>
      </c>
      <c r="AC8" s="141" t="str">
        <f t="shared" ca="1" si="8"/>
        <v/>
      </c>
      <c r="AD8" s="652">
        <f t="shared" ref="AD8:AD30" ca="1" si="12">R8-S8</f>
        <v>7.7608772874699569E-2</v>
      </c>
      <c r="AE8" s="240">
        <f ca="1">K8-M8</f>
        <v>0.15877525682685129</v>
      </c>
      <c r="AF8" s="631"/>
    </row>
    <row r="9" spans="1:33">
      <c r="A9" s="100" t="s">
        <v>1607</v>
      </c>
      <c r="B9" s="101" t="s">
        <v>1401</v>
      </c>
      <c r="C9" s="101" t="s">
        <v>1608</v>
      </c>
      <c r="D9" s="618">
        <v>1</v>
      </c>
      <c r="E9" s="618">
        <v>1</v>
      </c>
      <c r="F9" s="618">
        <v>0.9</v>
      </c>
      <c r="G9" s="618">
        <v>0.95</v>
      </c>
      <c r="H9" s="2828"/>
      <c r="I9" s="120" t="s">
        <v>1556</v>
      </c>
      <c r="J9" s="674" t="s">
        <v>1618</v>
      </c>
      <c r="K9" s="683">
        <f ca="1">R9+X9</f>
        <v>0</v>
      </c>
      <c r="L9" s="298" t="str">
        <f ca="1">TEXT(R9*D9+X9*F9,"0.##")&amp;"-"&amp;TEXT(R9*E9+G9*X9,"0.#0")</f>
        <v>0.-0.0</v>
      </c>
      <c r="M9" s="302">
        <v>0</v>
      </c>
      <c r="N9" s="116">
        <f t="shared" ref="N9" ca="1" si="13">T9+Z9</f>
        <v>0</v>
      </c>
      <c r="O9" s="117">
        <f t="shared" ref="O9" si="14">U9+AA9</f>
        <v>0</v>
      </c>
      <c r="P9" s="115">
        <f t="shared" ref="P9" ca="1" si="15">V9+AB9</f>
        <v>0</v>
      </c>
      <c r="Q9" s="141">
        <f>W9+AC9</f>
        <v>0</v>
      </c>
      <c r="R9" s="681">
        <f ca="1">SUMIFS(INDIRECT($A9&amp;"!$v:$v"),INDIRECT($A9&amp;"!$f:$f"),R$1,INDIRECT($A9&amp;"!$j:$j"),$C9,INDIRECT($A9&amp;"!$l:$l"),$I$1)</f>
        <v>0</v>
      </c>
      <c r="S9" s="658"/>
      <c r="T9" s="116">
        <f t="shared" ca="1" si="4"/>
        <v>0</v>
      </c>
      <c r="U9" s="117">
        <v>0</v>
      </c>
      <c r="V9" s="115">
        <f ca="1">SUMIFS(INDIRECT($A9&amp;"!$v:$v"),INDIRECT($A9&amp;"!$f:$f"),V$1,INDIRECT($A9&amp;"!$j:$j"),$C9,INDIRECT($A9&amp;"!$l:$l"),$I$1)</f>
        <v>0</v>
      </c>
      <c r="W9" s="117">
        <v>0</v>
      </c>
      <c r="X9" s="140">
        <f ca="1">SUMIFS(INDIRECT($A9&amp;"!$v:$v"),INDIRECT($A9&amp;"!$f:$f"),X$1,INDIRECT($A9&amp;"!$j:$j"),$C9,INDIRECT($A9&amp;"!$l:$l"),$J$1)</f>
        <v>0</v>
      </c>
      <c r="Y9" s="658"/>
      <c r="Z9" s="116">
        <f t="shared" ca="1" si="7"/>
        <v>0</v>
      </c>
      <c r="AA9" s="117">
        <v>0</v>
      </c>
      <c r="AB9" s="116">
        <f ca="1">SUMIFS(INDIRECT($A9&amp;"!$v:$v"),INDIRECT($A9&amp;"!$f:$f"),AB$1,INDIRECT($A9&amp;"!$j:$j"),$C9,INDIRECT($A9&amp;"!$l:$l"),$K$1)</f>
        <v>0</v>
      </c>
      <c r="AC9" s="141">
        <v>0</v>
      </c>
      <c r="AD9" s="652">
        <f t="shared" ca="1" si="12"/>
        <v>0</v>
      </c>
      <c r="AE9" s="240">
        <f t="shared" ref="AE9:AE30" ca="1" si="16">K9-M9</f>
        <v>0</v>
      </c>
      <c r="AF9" s="297"/>
      <c r="AG9" s="240">
        <f ca="1">AE9+AE10+AE23</f>
        <v>0</v>
      </c>
    </row>
    <row r="10" spans="1:33">
      <c r="A10" s="100" t="s">
        <v>1607</v>
      </c>
      <c r="B10" s="101" t="s">
        <v>1401</v>
      </c>
      <c r="C10" s="101" t="s">
        <v>1457</v>
      </c>
      <c r="D10" s="618">
        <v>1</v>
      </c>
      <c r="E10" s="618">
        <v>1</v>
      </c>
      <c r="F10" s="618">
        <v>0.9</v>
      </c>
      <c r="G10" s="618">
        <v>0.95</v>
      </c>
      <c r="H10" s="2828"/>
      <c r="I10" s="120" t="s">
        <v>1562</v>
      </c>
      <c r="J10" s="674" t="s">
        <v>1619</v>
      </c>
      <c r="K10" s="683">
        <f ca="1">R10+X10</f>
        <v>0</v>
      </c>
      <c r="L10" s="298" t="str">
        <f ca="1">TEXT(R10*D10+X10*F10,"0.##")&amp;"-"&amp;TEXT(R10*E10+G10*X10,"0.#0")</f>
        <v>0.-0.0</v>
      </c>
      <c r="M10" s="302">
        <v>0</v>
      </c>
      <c r="N10" s="116">
        <f t="shared" ca="1" si="0"/>
        <v>0</v>
      </c>
      <c r="O10" s="117">
        <f t="shared" si="10"/>
        <v>0</v>
      </c>
      <c r="P10" s="115">
        <f t="shared" ca="1" si="1"/>
        <v>0</v>
      </c>
      <c r="Q10" s="141">
        <f>W10+AC10</f>
        <v>0</v>
      </c>
      <c r="R10" s="681">
        <f ca="1">SUMIFS(INDIRECT($A10&amp;"!$v:$v"),INDIRECT($A10&amp;"!$f:$f"),R$1,INDIRECT($A10&amp;"!$j:$j"),$C10,INDIRECT($A10&amp;"!$l:$l"),$I$1)</f>
        <v>0</v>
      </c>
      <c r="S10" s="658"/>
      <c r="T10" s="116">
        <f t="shared" ca="1" si="4"/>
        <v>0</v>
      </c>
      <c r="U10" s="117">
        <v>0</v>
      </c>
      <c r="V10" s="115">
        <f ca="1">SUMIFS(INDIRECT($A10&amp;"!$v:$v"),INDIRECT($A10&amp;"!$f:$f"),V$1,INDIRECT($A10&amp;"!$j:$j"),$C10,INDIRECT($A10&amp;"!$l:$l"),$I$1)</f>
        <v>0</v>
      </c>
      <c r="W10" s="117">
        <v>0</v>
      </c>
      <c r="X10" s="140">
        <f ca="1">SUMIFS(INDIRECT($A10&amp;"!$v:$v"),INDIRECT($A10&amp;"!$f:$f"),X$1,INDIRECT($A10&amp;"!$j:$j"),$C10,INDIRECT($A10&amp;"!$l:$l"),$J$1)</f>
        <v>0</v>
      </c>
      <c r="Y10" s="658"/>
      <c r="Z10" s="116">
        <f t="shared" ca="1" si="7"/>
        <v>0</v>
      </c>
      <c r="AA10" s="117">
        <v>0</v>
      </c>
      <c r="AB10" s="116">
        <f ca="1">SUMIFS(INDIRECT($A10&amp;"!$v:$v"),INDIRECT($A10&amp;"!$f:$f"),AB$1,INDIRECT($A10&amp;"!$j:$j"),$C10,INDIRECT($A10&amp;"!$l:$l"),$K$1)</f>
        <v>0</v>
      </c>
      <c r="AC10" s="141">
        <v>0</v>
      </c>
      <c r="AD10" s="652">
        <f t="shared" ca="1" si="12"/>
        <v>0</v>
      </c>
      <c r="AE10" s="240">
        <f t="shared" ca="1" si="16"/>
        <v>0</v>
      </c>
      <c r="AF10" s="297"/>
    </row>
    <row r="11" spans="1:33">
      <c r="A11" s="100" t="s">
        <v>331</v>
      </c>
      <c r="B11" s="101" t="s">
        <v>320</v>
      </c>
      <c r="C11" s="101" t="str">
        <f>INDEX(Programs!B:B,MATCH(' Summary by Program'!B11,Programs!$E:$E,0))</f>
        <v>Other Codes (Multifamily)</v>
      </c>
      <c r="D11" s="114">
        <v>1</v>
      </c>
      <c r="E11" s="114">
        <v>1</v>
      </c>
      <c r="F11" s="114">
        <v>0.8</v>
      </c>
      <c r="G11" s="114">
        <v>1.2</v>
      </c>
      <c r="H11" s="2828"/>
      <c r="I11" s="120" t="str">
        <f>INDEX(Programs!B:B,MATCH(' Summary by Program'!B11,Programs!$E:$E,0))</f>
        <v>Other Codes (Multifamily)</v>
      </c>
      <c r="J11" s="673" t="s">
        <v>851</v>
      </c>
      <c r="K11" s="683">
        <f t="shared" ref="K11:K30" ca="1" si="17">R11+X11</f>
        <v>0</v>
      </c>
      <c r="L11" s="299"/>
      <c r="M11" s="302">
        <f t="shared" si="9"/>
        <v>0</v>
      </c>
      <c r="N11" s="116">
        <f t="shared" ca="1" si="0"/>
        <v>8.6196595650773034E-2</v>
      </c>
      <c r="O11" s="535">
        <f t="shared" si="10"/>
        <v>0</v>
      </c>
      <c r="P11" s="115">
        <f t="shared" ca="1" si="1"/>
        <v>0</v>
      </c>
      <c r="Q11" s="141" t="str">
        <f t="shared" ca="1" si="2"/>
        <v/>
      </c>
      <c r="R11" s="116">
        <f t="shared" ca="1" si="3"/>
        <v>0</v>
      </c>
      <c r="S11" s="657">
        <v>0</v>
      </c>
      <c r="T11" s="116">
        <f t="shared" ca="1" si="4"/>
        <v>3.6403190164788532E-2</v>
      </c>
      <c r="U11" s="117">
        <v>0</v>
      </c>
      <c r="V11" s="115">
        <f t="shared" ca="1" si="5"/>
        <v>0</v>
      </c>
      <c r="W11" s="136">
        <v>0</v>
      </c>
      <c r="X11" s="140">
        <f t="shared" ca="1" si="6"/>
        <v>0</v>
      </c>
      <c r="Y11" s="657">
        <v>0</v>
      </c>
      <c r="Z11" s="116">
        <f t="shared" ca="1" si="7"/>
        <v>4.9793405485984502E-2</v>
      </c>
      <c r="AA11" s="117">
        <v>0</v>
      </c>
      <c r="AB11" s="116">
        <f t="shared" ca="1" si="11"/>
        <v>0</v>
      </c>
      <c r="AC11" s="141" t="str">
        <f t="shared" ca="1" si="8"/>
        <v/>
      </c>
      <c r="AD11" s="652">
        <f t="shared" ca="1" si="12"/>
        <v>0</v>
      </c>
      <c r="AE11" s="240">
        <f t="shared" ca="1" si="16"/>
        <v>0</v>
      </c>
    </row>
    <row r="12" spans="1:33">
      <c r="A12" s="100" t="s">
        <v>335</v>
      </c>
      <c r="B12" s="101" t="s">
        <v>322</v>
      </c>
      <c r="C12" s="101" t="str">
        <f>INDEX(Programs!B:B,MATCH(' Summary by Program'!B12,Programs!$E:$E,0))</f>
        <v>Residential Lighting</v>
      </c>
      <c r="D12" s="114">
        <v>0.8</v>
      </c>
      <c r="E12" s="114">
        <v>1</v>
      </c>
      <c r="F12" s="114">
        <v>0.75</v>
      </c>
      <c r="G12" s="114">
        <v>1</v>
      </c>
      <c r="H12" s="2828"/>
      <c r="I12" s="120" t="str">
        <f>INDEX(Programs!B:B,MATCH(' Summary by Program'!B12,Programs!$E:$E,0))</f>
        <v>Residential Lighting</v>
      </c>
      <c r="J12" s="673" t="s">
        <v>894</v>
      </c>
      <c r="K12" s="683">
        <f t="shared" ca="1" si="17"/>
        <v>1.0409299300561692E-2</v>
      </c>
      <c r="L12" s="298" t="str">
        <f ca="1">TEXT(R12*D12+X12*F12,"0.##")&amp;"-"&amp;TEXT(R12*E12+G12*X12,"0.#0")</f>
        <v>0.01-0.01</v>
      </c>
      <c r="M12" s="302">
        <f t="shared" si="9"/>
        <v>0</v>
      </c>
      <c r="N12" s="116">
        <f t="shared" ca="1" si="0"/>
        <v>0</v>
      </c>
      <c r="O12" s="535">
        <f t="shared" si="10"/>
        <v>0</v>
      </c>
      <c r="P12" s="115">
        <f ca="1">V12+AB12</f>
        <v>0.58101454495044502</v>
      </c>
      <c r="Q12" s="141">
        <f>W12+AC12</f>
        <v>0</v>
      </c>
      <c r="R12" s="116">
        <f ca="1">SUMIFS(INDIRECT($A12&amp;"!$w:$w"),INDIRECT($A12&amp;"!$f:$f"),R$1,INDIRECT($A12&amp;"!$i:$i"),$C12,INDIRECT($A12&amp;"!$l:$l"),$I$1)</f>
        <v>8.0201962536284067E-3</v>
      </c>
      <c r="S12" s="657">
        <v>0</v>
      </c>
      <c r="T12" s="116">
        <f ca="1">SUMIFS(INDIRECT($A12&amp;"!$w:$w"),INDIRECT($A12&amp;"!$f:$f"),T$1,INDIRECT($A12&amp;"!$i:$i"),$C12,INDIRECT($A12&amp;"!$l:$l"),$I$1)</f>
        <v>0</v>
      </c>
      <c r="U12" s="117">
        <v>0</v>
      </c>
      <c r="V12" s="115">
        <f ca="1">SUMIFS(INDIRECT($A12&amp;"!$w:$w"),INDIRECT($A12&amp;"!$f:$f"),V$1,INDIRECT($A12&amp;"!$i:$i"),$C12,INDIRECT($A12&amp;"!$l:$l"),$I$1)</f>
        <v>0.28479747255366583</v>
      </c>
      <c r="W12" s="136">
        <v>0</v>
      </c>
      <c r="X12" s="140">
        <f ca="1">SUMIFS(INDIRECT($A12&amp;"!$w:$w"),INDIRECT($A12&amp;"!$f:$f"),X$1,INDIRECT($A12&amp;"!$i:$i"),$C12,INDIRECT($A12&amp;"!$l:$l"),$J$1)</f>
        <v>2.389103046933285E-3</v>
      </c>
      <c r="Y12" s="657">
        <v>0</v>
      </c>
      <c r="Z12" s="116">
        <f ca="1">SUMIFS(INDIRECT($A12&amp;"!$w:$w"),INDIRECT($A12&amp;"!$f:$f"),Z$1,INDIRECT($A12&amp;"!$i:$i"),$C12,INDIRECT($A12&amp;"!$l:$l"),$J$1)</f>
        <v>0</v>
      </c>
      <c r="AA12" s="117">
        <v>0</v>
      </c>
      <c r="AB12" s="116">
        <f ca="1">SUMIFS(INDIRECT($A12&amp;"!$w:$w"),INDIRECT($A12&amp;"!$f:$f"),AB$1,INDIRECT($A12&amp;"!$i:$i"),$C12,INDIRECT($A12&amp;"!$l:$l"),$K$1)</f>
        <v>0.29621707239677919</v>
      </c>
      <c r="AC12" s="141">
        <v>0</v>
      </c>
      <c r="AD12" s="652">
        <f t="shared" ca="1" si="12"/>
        <v>8.0201962536284067E-3</v>
      </c>
      <c r="AE12" s="240">
        <f ca="1">K12-M12</f>
        <v>1.0409299300561692E-2</v>
      </c>
    </row>
    <row r="13" spans="1:33">
      <c r="A13" s="100" t="s">
        <v>331</v>
      </c>
      <c r="B13" s="101" t="s">
        <v>321</v>
      </c>
      <c r="C13" s="101" t="str">
        <f>INDEX(Programs!B:B,MATCH(' Summary by Program'!B13,Programs!$E:$E,0))</f>
        <v>Residential New Construction/Next Step Homes</v>
      </c>
      <c r="D13" s="114">
        <v>1</v>
      </c>
      <c r="E13" s="114">
        <v>1</v>
      </c>
      <c r="F13" s="114">
        <v>0.66485485730974003</v>
      </c>
      <c r="G13" s="114">
        <v>1.056520743498415</v>
      </c>
      <c r="H13" s="2828"/>
      <c r="I13" s="2832" t="str">
        <f>INDEX(Programs!B:B,MATCH(' Summary by Program'!B13,Programs!$E:$E,0))</f>
        <v>Residential New Construction/Next Step Homes</v>
      </c>
      <c r="J13" s="673" t="s">
        <v>857</v>
      </c>
      <c r="K13" s="683">
        <f t="shared" ca="1" si="17"/>
        <v>0</v>
      </c>
      <c r="L13" s="299"/>
      <c r="M13" s="302">
        <f t="shared" si="9"/>
        <v>0</v>
      </c>
      <c r="N13" s="534">
        <f t="shared" ca="1" si="0"/>
        <v>0.22764801553086755</v>
      </c>
      <c r="O13" s="536">
        <f t="shared" si="10"/>
        <v>0</v>
      </c>
      <c r="P13" s="115">
        <f t="shared" ca="1" si="1"/>
        <v>0</v>
      </c>
      <c r="Q13" s="684" t="str">
        <f t="shared" ca="1" si="2"/>
        <v/>
      </c>
      <c r="R13" s="116">
        <f t="shared" ca="1" si="3"/>
        <v>0</v>
      </c>
      <c r="S13" s="659">
        <v>0</v>
      </c>
      <c r="T13" s="116">
        <f ca="1">SUMIFS(INDIRECT($A13&amp;"!$v:$v"),INDIRECT($A13&amp;"!$f:$f"),T$1,INDIRECT($A13&amp;"!$i:$i"),$C13,INDIRECT($A13&amp;"!$l:$l"),$I$1)</f>
        <v>0.11573850634871004</v>
      </c>
      <c r="U13" s="117">
        <v>0</v>
      </c>
      <c r="V13" s="115">
        <f t="shared" ca="1" si="5"/>
        <v>0</v>
      </c>
      <c r="W13" s="136" t="str">
        <f t="shared" ref="W13:W30" ca="1" si="18">IF(V13=0,"","("&amp;TEXT(D13*V13,"#.##")&amp;"-"&amp;TEXT(E13*V13,"#.##")&amp;")")</f>
        <v/>
      </c>
      <c r="X13" s="140">
        <f t="shared" ca="1" si="6"/>
        <v>0</v>
      </c>
      <c r="Y13" s="659">
        <v>0</v>
      </c>
      <c r="Z13" s="116">
        <f t="shared" ca="1" si="7"/>
        <v>0.11190950918215753</v>
      </c>
      <c r="AA13" s="117">
        <v>0</v>
      </c>
      <c r="AB13" s="116">
        <f t="shared" ca="1" si="11"/>
        <v>0</v>
      </c>
      <c r="AC13" s="141" t="str">
        <f t="shared" ca="1" si="8"/>
        <v/>
      </c>
      <c r="AD13" s="652">
        <f t="shared" ca="1" si="12"/>
        <v>0</v>
      </c>
      <c r="AE13" s="240">
        <f t="shared" ca="1" si="16"/>
        <v>0</v>
      </c>
    </row>
    <row r="14" spans="1:33">
      <c r="A14" s="100" t="s">
        <v>775</v>
      </c>
      <c r="B14" s="101" t="s">
        <v>321</v>
      </c>
      <c r="C14" s="101" t="str">
        <f>INDEX(Programs!B:B,MATCH(' Summary by Program'!B14,Programs!$E:$E,0))</f>
        <v>Residential New Construction/Next Step Homes</v>
      </c>
      <c r="D14" s="114">
        <v>1</v>
      </c>
      <c r="E14" s="114">
        <v>1</v>
      </c>
      <c r="F14" s="114">
        <v>0.66485485730974003</v>
      </c>
      <c r="G14" s="114">
        <v>1.056520743498415</v>
      </c>
      <c r="H14" s="2828"/>
      <c r="I14" s="2832"/>
      <c r="J14" s="673" t="s">
        <v>858</v>
      </c>
      <c r="K14" s="683">
        <f t="shared" ca="1" si="17"/>
        <v>0.29799524976557429</v>
      </c>
      <c r="L14" s="298" t="str">
        <f ca="1">TEXT(R14*D14+X14*F14,"0.##")&amp;"-"&amp;TEXT(R14*E14+G14*X14,"0.#0")</f>
        <v>0.25-0.31</v>
      </c>
      <c r="M14" s="302">
        <f t="shared" si="9"/>
        <v>0</v>
      </c>
      <c r="N14" s="116">
        <f t="shared" ca="1" si="0"/>
        <v>0</v>
      </c>
      <c r="O14" s="535">
        <f t="shared" si="10"/>
        <v>0</v>
      </c>
      <c r="P14" s="115">
        <f t="shared" ca="1" si="1"/>
        <v>0</v>
      </c>
      <c r="Q14" s="141" t="str">
        <f t="shared" ca="1" si="2"/>
        <v/>
      </c>
      <c r="R14" s="116">
        <f ca="1">SUMIFS(INDIRECT($A14&amp;"!$v:$v"),INDIRECT($A14&amp;"!$f:$f"),R$1,INDIRECT($A14&amp;"!$i:$i"),$C14,INDIRECT($A14&amp;"!$l:$l"),$I$1)</f>
        <v>0.16388792557259846</v>
      </c>
      <c r="S14" s="657">
        <v>0</v>
      </c>
      <c r="T14" s="116">
        <f t="shared" ca="1" si="4"/>
        <v>0</v>
      </c>
      <c r="U14" s="117">
        <v>0</v>
      </c>
      <c r="V14" s="115">
        <f t="shared" ca="1" si="5"/>
        <v>0</v>
      </c>
      <c r="W14" s="136" t="str">
        <f t="shared" ca="1" si="18"/>
        <v/>
      </c>
      <c r="X14" s="140">
        <f t="shared" ca="1" si="6"/>
        <v>0.13410732419297583</v>
      </c>
      <c r="Y14" s="665">
        <v>0</v>
      </c>
      <c r="Z14" s="116">
        <f t="shared" ca="1" si="7"/>
        <v>0</v>
      </c>
      <c r="AA14" s="117">
        <v>0</v>
      </c>
      <c r="AB14" s="116">
        <f t="shared" ca="1" si="11"/>
        <v>0</v>
      </c>
      <c r="AC14" s="141" t="str">
        <f t="shared" ca="1" si="8"/>
        <v/>
      </c>
      <c r="AD14" s="652">
        <f t="shared" ca="1" si="12"/>
        <v>0.16388792557259846</v>
      </c>
      <c r="AE14" s="240">
        <f t="shared" ca="1" si="16"/>
        <v>0.29799524976557429</v>
      </c>
      <c r="AF14" t="s">
        <v>1645</v>
      </c>
    </row>
    <row r="15" spans="1:33">
      <c r="A15" s="100" t="s">
        <v>759</v>
      </c>
      <c r="B15" s="101" t="s">
        <v>323</v>
      </c>
      <c r="C15" s="101" t="str">
        <f>INDEX(Programs!B:B,MATCH(' Summary by Program'!B15,Programs!$E:$E,0))</f>
        <v>Retail Product Portfolio</v>
      </c>
      <c r="D15" s="114">
        <v>0.95</v>
      </c>
      <c r="E15" s="114">
        <v>1.1000000000000001</v>
      </c>
      <c r="F15" s="114">
        <v>0.7</v>
      </c>
      <c r="G15" s="114">
        <v>1.25</v>
      </c>
      <c r="H15" s="2828"/>
      <c r="I15" s="2833" t="str">
        <f>INDEX(Programs!B:B,MATCH(' Summary by Program'!B15,Programs!$E:$E,0))</f>
        <v>Retail Product Portfolio</v>
      </c>
      <c r="J15" s="673" t="s">
        <v>852</v>
      </c>
      <c r="K15" s="683">
        <f t="shared" ca="1" si="17"/>
        <v>0.10976360217441981</v>
      </c>
      <c r="L15" s="2821" t="str">
        <f ca="1">TEXT(SUM(R15:R18)*D15+SUM(X15:X18)*F15,"0.##")&amp;"-"&amp;TEXT(SUM(R15:R18)*E15+G15*SUM(X15:X18),"0.#0")</f>
        <v>0.49-0.71</v>
      </c>
      <c r="M15" s="2840">
        <f t="shared" si="9"/>
        <v>0</v>
      </c>
      <c r="N15" s="116">
        <f t="shared" ca="1" si="0"/>
        <v>0</v>
      </c>
      <c r="O15" s="533">
        <f t="shared" si="10"/>
        <v>0</v>
      </c>
      <c r="P15" s="115">
        <f t="shared" ca="1" si="1"/>
        <v>0</v>
      </c>
      <c r="Q15" s="141" t="str">
        <f t="shared" ca="1" si="2"/>
        <v/>
      </c>
      <c r="R15" s="116">
        <f t="shared" ca="1" si="3"/>
        <v>4.9428035718177027E-2</v>
      </c>
      <c r="S15" s="2818">
        <v>0</v>
      </c>
      <c r="T15" s="116">
        <f t="shared" ca="1" si="4"/>
        <v>0</v>
      </c>
      <c r="U15" s="117">
        <v>0</v>
      </c>
      <c r="V15" s="115">
        <f t="shared" ca="1" si="5"/>
        <v>0</v>
      </c>
      <c r="W15" s="136" t="str">
        <f t="shared" ca="1" si="18"/>
        <v/>
      </c>
      <c r="X15" s="140">
        <f t="shared" ca="1" si="6"/>
        <v>6.0335566456242787E-2</v>
      </c>
      <c r="Y15" s="2818">
        <v>0</v>
      </c>
      <c r="Z15" s="116">
        <f t="shared" ca="1" si="7"/>
        <v>0</v>
      </c>
      <c r="AA15" s="117">
        <v>0</v>
      </c>
      <c r="AB15" s="116">
        <f t="shared" ca="1" si="11"/>
        <v>0</v>
      </c>
      <c r="AC15" s="141" t="str">
        <f t="shared" ca="1" si="8"/>
        <v/>
      </c>
      <c r="AD15" s="652"/>
      <c r="AE15" s="240"/>
    </row>
    <row r="16" spans="1:33">
      <c r="A16" s="100" t="s">
        <v>758</v>
      </c>
      <c r="B16" s="101" t="s">
        <v>323</v>
      </c>
      <c r="C16" s="101" t="str">
        <f>INDEX(Programs!B:B,MATCH(' Summary by Program'!B16,Programs!$E:$E,0))</f>
        <v>Retail Product Portfolio</v>
      </c>
      <c r="D16" s="114">
        <v>0.95</v>
      </c>
      <c r="E16" s="114">
        <v>1.1000000000000001</v>
      </c>
      <c r="F16" s="114">
        <v>0.7</v>
      </c>
      <c r="G16" s="114">
        <v>1.25</v>
      </c>
      <c r="H16" s="2828"/>
      <c r="I16" s="2833"/>
      <c r="J16" s="673" t="s">
        <v>148</v>
      </c>
      <c r="K16" s="683">
        <f t="shared" ca="1" si="17"/>
        <v>0.43723863992793099</v>
      </c>
      <c r="L16" s="2822"/>
      <c r="M16" s="2841"/>
      <c r="N16" s="116">
        <f t="shared" ca="1" si="0"/>
        <v>0</v>
      </c>
      <c r="O16" s="533">
        <f t="shared" si="10"/>
        <v>0</v>
      </c>
      <c r="P16" s="115">
        <f t="shared" ca="1" si="1"/>
        <v>0</v>
      </c>
      <c r="Q16" s="141" t="str">
        <f t="shared" ca="1" si="2"/>
        <v/>
      </c>
      <c r="R16" s="116">
        <f t="shared" ca="1" si="3"/>
        <v>0.20952037180809785</v>
      </c>
      <c r="S16" s="2819"/>
      <c r="T16" s="116">
        <f t="shared" ca="1" si="4"/>
        <v>0</v>
      </c>
      <c r="U16" s="117">
        <v>0</v>
      </c>
      <c r="V16" s="115">
        <f t="shared" ca="1" si="5"/>
        <v>0</v>
      </c>
      <c r="W16" s="136" t="str">
        <f t="shared" ca="1" si="18"/>
        <v/>
      </c>
      <c r="X16" s="140">
        <f ca="1">SUMIFS(INDIRECT($A16&amp;"!$v:$v"),INDIRECT($A16&amp;"!$f:$f"),X$1,INDIRECT($A16&amp;"!$i:$i"),$C16,INDIRECT($A16&amp;"!$l:$l"),$J$1)</f>
        <v>0.22771826811983312</v>
      </c>
      <c r="Y16" s="2819"/>
      <c r="Z16" s="116">
        <f t="shared" ca="1" si="7"/>
        <v>0</v>
      </c>
      <c r="AA16" s="117">
        <v>0</v>
      </c>
      <c r="AB16" s="116">
        <f t="shared" ca="1" si="11"/>
        <v>0</v>
      </c>
      <c r="AC16" s="141" t="str">
        <f t="shared" ca="1" si="8"/>
        <v/>
      </c>
      <c r="AD16" s="240">
        <f ca="1">SUM(R15:R18)-S15</f>
        <v>0.28879133625562353</v>
      </c>
      <c r="AE16" s="240">
        <f ca="1">SUM(K15:K18)-M15</f>
        <v>0.59913253561488089</v>
      </c>
    </row>
    <row r="17" spans="1:32">
      <c r="A17" s="100" t="s">
        <v>773</v>
      </c>
      <c r="B17" s="101" t="s">
        <v>323</v>
      </c>
      <c r="C17" s="101" t="str">
        <f>INDEX(Programs!B:B,MATCH(' Summary by Program'!B17,Programs!$E:$E,0))</f>
        <v>Retail Product Portfolio</v>
      </c>
      <c r="D17" s="114">
        <v>0.95</v>
      </c>
      <c r="E17" s="114">
        <v>1.1000000000000001</v>
      </c>
      <c r="F17" s="114">
        <v>0.7</v>
      </c>
      <c r="G17" s="114">
        <v>1.25</v>
      </c>
      <c r="H17" s="2828"/>
      <c r="I17" s="2833"/>
      <c r="J17" s="673" t="s">
        <v>853</v>
      </c>
      <c r="K17" s="683">
        <f t="shared" ca="1" si="17"/>
        <v>4.5343599841353575E-2</v>
      </c>
      <c r="L17" s="2822"/>
      <c r="M17" s="2841"/>
      <c r="N17" s="116">
        <f t="shared" ca="1" si="0"/>
        <v>0</v>
      </c>
      <c r="O17" s="533">
        <f t="shared" si="10"/>
        <v>0</v>
      </c>
      <c r="P17" s="115">
        <f t="shared" ca="1" si="1"/>
        <v>0</v>
      </c>
      <c r="Q17" s="141" t="str">
        <f t="shared" ca="1" si="2"/>
        <v/>
      </c>
      <c r="R17" s="116">
        <f t="shared" ca="1" si="3"/>
        <v>2.3056235058172215E-2</v>
      </c>
      <c r="S17" s="2819"/>
      <c r="T17" s="116">
        <f t="shared" ca="1" si="4"/>
        <v>0</v>
      </c>
      <c r="U17" s="117">
        <v>0</v>
      </c>
      <c r="V17" s="115">
        <f t="shared" ca="1" si="5"/>
        <v>0</v>
      </c>
      <c r="W17" s="136" t="str">
        <f t="shared" ca="1" si="18"/>
        <v/>
      </c>
      <c r="X17" s="140">
        <f t="shared" ca="1" si="6"/>
        <v>2.2287364783181361E-2</v>
      </c>
      <c r="Y17" s="2819"/>
      <c r="Z17" s="116">
        <f t="shared" ca="1" si="7"/>
        <v>0</v>
      </c>
      <c r="AA17" s="117">
        <v>0</v>
      </c>
      <c r="AB17" s="116">
        <f t="shared" ca="1" si="11"/>
        <v>0</v>
      </c>
      <c r="AC17" s="141" t="str">
        <f t="shared" ca="1" si="8"/>
        <v/>
      </c>
      <c r="AD17" s="652"/>
      <c r="AE17" s="240"/>
    </row>
    <row r="18" spans="1:32">
      <c r="A18" s="100" t="s">
        <v>774</v>
      </c>
      <c r="B18" s="101" t="s">
        <v>323</v>
      </c>
      <c r="C18" s="101" t="str">
        <f>INDEX(Programs!B:B,MATCH(' Summary by Program'!B18,Programs!$E:$E,0))</f>
        <v>Retail Product Portfolio</v>
      </c>
      <c r="D18" s="114">
        <v>0.95</v>
      </c>
      <c r="E18" s="114">
        <v>1.1000000000000001</v>
      </c>
      <c r="F18" s="114">
        <v>0.7</v>
      </c>
      <c r="G18" s="114">
        <v>1.25</v>
      </c>
      <c r="H18" s="2828"/>
      <c r="I18" s="2833"/>
      <c r="J18" s="675" t="s">
        <v>854</v>
      </c>
      <c r="K18" s="683">
        <f t="shared" ca="1" si="17"/>
        <v>6.7866936711764268E-3</v>
      </c>
      <c r="L18" s="2823"/>
      <c r="M18" s="2842"/>
      <c r="N18" s="116">
        <f t="shared" ca="1" si="0"/>
        <v>0</v>
      </c>
      <c r="O18" s="117">
        <f t="shared" si="10"/>
        <v>0</v>
      </c>
      <c r="P18" s="115">
        <f t="shared" ca="1" si="1"/>
        <v>0</v>
      </c>
      <c r="Q18" s="141" t="str">
        <f t="shared" ca="1" si="2"/>
        <v/>
      </c>
      <c r="R18" s="116">
        <f t="shared" ca="1" si="3"/>
        <v>6.7866936711764268E-3</v>
      </c>
      <c r="S18" s="2820"/>
      <c r="T18" s="116">
        <f t="shared" ca="1" si="4"/>
        <v>0</v>
      </c>
      <c r="U18" s="117">
        <v>0</v>
      </c>
      <c r="V18" s="115">
        <f t="shared" ca="1" si="5"/>
        <v>0</v>
      </c>
      <c r="W18" s="136" t="str">
        <f t="shared" ca="1" si="18"/>
        <v/>
      </c>
      <c r="X18" s="140">
        <f t="shared" ca="1" si="6"/>
        <v>0</v>
      </c>
      <c r="Y18" s="2820"/>
      <c r="Z18" s="116">
        <f t="shared" ca="1" si="7"/>
        <v>0</v>
      </c>
      <c r="AA18" s="117">
        <v>0</v>
      </c>
      <c r="AB18" s="116">
        <f t="shared" ca="1" si="11"/>
        <v>0</v>
      </c>
      <c r="AC18" s="141" t="str">
        <f t="shared" ca="1" si="8"/>
        <v/>
      </c>
      <c r="AD18" s="652"/>
      <c r="AE18" s="240"/>
    </row>
    <row r="19" spans="1:32">
      <c r="A19" s="100" t="s">
        <v>336</v>
      </c>
      <c r="B19" s="101" t="s">
        <v>324</v>
      </c>
      <c r="C19" s="101" t="str">
        <f>INDEX(Programs!B:B,MATCH(' Summary by Program'!B19,Programs!$E:$E,0))</f>
        <v>Super-Efficient Dryers</v>
      </c>
      <c r="D19" s="114">
        <v>1</v>
      </c>
      <c r="E19" s="114">
        <v>1</v>
      </c>
      <c r="F19" s="114">
        <v>0.8</v>
      </c>
      <c r="G19" s="114">
        <v>1.2579434848716999</v>
      </c>
      <c r="H19" s="2830"/>
      <c r="I19" s="121" t="str">
        <f>INDEX(Programs!B:B,MATCH(' Summary by Program'!B19,Programs!$E:$E,0))</f>
        <v>Super-Efficient Dryers</v>
      </c>
      <c r="J19" s="676" t="s">
        <v>430</v>
      </c>
      <c r="K19" s="685">
        <f t="shared" ca="1" si="17"/>
        <v>0.24788727395124588</v>
      </c>
      <c r="L19" s="306" t="str">
        <f ca="1">TEXT(R19*D19+X19*F19,"0.##")&amp;"-"&amp;TEXT(R19*E19+G19*X19,"0.#0")</f>
        <v>0.23-0.28</v>
      </c>
      <c r="M19" s="303">
        <f t="shared" si="9"/>
        <v>0</v>
      </c>
      <c r="N19" s="126">
        <f t="shared" ca="1" si="0"/>
        <v>0</v>
      </c>
      <c r="O19" s="125">
        <f t="shared" si="10"/>
        <v>0</v>
      </c>
      <c r="P19" s="127">
        <f t="shared" ca="1" si="1"/>
        <v>0</v>
      </c>
      <c r="Q19" s="143" t="str">
        <f t="shared" ca="1" si="2"/>
        <v/>
      </c>
      <c r="R19" s="126">
        <f t="shared" ca="1" si="3"/>
        <v>0.13356999238139297</v>
      </c>
      <c r="S19" s="660">
        <v>0</v>
      </c>
      <c r="T19" s="126">
        <f t="shared" ca="1" si="4"/>
        <v>0</v>
      </c>
      <c r="U19" s="125">
        <v>0</v>
      </c>
      <c r="V19" s="127">
        <f t="shared" ca="1" si="5"/>
        <v>0</v>
      </c>
      <c r="W19" s="137" t="str">
        <f t="shared" ca="1" si="18"/>
        <v/>
      </c>
      <c r="X19" s="142">
        <f t="shared" ca="1" si="6"/>
        <v>0.11431728156985291</v>
      </c>
      <c r="Y19" s="660">
        <v>0</v>
      </c>
      <c r="Z19" s="126">
        <f t="shared" ca="1" si="7"/>
        <v>0</v>
      </c>
      <c r="AA19" s="125">
        <v>0</v>
      </c>
      <c r="AB19" s="126">
        <f t="shared" ca="1" si="11"/>
        <v>0</v>
      </c>
      <c r="AC19" s="143" t="str">
        <f t="shared" ca="1" si="8"/>
        <v/>
      </c>
      <c r="AD19" s="652">
        <f t="shared" ca="1" si="12"/>
        <v>0.13356999238139297</v>
      </c>
      <c r="AE19" s="240">
        <f t="shared" ca="1" si="16"/>
        <v>0.24788727395124588</v>
      </c>
      <c r="AF19" t="s">
        <v>1315</v>
      </c>
    </row>
    <row r="20" spans="1:32" ht="15" customHeight="1">
      <c r="A20" s="100" t="s">
        <v>156</v>
      </c>
      <c r="B20" s="101" t="s">
        <v>307</v>
      </c>
      <c r="C20" s="101" t="str">
        <f>INDEX(Programs!B:B,MATCH(' Summary by Program'!B20,Programs!$E:$E,0))</f>
        <v>Building Operator Certification Expansion</v>
      </c>
      <c r="D20" s="114">
        <v>1</v>
      </c>
      <c r="E20" s="114">
        <v>1</v>
      </c>
      <c r="F20" s="114">
        <v>0.85</v>
      </c>
      <c r="G20" s="114">
        <v>1.2</v>
      </c>
      <c r="H20" s="2827" t="s">
        <v>844</v>
      </c>
      <c r="I20" s="119" t="str">
        <f>INDEX(Programs!B:B,MATCH(' Summary by Program'!B20,Programs!$E:$E,0))</f>
        <v>Building Operator Certification Expansion</v>
      </c>
      <c r="J20" s="677" t="s">
        <v>855</v>
      </c>
      <c r="K20" s="686">
        <f t="shared" ca="1" si="17"/>
        <v>0.14095013669173279</v>
      </c>
      <c r="L20" s="300" t="str">
        <f ca="1">TEXT(R20*D20+X20*F20,"0.##")&amp;"-"&amp;TEXT(R20*E20+G20*X20,"0.#0")</f>
        <v>0.13-0.15</v>
      </c>
      <c r="M20" s="538">
        <f t="shared" si="9"/>
        <v>0</v>
      </c>
      <c r="N20" s="129">
        <f t="shared" ca="1" si="0"/>
        <v>0</v>
      </c>
      <c r="O20" s="128">
        <f t="shared" si="10"/>
        <v>0</v>
      </c>
      <c r="P20" s="130">
        <f t="shared" ca="1" si="1"/>
        <v>0</v>
      </c>
      <c r="Q20" s="145" t="str">
        <f t="shared" ca="1" si="2"/>
        <v/>
      </c>
      <c r="R20" s="129">
        <f t="shared" ca="1" si="3"/>
        <v>8.3629118798704716E-2</v>
      </c>
      <c r="S20" s="661">
        <v>0</v>
      </c>
      <c r="T20" s="129">
        <f t="shared" ca="1" si="4"/>
        <v>0</v>
      </c>
      <c r="U20" s="128">
        <v>0</v>
      </c>
      <c r="V20" s="130">
        <f t="shared" ca="1" si="5"/>
        <v>0</v>
      </c>
      <c r="W20" s="138" t="str">
        <f t="shared" ca="1" si="18"/>
        <v/>
      </c>
      <c r="X20" s="144">
        <f t="shared" ca="1" si="6"/>
        <v>5.7321017893028077E-2</v>
      </c>
      <c r="Y20" s="661">
        <v>0</v>
      </c>
      <c r="Z20" s="129">
        <f t="shared" ca="1" si="7"/>
        <v>0</v>
      </c>
      <c r="AA20" s="128">
        <v>0</v>
      </c>
      <c r="AB20" s="129">
        <f t="shared" ca="1" si="11"/>
        <v>0</v>
      </c>
      <c r="AC20" s="145" t="str">
        <f t="shared" ca="1" si="8"/>
        <v/>
      </c>
      <c r="AD20" s="652">
        <f t="shared" ca="1" si="12"/>
        <v>8.3629118798704716E-2</v>
      </c>
      <c r="AE20" s="240">
        <f t="shared" ca="1" si="16"/>
        <v>0.14095013669173279</v>
      </c>
    </row>
    <row r="21" spans="1:32">
      <c r="A21" s="100" t="s">
        <v>329</v>
      </c>
      <c r="B21" s="101" t="s">
        <v>309</v>
      </c>
      <c r="C21" s="101" t="str">
        <f>INDEX(Programs!B:B,MATCH(' Summary by Program'!B21,Programs!$E:$E,0))</f>
        <v>Commissioning Buildings</v>
      </c>
      <c r="D21" s="114">
        <v>1</v>
      </c>
      <c r="E21" s="114">
        <v>1</v>
      </c>
      <c r="F21" s="114">
        <v>0.8</v>
      </c>
      <c r="G21" s="114">
        <v>1.2</v>
      </c>
      <c r="H21" s="2828"/>
      <c r="I21" s="120" t="str">
        <f>INDEX(Programs!B:B,MATCH(' Summary by Program'!B21,Programs!$E:$E,0))</f>
        <v>Commissioning Buildings</v>
      </c>
      <c r="J21" s="674" t="s">
        <v>856</v>
      </c>
      <c r="K21" s="683">
        <f t="shared" ca="1" si="17"/>
        <v>0.11671203434061993</v>
      </c>
      <c r="L21" s="298" t="str">
        <f ca="1">TEXT(R21*D21+X21*F21,"0.##")&amp;"-"&amp;TEXT(R21*E21+G21*X21,"0.#0")</f>
        <v>0.1-0.13</v>
      </c>
      <c r="M21" s="302">
        <f t="shared" si="9"/>
        <v>0</v>
      </c>
      <c r="N21" s="116">
        <f t="shared" ca="1" si="0"/>
        <v>0</v>
      </c>
      <c r="O21" s="117">
        <f t="shared" si="10"/>
        <v>0</v>
      </c>
      <c r="P21" s="115">
        <f t="shared" ca="1" si="1"/>
        <v>0</v>
      </c>
      <c r="Q21" s="141" t="str">
        <f t="shared" ca="1" si="2"/>
        <v/>
      </c>
      <c r="R21" s="116">
        <f t="shared" ca="1" si="3"/>
        <v>5.7572386479893572E-2</v>
      </c>
      <c r="S21" s="657">
        <v>0</v>
      </c>
      <c r="T21" s="116">
        <f t="shared" ca="1" si="4"/>
        <v>0</v>
      </c>
      <c r="U21" s="117">
        <v>0</v>
      </c>
      <c r="V21" s="115">
        <f t="shared" ca="1" si="5"/>
        <v>0</v>
      </c>
      <c r="W21" s="136" t="str">
        <f t="shared" ca="1" si="18"/>
        <v/>
      </c>
      <c r="X21" s="140">
        <f t="shared" ca="1" si="6"/>
        <v>5.9139647860726355E-2</v>
      </c>
      <c r="Y21" s="657">
        <v>0</v>
      </c>
      <c r="Z21" s="116">
        <f t="shared" ca="1" si="7"/>
        <v>0</v>
      </c>
      <c r="AA21" s="117">
        <v>0</v>
      </c>
      <c r="AB21" s="116">
        <f t="shared" ca="1" si="11"/>
        <v>0</v>
      </c>
      <c r="AC21" s="141" t="str">
        <f t="shared" ca="1" si="8"/>
        <v/>
      </c>
      <c r="AD21" s="652">
        <f t="shared" ca="1" si="12"/>
        <v>5.7572386479893572E-2</v>
      </c>
      <c r="AE21" s="240">
        <f ca="1">K21-M21</f>
        <v>0.11671203434061993</v>
      </c>
      <c r="AF21" t="s">
        <v>1316</v>
      </c>
    </row>
    <row r="22" spans="1:32">
      <c r="A22" s="100" t="s">
        <v>330</v>
      </c>
      <c r="B22" s="101" t="s">
        <v>310</v>
      </c>
      <c r="C22" s="101" t="str">
        <f>INDEX(Programs!B:B,MATCH(' Summary by Program'!B22,Programs!$E:$E,0))</f>
        <v>Desktop Power Supplies</v>
      </c>
      <c r="D22" s="114">
        <v>1</v>
      </c>
      <c r="E22" s="114">
        <v>1</v>
      </c>
      <c r="F22" s="114">
        <v>0.85</v>
      </c>
      <c r="G22" s="114">
        <v>1.05</v>
      </c>
      <c r="H22" s="2828"/>
      <c r="I22" s="120" t="str">
        <f>INDEX(Programs!B:B,MATCH(' Summary by Program'!B22,Programs!$E:$E,0))</f>
        <v>Desktop Power Supplies</v>
      </c>
      <c r="J22" s="674" t="s">
        <v>1618</v>
      </c>
      <c r="K22" s="683">
        <f ca="1">R22+X22</f>
        <v>0</v>
      </c>
      <c r="L22" s="298" t="str">
        <f ca="1">TEXT(R22*D22+X22*F22,"0.##")&amp;"-"&amp;TEXT(R22*E22+G22*X22,"0.#0")</f>
        <v>0.-0.0</v>
      </c>
      <c r="M22" s="302">
        <f>S22+Y22</f>
        <v>0</v>
      </c>
      <c r="N22" s="116">
        <f t="shared" ca="1" si="0"/>
        <v>0</v>
      </c>
      <c r="O22" s="117">
        <f t="shared" si="10"/>
        <v>0</v>
      </c>
      <c r="P22" s="115">
        <f t="shared" ca="1" si="1"/>
        <v>0</v>
      </c>
      <c r="Q22" s="141" t="e">
        <f>W22+AC22</f>
        <v>#VALUE!</v>
      </c>
      <c r="R22" s="116">
        <f t="shared" ca="1" si="3"/>
        <v>0</v>
      </c>
      <c r="S22" s="657">
        <v>0</v>
      </c>
      <c r="T22" s="116">
        <f t="shared" ca="1" si="4"/>
        <v>0</v>
      </c>
      <c r="U22" s="117">
        <v>0</v>
      </c>
      <c r="V22" s="115">
        <f ca="1">SUMIFS(INDIRECT($A22&amp;"!$v:$v"),INDIRECT($A22&amp;"!$f:$f"),V$1,INDIRECT($A22&amp;"!$i:$i"),$C22,INDIRECT($A22&amp;"!$l:$l"),$I$1)</f>
        <v>0</v>
      </c>
      <c r="W22" s="117" t="e">
        <v>#VALUE!</v>
      </c>
      <c r="X22" s="140">
        <f ca="1">SUMIFS(INDIRECT($A22&amp;"!$v:$v"),INDIRECT($A22&amp;"!$f:$f"),X$1,INDIRECT($A22&amp;"!$i:$i"),$C22,INDIRECT($A22&amp;"!$l:$l"),$J$1)</f>
        <v>0</v>
      </c>
      <c r="Y22" s="657">
        <v>0</v>
      </c>
      <c r="Z22" s="116">
        <f t="shared" ca="1" si="7"/>
        <v>0</v>
      </c>
      <c r="AA22" s="117">
        <v>0</v>
      </c>
      <c r="AB22" s="116">
        <f t="shared" ca="1" si="11"/>
        <v>0</v>
      </c>
      <c r="AC22" s="141" t="e">
        <v>#VALUE!</v>
      </c>
      <c r="AD22" s="652">
        <f t="shared" ca="1" si="12"/>
        <v>0</v>
      </c>
      <c r="AE22" s="240">
        <f t="shared" ca="1" si="16"/>
        <v>0</v>
      </c>
    </row>
    <row r="23" spans="1:32">
      <c r="A23" s="100" t="s">
        <v>1607</v>
      </c>
      <c r="B23" s="101" t="s">
        <v>1401</v>
      </c>
      <c r="C23" s="101" t="s">
        <v>1455</v>
      </c>
      <c r="D23" s="618">
        <f>D22</f>
        <v>1</v>
      </c>
      <c r="E23" s="618">
        <f t="shared" ref="E23:G23" si="19">E22</f>
        <v>1</v>
      </c>
      <c r="F23" s="618">
        <f t="shared" si="19"/>
        <v>0.85</v>
      </c>
      <c r="G23" s="618">
        <f t="shared" si="19"/>
        <v>1.05</v>
      </c>
      <c r="H23" s="2828"/>
      <c r="I23" s="120" t="s">
        <v>1562</v>
      </c>
      <c r="J23" s="674" t="s">
        <v>1620</v>
      </c>
      <c r="K23" s="683">
        <f ca="1">R23+X23</f>
        <v>0</v>
      </c>
      <c r="L23" s="298" t="str">
        <f ca="1">TEXT(R23*D23+X23*F23,"0.##")&amp;"-"&amp;TEXT(R23*E23+G23*X23,"0.#0")</f>
        <v>0.-0.0</v>
      </c>
      <c r="M23" s="302">
        <v>0</v>
      </c>
      <c r="N23" s="116">
        <f t="shared" ref="N23" ca="1" si="20">T23+Z23</f>
        <v>0</v>
      </c>
      <c r="O23" s="117">
        <f>U23+AA23</f>
        <v>0</v>
      </c>
      <c r="P23" s="115">
        <f t="shared" ref="P23" ca="1" si="21">V23+AB23</f>
        <v>0</v>
      </c>
      <c r="Q23" s="141">
        <f>W23+AC23</f>
        <v>0</v>
      </c>
      <c r="R23" s="116">
        <f ca="1">SUMIFS(INDIRECT($A23&amp;"!$v:$v"),INDIRECT($A23&amp;"!$f:$f"),R$1,INDIRECT($A23&amp;"!$j:$j"),$C23,INDIRECT($A23&amp;"!$l:$l"),$I$1)</f>
        <v>0</v>
      </c>
      <c r="S23" s="658"/>
      <c r="T23" s="116">
        <f t="shared" ca="1" si="4"/>
        <v>0</v>
      </c>
      <c r="U23" s="117">
        <v>0</v>
      </c>
      <c r="V23" s="115">
        <f ca="1">SUMIFS(INDIRECT($A23&amp;"!$v:$v"),INDIRECT($A23&amp;"!$f:$f"),V$1,INDIRECT($A23&amp;"!$j:$j"),$C23,INDIRECT($A23&amp;"!$l:$l"),$I$1)</f>
        <v>0</v>
      </c>
      <c r="W23" s="117">
        <v>0</v>
      </c>
      <c r="X23" s="118">
        <f ca="1">SUMIFS(INDIRECT($A23&amp;"!$v:$v"),INDIRECT($A23&amp;"!$f:$f"),X$1,INDIRECT($A23&amp;"!$j:$j"),$C23,INDIRECT($A23&amp;"!$l:$l"),$J$1)</f>
        <v>0</v>
      </c>
      <c r="Y23" s="657">
        <v>0</v>
      </c>
      <c r="Z23" s="116">
        <f t="shared" ca="1" si="7"/>
        <v>0</v>
      </c>
      <c r="AA23" s="117">
        <v>0</v>
      </c>
      <c r="AB23" s="116">
        <f ca="1">SUMIFS(INDIRECT($A23&amp;"!$v:$v"),INDIRECT($A23&amp;"!$f:$f"),AB$1,INDIRECT($A23&amp;"!$j:$j"),$C23,INDIRECT($A23&amp;"!$l:$l"),$K$1)</f>
        <v>0</v>
      </c>
      <c r="AC23" s="141">
        <v>0</v>
      </c>
      <c r="AD23" s="652">
        <f t="shared" ca="1" si="12"/>
        <v>0</v>
      </c>
      <c r="AE23" s="240">
        <f t="shared" ca="1" si="16"/>
        <v>0</v>
      </c>
    </row>
    <row r="24" spans="1:32">
      <c r="A24" s="100" t="s">
        <v>845</v>
      </c>
      <c r="B24" s="101" t="s">
        <v>312</v>
      </c>
      <c r="C24" s="101" t="str">
        <f>INDEX(Programs!B:B,MATCH(' Summary by Program'!B24,Programs!$E:$E,0))</f>
        <v>Luminaire Level Lighting Controls</v>
      </c>
      <c r="D24" s="114">
        <v>0</v>
      </c>
      <c r="E24" s="114">
        <v>1</v>
      </c>
      <c r="F24" s="114">
        <v>0</v>
      </c>
      <c r="G24" s="114">
        <v>1</v>
      </c>
      <c r="H24" s="2828"/>
      <c r="I24" s="120" t="str">
        <f>INDEX(Programs!B:B,MATCH(' Summary by Program'!B24,Programs!$E:$E,0))</f>
        <v>Luminaire Level Lighting Controls</v>
      </c>
      <c r="J24" s="674" t="s">
        <v>667</v>
      </c>
      <c r="K24" s="683">
        <f t="shared" ca="1" si="17"/>
        <v>8.9996192000000013E-4</v>
      </c>
      <c r="L24" s="298" t="str">
        <f ca="1">TEXT(K24,"0.00")&amp;"-"&amp;TEXT(K24-AE24,"0.##")</f>
        <v>0.00-0.</v>
      </c>
      <c r="M24" s="302">
        <f t="shared" si="9"/>
        <v>0</v>
      </c>
      <c r="N24" s="116">
        <f t="shared" ca="1" si="0"/>
        <v>0</v>
      </c>
      <c r="O24" s="117">
        <f t="shared" si="10"/>
        <v>0</v>
      </c>
      <c r="P24" s="115">
        <f t="shared" ca="1" si="1"/>
        <v>0</v>
      </c>
      <c r="Q24" s="141" t="str">
        <f t="shared" ca="1" si="2"/>
        <v/>
      </c>
      <c r="R24" s="116">
        <f t="shared" ca="1" si="3"/>
        <v>0</v>
      </c>
      <c r="S24" s="657">
        <v>0</v>
      </c>
      <c r="T24" s="116">
        <f t="shared" ca="1" si="4"/>
        <v>0</v>
      </c>
      <c r="U24" s="117">
        <v>0</v>
      </c>
      <c r="V24" s="115">
        <f t="shared" ca="1" si="5"/>
        <v>0</v>
      </c>
      <c r="W24" s="136" t="str">
        <f t="shared" ca="1" si="18"/>
        <v/>
      </c>
      <c r="X24" s="140">
        <f t="shared" ca="1" si="6"/>
        <v>8.9996192000000013E-4</v>
      </c>
      <c r="Y24" s="657">
        <v>0</v>
      </c>
      <c r="Z24" s="116">
        <f t="shared" ca="1" si="7"/>
        <v>0</v>
      </c>
      <c r="AA24" s="117">
        <v>0</v>
      </c>
      <c r="AB24" s="116">
        <f t="shared" ca="1" si="11"/>
        <v>0</v>
      </c>
      <c r="AC24" s="141" t="str">
        <f t="shared" ca="1" si="8"/>
        <v/>
      </c>
      <c r="AD24" s="652">
        <f t="shared" ca="1" si="12"/>
        <v>0</v>
      </c>
      <c r="AE24" s="240">
        <f ca="1">K24-M24</f>
        <v>8.9996192000000013E-4</v>
      </c>
    </row>
    <row r="25" spans="1:32">
      <c r="A25" s="100" t="s">
        <v>331</v>
      </c>
      <c r="B25" s="101" t="s">
        <v>313</v>
      </c>
      <c r="C25" s="101" t="str">
        <f>INDEX(Programs!B:B,MATCH(' Summary by Program'!B25,Programs!$E:$E,0))</f>
        <v>Other Codes (Commercial)</v>
      </c>
      <c r="D25" s="114">
        <v>0.7</v>
      </c>
      <c r="E25" s="114">
        <v>1.1299999999999999</v>
      </c>
      <c r="F25" s="114">
        <v>0.7</v>
      </c>
      <c r="G25" s="114">
        <v>1.1299999999999999</v>
      </c>
      <c r="H25" s="2828"/>
      <c r="I25" s="120" t="str">
        <f>INDEX(Programs!B:B,MATCH(' Summary by Program'!B25,Programs!$E:$E,0))</f>
        <v>Other Codes (Commercial)</v>
      </c>
      <c r="J25" s="674" t="s">
        <v>857</v>
      </c>
      <c r="K25" s="683">
        <f t="shared" ca="1" si="17"/>
        <v>0</v>
      </c>
      <c r="L25" s="299">
        <v>0</v>
      </c>
      <c r="M25" s="302">
        <f t="shared" si="9"/>
        <v>0</v>
      </c>
      <c r="N25" s="116">
        <f ca="1">T25+Z25</f>
        <v>0.23828554093356241</v>
      </c>
      <c r="O25" s="117">
        <f t="shared" si="10"/>
        <v>0</v>
      </c>
      <c r="P25" s="115">
        <f t="shared" ca="1" si="1"/>
        <v>0</v>
      </c>
      <c r="Q25" s="141" t="str">
        <f t="shared" ca="1" si="2"/>
        <v/>
      </c>
      <c r="R25" s="116">
        <f t="shared" ca="1" si="3"/>
        <v>0</v>
      </c>
      <c r="S25" s="657">
        <v>0</v>
      </c>
      <c r="T25" s="116">
        <f ca="1">SUMIFS(INDIRECT($A25&amp;"!$v:$v"),INDIRECT($A25&amp;"!$f:$f"),T$1,INDIRECT($A25&amp;"!$i:$i"),$C25,INDIRECT($A25&amp;"!$l:$l"),$I$1)</f>
        <v>9.5418469138973255E-2</v>
      </c>
      <c r="U25" s="117">
        <v>0</v>
      </c>
      <c r="V25" s="115">
        <f t="shared" ca="1" si="5"/>
        <v>0</v>
      </c>
      <c r="W25" s="136" t="str">
        <f t="shared" ca="1" si="18"/>
        <v/>
      </c>
      <c r="X25" s="140">
        <f ca="1">SUMIFS(INDIRECT($A25&amp;"!$v:$v"),INDIRECT($A25&amp;"!$f:$f"),X$1,INDIRECT($A25&amp;"!$i:$i"),$C25,INDIRECT($A25&amp;"!$l:$l"),$J$1)</f>
        <v>0</v>
      </c>
      <c r="Y25" s="657">
        <v>0</v>
      </c>
      <c r="Z25" s="116">
        <f t="shared" ca="1" si="7"/>
        <v>0.14286707179458916</v>
      </c>
      <c r="AA25" s="117">
        <v>0</v>
      </c>
      <c r="AB25" s="116">
        <f t="shared" ca="1" si="11"/>
        <v>0</v>
      </c>
      <c r="AC25" s="141" t="str">
        <f t="shared" ca="1" si="8"/>
        <v/>
      </c>
      <c r="AD25" s="652">
        <f t="shared" ca="1" si="12"/>
        <v>0</v>
      </c>
      <c r="AE25" s="240">
        <f t="shared" ca="1" si="16"/>
        <v>0</v>
      </c>
      <c r="AF25" s="240">
        <f ca="1">N25-O25</f>
        <v>0.23828554093356241</v>
      </c>
    </row>
    <row r="26" spans="1:32">
      <c r="A26" s="100" t="s">
        <v>877</v>
      </c>
      <c r="B26" s="101" t="s">
        <v>325</v>
      </c>
      <c r="C26" s="101" t="str">
        <f>INDEX(Programs!B:B,MATCH(' Summary by Program'!B26,Programs!$E:$E,0))</f>
        <v>Other Non-Residential Standards</v>
      </c>
      <c r="D26" s="114">
        <v>1</v>
      </c>
      <c r="E26" s="114">
        <v>1</v>
      </c>
      <c r="F26" s="114">
        <v>1</v>
      </c>
      <c r="G26" s="114">
        <v>1</v>
      </c>
      <c r="H26" s="2829"/>
      <c r="I26" s="120" t="str">
        <f>INDEX(Programs!B:B,MATCH(' Summary by Program'!B26,Programs!$E:$E,0))</f>
        <v>Other Non-Residential Standards</v>
      </c>
      <c r="J26" s="674" t="s">
        <v>1663</v>
      </c>
      <c r="K26" s="683">
        <f t="shared" ca="1" si="17"/>
        <v>0</v>
      </c>
      <c r="L26" s="299">
        <v>0</v>
      </c>
      <c r="M26" s="302">
        <f t="shared" si="9"/>
        <v>0</v>
      </c>
      <c r="N26" s="116">
        <f t="shared" ca="1" si="0"/>
        <v>0.71413593448870039</v>
      </c>
      <c r="O26" s="117">
        <f t="shared" si="10"/>
        <v>0</v>
      </c>
      <c r="P26" s="115">
        <f t="shared" ca="1" si="1"/>
        <v>0</v>
      </c>
      <c r="Q26" s="141" t="str">
        <f t="shared" ca="1" si="2"/>
        <v/>
      </c>
      <c r="R26" s="116">
        <f t="shared" ca="1" si="3"/>
        <v>0</v>
      </c>
      <c r="S26" s="657">
        <v>0</v>
      </c>
      <c r="T26" s="116">
        <f t="shared" ca="1" si="4"/>
        <v>0.33854793111999998</v>
      </c>
      <c r="U26" s="117">
        <v>0</v>
      </c>
      <c r="V26" s="115">
        <f t="shared" ca="1" si="5"/>
        <v>0</v>
      </c>
      <c r="W26" s="136" t="str">
        <f t="shared" ca="1" si="18"/>
        <v/>
      </c>
      <c r="X26" s="140">
        <f t="shared" ca="1" si="6"/>
        <v>0</v>
      </c>
      <c r="Y26" s="657">
        <v>0</v>
      </c>
      <c r="Z26" s="116">
        <f t="shared" ca="1" si="7"/>
        <v>0.37558800336870046</v>
      </c>
      <c r="AA26" s="117">
        <v>0</v>
      </c>
      <c r="AB26" s="116">
        <f t="shared" ca="1" si="11"/>
        <v>0</v>
      </c>
      <c r="AC26" s="141" t="str">
        <f t="shared" ca="1" si="8"/>
        <v/>
      </c>
      <c r="AD26" s="652">
        <f t="shared" ca="1" si="12"/>
        <v>0</v>
      </c>
      <c r="AE26" s="240">
        <f t="shared" ca="1" si="16"/>
        <v>0</v>
      </c>
    </row>
    <row r="27" spans="1:32">
      <c r="A27" s="100" t="s">
        <v>845</v>
      </c>
      <c r="B27" s="101" t="s">
        <v>314</v>
      </c>
      <c r="C27" s="101" t="str">
        <f>INDEX(Programs!B:B,MATCH(' Summary by Program'!B27,Programs!$E:$E,0))</f>
        <v>Reduced Wattage Lamp Replacement</v>
      </c>
      <c r="D27" s="114">
        <v>1</v>
      </c>
      <c r="E27" s="114">
        <v>1</v>
      </c>
      <c r="F27" s="114">
        <v>0.56023999364964527</v>
      </c>
      <c r="G27" s="114">
        <v>2.0775447507958571</v>
      </c>
      <c r="H27" s="2830"/>
      <c r="I27" s="121" t="str">
        <f>INDEX(Programs!B:B,MATCH(' Summary by Program'!B27,Programs!$E:$E,0))</f>
        <v>Reduced Wattage Lamp Replacement</v>
      </c>
      <c r="J27" s="678" t="s">
        <v>859</v>
      </c>
      <c r="K27" s="687">
        <f t="shared" ca="1" si="17"/>
        <v>0.15434410883006194</v>
      </c>
      <c r="L27" s="619" t="str">
        <f ca="1">TEXT(R27*D27+X27*F27,"0.##")&amp;"-"&amp;TEXT(R27*E27+G27*X27,"0.#0")</f>
        <v>0.12-0.23</v>
      </c>
      <c r="M27" s="305" t="e">
        <f t="shared" si="9"/>
        <v>#VALUE!</v>
      </c>
      <c r="N27" s="132">
        <f t="shared" ca="1" si="0"/>
        <v>0</v>
      </c>
      <c r="O27" s="131">
        <f t="shared" si="10"/>
        <v>0</v>
      </c>
      <c r="P27" s="133">
        <f t="shared" ca="1" si="1"/>
        <v>0</v>
      </c>
      <c r="Q27" s="147" t="str">
        <f t="shared" ca="1" si="2"/>
        <v/>
      </c>
      <c r="R27" s="132">
        <f t="shared" ca="1" si="3"/>
        <v>8.20308922600919E-2</v>
      </c>
      <c r="S27" s="662" t="e">
        <v>#VALUE!</v>
      </c>
      <c r="T27" s="132">
        <f t="shared" ca="1" si="4"/>
        <v>0</v>
      </c>
      <c r="U27" s="131">
        <v>0</v>
      </c>
      <c r="V27" s="133">
        <f t="shared" ca="1" si="5"/>
        <v>0</v>
      </c>
      <c r="W27" s="139" t="str">
        <f t="shared" ca="1" si="18"/>
        <v/>
      </c>
      <c r="X27" s="146">
        <f t="shared" ca="1" si="6"/>
        <v>7.2313216569970057E-2</v>
      </c>
      <c r="Y27" s="662" t="e">
        <v>#VALUE!</v>
      </c>
      <c r="Z27" s="132">
        <f t="shared" ca="1" si="7"/>
        <v>0</v>
      </c>
      <c r="AA27" s="131">
        <v>0</v>
      </c>
      <c r="AB27" s="132">
        <f t="shared" ca="1" si="11"/>
        <v>0</v>
      </c>
      <c r="AC27" s="147" t="str">
        <f t="shared" ca="1" si="8"/>
        <v/>
      </c>
      <c r="AD27" s="652" t="e">
        <f t="shared" ca="1" si="12"/>
        <v>#VALUE!</v>
      </c>
      <c r="AE27" s="240" t="e">
        <f t="shared" ca="1" si="16"/>
        <v>#VALUE!</v>
      </c>
      <c r="AF27" t="s">
        <v>1317</v>
      </c>
    </row>
    <row r="28" spans="1:32" ht="28.8">
      <c r="A28" s="100" t="s">
        <v>328</v>
      </c>
      <c r="B28" s="101" t="s">
        <v>316</v>
      </c>
      <c r="C28" s="101" t="str">
        <f>INDEX(Programs!B:B,MATCH(' Summary by Program'!B28,Programs!$E:$E,0))</f>
        <v>Certified Refrigeration Energy Specialist (CRES)</v>
      </c>
      <c r="D28" s="114">
        <v>1</v>
      </c>
      <c r="E28" s="114">
        <v>1</v>
      </c>
      <c r="F28" s="114">
        <v>0.1</v>
      </c>
      <c r="G28" s="114">
        <v>2</v>
      </c>
      <c r="H28" s="2831" t="s">
        <v>33</v>
      </c>
      <c r="I28" s="134" t="str">
        <f>INDEX(Programs!B:B,MATCH(' Summary by Program'!B28,Programs!$E:$E,0))</f>
        <v>Certified Refrigeration Energy Specialist (CRES)</v>
      </c>
      <c r="J28" s="677" t="s">
        <v>855</v>
      </c>
      <c r="K28" s="686">
        <f t="shared" ca="1" si="17"/>
        <v>1.826309286E-2</v>
      </c>
      <c r="L28" s="298" t="str">
        <f ca="1">TEXT(R28*D28+X28*F28,"0.##")&amp;"-"&amp;TEXT(R28*E28+G28*X28,"0.#0")</f>
        <v>0.01-0.03</v>
      </c>
      <c r="M28" s="304">
        <f t="shared" si="9"/>
        <v>0</v>
      </c>
      <c r="N28" s="129">
        <f t="shared" ca="1" si="0"/>
        <v>0</v>
      </c>
      <c r="O28" s="128">
        <f t="shared" si="10"/>
        <v>0</v>
      </c>
      <c r="P28" s="130">
        <f t="shared" ca="1" si="1"/>
        <v>0</v>
      </c>
      <c r="Q28" s="145" t="str">
        <f t="shared" ca="1" si="2"/>
        <v/>
      </c>
      <c r="R28" s="129">
        <f t="shared" ca="1" si="3"/>
        <v>7.0522141599999996E-3</v>
      </c>
      <c r="S28" s="661">
        <v>0</v>
      </c>
      <c r="T28" s="129">
        <f t="shared" ca="1" si="4"/>
        <v>0</v>
      </c>
      <c r="U28" s="128">
        <v>0</v>
      </c>
      <c r="V28" s="130">
        <f t="shared" ca="1" si="5"/>
        <v>0</v>
      </c>
      <c r="W28" s="138" t="str">
        <f t="shared" ca="1" si="18"/>
        <v/>
      </c>
      <c r="X28" s="144">
        <f t="shared" ca="1" si="6"/>
        <v>1.1210878699999999E-2</v>
      </c>
      <c r="Y28" s="661">
        <v>0</v>
      </c>
      <c r="Z28" s="129">
        <f t="shared" ca="1" si="7"/>
        <v>0</v>
      </c>
      <c r="AA28" s="128">
        <v>0</v>
      </c>
      <c r="AB28" s="129">
        <f t="shared" ca="1" si="11"/>
        <v>0</v>
      </c>
      <c r="AC28" s="145" t="str">
        <f t="shared" ref="AC28:AC30" ca="1" si="22">IF(AB28=0,"","("&amp;TEXT(J28*AB28,"#.##")&amp;"-"&amp;TEXT(K28*AB28,"#.##")&amp;")")</f>
        <v/>
      </c>
      <c r="AD28" s="652">
        <f t="shared" ca="1" si="12"/>
        <v>7.0522141599999996E-3</v>
      </c>
      <c r="AE28" s="240">
        <f t="shared" ca="1" si="16"/>
        <v>1.826309286E-2</v>
      </c>
      <c r="AF28" s="297" t="s">
        <v>1318</v>
      </c>
    </row>
    <row r="29" spans="1:32" ht="15" customHeight="1">
      <c r="A29" s="100" t="s">
        <v>332</v>
      </c>
      <c r="B29" s="101" t="s">
        <v>315</v>
      </c>
      <c r="C29" s="101" t="str">
        <f>INDEX(Programs!B:B,MATCH(' Summary by Program'!B29,Programs!$E:$E,0))</f>
        <v>Drive Power</v>
      </c>
      <c r="D29" s="114">
        <v>1</v>
      </c>
      <c r="E29" s="114">
        <v>1</v>
      </c>
      <c r="F29" s="114">
        <v>0.6</v>
      </c>
      <c r="G29" s="114">
        <v>1.25</v>
      </c>
      <c r="H29" s="2828"/>
      <c r="I29" s="120" t="str">
        <f>INDEX(Programs!B:B,MATCH(' Summary by Program'!B29,Programs!$E:$E,0))</f>
        <v>Drive Power</v>
      </c>
      <c r="J29" s="674" t="s">
        <v>860</v>
      </c>
      <c r="K29" s="683">
        <f t="shared" ca="1" si="17"/>
        <v>2.1150350244331415E-2</v>
      </c>
      <c r="L29" s="298" t="str">
        <f ca="1">TEXT(R29*D29+X29*F29,"0.##")&amp;"-"&amp;TEXT(R29*E29+G29*X29,"0.#0")</f>
        <v>0.02-0.02</v>
      </c>
      <c r="M29" s="302">
        <f t="shared" si="9"/>
        <v>0</v>
      </c>
      <c r="N29" s="116">
        <f t="shared" ca="1" si="0"/>
        <v>0</v>
      </c>
      <c r="O29" s="117">
        <f t="shared" si="10"/>
        <v>0</v>
      </c>
      <c r="P29" s="115">
        <f t="shared" ca="1" si="1"/>
        <v>0</v>
      </c>
      <c r="Q29" s="141" t="str">
        <f t="shared" ca="1" si="2"/>
        <v/>
      </c>
      <c r="R29" s="116">
        <f t="shared" ca="1" si="3"/>
        <v>1.0575175122165707E-2</v>
      </c>
      <c r="S29" s="657">
        <v>0</v>
      </c>
      <c r="T29" s="116">
        <f t="shared" ca="1" si="4"/>
        <v>0</v>
      </c>
      <c r="U29" s="117">
        <v>0</v>
      </c>
      <c r="V29" s="115">
        <f t="shared" ca="1" si="5"/>
        <v>0</v>
      </c>
      <c r="W29" s="136" t="str">
        <f t="shared" ca="1" si="18"/>
        <v/>
      </c>
      <c r="X29" s="140">
        <f t="shared" ca="1" si="6"/>
        <v>1.0575175122165707E-2</v>
      </c>
      <c r="Y29" s="657">
        <v>0</v>
      </c>
      <c r="Z29" s="116">
        <f t="shared" ca="1" si="7"/>
        <v>0</v>
      </c>
      <c r="AA29" s="117">
        <v>0</v>
      </c>
      <c r="AB29" s="116">
        <f t="shared" ca="1" si="11"/>
        <v>0</v>
      </c>
      <c r="AC29" s="141" t="str">
        <f t="shared" ca="1" si="22"/>
        <v/>
      </c>
      <c r="AD29" s="652">
        <f t="shared" ca="1" si="12"/>
        <v>1.0575175122165707E-2</v>
      </c>
      <c r="AE29" s="240">
        <f t="shared" ca="1" si="16"/>
        <v>2.1150350244331415E-2</v>
      </c>
    </row>
    <row r="30" spans="1:32">
      <c r="A30" s="100" t="s">
        <v>846</v>
      </c>
      <c r="B30" s="101" t="s">
        <v>314</v>
      </c>
      <c r="C30" s="101" t="str">
        <f>INDEX(Programs!B:B,MATCH(' Summary by Program'!B30,Programs!$E:$E,0))</f>
        <v>Reduced Wattage Lamp Replacement</v>
      </c>
      <c r="D30" s="114">
        <v>1</v>
      </c>
      <c r="E30" s="114">
        <v>1</v>
      </c>
      <c r="F30" s="114">
        <v>0.56023999364964527</v>
      </c>
      <c r="G30" s="114">
        <v>2.0775447507958571</v>
      </c>
      <c r="H30" s="2829"/>
      <c r="I30" s="135" t="str">
        <f>INDEX(Programs!B:B,MATCH(' Summary by Program'!B30,Programs!$E:$E,0))</f>
        <v>Reduced Wattage Lamp Replacement</v>
      </c>
      <c r="J30" s="679" t="s">
        <v>859</v>
      </c>
      <c r="K30" s="685">
        <f t="shared" ca="1" si="17"/>
        <v>3.6993053654691146E-2</v>
      </c>
      <c r="L30" s="298" t="str">
        <f ca="1">TEXT(R30*D30+X30*F30,"0.##")&amp;"-"&amp;TEXT(R30*E30+G30*X30,"0.#0")</f>
        <v>0.03-0.06</v>
      </c>
      <c r="M30" s="303" t="e">
        <f t="shared" si="9"/>
        <v>#VALUE!</v>
      </c>
      <c r="N30" s="126">
        <f t="shared" ca="1" si="0"/>
        <v>0</v>
      </c>
      <c r="O30" s="125">
        <f t="shared" si="10"/>
        <v>0</v>
      </c>
      <c r="P30" s="127">
        <f t="shared" ca="1" si="1"/>
        <v>0</v>
      </c>
      <c r="Q30" s="143" t="str">
        <f t="shared" ca="1" si="2"/>
        <v/>
      </c>
      <c r="R30" s="126">
        <f t="shared" ca="1" si="3"/>
        <v>1.9638914033917036E-2</v>
      </c>
      <c r="S30" s="660" t="e">
        <v>#VALUE!</v>
      </c>
      <c r="T30" s="126">
        <f t="shared" ca="1" si="4"/>
        <v>0</v>
      </c>
      <c r="U30" s="125">
        <v>0</v>
      </c>
      <c r="V30" s="127">
        <f t="shared" ca="1" si="5"/>
        <v>0</v>
      </c>
      <c r="W30" s="137" t="str">
        <f t="shared" ca="1" si="18"/>
        <v/>
      </c>
      <c r="X30" s="142">
        <f t="shared" ca="1" si="6"/>
        <v>1.7354139620774107E-2</v>
      </c>
      <c r="Y30" s="660" t="e">
        <v>#VALUE!</v>
      </c>
      <c r="Z30" s="126">
        <f t="shared" ca="1" si="7"/>
        <v>0</v>
      </c>
      <c r="AA30" s="125">
        <v>0</v>
      </c>
      <c r="AB30" s="126">
        <f t="shared" ca="1" si="11"/>
        <v>0</v>
      </c>
      <c r="AC30" s="143" t="str">
        <f t="shared" ca="1" si="22"/>
        <v/>
      </c>
      <c r="AD30" s="652" t="e">
        <f t="shared" ca="1" si="12"/>
        <v>#VALUE!</v>
      </c>
      <c r="AE30" s="240" t="e">
        <f t="shared" ca="1" si="16"/>
        <v>#VALUE!</v>
      </c>
    </row>
    <row r="31" spans="1:32">
      <c r="H31" s="323"/>
      <c r="I31" s="324" t="s">
        <v>861</v>
      </c>
      <c r="J31" s="680"/>
      <c r="K31" s="654">
        <f t="shared" ref="K31:AC31" ca="1" si="23">SUM(K7:K30)</f>
        <v>2.2333888766906895</v>
      </c>
      <c r="L31" s="325" t="str">
        <f ca="1">TEXT(SUMPRODUCT(R7:R30,D7:D30)+SUMPRODUCT(F7:F30,X7:X30),"#.##")&amp;"-"&amp;TEXT(SUMPRODUCT(R7:R30,E7:E30)+SUMPRODUCT(G7:G30,X7:X30),"#.##")</f>
        <v>1.93-2.59</v>
      </c>
      <c r="M31" s="326" t="e">
        <f t="shared" si="23"/>
        <v>#VALUE!</v>
      </c>
      <c r="N31" s="327">
        <f t="shared" ca="1" si="23"/>
        <v>1.2662660866039035</v>
      </c>
      <c r="O31" s="328">
        <f t="shared" si="23"/>
        <v>0</v>
      </c>
      <c r="P31" s="327">
        <f t="shared" ca="1" si="23"/>
        <v>0.58101454495044502</v>
      </c>
      <c r="Q31" s="331" t="e">
        <f t="shared" ca="1" si="23"/>
        <v>#VALUE!</v>
      </c>
      <c r="R31" s="327">
        <f t="shared" ca="1" si="23"/>
        <v>1.0529483273362248</v>
      </c>
      <c r="S31" s="663" t="e">
        <f t="shared" si="23"/>
        <v>#VALUE!</v>
      </c>
      <c r="T31" s="327">
        <f t="shared" ca="1" si="23"/>
        <v>0.58610809677247178</v>
      </c>
      <c r="U31" s="328">
        <f t="shared" si="23"/>
        <v>0</v>
      </c>
      <c r="V31" s="327">
        <f t="shared" ca="1" si="23"/>
        <v>0.28479747255366583</v>
      </c>
      <c r="W31" s="329" t="e">
        <f t="shared" ca="1" si="23"/>
        <v>#VALUE!</v>
      </c>
      <c r="X31" s="330">
        <f t="shared" ca="1" si="23"/>
        <v>1.1804405493544654</v>
      </c>
      <c r="Y31" s="663" t="e">
        <f t="shared" si="23"/>
        <v>#VALUE!</v>
      </c>
      <c r="Z31" s="327">
        <f t="shared" ca="1" si="23"/>
        <v>0.68015798983143161</v>
      </c>
      <c r="AA31" s="328">
        <f t="shared" si="23"/>
        <v>0</v>
      </c>
      <c r="AB31" s="327">
        <f t="shared" ca="1" si="23"/>
        <v>0.29621707239677919</v>
      </c>
      <c r="AC31" s="331" t="e">
        <f t="shared" ca="1" si="23"/>
        <v>#VALUE!</v>
      </c>
      <c r="AD31" s="651"/>
    </row>
    <row r="33" spans="1:31" ht="48.75" customHeight="1">
      <c r="H33" s="2826" t="s">
        <v>873</v>
      </c>
      <c r="I33" s="2826"/>
      <c r="J33" s="2826"/>
      <c r="K33" s="2826"/>
      <c r="L33" s="2826"/>
      <c r="M33" s="2826"/>
      <c r="N33" s="2826"/>
      <c r="O33" s="2826"/>
      <c r="P33" s="2826"/>
      <c r="Q33" s="2826"/>
      <c r="R33" s="2826"/>
      <c r="S33" s="2826"/>
      <c r="T33" s="2826"/>
      <c r="U33" s="2826"/>
      <c r="V33" s="2826"/>
      <c r="W33" s="2826"/>
      <c r="X33" s="2826"/>
      <c r="Y33" s="2826"/>
      <c r="Z33" s="2826"/>
      <c r="AA33" s="2826"/>
      <c r="AB33" s="2826"/>
      <c r="AC33" s="2826"/>
      <c r="AD33" s="647"/>
      <c r="AE33" s="240"/>
    </row>
    <row r="34" spans="1:31">
      <c r="A34"/>
    </row>
    <row r="35" spans="1:31">
      <c r="A35"/>
    </row>
    <row r="36" spans="1:31">
      <c r="A36"/>
      <c r="N36" s="240"/>
    </row>
    <row r="37" spans="1:31">
      <c r="A37"/>
      <c r="N37" s="240"/>
    </row>
    <row r="38" spans="1:31">
      <c r="A38"/>
    </row>
    <row r="39" spans="1:31">
      <c r="A39"/>
    </row>
    <row r="40" spans="1:31">
      <c r="A40"/>
    </row>
    <row r="41" spans="1:31">
      <c r="A41"/>
    </row>
    <row r="42" spans="1:31">
      <c r="A42"/>
    </row>
    <row r="43" spans="1:31">
      <c r="A43"/>
    </row>
    <row r="44" spans="1:31">
      <c r="A44"/>
    </row>
    <row r="45" spans="1:31">
      <c r="A45"/>
    </row>
    <row r="46" spans="1:31">
      <c r="A46"/>
    </row>
    <row r="47" spans="1:31">
      <c r="A47"/>
    </row>
    <row r="48" spans="1:31">
      <c r="A48"/>
    </row>
    <row r="49" spans="1:1">
      <c r="A49"/>
    </row>
    <row r="50" spans="1:1">
      <c r="A50"/>
    </row>
    <row r="51" spans="1:1">
      <c r="A51"/>
    </row>
    <row r="52" spans="1:1">
      <c r="A52"/>
    </row>
    <row r="53" spans="1:1">
      <c r="A53"/>
    </row>
    <row r="54" spans="1:1">
      <c r="A54"/>
    </row>
    <row r="55" spans="1:1">
      <c r="A55"/>
    </row>
    <row r="56" spans="1:1">
      <c r="A56"/>
    </row>
    <row r="57" spans="1:1">
      <c r="A57"/>
    </row>
  </sheetData>
  <mergeCells count="36">
    <mergeCell ref="Y15:Y18"/>
    <mergeCell ref="L15:L18"/>
    <mergeCell ref="K6:L6"/>
    <mergeCell ref="H33:AC33"/>
    <mergeCell ref="H20:H27"/>
    <mergeCell ref="H28:H30"/>
    <mergeCell ref="H7:H19"/>
    <mergeCell ref="I13:I14"/>
    <mergeCell ref="I15:I18"/>
    <mergeCell ref="S15:S18"/>
    <mergeCell ref="J5:J6"/>
    <mergeCell ref="I5:I6"/>
    <mergeCell ref="H5:H6"/>
    <mergeCell ref="M15:M18"/>
    <mergeCell ref="K5:M5"/>
    <mergeCell ref="H3:J4"/>
    <mergeCell ref="N5:O5"/>
    <mergeCell ref="P5:Q5"/>
    <mergeCell ref="D4:E4"/>
    <mergeCell ref="F4:G4"/>
    <mergeCell ref="K2:AC2"/>
    <mergeCell ref="K3:Q3"/>
    <mergeCell ref="K4:O4"/>
    <mergeCell ref="R5:S5"/>
    <mergeCell ref="R3:W3"/>
    <mergeCell ref="X3:AC3"/>
    <mergeCell ref="X5:Y5"/>
    <mergeCell ref="X4:AA4"/>
    <mergeCell ref="AB4:AC4"/>
    <mergeCell ref="Z5:AA5"/>
    <mergeCell ref="AB5:AC5"/>
    <mergeCell ref="V5:W5"/>
    <mergeCell ref="V4:W4"/>
    <mergeCell ref="R4:U4"/>
    <mergeCell ref="P4:Q4"/>
    <mergeCell ref="T5:U5"/>
  </mergeCells>
  <conditionalFormatting sqref="AE7:AE30">
    <cfRule type="colorScale" priority="4">
      <colorScale>
        <cfvo type="min"/>
        <cfvo type="percentile" val="50"/>
        <cfvo type="max"/>
        <color rgb="FFF8696B"/>
        <color rgb="FFFFEB84"/>
        <color rgb="FF63BE7B"/>
      </colorScale>
    </cfRule>
  </conditionalFormatting>
  <conditionalFormatting sqref="AD7:AD15 AD17:AD30">
    <cfRule type="colorScale" priority="3">
      <colorScale>
        <cfvo type="min"/>
        <cfvo type="percentile" val="50"/>
        <cfvo type="max"/>
        <color rgb="FFF8696B"/>
        <color rgb="FFFFEB84"/>
        <color rgb="FF63BE7B"/>
      </colorScale>
    </cfRule>
  </conditionalFormatting>
  <conditionalFormatting sqref="AD16">
    <cfRule type="colorScale" priority="2">
      <colorScale>
        <cfvo type="min"/>
        <cfvo type="percentile" val="50"/>
        <cfvo type="max"/>
        <color rgb="FFF8696B"/>
        <color rgb="FFFFEB84"/>
        <color rgb="FF63BE7B"/>
      </colorScale>
    </cfRule>
  </conditionalFormatting>
  <conditionalFormatting sqref="AD7:AD30">
    <cfRule type="colorScale" priority="1">
      <colorScale>
        <cfvo type="min"/>
        <cfvo type="percentile" val="50"/>
        <cfvo type="max"/>
        <color rgb="FFF8696B"/>
        <color rgb="FFFFEB84"/>
        <color rgb="FF63BE7B"/>
      </colorScale>
    </cfRule>
  </conditionalFormatting>
  <hyperlinks>
    <hyperlink ref="J7" location="DHP!A1" display="Ductless Heat Pumps"/>
    <hyperlink ref="J8" location="HPWH!A1" display="Heat Pump Water Heaters"/>
    <hyperlink ref="J11" location="Codes!A1" display="Low-rise Multifamily Homes"/>
    <hyperlink ref="J12" location="Res_Lighting!A1" display="Retail Bulb Sales"/>
    <hyperlink ref="J13" location="Codes!A1" display="Codes"/>
    <hyperlink ref="J14" location="Homes_Vol!A1" display="Voluntary"/>
    <hyperlink ref="J15" location="Frig_Freezers!A1" display="Refrigerators and Freezer"/>
    <hyperlink ref="J16" location="Clothes_Washers!A1" display="Clothes Washers"/>
    <hyperlink ref="J17" location="Room_AC!A1" display="Room Air Conditioners"/>
    <hyperlink ref="J19" location="Clothes_Dryers!A1" display="Clothes Dryers"/>
    <hyperlink ref="J20" location="BOC!A1" display="Certifications"/>
    <hyperlink ref="J21" location="Commissioning!A1" display="Retro and New Commissioning"/>
    <hyperlink ref="J22" location="Commercial_Desktops!A1" display="ENERGY STAR 6 Desktops"/>
    <hyperlink ref="J24" location="Com_Lighting!A1" display="Lighting Controls"/>
    <hyperlink ref="J25" location="Codes!A1" display="Codes"/>
    <hyperlink ref="J26" location="Standards!A1" display="Primarily Roof Top Units"/>
    <hyperlink ref="J27" location="Com_Lighting!A1" display="T25 and T28 Lamps"/>
    <hyperlink ref="J28" location="CRES!A1" display="Certifications"/>
    <hyperlink ref="J29" location="Motor_Rewinds!A1" display="Motor Rewinds"/>
    <hyperlink ref="J30" location="Ind_Lighting!A1" display="T25 and T28 Lamps"/>
    <hyperlink ref="J23" location="Other_ES_Products!A1" display="ENERGY STAR 6 Laptops"/>
    <hyperlink ref="J10" location="Other_ES_Products!A1" display="ENERGY STAR 6 Laptops"/>
    <hyperlink ref="J9" location="Other_ES_Products!A1" display="ENERGY STAR 6 Laptops"/>
  </hyperlinks>
  <pageMargins left="0.7" right="0.7" top="0.75" bottom="0.75" header="0.3" footer="0.3"/>
  <pageSetup orientation="portrait" r:id="rId1"/>
  <ignoredErrors>
    <ignoredError sqref="P11:R11 P31 V31 T11 V11 Z11 N24 P13:R13 T24 Z24:Z31 AC13:AC21 AC11 V13:W21 X24 AC24:AC27 P24:R30 P22 R22 R31 X11 V24:W30 Z13:Z22 X13:X15 T14:T22 N11:N22 P15:R21 P14:Q14 N7:N8 X7:X8 AC7:AC8 Z7:Z8 V7:V8 T7:T8 P7:R8 X17:X21 X26:X31 N26:N30 T26:T30"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83CA"/>
  </sheetPr>
  <dimension ref="B1:Q24"/>
  <sheetViews>
    <sheetView workbookViewId="0"/>
  </sheetViews>
  <sheetFormatPr defaultColWidth="9.109375" defaultRowHeight="13.2"/>
  <cols>
    <col min="1" max="1" width="4.33203125" style="333" customWidth="1"/>
    <col min="2" max="10" width="14" style="333" customWidth="1"/>
    <col min="11" max="11" width="9.109375" style="333"/>
    <col min="12" max="14" width="12" style="333" bestFit="1" customWidth="1"/>
    <col min="15" max="15" width="12.109375" style="333" bestFit="1" customWidth="1"/>
    <col min="16" max="16" width="10.33203125" style="333" bestFit="1" customWidth="1"/>
    <col min="17" max="17" width="12.6640625" style="333" bestFit="1" customWidth="1"/>
    <col min="18" max="16384" width="9.109375" style="333"/>
  </cols>
  <sheetData>
    <row r="1" spans="2:16" ht="13.8" thickBot="1">
      <c r="B1" s="630" t="s">
        <v>1629</v>
      </c>
      <c r="C1" s="626"/>
      <c r="D1" s="626"/>
      <c r="E1" s="626"/>
      <c r="F1" s="626"/>
      <c r="G1" s="626"/>
      <c r="H1" s="626"/>
      <c r="I1" s="626"/>
      <c r="J1" s="626"/>
    </row>
    <row r="2" spans="2:16" ht="17.25" customHeight="1" thickBot="1">
      <c r="B2" s="2844" t="s">
        <v>1630</v>
      </c>
      <c r="C2" s="2845"/>
      <c r="D2" s="2845"/>
      <c r="E2" s="2845"/>
      <c r="F2" s="2845"/>
      <c r="G2" s="2845"/>
      <c r="H2" s="2845"/>
      <c r="I2" s="2845"/>
      <c r="J2" s="2846"/>
    </row>
    <row r="3" spans="2:16">
      <c r="B3" s="419"/>
    </row>
    <row r="4" spans="2:16">
      <c r="B4" s="336" t="s">
        <v>153</v>
      </c>
    </row>
    <row r="5" spans="2:16" ht="63" customHeight="1">
      <c r="B5" s="2843" t="s">
        <v>1675</v>
      </c>
      <c r="C5" s="2843"/>
      <c r="D5" s="2843"/>
      <c r="E5" s="2843"/>
      <c r="F5" s="2843"/>
      <c r="G5" s="2843"/>
      <c r="H5" s="2843"/>
      <c r="I5" s="2843"/>
      <c r="J5" s="2843"/>
      <c r="K5" s="653">
        <f ca="1">' Summary by Program'!AE8</f>
        <v>0.15877525682685129</v>
      </c>
      <c r="O5" s="334"/>
      <c r="P5" s="334"/>
    </row>
    <row r="6" spans="2:16" ht="14.4">
      <c r="B6" s="336" t="s">
        <v>329</v>
      </c>
      <c r="L6"/>
    </row>
    <row r="7" spans="2:16" ht="45" customHeight="1">
      <c r="B7" s="2843" t="s">
        <v>1672</v>
      </c>
      <c r="C7" s="2843"/>
      <c r="D7" s="2843"/>
      <c r="E7" s="2843"/>
      <c r="F7" s="2843"/>
      <c r="G7" s="2843"/>
      <c r="H7" s="2843"/>
      <c r="I7" s="2843"/>
      <c r="J7" s="2843"/>
      <c r="K7" s="653">
        <f ca="1">' Summary by Program'!AE21</f>
        <v>0.11671203434061993</v>
      </c>
      <c r="L7"/>
    </row>
    <row r="8" spans="2:16">
      <c r="B8" s="336" t="s">
        <v>1644</v>
      </c>
      <c r="O8" s="334"/>
      <c r="P8" s="334"/>
    </row>
    <row r="9" spans="2:16" ht="36.75" customHeight="1">
      <c r="B9" s="2843" t="s">
        <v>1676</v>
      </c>
      <c r="C9" s="2843"/>
      <c r="D9" s="2843"/>
      <c r="E9" s="2843"/>
      <c r="F9" s="2843"/>
      <c r="G9" s="2843"/>
      <c r="H9" s="2843"/>
      <c r="I9" s="2843"/>
      <c r="J9" s="2843"/>
      <c r="K9" s="653" t="e">
        <f ca="1">' Summary by Program'!AE27+' Summary by Program'!AE30</f>
        <v>#VALUE!</v>
      </c>
      <c r="O9" s="334"/>
      <c r="P9" s="334"/>
    </row>
    <row r="10" spans="2:16">
      <c r="B10" s="336" t="s">
        <v>1668</v>
      </c>
    </row>
    <row r="11" spans="2:16" ht="45" customHeight="1">
      <c r="B11" s="2848" t="s">
        <v>1677</v>
      </c>
      <c r="C11" s="2843"/>
      <c r="D11" s="2843"/>
      <c r="E11" s="2843"/>
      <c r="F11" s="2843"/>
      <c r="G11" s="2843"/>
      <c r="H11" s="2843"/>
      <c r="I11" s="2843"/>
      <c r="J11" s="2843"/>
      <c r="K11" s="653">
        <f ca="1">' Summary by Program'!AE7</f>
        <v>0.42987652269013871</v>
      </c>
      <c r="L11"/>
    </row>
    <row r="12" spans="2:16" ht="15" customHeight="1">
      <c r="B12" s="336" t="s">
        <v>149</v>
      </c>
    </row>
    <row r="13" spans="2:16" ht="32.25" customHeight="1">
      <c r="B13" s="2843" t="s">
        <v>1673</v>
      </c>
      <c r="C13" s="2843"/>
      <c r="D13" s="2843"/>
      <c r="E13" s="2843"/>
      <c r="F13" s="2843"/>
      <c r="G13" s="2843"/>
      <c r="H13" s="2843"/>
      <c r="I13" s="2843"/>
      <c r="J13" s="2843"/>
      <c r="K13" s="653">
        <f ca="1">' Summary by Program'!AE12</f>
        <v>1.0409299300561692E-2</v>
      </c>
      <c r="O13" s="644"/>
      <c r="P13" s="644"/>
    </row>
    <row r="14" spans="2:16">
      <c r="B14" s="336" t="s">
        <v>1643</v>
      </c>
    </row>
    <row r="15" spans="2:16" ht="61.5" customHeight="1">
      <c r="B15" s="2843" t="s">
        <v>1678</v>
      </c>
      <c r="C15" s="2843"/>
      <c r="D15" s="2843"/>
      <c r="E15" s="2843"/>
      <c r="F15" s="2843"/>
      <c r="G15" s="2843"/>
      <c r="H15" s="2843"/>
      <c r="I15" s="2843"/>
      <c r="J15" s="2843"/>
      <c r="K15" s="653">
        <f ca="1">' Summary by Program'!AE9+' Summary by Program'!AE10+' Summary by Program'!AE23</f>
        <v>0</v>
      </c>
      <c r="O15" s="644"/>
    </row>
    <row r="16" spans="2:16">
      <c r="B16" s="336" t="s">
        <v>1664</v>
      </c>
      <c r="O16" s="653"/>
    </row>
    <row r="17" spans="2:17" ht="30.75" customHeight="1">
      <c r="B17" s="2847" t="s">
        <v>1679</v>
      </c>
      <c r="C17" s="2847"/>
      <c r="D17" s="2847"/>
      <c r="E17" s="2847"/>
      <c r="F17" s="2847"/>
      <c r="G17" s="2847"/>
      <c r="H17" s="2847"/>
      <c r="I17" s="2847"/>
      <c r="J17" s="2847"/>
      <c r="K17" s="664">
        <f ca="1">' Summary by Program'!AF25</f>
        <v>0.23828554093356241</v>
      </c>
      <c r="L17" s="643"/>
      <c r="M17" s="643"/>
      <c r="N17" s="643"/>
      <c r="O17" s="643"/>
      <c r="Q17" s="644"/>
    </row>
    <row r="18" spans="2:17">
      <c r="B18" s="336" t="s">
        <v>514</v>
      </c>
    </row>
    <row r="19" spans="2:17" ht="47.25" customHeight="1">
      <c r="B19" s="2843" t="s">
        <v>1680</v>
      </c>
      <c r="C19" s="2843"/>
      <c r="D19" s="2843"/>
      <c r="E19" s="2843"/>
      <c r="F19" s="2843"/>
      <c r="G19" s="2843"/>
      <c r="H19" s="2843"/>
      <c r="I19" s="2843"/>
      <c r="J19" s="2843"/>
      <c r="K19" s="653">
        <f ca="1">' Summary by Program'!AE14</f>
        <v>0.29799524976557429</v>
      </c>
    </row>
    <row r="22" spans="2:17">
      <c r="L22" s="340"/>
    </row>
    <row r="24" spans="2:17">
      <c r="J24" s="340"/>
    </row>
  </sheetData>
  <mergeCells count="9">
    <mergeCell ref="B9:J9"/>
    <mergeCell ref="B13:J13"/>
    <mergeCell ref="B2:J2"/>
    <mergeCell ref="B5:J5"/>
    <mergeCell ref="B19:J19"/>
    <mergeCell ref="B7:J7"/>
    <mergeCell ref="B15:J15"/>
    <mergeCell ref="B17:J17"/>
    <mergeCell ref="B11:J1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8CC646"/>
  </sheetPr>
  <dimension ref="A2:I18"/>
  <sheetViews>
    <sheetView workbookViewId="0"/>
  </sheetViews>
  <sheetFormatPr defaultRowHeight="14.4"/>
  <cols>
    <col min="1" max="1" width="28.44140625" customWidth="1"/>
    <col min="2" max="5" width="12.88671875" customWidth="1"/>
    <col min="6" max="6" width="18" customWidth="1"/>
    <col min="7" max="7" width="12.88671875" customWidth="1"/>
  </cols>
  <sheetData>
    <row r="2" spans="1:9">
      <c r="A2" s="314"/>
      <c r="B2" s="2849">
        <v>2018</v>
      </c>
      <c r="C2" s="2850"/>
      <c r="D2" s="2849">
        <v>2019</v>
      </c>
      <c r="E2" s="2850"/>
      <c r="F2" s="2849" t="s">
        <v>895</v>
      </c>
      <c r="G2" s="2850"/>
    </row>
    <row r="3" spans="1:9">
      <c r="A3" s="315"/>
      <c r="B3" s="163" t="s">
        <v>1245</v>
      </c>
      <c r="C3" s="165" t="s">
        <v>1244</v>
      </c>
      <c r="D3" s="163" t="s">
        <v>1245</v>
      </c>
      <c r="E3" s="165" t="s">
        <v>1244</v>
      </c>
      <c r="F3" s="163" t="s">
        <v>1245</v>
      </c>
      <c r="G3" s="165" t="s">
        <v>1244</v>
      </c>
    </row>
    <row r="4" spans="1:9">
      <c r="A4" s="312" t="str">
        <f>' Summary by Program'!K5</f>
        <v>Program Measures</v>
      </c>
      <c r="B4" s="312">
        <f ca="1">' Summary by Program'!R31</f>
        <v>1.0529483273362248</v>
      </c>
      <c r="C4" s="312" t="e">
        <f>' Summary by Program'!S31</f>
        <v>#VALUE!</v>
      </c>
      <c r="D4" s="312">
        <f ca="1">' Summary by Program'!X31</f>
        <v>1.1804405493544654</v>
      </c>
      <c r="E4" s="312" t="e">
        <f>' Summary by Program'!Y31</f>
        <v>#VALUE!</v>
      </c>
      <c r="F4" s="655" t="str">
        <f ca="1">TEXT(' Summary by Program'!K31,"#.##")&amp;" ("&amp;' Summary by Program'!L31&amp;")"</f>
        <v>2.23 (1.93-2.59)</v>
      </c>
      <c r="G4" s="313" t="e">
        <f>' Summary by Program'!M31</f>
        <v>#VALUE!</v>
      </c>
      <c r="I4" s="241">
        <f ca="1">B4+D4</f>
        <v>2.2333888766906904</v>
      </c>
    </row>
    <row r="5" spans="1:9">
      <c r="A5" s="309" t="str">
        <f>' Summary by Program'!N5</f>
        <v>Codes &amp; Standards Measures</v>
      </c>
      <c r="B5" s="309">
        <f ca="1">' Summary by Program'!T31</f>
        <v>0.58610809677247178</v>
      </c>
      <c r="C5" s="309">
        <f>' Summary by Program'!U31</f>
        <v>0</v>
      </c>
      <c r="D5" s="309">
        <f ca="1">' Summary by Program'!Z31</f>
        <v>0.68015798983143161</v>
      </c>
      <c r="E5" s="309">
        <f>' Summary by Program'!AA31</f>
        <v>0</v>
      </c>
      <c r="F5" s="310">
        <f ca="1">' Summary by Program'!N31</f>
        <v>1.2662660866039035</v>
      </c>
      <c r="G5" s="311">
        <f>' Summary by Program'!O31</f>
        <v>0</v>
      </c>
      <c r="I5" s="241">
        <f t="shared" ref="I5:I6" ca="1" si="0">B5+D5</f>
        <v>1.2662660866039035</v>
      </c>
    </row>
    <row r="6" spans="1:9">
      <c r="A6" s="164" t="str">
        <f>' Summary by Program'!P5</f>
        <v xml:space="preserve">Trackable Measures </v>
      </c>
      <c r="B6" s="164">
        <f ca="1">' Summary by Program'!V31</f>
        <v>0.28479747255366583</v>
      </c>
      <c r="C6" s="164" t="e">
        <f ca="1">' Summary by Program'!W31</f>
        <v>#VALUE!</v>
      </c>
      <c r="D6" s="164">
        <f ca="1">' Summary by Program'!AB31</f>
        <v>0.29621707239677919</v>
      </c>
      <c r="E6" s="164" t="e">
        <f ca="1">' Summary by Program'!AC31</f>
        <v>#VALUE!</v>
      </c>
      <c r="F6" s="307">
        <f ca="1">' Summary by Program'!P31</f>
        <v>0.58101454495044502</v>
      </c>
      <c r="G6" s="308" t="e">
        <f ca="1">C6+E6</f>
        <v>#VALUE!</v>
      </c>
      <c r="I6" s="241">
        <f t="shared" ca="1" si="0"/>
        <v>0.58101454495044502</v>
      </c>
    </row>
    <row r="7" spans="1:9">
      <c r="A7" s="166" t="s">
        <v>896</v>
      </c>
      <c r="I7" s="242"/>
    </row>
    <row r="8" spans="1:9">
      <c r="A8" s="167" t="s">
        <v>897</v>
      </c>
      <c r="I8" s="242"/>
    </row>
    <row r="9" spans="1:9">
      <c r="A9" s="167" t="s">
        <v>1674</v>
      </c>
    </row>
    <row r="10" spans="1:9">
      <c r="A10" s="167" t="s">
        <v>898</v>
      </c>
    </row>
    <row r="11" spans="1:9">
      <c r="A11" s="167" t="s">
        <v>1097</v>
      </c>
    </row>
    <row r="14" spans="1:9">
      <c r="A14" s="314"/>
      <c r="B14" s="2851">
        <v>2018</v>
      </c>
      <c r="C14" s="2852"/>
      <c r="D14" s="2852"/>
    </row>
    <row r="15" spans="1:9">
      <c r="A15" s="315"/>
      <c r="B15" s="632" t="s">
        <v>1245</v>
      </c>
      <c r="C15" s="632" t="s">
        <v>1244</v>
      </c>
      <c r="D15" s="633" t="s">
        <v>1650</v>
      </c>
    </row>
    <row r="16" spans="1:9">
      <c r="A16" s="634" t="s">
        <v>865</v>
      </c>
      <c r="B16" s="634">
        <f ca="1">B4</f>
        <v>1.0529483273362248</v>
      </c>
      <c r="C16" s="634" t="e">
        <f>C4</f>
        <v>#VALUE!</v>
      </c>
      <c r="D16" s="635" t="e">
        <f ca="1">B16/C16</f>
        <v>#VALUE!</v>
      </c>
    </row>
    <row r="17" spans="1:4">
      <c r="A17" s="636" t="s">
        <v>864</v>
      </c>
      <c r="B17" s="634">
        <f ca="1">B5</f>
        <v>0.58610809677247178</v>
      </c>
      <c r="C17" s="634">
        <f>C5</f>
        <v>0</v>
      </c>
      <c r="D17" s="635" t="e">
        <f ca="1">B17/C17</f>
        <v>#DIV/0!</v>
      </c>
    </row>
    <row r="18" spans="1:4">
      <c r="A18" s="633" t="s">
        <v>1651</v>
      </c>
      <c r="B18" s="636">
        <f ca="1">SUM(B16:B17)</f>
        <v>1.6390564241086967</v>
      </c>
      <c r="C18" s="636" t="e">
        <f>SUM(C16:C17)</f>
        <v>#VALUE!</v>
      </c>
      <c r="D18" s="635" t="e">
        <f ca="1">B18/C18</f>
        <v>#VALUE!</v>
      </c>
    </row>
  </sheetData>
  <mergeCells count="4">
    <mergeCell ref="B2:C2"/>
    <mergeCell ref="D2:E2"/>
    <mergeCell ref="F2:G2"/>
    <mergeCell ref="B14:D14"/>
  </mergeCell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0" tint="-0.249977111117893"/>
    <pageSetUpPr fitToPage="1"/>
  </sheetPr>
  <dimension ref="A1:P79"/>
  <sheetViews>
    <sheetView topLeftCell="C1" workbookViewId="0"/>
  </sheetViews>
  <sheetFormatPr defaultColWidth="9.109375" defaultRowHeight="13.2" outlineLevelCol="1"/>
  <cols>
    <col min="1" max="1" width="9.109375" style="332" hidden="1" customWidth="1" outlineLevel="1"/>
    <col min="2" max="2" width="17.6640625" style="332" hidden="1" customWidth="1" outlineLevel="1"/>
    <col min="3" max="3" width="11.6640625" style="346" customWidth="1" collapsed="1"/>
    <col min="4" max="4" width="23.5546875" style="333" customWidth="1"/>
    <col min="5" max="5" width="21.6640625" style="333" customWidth="1"/>
    <col min="6" max="6" width="28.44140625" style="333" customWidth="1"/>
    <col min="7" max="7" width="11" style="333" customWidth="1"/>
    <col min="8" max="8" width="33.6640625" style="333" customWidth="1"/>
    <col min="9" max="9" width="30.5546875" style="333" customWidth="1"/>
    <col min="10" max="11" width="12.44140625" style="333" bestFit="1" customWidth="1"/>
    <col min="12" max="12" width="64.44140625" style="333" customWidth="1"/>
    <col min="13" max="13" width="53" style="333" customWidth="1"/>
    <col min="14" max="14" width="3.109375" style="333" bestFit="1" customWidth="1"/>
    <col min="15" max="15" width="9.109375" style="333"/>
    <col min="16" max="16" width="17.5546875" style="334" hidden="1" customWidth="1"/>
    <col min="17" max="17" width="9.109375" style="333" customWidth="1"/>
    <col min="18" max="16384" width="9.109375" style="333"/>
  </cols>
  <sheetData>
    <row r="1" spans="1:16" ht="54.75" customHeight="1">
      <c r="C1" s="2856" t="s">
        <v>1331</v>
      </c>
      <c r="D1" s="2857"/>
      <c r="E1" s="2857"/>
      <c r="F1" s="2857"/>
      <c r="G1" s="2857"/>
      <c r="H1" s="2857"/>
      <c r="I1" s="2857"/>
      <c r="J1" s="2857"/>
      <c r="K1" s="2857"/>
      <c r="L1" s="2857"/>
      <c r="M1" s="2857"/>
    </row>
    <row r="2" spans="1:16" ht="21.75" customHeight="1">
      <c r="C2" s="2853" t="s">
        <v>847</v>
      </c>
      <c r="D2" s="2854"/>
      <c r="E2" s="2854"/>
      <c r="F2" s="2855"/>
      <c r="G2" s="2853" t="s">
        <v>1145</v>
      </c>
      <c r="H2" s="2854"/>
      <c r="I2" s="2855"/>
      <c r="J2" s="2853" t="s">
        <v>10</v>
      </c>
      <c r="K2" s="2854"/>
      <c r="L2" s="2854"/>
      <c r="M2" s="2855"/>
    </row>
    <row r="3" spans="1:16" s="336" customFormat="1" ht="26.4">
      <c r="A3" s="335" t="s">
        <v>1146</v>
      </c>
      <c r="B3" s="335" t="s">
        <v>1147</v>
      </c>
      <c r="C3" s="353" t="s">
        <v>1148</v>
      </c>
      <c r="D3" s="348" t="s">
        <v>4</v>
      </c>
      <c r="E3" s="348" t="s">
        <v>5</v>
      </c>
      <c r="F3" s="354" t="s">
        <v>1149</v>
      </c>
      <c r="G3" s="368" t="s">
        <v>1150</v>
      </c>
      <c r="H3" s="348" t="s">
        <v>1151</v>
      </c>
      <c r="I3" s="354" t="s">
        <v>1152</v>
      </c>
      <c r="J3" s="368">
        <v>2018</v>
      </c>
      <c r="K3" s="348">
        <v>2019</v>
      </c>
      <c r="L3" s="348" t="s">
        <v>1151</v>
      </c>
      <c r="M3" s="354" t="s">
        <v>1152</v>
      </c>
      <c r="N3" s="333"/>
      <c r="P3" s="337" t="s">
        <v>1153</v>
      </c>
    </row>
    <row r="4" spans="1:16" ht="14.4">
      <c r="A4" s="332">
        <v>1</v>
      </c>
      <c r="B4" s="332" t="s">
        <v>27</v>
      </c>
      <c r="C4" s="355" t="s">
        <v>9</v>
      </c>
      <c r="D4" s="349" t="s">
        <v>141</v>
      </c>
      <c r="E4" s="349" t="s">
        <v>428</v>
      </c>
      <c r="F4" s="356" t="s">
        <v>1154</v>
      </c>
      <c r="G4" s="360">
        <v>0.19</v>
      </c>
      <c r="H4" s="349" t="s">
        <v>1155</v>
      </c>
      <c r="I4" s="356" t="s">
        <v>1156</v>
      </c>
      <c r="J4" s="363">
        <f>BOC!R6</f>
        <v>39875.205810649946</v>
      </c>
      <c r="K4" s="350">
        <f>BOC!R7</f>
        <v>38861.928401091543</v>
      </c>
      <c r="L4" s="349" t="s">
        <v>1232</v>
      </c>
      <c r="M4" s="364" t="s">
        <v>1157</v>
      </c>
      <c r="P4" s="334">
        <v>39299.845042592431</v>
      </c>
    </row>
    <row r="5" spans="1:16">
      <c r="A5" s="332">
        <v>2</v>
      </c>
      <c r="B5" s="332" t="s">
        <v>39</v>
      </c>
      <c r="C5" s="355" t="s">
        <v>9</v>
      </c>
      <c r="D5" s="349" t="s">
        <v>147</v>
      </c>
      <c r="E5" s="349" t="s">
        <v>1158</v>
      </c>
      <c r="F5" s="356" t="s">
        <v>1154</v>
      </c>
      <c r="G5" s="360">
        <v>0</v>
      </c>
      <c r="H5" s="349" t="s">
        <v>1159</v>
      </c>
      <c r="I5" s="356" t="s">
        <v>1160</v>
      </c>
      <c r="J5" s="363" t="s">
        <v>1665</v>
      </c>
      <c r="K5" s="350" t="str">
        <f>J5</f>
        <v>Unevaluated site-based savings from RETA's RCD database. RCD savings capped at 80% of total to provide proxy for possible 2018 validation changes (validation to be received 4/1/2019).</v>
      </c>
      <c r="L5" s="349" t="s">
        <v>1666</v>
      </c>
      <c r="M5" s="356" t="s">
        <v>1161</v>
      </c>
      <c r="P5" s="334" t="s">
        <v>1162</v>
      </c>
    </row>
    <row r="6" spans="1:16">
      <c r="A6" s="332">
        <v>3</v>
      </c>
      <c r="B6" s="332" t="s">
        <v>24</v>
      </c>
      <c r="C6" s="355" t="s">
        <v>9</v>
      </c>
      <c r="D6" s="349" t="s">
        <v>1166</v>
      </c>
      <c r="E6" s="349" t="s">
        <v>477</v>
      </c>
      <c r="F6" s="356" t="s">
        <v>1167</v>
      </c>
      <c r="G6" s="360">
        <v>0</v>
      </c>
      <c r="H6" s="349" t="s">
        <v>1168</v>
      </c>
      <c r="I6" s="356" t="s">
        <v>1169</v>
      </c>
      <c r="J6" s="365">
        <f>Codes!R10</f>
        <v>0.19237533000000001</v>
      </c>
      <c r="K6" s="351">
        <f>Codes!R14</f>
        <v>0.19237533000000001</v>
      </c>
      <c r="L6" s="349" t="s">
        <v>1170</v>
      </c>
      <c r="M6" s="356" t="s">
        <v>1171</v>
      </c>
      <c r="P6" s="338" t="s">
        <v>1173</v>
      </c>
    </row>
    <row r="7" spans="1:16">
      <c r="A7" s="332">
        <v>3</v>
      </c>
      <c r="B7" s="332" t="s">
        <v>23</v>
      </c>
      <c r="C7" s="638" t="s">
        <v>9</v>
      </c>
      <c r="D7" s="352" t="s">
        <v>1166</v>
      </c>
      <c r="E7" s="352" t="s">
        <v>458</v>
      </c>
      <c r="F7" s="637" t="s">
        <v>1313</v>
      </c>
      <c r="G7" s="640">
        <v>0</v>
      </c>
      <c r="H7" s="352" t="s">
        <v>1314</v>
      </c>
      <c r="I7" s="637" t="s">
        <v>1169</v>
      </c>
      <c r="J7" s="641">
        <v>0</v>
      </c>
      <c r="K7" s="642">
        <v>0</v>
      </c>
      <c r="L7" s="352" t="s">
        <v>1170</v>
      </c>
      <c r="M7" s="637" t="s">
        <v>1335</v>
      </c>
      <c r="P7" s="338" t="s">
        <v>1173</v>
      </c>
    </row>
    <row r="8" spans="1:16" ht="14.4">
      <c r="A8" s="332">
        <v>3</v>
      </c>
      <c r="B8" s="332" t="s">
        <v>19</v>
      </c>
      <c r="C8" s="355" t="s">
        <v>9</v>
      </c>
      <c r="D8" s="349" t="s">
        <v>137</v>
      </c>
      <c r="E8" s="349" t="s">
        <v>434</v>
      </c>
      <c r="F8" s="356" t="s">
        <v>1154</v>
      </c>
      <c r="G8" s="360">
        <v>0.19</v>
      </c>
      <c r="H8" s="349" t="s">
        <v>1155</v>
      </c>
      <c r="I8" s="356" t="s">
        <v>1156</v>
      </c>
      <c r="J8" s="365">
        <f>Commissioning!R6</f>
        <v>0.43437652929726744</v>
      </c>
      <c r="K8" s="351">
        <f>Commissioning!R8</f>
        <v>0.43437652929726744</v>
      </c>
      <c r="L8" s="349" t="s">
        <v>1646</v>
      </c>
      <c r="M8" s="364" t="s">
        <v>1174</v>
      </c>
      <c r="P8" s="339">
        <v>0.43923958454096046</v>
      </c>
    </row>
    <row r="9" spans="1:16" ht="79.8">
      <c r="A9" s="332">
        <v>3</v>
      </c>
      <c r="B9" s="332" t="s">
        <v>20</v>
      </c>
      <c r="C9" s="355" t="s">
        <v>9</v>
      </c>
      <c r="D9" s="349" t="s">
        <v>137</v>
      </c>
      <c r="E9" s="349" t="s">
        <v>462</v>
      </c>
      <c r="F9" s="356" t="s">
        <v>1154</v>
      </c>
      <c r="G9" s="360">
        <v>0.19</v>
      </c>
      <c r="H9" s="349" t="s">
        <v>1155</v>
      </c>
      <c r="I9" s="356" t="s">
        <v>1156</v>
      </c>
      <c r="J9" s="365">
        <f>Commissioning!R7</f>
        <v>0.41337028570257123</v>
      </c>
      <c r="K9" s="351">
        <f>Commissioning!R9</f>
        <v>0.41337028570257123</v>
      </c>
      <c r="L9" s="645" t="s">
        <v>1647</v>
      </c>
      <c r="M9" s="364" t="s">
        <v>1174</v>
      </c>
      <c r="P9" s="339">
        <v>0.49414453260858049</v>
      </c>
    </row>
    <row r="10" spans="1:16">
      <c r="A10" s="332">
        <v>1</v>
      </c>
      <c r="B10" s="332" t="s">
        <v>71</v>
      </c>
      <c r="C10" s="355" t="s">
        <v>9</v>
      </c>
      <c r="D10" s="349" t="s">
        <v>139</v>
      </c>
      <c r="E10" s="349" t="s">
        <v>1175</v>
      </c>
      <c r="F10" s="356" t="s">
        <v>1176</v>
      </c>
      <c r="G10" s="360">
        <v>0</v>
      </c>
      <c r="H10" s="349" t="s">
        <v>1536</v>
      </c>
      <c r="I10" s="356" t="s">
        <v>1541</v>
      </c>
      <c r="J10" s="363">
        <f>Commercial_Desktops!S6</f>
        <v>30.87885098400001</v>
      </c>
      <c r="K10" s="350">
        <f>J10</f>
        <v>30.87885098400001</v>
      </c>
      <c r="L10" s="349" t="s">
        <v>1654</v>
      </c>
      <c r="M10" s="356" t="s">
        <v>1177</v>
      </c>
      <c r="N10" s="347"/>
      <c r="P10" s="334">
        <v>30.88</v>
      </c>
    </row>
    <row r="11" spans="1:16" s="340" customFormat="1">
      <c r="A11" s="332">
        <v>3</v>
      </c>
      <c r="B11" s="332" t="s">
        <v>37</v>
      </c>
      <c r="C11" s="355" t="s">
        <v>9</v>
      </c>
      <c r="D11" s="349" t="s">
        <v>146</v>
      </c>
      <c r="E11" s="349" t="s">
        <v>439</v>
      </c>
      <c r="F11" s="356" t="s">
        <v>1154</v>
      </c>
      <c r="G11" s="360">
        <v>0.3</v>
      </c>
      <c r="H11" s="349" t="s">
        <v>1178</v>
      </c>
      <c r="I11" s="356" t="s">
        <v>1179</v>
      </c>
      <c r="J11" s="363">
        <f>Motor_Rewinds!R6</f>
        <v>4388.655772967335</v>
      </c>
      <c r="K11" s="350">
        <f>Motor_Rewinds!R7</f>
        <v>4388.655772967335</v>
      </c>
      <c r="L11" s="349" t="s">
        <v>1180</v>
      </c>
      <c r="M11" s="356" t="s">
        <v>1181</v>
      </c>
      <c r="N11" s="347" t="s">
        <v>1182</v>
      </c>
      <c r="O11" s="333"/>
      <c r="P11" s="334">
        <v>4953.7021836768427</v>
      </c>
    </row>
    <row r="12" spans="1:16">
      <c r="A12" s="332">
        <v>1</v>
      </c>
      <c r="B12" s="332" t="s">
        <v>52</v>
      </c>
      <c r="C12" s="355" t="s">
        <v>9</v>
      </c>
      <c r="D12" s="349" t="s">
        <v>151</v>
      </c>
      <c r="E12" s="349" t="s">
        <v>435</v>
      </c>
      <c r="F12" s="356" t="s">
        <v>1154</v>
      </c>
      <c r="G12" s="360">
        <v>0</v>
      </c>
      <c r="H12" s="349" t="s">
        <v>1231</v>
      </c>
      <c r="I12" s="356" t="s">
        <v>1183</v>
      </c>
      <c r="J12" s="363">
        <f>SUMIFS(DHP!$R$5:$R$10,DHP!$L$5:$L$10,J$3,DHP!$J$5:$J$10,$E12)</f>
        <v>2364.7929155970751</v>
      </c>
      <c r="K12" s="363">
        <f>SUMIFS(DHP!$R$5:$R$10,DHP!$L$5:$L$10,K$3,DHP!$J$5:$J$10,$E12)</f>
        <v>2364.7929155970751</v>
      </c>
      <c r="L12" s="349" t="s">
        <v>1803</v>
      </c>
      <c r="M12" s="356" t="s">
        <v>1804</v>
      </c>
      <c r="P12" s="341">
        <v>3787.3579693139627</v>
      </c>
    </row>
    <row r="13" spans="1:16">
      <c r="A13" s="332">
        <v>1</v>
      </c>
      <c r="B13" s="332" t="s">
        <v>53</v>
      </c>
      <c r="C13" s="355" t="s">
        <v>9</v>
      </c>
      <c r="D13" s="349" t="s">
        <v>151</v>
      </c>
      <c r="E13" s="349" t="s">
        <v>436</v>
      </c>
      <c r="F13" s="356" t="s">
        <v>1154</v>
      </c>
      <c r="G13" s="360">
        <v>0</v>
      </c>
      <c r="H13" s="349" t="s">
        <v>1231</v>
      </c>
      <c r="I13" s="356" t="s">
        <v>1183</v>
      </c>
      <c r="J13" s="363">
        <f>SUMIFS(DHP!$R$5:$R$10,DHP!$L$5:$L$10,J$3,DHP!$J$5:$J$10,$E13)</f>
        <v>2877.0548649874468</v>
      </c>
      <c r="K13" s="363">
        <f>SUMIFS(DHP!$R$5:$R$10,DHP!$L$5:$L$10,K$3,DHP!$J$5:$J$10,$E13)</f>
        <v>2877.0548649874468</v>
      </c>
      <c r="L13" s="349" t="s">
        <v>1803</v>
      </c>
      <c r="M13" s="356" t="s">
        <v>1804</v>
      </c>
      <c r="P13" s="341">
        <v>5709.528312693622</v>
      </c>
    </row>
    <row r="14" spans="1:16">
      <c r="A14" s="332">
        <v>1</v>
      </c>
      <c r="B14" s="332" t="s">
        <v>51</v>
      </c>
      <c r="C14" s="355" t="s">
        <v>9</v>
      </c>
      <c r="D14" s="349" t="s">
        <v>151</v>
      </c>
      <c r="E14" s="349" t="s">
        <v>437</v>
      </c>
      <c r="F14" s="356" t="s">
        <v>1154</v>
      </c>
      <c r="G14" s="360">
        <v>0</v>
      </c>
      <c r="H14" s="349" t="s">
        <v>1231</v>
      </c>
      <c r="I14" s="356" t="s">
        <v>1183</v>
      </c>
      <c r="J14" s="363">
        <f>SUMIFS(DHP!$R$5:$R$10,DHP!$L$5:$L$10,J$3,DHP!$J$5:$J$10,$E14)</f>
        <v>2106.9146127680133</v>
      </c>
      <c r="K14" s="363">
        <f>SUMIFS(DHP!$R$5:$R$10,DHP!$L$5:$L$10,K$3,DHP!$J$5:$J$10,$E14)</f>
        <v>2123.2057880977891</v>
      </c>
      <c r="L14" s="349" t="s">
        <v>1230</v>
      </c>
      <c r="M14" s="356" t="s">
        <v>943</v>
      </c>
      <c r="P14" s="341">
        <v>2146.3243776830218</v>
      </c>
    </row>
    <row r="15" spans="1:16">
      <c r="A15" s="332">
        <v>1</v>
      </c>
      <c r="C15" s="355" t="s">
        <v>9</v>
      </c>
      <c r="D15" s="349" t="s">
        <v>153</v>
      </c>
      <c r="E15" s="349" t="s">
        <v>1282</v>
      </c>
      <c r="F15" s="356" t="s">
        <v>158</v>
      </c>
      <c r="G15" s="361">
        <v>0</v>
      </c>
      <c r="H15" s="349" t="s">
        <v>1800</v>
      </c>
      <c r="I15" s="356" t="s">
        <v>1747</v>
      </c>
      <c r="J15" s="363">
        <f>SUMIFS(HPWH!$R$6:$R$37,HPWH!$J$6:$J$37,'Key Assumptions 18-19'!$E15,HPWH!$L$6:$L$37,'Key Assumptions 18-19'!J$3,HPWH!$K$6:$K$37,'Key Assumptions 18-19'!$F15)</f>
        <v>934.91575546526076</v>
      </c>
      <c r="K15" s="350">
        <f>SUMIFS(HPWH!$R$6:$R$37,HPWH!$J$6:$J$37,'Key Assumptions 18-19'!$E15,HPWH!$L$6:$L$37,'Key Assumptions 18-19'!K$3,HPWH!$K$6:$K$37,'Key Assumptions 18-19'!$F15)</f>
        <v>934.91575546526076</v>
      </c>
      <c r="L15" s="349" t="s">
        <v>1299</v>
      </c>
      <c r="M15" s="356" t="s">
        <v>1747</v>
      </c>
      <c r="P15" s="342">
        <f>SUMIFS(HPWH!$R$6:$R$37,HPWH!$J$6:$J$37,'Key Assumptions 18-19'!$E15,HPWH!$L$6:$L$37,'Key Assumptions 18-19'!J$3,HPWH!$K$6:$K$37,'Key Assumptions 18-19'!$F15)</f>
        <v>934.91575546526076</v>
      </c>
    </row>
    <row r="16" spans="1:16">
      <c r="A16" s="332">
        <v>1</v>
      </c>
      <c r="C16" s="355" t="s">
        <v>9</v>
      </c>
      <c r="D16" s="349" t="s">
        <v>153</v>
      </c>
      <c r="E16" s="349" t="s">
        <v>1282</v>
      </c>
      <c r="F16" s="356" t="s">
        <v>160</v>
      </c>
      <c r="G16" s="361">
        <v>0</v>
      </c>
      <c r="H16" s="349" t="s">
        <v>1800</v>
      </c>
      <c r="I16" s="356" t="s">
        <v>1747</v>
      </c>
      <c r="J16" s="363">
        <f>SUMIFS(HPWH!$R$6:$R$37,HPWH!$J$6:$J$37,'Key Assumptions 18-19'!$E16,HPWH!$L$6:$L$37,'Key Assumptions 18-19'!J$3,HPWH!$K$6:$K$37,'Key Assumptions 18-19'!$F16)</f>
        <v>270.93782804489194</v>
      </c>
      <c r="K16" s="350">
        <f>SUMIFS(HPWH!$R$6:$R$37,HPWH!$J$6:$J$37,'Key Assumptions 18-19'!$E16,HPWH!$L$6:$L$37,'Key Assumptions 18-19'!K$3,HPWH!$K$6:$K$37,'Key Assumptions 18-19'!$F16)</f>
        <v>270.93782804489194</v>
      </c>
      <c r="L16" s="349" t="s">
        <v>1299</v>
      </c>
      <c r="M16" s="356" t="s">
        <v>1747</v>
      </c>
      <c r="P16" s="342">
        <v>143.61570673977667</v>
      </c>
    </row>
    <row r="17" spans="1:16">
      <c r="A17" s="332">
        <v>1</v>
      </c>
      <c r="C17" s="355" t="s">
        <v>9</v>
      </c>
      <c r="D17" s="349" t="s">
        <v>153</v>
      </c>
      <c r="E17" s="349" t="s">
        <v>1282</v>
      </c>
      <c r="F17" s="356" t="s">
        <v>1296</v>
      </c>
      <c r="G17" s="361">
        <v>0</v>
      </c>
      <c r="H17" s="349" t="s">
        <v>1800</v>
      </c>
      <c r="I17" s="356" t="s">
        <v>1747</v>
      </c>
      <c r="J17" s="363">
        <f>SUMIFS(HPWH!$R$6:$R$37,HPWH!$J$6:$J$37,'Key Assumptions 18-19'!$E17,HPWH!$L$6:$L$37,'Key Assumptions 18-19'!J$3,HPWH!$K$6:$K$37,'Key Assumptions 18-19'!$F17)</f>
        <v>165.26166691085132</v>
      </c>
      <c r="K17" s="350">
        <f>SUMIFS(HPWH!$R$6:$R$37,HPWH!$J$6:$J$37,'Key Assumptions 18-19'!$E17,HPWH!$L$6:$L$37,'Key Assumptions 18-19'!K$3,HPWH!$K$6:$K$37,'Key Assumptions 18-19'!$F17)</f>
        <v>165.26166691085132</v>
      </c>
      <c r="L17" s="349" t="s">
        <v>1299</v>
      </c>
      <c r="M17" s="356" t="s">
        <v>1747</v>
      </c>
      <c r="P17" s="342">
        <v>143.61570673977667</v>
      </c>
    </row>
    <row r="18" spans="1:16">
      <c r="A18" s="332">
        <v>1</v>
      </c>
      <c r="C18" s="355" t="s">
        <v>9</v>
      </c>
      <c r="D18" s="349" t="s">
        <v>153</v>
      </c>
      <c r="E18" s="349" t="s">
        <v>1282</v>
      </c>
      <c r="F18" s="356" t="s">
        <v>1297</v>
      </c>
      <c r="G18" s="361">
        <v>0</v>
      </c>
      <c r="H18" s="349" t="s">
        <v>1800</v>
      </c>
      <c r="I18" s="356" t="s">
        <v>1747</v>
      </c>
      <c r="J18" s="363">
        <f>SUMIFS(HPWH!$R$6:$R$37,HPWH!$J$6:$J$37,'Key Assumptions 18-19'!$E18,HPWH!$L$6:$L$37,'Key Assumptions 18-19'!J$3,HPWH!$K$6:$K$37,'Key Assumptions 18-19'!$F18)</f>
        <v>423.47074957899622</v>
      </c>
      <c r="K18" s="350">
        <f>SUMIFS(HPWH!$R$6:$R$37,HPWH!$J$6:$J$37,'Key Assumptions 18-19'!$E18,HPWH!$L$6:$L$37,'Key Assumptions 18-19'!K$3,HPWH!$K$6:$K$37,'Key Assumptions 18-19'!$F18)</f>
        <v>423.47074957899622</v>
      </c>
      <c r="L18" s="349" t="s">
        <v>1299</v>
      </c>
      <c r="M18" s="356" t="s">
        <v>1747</v>
      </c>
      <c r="O18" s="340"/>
      <c r="P18" s="342">
        <v>104</v>
      </c>
    </row>
    <row r="19" spans="1:16">
      <c r="A19" s="332">
        <v>1</v>
      </c>
      <c r="C19" s="355" t="s">
        <v>9</v>
      </c>
      <c r="D19" s="349" t="s">
        <v>153</v>
      </c>
      <c r="E19" s="349" t="s">
        <v>1284</v>
      </c>
      <c r="F19" s="356" t="s">
        <v>158</v>
      </c>
      <c r="G19" s="361">
        <v>0</v>
      </c>
      <c r="H19" s="349" t="s">
        <v>1800</v>
      </c>
      <c r="I19" s="356" t="s">
        <v>1799</v>
      </c>
      <c r="J19" s="363">
        <f>SUMIFS(HPWH!$R$6:$R$37,HPWH!$J$6:$J$37,'Key Assumptions 18-19'!$E19,HPWH!$L$6:$L$37,'Key Assumptions 18-19'!J$3,HPWH!$K$6:$K$37,'Key Assumptions 18-19'!$F19)</f>
        <v>531.89039583838928</v>
      </c>
      <c r="K19" s="350">
        <f>SUMIFS(HPWH!$R$6:$R$37,HPWH!$J$6:$J$37,'Key Assumptions 18-19'!$E19,HPWH!$L$6:$L$37,'Key Assumptions 18-19'!K$3,HPWH!$K$6:$K$37,'Key Assumptions 18-19'!$F19)</f>
        <v>485.27997464359726</v>
      </c>
      <c r="L19" s="349" t="s">
        <v>1300</v>
      </c>
      <c r="M19" s="356" t="s">
        <v>1799</v>
      </c>
      <c r="P19" s="342">
        <v>991.19528627362411</v>
      </c>
    </row>
    <row r="20" spans="1:16">
      <c r="A20" s="332">
        <v>1</v>
      </c>
      <c r="C20" s="355" t="s">
        <v>9</v>
      </c>
      <c r="D20" s="349" t="s">
        <v>153</v>
      </c>
      <c r="E20" s="349" t="s">
        <v>1284</v>
      </c>
      <c r="F20" s="356" t="s">
        <v>160</v>
      </c>
      <c r="G20" s="361">
        <v>0</v>
      </c>
      <c r="H20" s="349" t="s">
        <v>1800</v>
      </c>
      <c r="I20" s="356" t="s">
        <v>1799</v>
      </c>
      <c r="J20" s="363">
        <f>SUMIFS(HPWH!$R$6:$R$37,HPWH!$J$6:$J$37,'Key Assumptions 18-19'!$E20,HPWH!$L$6:$L$37,'Key Assumptions 18-19'!J$3,HPWH!$K$6:$K$37,'Key Assumptions 18-19'!$F20)</f>
        <v>154.14140553730968</v>
      </c>
      <c r="K20" s="350">
        <f>SUMIFS(HPWH!$R$6:$R$37,HPWH!$J$6:$J$37,'Key Assumptions 18-19'!$E20,HPWH!$L$6:$L$37,'Key Assumptions 18-19'!K$3,HPWH!$K$6:$K$37,'Key Assumptions 18-19'!$F20)</f>
        <v>140.63374325977117</v>
      </c>
      <c r="L20" s="349" t="s">
        <v>1300</v>
      </c>
      <c r="M20" s="356" t="s">
        <v>1799</v>
      </c>
      <c r="P20" s="342">
        <v>106.43907408114079</v>
      </c>
    </row>
    <row r="21" spans="1:16">
      <c r="A21" s="332">
        <v>1</v>
      </c>
      <c r="C21" s="355" t="s">
        <v>9</v>
      </c>
      <c r="D21" s="349" t="s">
        <v>153</v>
      </c>
      <c r="E21" s="349" t="s">
        <v>1284</v>
      </c>
      <c r="F21" s="356" t="s">
        <v>1296</v>
      </c>
      <c r="G21" s="361">
        <v>0</v>
      </c>
      <c r="H21" s="349" t="s">
        <v>1800</v>
      </c>
      <c r="I21" s="356" t="s">
        <v>1799</v>
      </c>
      <c r="J21" s="363">
        <f>SUMIFS(HPWH!$R$6:$R$37,HPWH!$J$6:$J$37,'Key Assumptions 18-19'!$E21,HPWH!$L$6:$L$37,'Key Assumptions 18-19'!J$3,HPWH!$K$6:$K$37,'Key Assumptions 18-19'!$F21)</f>
        <v>94.02033596746989</v>
      </c>
      <c r="K21" s="350">
        <f>SUMIFS(HPWH!$R$6:$R$37,HPWH!$J$6:$J$37,'Key Assumptions 18-19'!$E21,HPWH!$L$6:$L$37,'Key Assumptions 18-19'!K$3,HPWH!$K$6:$K$37,'Key Assumptions 18-19'!$F21)</f>
        <v>85.781180880993844</v>
      </c>
      <c r="L21" s="349" t="s">
        <v>1301</v>
      </c>
      <c r="M21" s="356" t="s">
        <v>1799</v>
      </c>
      <c r="P21" s="342">
        <v>1057.6920745788975</v>
      </c>
    </row>
    <row r="22" spans="1:16">
      <c r="A22" s="332">
        <v>1</v>
      </c>
      <c r="C22" s="355" t="s">
        <v>9</v>
      </c>
      <c r="D22" s="349" t="s">
        <v>153</v>
      </c>
      <c r="E22" s="349" t="s">
        <v>1284</v>
      </c>
      <c r="F22" s="356" t="s">
        <v>1297</v>
      </c>
      <c r="G22" s="361">
        <v>0</v>
      </c>
      <c r="H22" s="349" t="s">
        <v>1800</v>
      </c>
      <c r="I22" s="356" t="s">
        <v>1799</v>
      </c>
      <c r="J22" s="363">
        <f>SUMIFS(HPWH!$R$6:$R$37,HPWH!$J$6:$J$37,'Key Assumptions 18-19'!$E22,HPWH!$L$6:$L$37,'Key Assumptions 18-19'!J$3,HPWH!$K$6:$K$37,'Key Assumptions 18-19'!$F22)</f>
        <v>240.92012922325929</v>
      </c>
      <c r="K22" s="350">
        <f>SUMIFS(HPWH!$R$6:$R$37,HPWH!$J$6:$J$37,'Key Assumptions 18-19'!$E22,HPWH!$L$6:$L$37,'Key Assumptions 18-19'!K$3,HPWH!$K$6:$K$37,'Key Assumptions 18-19'!$F22)</f>
        <v>219.80790613132027</v>
      </c>
      <c r="L22" s="349" t="s">
        <v>1301</v>
      </c>
      <c r="M22" s="356" t="s">
        <v>1799</v>
      </c>
      <c r="P22" s="342">
        <v>143.61570673977667</v>
      </c>
    </row>
    <row r="23" spans="1:16">
      <c r="A23" s="332">
        <v>1</v>
      </c>
      <c r="C23" s="355" t="s">
        <v>9</v>
      </c>
      <c r="D23" s="349" t="s">
        <v>153</v>
      </c>
      <c r="E23" s="349" t="s">
        <v>1283</v>
      </c>
      <c r="F23" s="356" t="s">
        <v>158</v>
      </c>
      <c r="G23" s="361">
        <v>0</v>
      </c>
      <c r="H23" s="349" t="s">
        <v>1800</v>
      </c>
      <c r="I23" s="356" t="s">
        <v>1747</v>
      </c>
      <c r="J23" s="363">
        <f>SUMIFS(HPWH!$R$6:$R$37,HPWH!$J$6:$J$37,'Key Assumptions 18-19'!$E23,HPWH!$L$6:$L$37,'Key Assumptions 18-19'!J$3,HPWH!$K$6:$K$37,'Key Assumptions 18-19'!$F23)</f>
        <v>934.91575546526076</v>
      </c>
      <c r="K23" s="350">
        <f>SUMIFS(HPWH!$R$6:$R$37,HPWH!$J$6:$J$37,'Key Assumptions 18-19'!$E23,HPWH!$L$6:$L$37,'Key Assumptions 18-19'!K$3,HPWH!$K$6:$K$37,'Key Assumptions 18-19'!$F23)</f>
        <v>934.91575546526076</v>
      </c>
      <c r="L23" s="349" t="s">
        <v>1299</v>
      </c>
      <c r="M23" s="356" t="s">
        <v>1747</v>
      </c>
      <c r="P23" s="342">
        <v>1057.6920745788975</v>
      </c>
    </row>
    <row r="24" spans="1:16">
      <c r="A24" s="332">
        <v>1</v>
      </c>
      <c r="C24" s="355" t="s">
        <v>9</v>
      </c>
      <c r="D24" s="349" t="s">
        <v>153</v>
      </c>
      <c r="E24" s="349" t="s">
        <v>1283</v>
      </c>
      <c r="F24" s="356" t="s">
        <v>160</v>
      </c>
      <c r="G24" s="361">
        <v>0</v>
      </c>
      <c r="H24" s="349" t="s">
        <v>1800</v>
      </c>
      <c r="I24" s="356" t="s">
        <v>1747</v>
      </c>
      <c r="J24" s="363">
        <f>SUMIFS(HPWH!$R$6:$R$37,HPWH!$J$6:$J$37,'Key Assumptions 18-19'!$E24,HPWH!$L$6:$L$37,'Key Assumptions 18-19'!J$3,HPWH!$K$6:$K$37,'Key Assumptions 18-19'!$F24)</f>
        <v>270.93782804489194</v>
      </c>
      <c r="K24" s="350">
        <f>SUMIFS(HPWH!$R$6:$R$37,HPWH!$J$6:$J$37,'Key Assumptions 18-19'!$E24,HPWH!$L$6:$L$37,'Key Assumptions 18-19'!K$3,HPWH!$K$6:$K$37,'Key Assumptions 18-19'!$F24)</f>
        <v>270.93782804489194</v>
      </c>
      <c r="L24" s="349" t="s">
        <v>1299</v>
      </c>
      <c r="M24" s="356" t="s">
        <v>1747</v>
      </c>
      <c r="P24" s="342">
        <v>143.61570673977667</v>
      </c>
    </row>
    <row r="25" spans="1:16">
      <c r="A25" s="332">
        <v>1</v>
      </c>
      <c r="C25" s="355" t="s">
        <v>9</v>
      </c>
      <c r="D25" s="349" t="s">
        <v>153</v>
      </c>
      <c r="E25" s="349" t="s">
        <v>1283</v>
      </c>
      <c r="F25" s="356" t="s">
        <v>1296</v>
      </c>
      <c r="G25" s="361">
        <v>0</v>
      </c>
      <c r="H25" s="349" t="s">
        <v>1800</v>
      </c>
      <c r="I25" s="356" t="s">
        <v>1747</v>
      </c>
      <c r="J25" s="363">
        <f>SUMIFS(HPWH!$R$6:$R$37,HPWH!$J$6:$J$37,'Key Assumptions 18-19'!$E25,HPWH!$L$6:$L$37,'Key Assumptions 18-19'!J$3,HPWH!$K$6:$K$37,'Key Assumptions 18-19'!$F25)</f>
        <v>165.26166691085132</v>
      </c>
      <c r="K25" s="350">
        <f>SUMIFS(HPWH!$R$6:$R$37,HPWH!$J$6:$J$37,'Key Assumptions 18-19'!$E25,HPWH!$L$6:$L$37,'Key Assumptions 18-19'!K$3,HPWH!$K$6:$K$37,'Key Assumptions 18-19'!$F25)</f>
        <v>165.26166691085132</v>
      </c>
      <c r="L25" s="349" t="s">
        <v>1299</v>
      </c>
      <c r="M25" s="356" t="s">
        <v>1747</v>
      </c>
      <c r="P25" s="342">
        <v>143.61570673977667</v>
      </c>
    </row>
    <row r="26" spans="1:16">
      <c r="A26" s="332">
        <v>1</v>
      </c>
      <c r="C26" s="355" t="s">
        <v>9</v>
      </c>
      <c r="D26" s="349" t="s">
        <v>153</v>
      </c>
      <c r="E26" s="349" t="s">
        <v>1283</v>
      </c>
      <c r="F26" s="356" t="s">
        <v>1297</v>
      </c>
      <c r="G26" s="361">
        <v>0</v>
      </c>
      <c r="H26" s="349" t="s">
        <v>1800</v>
      </c>
      <c r="I26" s="356" t="s">
        <v>1747</v>
      </c>
      <c r="J26" s="363">
        <f>SUMIFS(HPWH!$R$6:$R$37,HPWH!$J$6:$J$37,'Key Assumptions 18-19'!$E26,HPWH!$L$6:$L$37,'Key Assumptions 18-19'!J$3,HPWH!$K$6:$K$37,'Key Assumptions 18-19'!$F26)</f>
        <v>423.47074957899622</v>
      </c>
      <c r="K26" s="350">
        <f>SUMIFS(HPWH!$R$6:$R$37,HPWH!$J$6:$J$37,'Key Assumptions 18-19'!$E26,HPWH!$L$6:$L$37,'Key Assumptions 18-19'!K$3,HPWH!$K$6:$K$37,'Key Assumptions 18-19'!$F26)</f>
        <v>423.47074957899622</v>
      </c>
      <c r="L26" s="349" t="s">
        <v>1299</v>
      </c>
      <c r="M26" s="356" t="s">
        <v>1747</v>
      </c>
      <c r="O26" s="340"/>
      <c r="P26" s="342">
        <v>104</v>
      </c>
    </row>
    <row r="27" spans="1:16">
      <c r="A27" s="332">
        <v>1</v>
      </c>
      <c r="C27" s="355" t="s">
        <v>9</v>
      </c>
      <c r="D27" s="349" t="s">
        <v>153</v>
      </c>
      <c r="E27" s="349" t="s">
        <v>1285</v>
      </c>
      <c r="F27" s="356" t="s">
        <v>158</v>
      </c>
      <c r="G27" s="361">
        <v>0</v>
      </c>
      <c r="H27" s="349" t="s">
        <v>1800</v>
      </c>
      <c r="I27" s="356" t="s">
        <v>1799</v>
      </c>
      <c r="J27" s="363">
        <f>SUMIFS(HPWH!$R$6:$R$37,HPWH!$J$6:$J$37,'Key Assumptions 18-19'!$E27,HPWH!$L$6:$L$37,'Key Assumptions 18-19'!J$3,HPWH!$K$6:$K$37,'Key Assumptions 18-19'!$F27)</f>
        <v>349.38871545544691</v>
      </c>
      <c r="K27" s="350">
        <f>SUMIFS(HPWH!$R$6:$R$37,HPWH!$J$6:$J$37,'Key Assumptions 18-19'!$E27,HPWH!$L$6:$L$37,'Key Assumptions 18-19'!K$3,HPWH!$K$6:$K$37,'Key Assumptions 18-19'!$F27)</f>
        <v>355.08531748285185</v>
      </c>
      <c r="L27" s="349" t="s">
        <v>1300</v>
      </c>
      <c r="M27" s="356" t="s">
        <v>1799</v>
      </c>
      <c r="P27" s="342">
        <v>991.19528627362411</v>
      </c>
    </row>
    <row r="28" spans="1:16">
      <c r="A28" s="332">
        <v>1</v>
      </c>
      <c r="C28" s="355" t="s">
        <v>9</v>
      </c>
      <c r="D28" s="349" t="s">
        <v>153</v>
      </c>
      <c r="E28" s="349" t="s">
        <v>1285</v>
      </c>
      <c r="F28" s="356" t="s">
        <v>160</v>
      </c>
      <c r="G28" s="361">
        <v>0</v>
      </c>
      <c r="H28" s="349" t="s">
        <v>1800</v>
      </c>
      <c r="I28" s="356" t="s">
        <v>1799</v>
      </c>
      <c r="J28" s="363">
        <f>SUMIFS(HPWH!$R$6:$R$37,HPWH!$J$6:$J$37,'Key Assumptions 18-19'!$E28,HPWH!$L$6:$L$37,'Key Assumptions 18-19'!J$3,HPWH!$K$6:$K$37,'Key Assumptions 18-19'!$F28)</f>
        <v>101.25256650721937</v>
      </c>
      <c r="K28" s="350">
        <f>SUMIFS(HPWH!$R$6:$R$37,HPWH!$J$6:$J$37,'Key Assumptions 18-19'!$E28,HPWH!$L$6:$L$37,'Key Assumptions 18-19'!K$3,HPWH!$K$6:$K$37,'Key Assumptions 18-19'!$F28)</f>
        <v>102.90343715681404</v>
      </c>
      <c r="L28" s="349" t="s">
        <v>1300</v>
      </c>
      <c r="M28" s="356" t="s">
        <v>1799</v>
      </c>
      <c r="P28" s="342">
        <v>106.43907408114079</v>
      </c>
    </row>
    <row r="29" spans="1:16">
      <c r="A29" s="332">
        <v>1</v>
      </c>
      <c r="B29" s="332" t="s">
        <v>55</v>
      </c>
      <c r="C29" s="355" t="s">
        <v>9</v>
      </c>
      <c r="D29" s="349" t="s">
        <v>153</v>
      </c>
      <c r="E29" s="349" t="s">
        <v>1285</v>
      </c>
      <c r="F29" s="356" t="s">
        <v>1296</v>
      </c>
      <c r="G29" s="361">
        <v>0</v>
      </c>
      <c r="H29" s="349" t="s">
        <v>1800</v>
      </c>
      <c r="I29" s="356" t="s">
        <v>1799</v>
      </c>
      <c r="J29" s="363">
        <f>SUMIFS(HPWH!$R$6:$R$37,HPWH!$J$6:$J$37,'Key Assumptions 18-19'!$E29,HPWH!$L$6:$L$37,'Key Assumptions 18-19'!J$3,HPWH!$K$6:$K$37,'Key Assumptions 18-19'!$F29)</f>
        <v>61.760175907265243</v>
      </c>
      <c r="K29" s="350">
        <f>SUMIFS(HPWH!$R$6:$R$37,HPWH!$J$6:$J$37,'Key Assumptions 18-19'!$E29,HPWH!$L$6:$L$37,'Key Assumptions 18-19'!K$3,HPWH!$K$6:$K$37,'Key Assumptions 18-19'!$F29)</f>
        <v>62.767143584591601</v>
      </c>
      <c r="L29" s="349" t="s">
        <v>1301</v>
      </c>
      <c r="M29" s="356" t="s">
        <v>1799</v>
      </c>
      <c r="P29" s="342">
        <v>1057.6920745788975</v>
      </c>
    </row>
    <row r="30" spans="1:16">
      <c r="A30" s="332">
        <v>1</v>
      </c>
      <c r="C30" s="355" t="s">
        <v>9</v>
      </c>
      <c r="D30" s="349" t="s">
        <v>153</v>
      </c>
      <c r="E30" s="349" t="s">
        <v>1285</v>
      </c>
      <c r="F30" s="356" t="s">
        <v>1297</v>
      </c>
      <c r="G30" s="361">
        <v>0</v>
      </c>
      <c r="H30" s="349" t="s">
        <v>1800</v>
      </c>
      <c r="I30" s="356" t="s">
        <v>1799</v>
      </c>
      <c r="J30" s="363">
        <f>SUMIFS(HPWH!$R$6:$R$37,HPWH!$J$6:$J$37,'Key Assumptions 18-19'!$E30,HPWH!$L$6:$L$37,'Key Assumptions 18-19'!J$3,HPWH!$K$6:$K$37,'Key Assumptions 18-19'!$F30)</f>
        <v>158.25586462036944</v>
      </c>
      <c r="K30" s="350">
        <f>SUMIFS(HPWH!$R$6:$R$37,HPWH!$J$6:$J$37,'Key Assumptions 18-19'!$E30,HPWH!$L$6:$L$37,'Key Assumptions 18-19'!K$3,HPWH!$K$6:$K$37,'Key Assumptions 18-19'!$F30)</f>
        <v>160.83614451884853</v>
      </c>
      <c r="L30" s="349" t="s">
        <v>1301</v>
      </c>
      <c r="M30" s="356" t="s">
        <v>1799</v>
      </c>
      <c r="P30" s="342">
        <v>143.61570673977667</v>
      </c>
    </row>
    <row r="31" spans="1:16">
      <c r="A31" s="332">
        <v>3</v>
      </c>
      <c r="B31" s="332" t="s">
        <v>1154</v>
      </c>
      <c r="C31" s="355" t="s">
        <v>9</v>
      </c>
      <c r="D31" s="349" t="s">
        <v>1186</v>
      </c>
      <c r="E31" s="349" t="s">
        <v>1187</v>
      </c>
      <c r="F31" s="356" t="s">
        <v>1154</v>
      </c>
      <c r="G31" s="360">
        <v>0</v>
      </c>
      <c r="H31" s="349" t="s">
        <v>1652</v>
      </c>
      <c r="I31" s="639" t="s">
        <v>1653</v>
      </c>
      <c r="J31" s="363" t="s">
        <v>1336</v>
      </c>
      <c r="K31" s="350" t="s">
        <v>1336</v>
      </c>
      <c r="L31" s="349" t="s">
        <v>1188</v>
      </c>
      <c r="M31" s="356" t="s">
        <v>1667</v>
      </c>
      <c r="P31" s="334" t="s">
        <v>1162</v>
      </c>
    </row>
    <row r="32" spans="1:16">
      <c r="A32" s="332">
        <v>1</v>
      </c>
      <c r="C32" s="638" t="s">
        <v>9</v>
      </c>
      <c r="D32" s="352" t="s">
        <v>1186</v>
      </c>
      <c r="E32" s="352" t="s">
        <v>458</v>
      </c>
      <c r="F32" s="637" t="s">
        <v>1327</v>
      </c>
      <c r="G32" s="360">
        <v>0</v>
      </c>
      <c r="H32" s="349" t="s">
        <v>1328</v>
      </c>
      <c r="I32" s="356" t="s">
        <v>1169</v>
      </c>
      <c r="J32" s="363">
        <f>Codes!R24</f>
        <v>485</v>
      </c>
      <c r="K32" s="350">
        <f>J32</f>
        <v>485</v>
      </c>
      <c r="L32" s="349" t="s">
        <v>1190</v>
      </c>
      <c r="M32" s="356" t="s">
        <v>1191</v>
      </c>
      <c r="P32" s="334">
        <v>197.2919</v>
      </c>
    </row>
    <row r="33" spans="1:16">
      <c r="A33" s="332">
        <v>1</v>
      </c>
      <c r="B33" s="332" t="s">
        <v>1210</v>
      </c>
      <c r="C33" s="638" t="s">
        <v>9</v>
      </c>
      <c r="D33" s="352" t="s">
        <v>150</v>
      </c>
      <c r="E33" s="352" t="s">
        <v>458</v>
      </c>
      <c r="F33" s="637" t="s">
        <v>1327</v>
      </c>
      <c r="G33" s="360">
        <v>0</v>
      </c>
      <c r="H33" s="349" t="s">
        <v>1189</v>
      </c>
      <c r="I33" s="356" t="s">
        <v>1169</v>
      </c>
      <c r="J33" s="363">
        <v>450</v>
      </c>
      <c r="K33" s="350">
        <v>450</v>
      </c>
      <c r="L33" s="349" t="s">
        <v>1192</v>
      </c>
      <c r="M33" s="356" t="s">
        <v>1193</v>
      </c>
    </row>
    <row r="34" spans="1:16">
      <c r="A34" s="332">
        <v>1</v>
      </c>
      <c r="B34" s="332" t="s">
        <v>67</v>
      </c>
      <c r="C34" s="355" t="s">
        <v>9</v>
      </c>
      <c r="D34" s="349" t="s">
        <v>1186</v>
      </c>
      <c r="E34" s="349" t="s">
        <v>477</v>
      </c>
      <c r="F34" s="356" t="s">
        <v>1167</v>
      </c>
      <c r="G34" s="360">
        <v>0</v>
      </c>
      <c r="H34" s="349" t="s">
        <v>1189</v>
      </c>
      <c r="I34" s="356" t="s">
        <v>1169</v>
      </c>
      <c r="J34" s="363">
        <v>225.30855</v>
      </c>
      <c r="K34" s="350">
        <v>225.30855</v>
      </c>
      <c r="L34" s="349" t="s">
        <v>1190</v>
      </c>
      <c r="M34" s="356" t="s">
        <v>1191</v>
      </c>
      <c r="P34" s="334">
        <v>197.2919</v>
      </c>
    </row>
    <row r="35" spans="1:16">
      <c r="A35" s="332">
        <v>1</v>
      </c>
      <c r="B35" s="332" t="s">
        <v>72</v>
      </c>
      <c r="C35" s="355" t="s">
        <v>9</v>
      </c>
      <c r="D35" s="349" t="s">
        <v>150</v>
      </c>
      <c r="E35" s="349" t="s">
        <v>480</v>
      </c>
      <c r="F35" s="356" t="s">
        <v>1167</v>
      </c>
      <c r="G35" s="360">
        <v>0</v>
      </c>
      <c r="H35" s="349" t="s">
        <v>1189</v>
      </c>
      <c r="I35" s="356" t="s">
        <v>1169</v>
      </c>
      <c r="J35" s="363">
        <v>379.04190051</v>
      </c>
      <c r="K35" s="350">
        <v>379.04190051</v>
      </c>
      <c r="L35" s="349" t="s">
        <v>1192</v>
      </c>
      <c r="M35" s="356" t="s">
        <v>1193</v>
      </c>
      <c r="P35" s="334">
        <v>379.04190051</v>
      </c>
    </row>
    <row r="36" spans="1:16">
      <c r="A36" s="332">
        <v>1</v>
      </c>
      <c r="B36" s="332" t="s">
        <v>1454</v>
      </c>
      <c r="C36" s="648" t="s">
        <v>1243</v>
      </c>
      <c r="D36" s="349" t="s">
        <v>1399</v>
      </c>
      <c r="E36" s="349" t="s">
        <v>1532</v>
      </c>
      <c r="F36" s="356" t="s">
        <v>1537</v>
      </c>
      <c r="G36" s="427">
        <v>0</v>
      </c>
      <c r="H36" s="349" t="s">
        <v>1538</v>
      </c>
      <c r="I36" s="356" t="s">
        <v>1541</v>
      </c>
      <c r="J36" s="425">
        <f>Other_ES_Products!S7</f>
        <v>3.6858213897599987</v>
      </c>
      <c r="K36" s="426">
        <f>J36</f>
        <v>3.6858213897599987</v>
      </c>
      <c r="L36" s="349" t="s">
        <v>1542</v>
      </c>
      <c r="M36" s="356" t="s">
        <v>1177</v>
      </c>
    </row>
    <row r="37" spans="1:16">
      <c r="A37" s="332">
        <v>1</v>
      </c>
      <c r="B37" s="332" t="s">
        <v>1518</v>
      </c>
      <c r="C37" s="648" t="s">
        <v>1243</v>
      </c>
      <c r="D37" s="349" t="s">
        <v>1399</v>
      </c>
      <c r="E37" s="349" t="s">
        <v>1533</v>
      </c>
      <c r="F37" s="356" t="s">
        <v>1537</v>
      </c>
      <c r="G37" s="427">
        <v>0</v>
      </c>
      <c r="H37" s="349" t="s">
        <v>1539</v>
      </c>
      <c r="I37" s="356" t="s">
        <v>1183</v>
      </c>
      <c r="J37" s="425">
        <f>Other_ES_Products!S9</f>
        <v>47.681234319245519</v>
      </c>
      <c r="K37" s="426">
        <f>J37</f>
        <v>47.681234319245519</v>
      </c>
      <c r="L37" s="349" t="s">
        <v>1542</v>
      </c>
      <c r="M37" s="356" t="s">
        <v>1543</v>
      </c>
    </row>
    <row r="38" spans="1:16">
      <c r="A38" s="332">
        <v>1</v>
      </c>
      <c r="B38" s="332" t="s">
        <v>1456</v>
      </c>
      <c r="C38" s="648" t="s">
        <v>1243</v>
      </c>
      <c r="D38" s="349" t="s">
        <v>1399</v>
      </c>
      <c r="E38" s="349" t="s">
        <v>1534</v>
      </c>
      <c r="F38" s="356" t="s">
        <v>1537</v>
      </c>
      <c r="G38" s="427">
        <v>0</v>
      </c>
      <c r="H38" s="349" t="s">
        <v>1540</v>
      </c>
      <c r="I38" s="356" t="s">
        <v>1183</v>
      </c>
      <c r="J38" s="425">
        <f>Other_ES_Products!S11</f>
        <v>4.7763039519126247</v>
      </c>
      <c r="K38" s="426">
        <f>J38</f>
        <v>4.7763039519126247</v>
      </c>
      <c r="L38" s="349" t="s">
        <v>1542</v>
      </c>
      <c r="M38" s="356" t="s">
        <v>1543</v>
      </c>
    </row>
    <row r="39" spans="1:16">
      <c r="A39" s="332">
        <v>1</v>
      </c>
      <c r="B39" s="332" t="s">
        <v>31</v>
      </c>
      <c r="C39" s="355" t="s">
        <v>9</v>
      </c>
      <c r="D39" s="349" t="s">
        <v>144</v>
      </c>
      <c r="E39" s="349" t="s">
        <v>1194</v>
      </c>
      <c r="F39" s="356" t="s">
        <v>1154</v>
      </c>
      <c r="G39" s="360">
        <v>0</v>
      </c>
      <c r="H39" s="349" t="s">
        <v>1195</v>
      </c>
      <c r="I39" s="356" t="s">
        <v>1196</v>
      </c>
      <c r="J39" s="363">
        <f>Com_Lighting!R10</f>
        <v>5.9157669339672196</v>
      </c>
      <c r="K39" s="350">
        <f>Com_Lighting!R12</f>
        <v>5.9157669339672196</v>
      </c>
      <c r="L39" s="349" t="s">
        <v>1197</v>
      </c>
      <c r="M39" s="356" t="s">
        <v>1196</v>
      </c>
      <c r="N39" s="347" t="s">
        <v>1172</v>
      </c>
      <c r="P39" s="343"/>
    </row>
    <row r="40" spans="1:16">
      <c r="A40" s="332">
        <v>1</v>
      </c>
      <c r="B40" s="332" t="s">
        <v>30</v>
      </c>
      <c r="C40" s="355" t="s">
        <v>9</v>
      </c>
      <c r="D40" s="349" t="s">
        <v>144</v>
      </c>
      <c r="E40" s="349" t="s">
        <v>1198</v>
      </c>
      <c r="F40" s="356" t="s">
        <v>1154</v>
      </c>
      <c r="G40" s="360">
        <v>0</v>
      </c>
      <c r="H40" s="349" t="s">
        <v>1195</v>
      </c>
      <c r="I40" s="356" t="s">
        <v>1196</v>
      </c>
      <c r="J40" s="363">
        <f>Com_Lighting!R9</f>
        <v>5.9157669339672196</v>
      </c>
      <c r="K40" s="350">
        <f>Com_Lighting!R11</f>
        <v>5.9157669339672196</v>
      </c>
      <c r="L40" s="349" t="s">
        <v>1197</v>
      </c>
      <c r="M40" s="356" t="s">
        <v>1196</v>
      </c>
      <c r="N40" s="347" t="s">
        <v>1172</v>
      </c>
      <c r="P40" s="343"/>
    </row>
    <row r="41" spans="1:16">
      <c r="A41" s="332">
        <v>1</v>
      </c>
      <c r="B41" s="332" t="s">
        <v>95</v>
      </c>
      <c r="C41" s="355" t="s">
        <v>9</v>
      </c>
      <c r="D41" s="349" t="s">
        <v>463</v>
      </c>
      <c r="E41" s="349" t="s">
        <v>465</v>
      </c>
      <c r="F41" s="356" t="s">
        <v>534</v>
      </c>
      <c r="G41" s="360">
        <v>0</v>
      </c>
      <c r="H41" s="349" t="s">
        <v>1199</v>
      </c>
      <c r="I41" s="356" t="s">
        <v>1200</v>
      </c>
      <c r="J41" s="363">
        <v>9.1857176090665753</v>
      </c>
      <c r="K41" s="363">
        <v>9.1857176090665753</v>
      </c>
      <c r="L41" s="349" t="s">
        <v>1165</v>
      </c>
      <c r="M41" s="356" t="s">
        <v>1200</v>
      </c>
      <c r="P41" s="334">
        <v>9.1857176090665753</v>
      </c>
    </row>
    <row r="42" spans="1:16">
      <c r="A42" s="332">
        <v>1</v>
      </c>
      <c r="B42" s="332" t="s">
        <v>96</v>
      </c>
      <c r="C42" s="355" t="s">
        <v>9</v>
      </c>
      <c r="D42" s="349" t="s">
        <v>463</v>
      </c>
      <c r="E42" s="349" t="s">
        <v>465</v>
      </c>
      <c r="F42" s="356" t="s">
        <v>502</v>
      </c>
      <c r="G42" s="360">
        <v>0</v>
      </c>
      <c r="H42" s="349" t="s">
        <v>1199</v>
      </c>
      <c r="I42" s="356" t="s">
        <v>1200</v>
      </c>
      <c r="J42" s="363">
        <v>40.551553324551662</v>
      </c>
      <c r="K42" s="363">
        <v>40.551553324551662</v>
      </c>
      <c r="L42" s="349" t="s">
        <v>1165</v>
      </c>
      <c r="M42" s="356" t="s">
        <v>1200</v>
      </c>
      <c r="P42" s="334">
        <v>40.551553324551662</v>
      </c>
    </row>
    <row r="43" spans="1:16">
      <c r="A43" s="332">
        <v>1</v>
      </c>
      <c r="B43" s="332" t="s">
        <v>603</v>
      </c>
      <c r="C43" s="355" t="s">
        <v>9</v>
      </c>
      <c r="D43" s="349" t="s">
        <v>463</v>
      </c>
      <c r="E43" s="349" t="s">
        <v>1201</v>
      </c>
      <c r="F43" s="356" t="s">
        <v>534</v>
      </c>
      <c r="G43" s="360">
        <v>0</v>
      </c>
      <c r="H43" s="349" t="s">
        <v>1199</v>
      </c>
      <c r="I43" s="356" t="s">
        <v>1200</v>
      </c>
      <c r="J43" s="363">
        <v>9.1857176090665753</v>
      </c>
      <c r="K43" s="363">
        <v>9.1857176090665753</v>
      </c>
      <c r="L43" s="349" t="s">
        <v>1165</v>
      </c>
      <c r="M43" s="356" t="s">
        <v>1200</v>
      </c>
      <c r="P43" s="334">
        <v>9.1857176090665753</v>
      </c>
    </row>
    <row r="44" spans="1:16">
      <c r="A44" s="332">
        <v>1</v>
      </c>
      <c r="B44" s="332" t="s">
        <v>604</v>
      </c>
      <c r="C44" s="355" t="s">
        <v>9</v>
      </c>
      <c r="D44" s="349" t="s">
        <v>463</v>
      </c>
      <c r="E44" s="349" t="s">
        <v>1201</v>
      </c>
      <c r="F44" s="356" t="s">
        <v>502</v>
      </c>
      <c r="G44" s="360">
        <v>0</v>
      </c>
      <c r="H44" s="349" t="s">
        <v>1199</v>
      </c>
      <c r="I44" s="356" t="s">
        <v>1200</v>
      </c>
      <c r="J44" s="363">
        <v>40.551553324551662</v>
      </c>
      <c r="K44" s="363">
        <v>40.551553324551662</v>
      </c>
      <c r="L44" s="349" t="s">
        <v>1165</v>
      </c>
      <c r="M44" s="356" t="s">
        <v>1200</v>
      </c>
      <c r="P44" s="334">
        <v>40.551553324551662</v>
      </c>
    </row>
    <row r="45" spans="1:16">
      <c r="A45" s="332">
        <v>1</v>
      </c>
      <c r="B45" s="332" t="s">
        <v>601</v>
      </c>
      <c r="C45" s="355" t="s">
        <v>9</v>
      </c>
      <c r="D45" s="349" t="s">
        <v>463</v>
      </c>
      <c r="E45" s="349" t="s">
        <v>1202</v>
      </c>
      <c r="F45" s="356" t="s">
        <v>534</v>
      </c>
      <c r="G45" s="360">
        <v>0</v>
      </c>
      <c r="H45" s="349" t="s">
        <v>1199</v>
      </c>
      <c r="I45" s="356" t="s">
        <v>1200</v>
      </c>
      <c r="J45" s="363">
        <v>9.1857176090665753</v>
      </c>
      <c r="K45" s="363">
        <v>9.1857176090665753</v>
      </c>
      <c r="L45" s="349" t="s">
        <v>1165</v>
      </c>
      <c r="M45" s="356" t="s">
        <v>1200</v>
      </c>
    </row>
    <row r="46" spans="1:16">
      <c r="A46" s="332">
        <v>1</v>
      </c>
      <c r="B46" s="332" t="s">
        <v>601</v>
      </c>
      <c r="C46" s="355" t="s">
        <v>9</v>
      </c>
      <c r="D46" s="349" t="s">
        <v>463</v>
      </c>
      <c r="E46" s="349" t="s">
        <v>1202</v>
      </c>
      <c r="F46" s="356" t="s">
        <v>502</v>
      </c>
      <c r="G46" s="360">
        <v>0</v>
      </c>
      <c r="H46" s="349" t="s">
        <v>1199</v>
      </c>
      <c r="I46" s="356" t="s">
        <v>1200</v>
      </c>
      <c r="J46" s="363">
        <v>40.551553324551662</v>
      </c>
      <c r="K46" s="363">
        <v>40.551553324551662</v>
      </c>
      <c r="L46" s="349" t="s">
        <v>1165</v>
      </c>
      <c r="M46" s="356" t="s">
        <v>1200</v>
      </c>
      <c r="P46" s="334">
        <v>9.1857176090665753</v>
      </c>
    </row>
    <row r="47" spans="1:16">
      <c r="A47" s="332">
        <v>1</v>
      </c>
      <c r="B47" s="344" t="s">
        <v>102</v>
      </c>
      <c r="C47" s="355" t="s">
        <v>9</v>
      </c>
      <c r="D47" s="349" t="s">
        <v>149</v>
      </c>
      <c r="E47" s="352" t="s">
        <v>449</v>
      </c>
      <c r="F47" s="356" t="s">
        <v>1154</v>
      </c>
      <c r="G47" s="361">
        <v>0</v>
      </c>
      <c r="H47" s="349" t="s">
        <v>1801</v>
      </c>
      <c r="I47" s="356" t="s">
        <v>1739</v>
      </c>
      <c r="J47" s="363">
        <v>10.797799783425619</v>
      </c>
      <c r="K47" s="350">
        <v>10.797799783425619</v>
      </c>
      <c r="L47" s="349" t="s">
        <v>1798</v>
      </c>
      <c r="M47" s="356" t="s">
        <v>1739</v>
      </c>
      <c r="P47" s="345">
        <v>10.797799783425619</v>
      </c>
    </row>
    <row r="48" spans="1:16">
      <c r="A48" s="332">
        <v>1</v>
      </c>
      <c r="B48" s="344" t="s">
        <v>103</v>
      </c>
      <c r="C48" s="355" t="s">
        <v>9</v>
      </c>
      <c r="D48" s="349" t="s">
        <v>149</v>
      </c>
      <c r="E48" s="352" t="s">
        <v>450</v>
      </c>
      <c r="F48" s="356" t="s">
        <v>1154</v>
      </c>
      <c r="G48" s="361">
        <v>0</v>
      </c>
      <c r="H48" s="349" t="s">
        <v>1801</v>
      </c>
      <c r="I48" s="356" t="s">
        <v>1739</v>
      </c>
      <c r="J48" s="363">
        <v>16.566945737759969</v>
      </c>
      <c r="K48" s="350">
        <v>16.566945737759969</v>
      </c>
      <c r="L48" s="349" t="s">
        <v>1798</v>
      </c>
      <c r="M48" s="356" t="s">
        <v>1739</v>
      </c>
      <c r="P48" s="345">
        <v>16.566945737759969</v>
      </c>
    </row>
    <row r="49" spans="1:16">
      <c r="A49" s="332">
        <v>1</v>
      </c>
      <c r="B49" s="332" t="s">
        <v>45</v>
      </c>
      <c r="C49" s="355" t="s">
        <v>9</v>
      </c>
      <c r="D49" s="349" t="s">
        <v>149</v>
      </c>
      <c r="E49" s="352" t="s">
        <v>1074</v>
      </c>
      <c r="F49" s="356" t="s">
        <v>1154</v>
      </c>
      <c r="G49" s="360">
        <v>0</v>
      </c>
      <c r="H49" s="349" t="s">
        <v>1801</v>
      </c>
      <c r="I49" s="356" t="s">
        <v>1739</v>
      </c>
      <c r="J49" s="363">
        <f>Res_Lighting!S6</f>
        <v>10.478339776432536</v>
      </c>
      <c r="K49" s="350">
        <f>J49</f>
        <v>10.478339776432536</v>
      </c>
      <c r="L49" s="349" t="s">
        <v>1798</v>
      </c>
      <c r="M49" s="356" t="s">
        <v>1739</v>
      </c>
      <c r="P49" s="334">
        <v>5.9634303131720854</v>
      </c>
    </row>
    <row r="50" spans="1:16">
      <c r="A50" s="332">
        <v>1</v>
      </c>
      <c r="B50" s="332" t="s">
        <v>46</v>
      </c>
      <c r="C50" s="355" t="s">
        <v>9</v>
      </c>
      <c r="D50" s="349" t="s">
        <v>149</v>
      </c>
      <c r="E50" s="352" t="s">
        <v>1075</v>
      </c>
      <c r="F50" s="356" t="s">
        <v>1154</v>
      </c>
      <c r="G50" s="360">
        <v>0</v>
      </c>
      <c r="H50" s="349" t="s">
        <v>1801</v>
      </c>
      <c r="I50" s="356" t="s">
        <v>1739</v>
      </c>
      <c r="J50" s="363">
        <v>10.217843948316546</v>
      </c>
      <c r="K50" s="350">
        <v>10.217843948316546</v>
      </c>
      <c r="L50" s="349" t="s">
        <v>1798</v>
      </c>
      <c r="M50" s="356" t="s">
        <v>1739</v>
      </c>
      <c r="P50" s="334">
        <v>10.217843948316546</v>
      </c>
    </row>
    <row r="51" spans="1:16">
      <c r="A51" s="332">
        <v>2</v>
      </c>
      <c r="B51" s="332" t="s">
        <v>771</v>
      </c>
      <c r="C51" s="355" t="s">
        <v>9</v>
      </c>
      <c r="D51" s="349" t="s">
        <v>155</v>
      </c>
      <c r="E51" s="349" t="s">
        <v>426</v>
      </c>
      <c r="F51" s="356" t="s">
        <v>482</v>
      </c>
      <c r="G51" s="360">
        <v>0</v>
      </c>
      <c r="H51" s="349" t="s">
        <v>1203</v>
      </c>
      <c r="I51" s="356" t="s">
        <v>1204</v>
      </c>
      <c r="J51" s="363">
        <v>0</v>
      </c>
      <c r="K51" s="350">
        <v>0</v>
      </c>
      <c r="L51" s="349" t="s">
        <v>1205</v>
      </c>
      <c r="M51" s="356" t="s">
        <v>1204</v>
      </c>
      <c r="P51" s="334" t="s">
        <v>1206</v>
      </c>
    </row>
    <row r="52" spans="1:16">
      <c r="A52" s="332">
        <v>1</v>
      </c>
      <c r="B52" s="332" t="s">
        <v>97</v>
      </c>
      <c r="C52" s="355" t="s">
        <v>9</v>
      </c>
      <c r="D52" s="349" t="s">
        <v>155</v>
      </c>
      <c r="E52" s="349" t="s">
        <v>148</v>
      </c>
      <c r="F52" s="356" t="s">
        <v>159</v>
      </c>
      <c r="G52" s="360">
        <v>0</v>
      </c>
      <c r="H52" s="349" t="s">
        <v>1163</v>
      </c>
      <c r="I52" s="356" t="s">
        <v>1164</v>
      </c>
      <c r="J52" s="363">
        <v>49.756977781788009</v>
      </c>
      <c r="K52" s="350">
        <v>49.756977781788009</v>
      </c>
      <c r="L52" s="349" t="s">
        <v>1165</v>
      </c>
      <c r="M52" s="356" t="s">
        <v>1164</v>
      </c>
      <c r="P52" s="334">
        <v>49.756977781788009</v>
      </c>
    </row>
    <row r="53" spans="1:16">
      <c r="A53" s="332">
        <v>1</v>
      </c>
      <c r="B53" s="332" t="s">
        <v>98</v>
      </c>
      <c r="C53" s="355" t="s">
        <v>9</v>
      </c>
      <c r="D53" s="349" t="s">
        <v>155</v>
      </c>
      <c r="E53" s="349" t="s">
        <v>148</v>
      </c>
      <c r="F53" s="356" t="s">
        <v>165</v>
      </c>
      <c r="G53" s="360">
        <v>0</v>
      </c>
      <c r="H53" s="349" t="s">
        <v>1163</v>
      </c>
      <c r="I53" s="356" t="s">
        <v>1164</v>
      </c>
      <c r="J53" s="363">
        <v>79.214751581241472</v>
      </c>
      <c r="K53" s="350">
        <v>79.214751581241472</v>
      </c>
      <c r="L53" s="349" t="s">
        <v>1165</v>
      </c>
      <c r="M53" s="356" t="s">
        <v>1164</v>
      </c>
      <c r="P53" s="334">
        <v>79.214751581241472</v>
      </c>
    </row>
    <row r="54" spans="1:16">
      <c r="A54" s="332">
        <v>1</v>
      </c>
      <c r="B54" s="332" t="s">
        <v>99</v>
      </c>
      <c r="C54" s="355" t="s">
        <v>9</v>
      </c>
      <c r="D54" s="349" t="s">
        <v>155</v>
      </c>
      <c r="E54" s="349" t="s">
        <v>148</v>
      </c>
      <c r="F54" s="356" t="s">
        <v>166</v>
      </c>
      <c r="G54" s="360">
        <v>0</v>
      </c>
      <c r="H54" s="349" t="s">
        <v>1163</v>
      </c>
      <c r="I54" s="356" t="s">
        <v>1164</v>
      </c>
      <c r="J54" s="363">
        <v>94.461612834876433</v>
      </c>
      <c r="K54" s="350">
        <v>94.461612834876433</v>
      </c>
      <c r="L54" s="349" t="s">
        <v>1165</v>
      </c>
      <c r="M54" s="356" t="s">
        <v>1164</v>
      </c>
      <c r="P54" s="334">
        <v>94.461612834876433</v>
      </c>
    </row>
    <row r="55" spans="1:16">
      <c r="A55" s="332">
        <v>1</v>
      </c>
      <c r="B55" s="332" t="s">
        <v>711</v>
      </c>
      <c r="C55" s="355" t="s">
        <v>9</v>
      </c>
      <c r="D55" s="349" t="s">
        <v>155</v>
      </c>
      <c r="E55" s="349" t="s">
        <v>433</v>
      </c>
      <c r="F55" s="356" t="s">
        <v>159</v>
      </c>
      <c r="G55" s="360">
        <v>0</v>
      </c>
      <c r="H55" s="349" t="s">
        <v>1199</v>
      </c>
      <c r="I55" s="356" t="s">
        <v>1200</v>
      </c>
      <c r="J55" s="363">
        <v>10.00330702793846</v>
      </c>
      <c r="K55" s="350">
        <v>10.00330702793846</v>
      </c>
      <c r="L55" s="349" t="s">
        <v>1165</v>
      </c>
      <c r="M55" s="356" t="s">
        <v>1200</v>
      </c>
      <c r="P55" s="334">
        <v>10.00330702793846</v>
      </c>
    </row>
    <row r="56" spans="1:16">
      <c r="A56" s="332">
        <v>2</v>
      </c>
      <c r="B56" s="332" t="s">
        <v>712</v>
      </c>
      <c r="C56" s="355" t="s">
        <v>9</v>
      </c>
      <c r="D56" s="349" t="s">
        <v>155</v>
      </c>
      <c r="E56" s="349" t="s">
        <v>433</v>
      </c>
      <c r="F56" s="356" t="s">
        <v>486</v>
      </c>
      <c r="G56" s="360">
        <v>0</v>
      </c>
      <c r="H56" s="349" t="s">
        <v>1199</v>
      </c>
      <c r="I56" s="356" t="s">
        <v>1200</v>
      </c>
      <c r="J56" s="363">
        <f>Frig_Freezers!R7</f>
        <v>0</v>
      </c>
      <c r="K56" s="350">
        <f>J56</f>
        <v>0</v>
      </c>
      <c r="L56" s="349" t="s">
        <v>1332</v>
      </c>
      <c r="M56" s="356" t="s">
        <v>1207</v>
      </c>
      <c r="P56" s="334">
        <v>47.802929229999997</v>
      </c>
    </row>
    <row r="57" spans="1:16">
      <c r="A57" s="332">
        <v>1</v>
      </c>
      <c r="B57" s="332" t="s">
        <v>713</v>
      </c>
      <c r="C57" s="355" t="s">
        <v>9</v>
      </c>
      <c r="D57" s="349" t="s">
        <v>155</v>
      </c>
      <c r="E57" s="349" t="s">
        <v>476</v>
      </c>
      <c r="F57" s="356" t="s">
        <v>159</v>
      </c>
      <c r="G57" s="360">
        <v>0</v>
      </c>
      <c r="H57" s="349" t="s">
        <v>1199</v>
      </c>
      <c r="I57" s="356" t="s">
        <v>1200</v>
      </c>
      <c r="J57" s="363">
        <v>22.866299871619692</v>
      </c>
      <c r="K57" s="350">
        <v>22.866299871619692</v>
      </c>
      <c r="L57" s="349" t="s">
        <v>1165</v>
      </c>
      <c r="M57" s="356" t="s">
        <v>1200</v>
      </c>
      <c r="P57" s="334">
        <v>22.866299871619692</v>
      </c>
    </row>
    <row r="58" spans="1:16">
      <c r="A58" s="332">
        <v>2</v>
      </c>
      <c r="B58" s="332" t="s">
        <v>714</v>
      </c>
      <c r="C58" s="355" t="s">
        <v>9</v>
      </c>
      <c r="D58" s="349" t="s">
        <v>155</v>
      </c>
      <c r="E58" s="349" t="s">
        <v>476</v>
      </c>
      <c r="F58" s="356" t="s">
        <v>486</v>
      </c>
      <c r="G58" s="360">
        <v>0</v>
      </c>
      <c r="H58" s="349" t="s">
        <v>1199</v>
      </c>
      <c r="I58" s="356" t="s">
        <v>1200</v>
      </c>
      <c r="J58" s="363">
        <f>Frig_Freezers!R11</f>
        <v>0</v>
      </c>
      <c r="K58" s="350">
        <f>J58</f>
        <v>0</v>
      </c>
      <c r="L58" s="349" t="s">
        <v>1320</v>
      </c>
      <c r="M58" s="356" t="s">
        <v>1207</v>
      </c>
      <c r="P58" s="334">
        <v>57.074929570000002</v>
      </c>
    </row>
    <row r="59" spans="1:16">
      <c r="A59" s="332">
        <v>1</v>
      </c>
      <c r="B59" s="332" t="s">
        <v>715</v>
      </c>
      <c r="C59" s="355" t="s">
        <v>9</v>
      </c>
      <c r="D59" s="349" t="s">
        <v>155</v>
      </c>
      <c r="E59" s="349" t="s">
        <v>429</v>
      </c>
      <c r="F59" s="356" t="s">
        <v>159</v>
      </c>
      <c r="G59" s="360">
        <v>0</v>
      </c>
      <c r="H59" s="349" t="s">
        <v>1199</v>
      </c>
      <c r="I59" s="356" t="s">
        <v>1200</v>
      </c>
      <c r="J59" s="363">
        <v>22.866299871619692</v>
      </c>
      <c r="K59" s="350">
        <v>22.866299871619692</v>
      </c>
      <c r="L59" s="349" t="s">
        <v>1165</v>
      </c>
      <c r="M59" s="356" t="s">
        <v>1200</v>
      </c>
      <c r="P59" s="334">
        <v>22.866299871619692</v>
      </c>
    </row>
    <row r="60" spans="1:16">
      <c r="A60" s="332">
        <v>2</v>
      </c>
      <c r="B60" s="332" t="s">
        <v>716</v>
      </c>
      <c r="C60" s="355" t="s">
        <v>9</v>
      </c>
      <c r="D60" s="349" t="s">
        <v>155</v>
      </c>
      <c r="E60" s="349" t="s">
        <v>429</v>
      </c>
      <c r="F60" s="356" t="s">
        <v>486</v>
      </c>
      <c r="G60" s="360">
        <v>0</v>
      </c>
      <c r="H60" s="349" t="s">
        <v>1199</v>
      </c>
      <c r="I60" s="356" t="s">
        <v>1200</v>
      </c>
      <c r="J60" s="363">
        <f>Frig_Freezers!R15</f>
        <v>44.254756986366608</v>
      </c>
      <c r="K60" s="350">
        <f>J60</f>
        <v>44.254756986366608</v>
      </c>
      <c r="L60" s="349" t="s">
        <v>1333</v>
      </c>
      <c r="M60" s="356" t="s">
        <v>1207</v>
      </c>
      <c r="P60" s="334">
        <v>70.686374270000002</v>
      </c>
    </row>
    <row r="61" spans="1:16">
      <c r="A61" s="332">
        <v>1</v>
      </c>
      <c r="B61" s="332" t="s">
        <v>95</v>
      </c>
      <c r="C61" s="355" t="s">
        <v>9</v>
      </c>
      <c r="D61" s="349" t="s">
        <v>155</v>
      </c>
      <c r="E61" s="349" t="s">
        <v>465</v>
      </c>
      <c r="F61" s="356" t="s">
        <v>534</v>
      </c>
      <c r="G61" s="360">
        <v>0</v>
      </c>
      <c r="H61" s="349" t="s">
        <v>1199</v>
      </c>
      <c r="I61" s="356" t="s">
        <v>1200</v>
      </c>
      <c r="J61" s="363">
        <v>9.1857176090665753</v>
      </c>
      <c r="K61" s="350">
        <v>9.1857176090665753</v>
      </c>
      <c r="L61" s="349" t="s">
        <v>1165</v>
      </c>
      <c r="M61" s="356" t="s">
        <v>1200</v>
      </c>
      <c r="P61" s="334">
        <v>9.1857176090665753</v>
      </c>
    </row>
    <row r="62" spans="1:16">
      <c r="A62" s="332">
        <v>1</v>
      </c>
      <c r="B62" s="332" t="s">
        <v>96</v>
      </c>
      <c r="C62" s="355" t="s">
        <v>9</v>
      </c>
      <c r="D62" s="349" t="s">
        <v>155</v>
      </c>
      <c r="E62" s="349" t="s">
        <v>465</v>
      </c>
      <c r="F62" s="356" t="s">
        <v>502</v>
      </c>
      <c r="G62" s="360">
        <v>0</v>
      </c>
      <c r="H62" s="349" t="s">
        <v>1199</v>
      </c>
      <c r="I62" s="356" t="s">
        <v>1200</v>
      </c>
      <c r="J62" s="363">
        <v>40.551553324551662</v>
      </c>
      <c r="K62" s="350">
        <v>40.551553324551662</v>
      </c>
      <c r="L62" s="349" t="s">
        <v>1165</v>
      </c>
      <c r="M62" s="356" t="s">
        <v>1200</v>
      </c>
      <c r="P62" s="334">
        <v>40.551553324551662</v>
      </c>
    </row>
    <row r="63" spans="1:16">
      <c r="A63" s="332">
        <v>1</v>
      </c>
      <c r="B63" s="332" t="s">
        <v>603</v>
      </c>
      <c r="C63" s="355" t="s">
        <v>9</v>
      </c>
      <c r="D63" s="349" t="s">
        <v>155</v>
      </c>
      <c r="E63" s="349" t="s">
        <v>1201</v>
      </c>
      <c r="F63" s="356" t="s">
        <v>534</v>
      </c>
      <c r="G63" s="360">
        <v>0</v>
      </c>
      <c r="H63" s="349" t="s">
        <v>1199</v>
      </c>
      <c r="I63" s="356" t="s">
        <v>1200</v>
      </c>
      <c r="J63" s="363">
        <v>9.1857176090665753</v>
      </c>
      <c r="K63" s="350">
        <v>9.1857176090665753</v>
      </c>
      <c r="L63" s="349" t="s">
        <v>1165</v>
      </c>
      <c r="M63" s="356" t="s">
        <v>1200</v>
      </c>
      <c r="P63" s="334">
        <v>9.1857176090665753</v>
      </c>
    </row>
    <row r="64" spans="1:16">
      <c r="A64" s="332">
        <v>1</v>
      </c>
      <c r="B64" s="332" t="s">
        <v>604</v>
      </c>
      <c r="C64" s="355" t="s">
        <v>9</v>
      </c>
      <c r="D64" s="349" t="s">
        <v>155</v>
      </c>
      <c r="E64" s="349" t="s">
        <v>1201</v>
      </c>
      <c r="F64" s="356" t="s">
        <v>502</v>
      </c>
      <c r="G64" s="360">
        <v>0</v>
      </c>
      <c r="H64" s="349" t="s">
        <v>1199</v>
      </c>
      <c r="I64" s="356" t="s">
        <v>1200</v>
      </c>
      <c r="J64" s="363">
        <v>40.551553324551662</v>
      </c>
      <c r="K64" s="350">
        <v>40.551553324551662</v>
      </c>
      <c r="L64" s="349" t="s">
        <v>1165</v>
      </c>
      <c r="M64" s="356" t="s">
        <v>1200</v>
      </c>
      <c r="P64" s="334">
        <v>40.551553324551662</v>
      </c>
    </row>
    <row r="65" spans="1:16">
      <c r="A65" s="332">
        <v>1</v>
      </c>
      <c r="B65" s="332" t="s">
        <v>601</v>
      </c>
      <c r="C65" s="355" t="s">
        <v>9</v>
      </c>
      <c r="D65" s="349" t="s">
        <v>155</v>
      </c>
      <c r="E65" s="349" t="s">
        <v>1202</v>
      </c>
      <c r="F65" s="356" t="s">
        <v>534</v>
      </c>
      <c r="G65" s="360">
        <v>0</v>
      </c>
      <c r="H65" s="349" t="s">
        <v>1199</v>
      </c>
      <c r="I65" s="356" t="s">
        <v>1200</v>
      </c>
      <c r="J65" s="363">
        <v>9.1857176090665753</v>
      </c>
      <c r="K65" s="350">
        <v>9.1857176090665753</v>
      </c>
      <c r="L65" s="349" t="s">
        <v>1165</v>
      </c>
      <c r="M65" s="356" t="s">
        <v>1200</v>
      </c>
      <c r="P65" s="334">
        <v>9.1857176090665753</v>
      </c>
    </row>
    <row r="66" spans="1:16">
      <c r="A66" s="332">
        <v>1</v>
      </c>
      <c r="B66" s="332" t="s">
        <v>602</v>
      </c>
      <c r="C66" s="355" t="s">
        <v>9</v>
      </c>
      <c r="D66" s="349" t="s">
        <v>155</v>
      </c>
      <c r="E66" s="349" t="s">
        <v>1202</v>
      </c>
      <c r="F66" s="356" t="s">
        <v>502</v>
      </c>
      <c r="G66" s="360">
        <v>0</v>
      </c>
      <c r="H66" s="349" t="s">
        <v>1199</v>
      </c>
      <c r="I66" s="356" t="s">
        <v>1200</v>
      </c>
      <c r="J66" s="363">
        <v>40.551553324551662</v>
      </c>
      <c r="K66" s="350">
        <v>40.551553324551662</v>
      </c>
      <c r="L66" s="349" t="s">
        <v>1165</v>
      </c>
      <c r="M66" s="356" t="s">
        <v>1200</v>
      </c>
      <c r="P66" s="334">
        <v>40.551553324551662</v>
      </c>
    </row>
    <row r="67" spans="1:16">
      <c r="A67" s="332">
        <v>2</v>
      </c>
      <c r="B67" s="332" t="s">
        <v>760</v>
      </c>
      <c r="C67" s="355" t="s">
        <v>9</v>
      </c>
      <c r="D67" s="349" t="s">
        <v>155</v>
      </c>
      <c r="E67" s="349" t="s">
        <v>768</v>
      </c>
      <c r="F67" s="356" t="s">
        <v>159</v>
      </c>
      <c r="G67" s="360">
        <v>0</v>
      </c>
      <c r="H67" s="349" t="s">
        <v>1203</v>
      </c>
      <c r="I67" s="639" t="s">
        <v>1659</v>
      </c>
      <c r="J67" s="363">
        <f>Room_AC!R7</f>
        <v>64.881962781484106</v>
      </c>
      <c r="K67" s="350">
        <f>Room_AC!R6</f>
        <v>76.991096921915869</v>
      </c>
      <c r="L67" s="349" t="s">
        <v>1334</v>
      </c>
      <c r="M67" s="639" t="s">
        <v>1660</v>
      </c>
      <c r="P67" s="334" t="s">
        <v>1206</v>
      </c>
    </row>
    <row r="68" spans="1:16">
      <c r="A68" s="332">
        <v>2</v>
      </c>
      <c r="B68" s="332" t="s">
        <v>769</v>
      </c>
      <c r="C68" s="355" t="s">
        <v>9</v>
      </c>
      <c r="D68" s="349" t="s">
        <v>155</v>
      </c>
      <c r="E68" s="349" t="s">
        <v>443</v>
      </c>
      <c r="F68" s="356" t="s">
        <v>159</v>
      </c>
      <c r="G68" s="360">
        <v>0</v>
      </c>
      <c r="H68" s="349" t="s">
        <v>1203</v>
      </c>
      <c r="I68" s="639" t="s">
        <v>1658</v>
      </c>
      <c r="J68" s="363">
        <f>Soundbars!R5</f>
        <v>0.4298986439693806</v>
      </c>
      <c r="K68" s="350" t="s">
        <v>483</v>
      </c>
      <c r="L68" s="349" t="s">
        <v>1205</v>
      </c>
      <c r="M68" s="356" t="s">
        <v>1204</v>
      </c>
      <c r="P68" s="334" t="s">
        <v>1206</v>
      </c>
    </row>
    <row r="69" spans="1:16">
      <c r="A69" s="332">
        <v>2</v>
      </c>
      <c r="B69" s="332" t="s">
        <v>770</v>
      </c>
      <c r="C69" s="355" t="s">
        <v>9</v>
      </c>
      <c r="D69" s="349" t="s">
        <v>155</v>
      </c>
      <c r="E69" s="349" t="s">
        <v>443</v>
      </c>
      <c r="F69" s="356" t="s">
        <v>502</v>
      </c>
      <c r="G69" s="360">
        <v>0</v>
      </c>
      <c r="H69" s="349" t="s">
        <v>1203</v>
      </c>
      <c r="I69" s="639" t="s">
        <v>1658</v>
      </c>
      <c r="J69" s="363">
        <f>Soundbars!R6</f>
        <v>-9.2878913560306202</v>
      </c>
      <c r="K69" s="350" t="s">
        <v>483</v>
      </c>
      <c r="L69" s="349" t="s">
        <v>1657</v>
      </c>
      <c r="M69" s="356" t="s">
        <v>1204</v>
      </c>
      <c r="P69" s="334" t="s">
        <v>1206</v>
      </c>
    </row>
    <row r="70" spans="1:16">
      <c r="A70" s="332">
        <v>2</v>
      </c>
      <c r="B70" s="332" t="s">
        <v>771</v>
      </c>
      <c r="C70" s="355" t="s">
        <v>9</v>
      </c>
      <c r="D70" s="349" t="s">
        <v>155</v>
      </c>
      <c r="E70" s="349" t="s">
        <v>443</v>
      </c>
      <c r="F70" s="356" t="s">
        <v>503</v>
      </c>
      <c r="G70" s="360">
        <v>0</v>
      </c>
      <c r="H70" s="349" t="s">
        <v>1203</v>
      </c>
      <c r="I70" s="639" t="s">
        <v>1658</v>
      </c>
      <c r="J70" s="363">
        <f>Soundbars!R7</f>
        <v>10.211368643969383</v>
      </c>
      <c r="K70" s="350" t="s">
        <v>483</v>
      </c>
      <c r="L70" s="349" t="s">
        <v>1205</v>
      </c>
      <c r="M70" s="356" t="s">
        <v>1204</v>
      </c>
      <c r="P70" s="334" t="s">
        <v>1206</v>
      </c>
    </row>
    <row r="71" spans="1:16">
      <c r="A71" s="332">
        <v>1</v>
      </c>
      <c r="B71" s="332" t="s">
        <v>54</v>
      </c>
      <c r="C71" s="355" t="s">
        <v>9</v>
      </c>
      <c r="D71" s="349" t="s">
        <v>152</v>
      </c>
      <c r="E71" s="349" t="s">
        <v>430</v>
      </c>
      <c r="F71" s="356" t="s">
        <v>487</v>
      </c>
      <c r="G71" s="360">
        <v>0</v>
      </c>
      <c r="H71" s="349" t="s">
        <v>1208</v>
      </c>
      <c r="I71" s="356" t="s">
        <v>1209</v>
      </c>
      <c r="J71" s="363">
        <f>SUMIFS(Clothes_Dryers!$R$6:$R$17,Clothes_Dryers!$L$6:$L$17,J$3,Clothes_Dryers!$K$6:$K$17,$F71)</f>
        <v>67.565806103717364</v>
      </c>
      <c r="K71" s="363">
        <f>SUMIFS(Clothes_Dryers!$R$6:$R$17,Clothes_Dryers!$L$6:$L$17,K$3,Clothes_Dryers!$K$6:$K$17,$F71)</f>
        <v>67.565806103717364</v>
      </c>
      <c r="L71" s="349" t="s">
        <v>1805</v>
      </c>
      <c r="M71" s="356" t="s">
        <v>1806</v>
      </c>
      <c r="P71" s="334">
        <v>74.318552865024344</v>
      </c>
    </row>
    <row r="72" spans="1:16">
      <c r="A72" s="332">
        <v>1</v>
      </c>
      <c r="B72" s="332" t="s">
        <v>88</v>
      </c>
      <c r="C72" s="355" t="s">
        <v>9</v>
      </c>
      <c r="D72" s="349" t="s">
        <v>152</v>
      </c>
      <c r="E72" s="349" t="s">
        <v>430</v>
      </c>
      <c r="F72" s="356" t="s">
        <v>488</v>
      </c>
      <c r="G72" s="360">
        <v>0</v>
      </c>
      <c r="H72" s="349" t="s">
        <v>1199</v>
      </c>
      <c r="I72" s="356" t="s">
        <v>940</v>
      </c>
      <c r="J72" s="363">
        <f>SUMIFS(Clothes_Dryers!$R$6:$R$17,Clothes_Dryers!$L$6:$L$17,J$3,Clothes_Dryers!$K$6:$K$17,$F72)</f>
        <v>323.88953563203387</v>
      </c>
      <c r="K72" s="363">
        <f>SUMIFS(Clothes_Dryers!$R$6:$R$17,Clothes_Dryers!$L$6:$L$17,K$3,Clothes_Dryers!$K$6:$K$17,$F72)</f>
        <v>323.88953563203387</v>
      </c>
      <c r="L72" s="349" t="s">
        <v>1805</v>
      </c>
      <c r="M72" s="356" t="s">
        <v>1806</v>
      </c>
      <c r="P72" s="334">
        <v>112.22747022612913</v>
      </c>
    </row>
    <row r="73" spans="1:16">
      <c r="A73" s="332">
        <v>1</v>
      </c>
      <c r="B73" s="332" t="s">
        <v>89</v>
      </c>
      <c r="C73" s="355" t="s">
        <v>9</v>
      </c>
      <c r="D73" s="349" t="s">
        <v>152</v>
      </c>
      <c r="E73" s="349" t="s">
        <v>430</v>
      </c>
      <c r="F73" s="356" t="s">
        <v>489</v>
      </c>
      <c r="G73" s="360">
        <v>0</v>
      </c>
      <c r="H73" s="349" t="s">
        <v>1199</v>
      </c>
      <c r="I73" s="356" t="s">
        <v>940</v>
      </c>
      <c r="J73" s="363">
        <f>SUMIFS(Clothes_Dryers!$R$6:$R$17,Clothes_Dryers!$L$6:$L$17,J$3,Clothes_Dryers!$K$6:$K$17,$F73)</f>
        <v>434.79864307026338</v>
      </c>
      <c r="K73" s="363">
        <f>SUMIFS(Clothes_Dryers!$R$6:$R$17,Clothes_Dryers!$L$6:$L$17,K$3,Clothes_Dryers!$K$6:$K$17,$F73)</f>
        <v>434.79864307026338</v>
      </c>
      <c r="L73" s="349" t="s">
        <v>1805</v>
      </c>
      <c r="M73" s="356" t="s">
        <v>1806</v>
      </c>
      <c r="P73" s="334">
        <v>119.39955312133884</v>
      </c>
    </row>
    <row r="74" spans="1:16">
      <c r="A74" s="332">
        <v>1</v>
      </c>
      <c r="B74" s="332" t="s">
        <v>90</v>
      </c>
      <c r="C74" s="355" t="s">
        <v>9</v>
      </c>
      <c r="D74" s="349" t="s">
        <v>152</v>
      </c>
      <c r="E74" s="349" t="s">
        <v>430</v>
      </c>
      <c r="F74" s="356" t="s">
        <v>490</v>
      </c>
      <c r="G74" s="360">
        <v>0</v>
      </c>
      <c r="H74" s="349" t="s">
        <v>1199</v>
      </c>
      <c r="I74" s="356" t="s">
        <v>940</v>
      </c>
      <c r="J74" s="363">
        <f>SUMIFS(Clothes_Dryers!$R$6:$R$17,Clothes_Dryers!$L$6:$L$17,J$3,Clothes_Dryers!$K$6:$K$17,$F74)</f>
        <v>534.14988628424771</v>
      </c>
      <c r="K74" s="363">
        <f>SUMIFS(Clothes_Dryers!$R$6:$R$17,Clothes_Dryers!$L$6:$L$17,K$3,Clothes_Dryers!$K$6:$K$17,$F74)</f>
        <v>534.14988628424771</v>
      </c>
      <c r="L74" s="349" t="s">
        <v>1805</v>
      </c>
      <c r="M74" s="356" t="s">
        <v>1806</v>
      </c>
      <c r="P74" s="334">
        <v>86.081404691762543</v>
      </c>
    </row>
    <row r="75" spans="1:16">
      <c r="A75" s="332">
        <v>1</v>
      </c>
      <c r="B75" s="332" t="s">
        <v>91</v>
      </c>
      <c r="C75" s="355" t="s">
        <v>9</v>
      </c>
      <c r="D75" s="349" t="s">
        <v>152</v>
      </c>
      <c r="E75" s="349" t="s">
        <v>430</v>
      </c>
      <c r="F75" s="356" t="s">
        <v>491</v>
      </c>
      <c r="G75" s="360">
        <v>0</v>
      </c>
      <c r="H75" s="349" t="s">
        <v>1199</v>
      </c>
      <c r="I75" s="356" t="s">
        <v>940</v>
      </c>
      <c r="J75" s="363">
        <f>SUMIFS(Clothes_Dryers!$R$6:$R$17,Clothes_Dryers!$L$6:$L$17,J$3,Clothes_Dryers!$K$6:$K$17,$F75)</f>
        <v>584.49959083596605</v>
      </c>
      <c r="K75" s="363">
        <f>SUMIFS(Clothes_Dryers!$R$6:$R$17,Clothes_Dryers!$L$6:$L$17,K$3,Clothes_Dryers!$K$6:$K$17,$F75)</f>
        <v>584.49959083596605</v>
      </c>
      <c r="L75" s="349" t="s">
        <v>1805</v>
      </c>
      <c r="M75" s="356" t="s">
        <v>1806</v>
      </c>
      <c r="P75" s="334">
        <v>59.0167555957118</v>
      </c>
    </row>
    <row r="76" spans="1:16">
      <c r="A76" s="332">
        <v>1</v>
      </c>
      <c r="B76" s="332" t="s">
        <v>117</v>
      </c>
      <c r="C76" s="355" t="s">
        <v>9</v>
      </c>
      <c r="D76" s="349" t="s">
        <v>152</v>
      </c>
      <c r="E76" s="349" t="s">
        <v>430</v>
      </c>
      <c r="F76" s="356" t="s">
        <v>492</v>
      </c>
      <c r="G76" s="360">
        <v>0</v>
      </c>
      <c r="H76" s="349" t="s">
        <v>1199</v>
      </c>
      <c r="I76" s="356" t="s">
        <v>940</v>
      </c>
      <c r="J76" s="363">
        <f>SUMIFS(Clothes_Dryers!$R$6:$R$17,Clothes_Dryers!$L$6:$L$17,J$3,Clothes_Dryers!$K$6:$K$17,$F76)</f>
        <v>623.87140898542452</v>
      </c>
      <c r="K76" s="363">
        <f>SUMIFS(Clothes_Dryers!$R$6:$R$17,Clothes_Dryers!$L$6:$L$17,K$3,Clothes_Dryers!$K$6:$K$17,$F76)</f>
        <v>623.87140898542452</v>
      </c>
      <c r="L76" s="349" t="s">
        <v>1805</v>
      </c>
      <c r="M76" s="356" t="s">
        <v>1806</v>
      </c>
      <c r="P76" s="334">
        <v>43.026930286728373</v>
      </c>
    </row>
    <row r="77" spans="1:16">
      <c r="A77" s="332">
        <v>1</v>
      </c>
      <c r="B77" s="332" t="s">
        <v>122</v>
      </c>
      <c r="C77" s="355" t="s">
        <v>9</v>
      </c>
      <c r="D77" s="349" t="s">
        <v>142</v>
      </c>
      <c r="E77" s="349" t="s">
        <v>1233</v>
      </c>
      <c r="F77" s="356" t="s">
        <v>1154</v>
      </c>
      <c r="G77" s="360">
        <v>0</v>
      </c>
      <c r="H77" s="349" t="s">
        <v>1240</v>
      </c>
      <c r="I77" s="356" t="s">
        <v>1169</v>
      </c>
      <c r="J77" s="363">
        <v>8760000</v>
      </c>
      <c r="K77" s="350">
        <v>8760000</v>
      </c>
      <c r="L77" s="349" t="s">
        <v>1661</v>
      </c>
      <c r="M77" s="356" t="s">
        <v>1662</v>
      </c>
    </row>
    <row r="78" spans="1:16">
      <c r="A78" s="332">
        <v>1</v>
      </c>
      <c r="B78" s="332" t="s">
        <v>1227</v>
      </c>
      <c r="C78" s="620" t="s">
        <v>1243</v>
      </c>
      <c r="D78" s="621" t="s">
        <v>142</v>
      </c>
      <c r="E78" s="621" t="s">
        <v>1239</v>
      </c>
      <c r="F78" s="622" t="s">
        <v>1154</v>
      </c>
      <c r="G78" s="623">
        <v>0</v>
      </c>
      <c r="H78" s="621" t="s">
        <v>1240</v>
      </c>
      <c r="I78" s="622" t="s">
        <v>1169</v>
      </c>
      <c r="J78" s="624">
        <v>0</v>
      </c>
      <c r="K78" s="625">
        <v>248.88078548388921</v>
      </c>
      <c r="L78" s="621" t="s">
        <v>1241</v>
      </c>
      <c r="M78" s="622" t="s">
        <v>1242</v>
      </c>
    </row>
    <row r="79" spans="1:16">
      <c r="A79" s="332">
        <v>1</v>
      </c>
      <c r="B79" s="332" t="s">
        <v>1429</v>
      </c>
      <c r="C79" s="357" t="s">
        <v>1243</v>
      </c>
      <c r="D79" s="358" t="s">
        <v>142</v>
      </c>
      <c r="E79" s="358" t="s">
        <v>1625</v>
      </c>
      <c r="F79" s="359" t="s">
        <v>1154</v>
      </c>
      <c r="G79" s="362">
        <v>0</v>
      </c>
      <c r="H79" s="358" t="s">
        <v>1240</v>
      </c>
      <c r="I79" s="359" t="s">
        <v>1169</v>
      </c>
      <c r="J79" s="366">
        <v>0</v>
      </c>
      <c r="K79" s="367">
        <v>368.4396511681062</v>
      </c>
      <c r="L79" s="358" t="s">
        <v>1626</v>
      </c>
      <c r="M79" s="359" t="s">
        <v>1627</v>
      </c>
    </row>
  </sheetData>
  <autoFilter ref="A3:P79"/>
  <mergeCells count="4">
    <mergeCell ref="C2:F2"/>
    <mergeCell ref="G2:I2"/>
    <mergeCell ref="J2:M2"/>
    <mergeCell ref="C1:M1"/>
  </mergeCells>
  <pageMargins left="0.7" right="0.7" top="0.75" bottom="0.75" header="0.3" footer="0.3"/>
  <pageSetup paperSize="5" scale="4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20"/>
  <sheetViews>
    <sheetView workbookViewId="0"/>
  </sheetViews>
  <sheetFormatPr defaultRowHeight="14.4"/>
  <cols>
    <col min="1" max="1" width="29.5546875" customWidth="1"/>
    <col min="3" max="3" width="26.44140625" customWidth="1"/>
    <col min="7" max="7" width="32.6640625" customWidth="1"/>
    <col min="8" max="8" width="21.88671875" customWidth="1"/>
  </cols>
  <sheetData>
    <row r="1" spans="1:9">
      <c r="A1" s="265" t="s">
        <v>1101</v>
      </c>
      <c r="B1" s="265" t="s">
        <v>839</v>
      </c>
      <c r="C1" s="265" t="s">
        <v>1102</v>
      </c>
      <c r="D1" s="265" t="s">
        <v>1103</v>
      </c>
      <c r="E1" s="265" t="s">
        <v>1104</v>
      </c>
      <c r="F1" s="265" t="s">
        <v>8</v>
      </c>
      <c r="G1" s="265" t="s">
        <v>1105</v>
      </c>
      <c r="H1" s="265" t="s">
        <v>1106</v>
      </c>
      <c r="I1" s="265" t="s">
        <v>1152</v>
      </c>
    </row>
    <row r="2" spans="1:9">
      <c r="A2" s="266" t="s">
        <v>1107</v>
      </c>
      <c r="B2" s="266" t="s">
        <v>1107</v>
      </c>
      <c r="C2" s="266" t="s">
        <v>1108</v>
      </c>
      <c r="D2" s="266">
        <v>2018</v>
      </c>
      <c r="E2" s="266" t="s">
        <v>16</v>
      </c>
      <c r="F2" s="266">
        <v>2017</v>
      </c>
      <c r="G2" s="266" t="s">
        <v>1109</v>
      </c>
      <c r="H2" s="266" t="s">
        <v>1144</v>
      </c>
      <c r="I2" s="266" t="s">
        <v>1870</v>
      </c>
    </row>
    <row r="3" spans="1:9">
      <c r="A3" s="266" t="s">
        <v>1110</v>
      </c>
      <c r="B3" s="266" t="s">
        <v>1111</v>
      </c>
      <c r="C3" s="266" t="s">
        <v>237</v>
      </c>
      <c r="D3" s="266">
        <v>2019</v>
      </c>
      <c r="E3" s="266" t="s">
        <v>1107</v>
      </c>
      <c r="F3" s="266">
        <v>2018</v>
      </c>
      <c r="G3" s="266" t="s">
        <v>1112</v>
      </c>
      <c r="I3" t="s">
        <v>272</v>
      </c>
    </row>
    <row r="4" spans="1:9">
      <c r="A4" s="266" t="s">
        <v>1113</v>
      </c>
      <c r="B4" s="266" t="s">
        <v>1114</v>
      </c>
      <c r="C4" s="266" t="s">
        <v>1115</v>
      </c>
      <c r="D4" s="266" t="s">
        <v>895</v>
      </c>
      <c r="F4" s="266">
        <v>2019</v>
      </c>
      <c r="G4" s="266" t="s">
        <v>1116</v>
      </c>
      <c r="I4" t="s">
        <v>237</v>
      </c>
    </row>
    <row r="5" spans="1:9">
      <c r="A5" s="266" t="s">
        <v>886</v>
      </c>
      <c r="B5" s="266" t="s">
        <v>1117</v>
      </c>
      <c r="C5" s="266" t="s">
        <v>1118</v>
      </c>
      <c r="D5" s="266"/>
      <c r="F5" s="266">
        <v>2020</v>
      </c>
      <c r="G5" s="266" t="s">
        <v>1119</v>
      </c>
    </row>
    <row r="6" spans="1:9">
      <c r="A6" s="266" t="s">
        <v>1120</v>
      </c>
      <c r="B6" s="266" t="s">
        <v>1121</v>
      </c>
      <c r="C6" s="266"/>
      <c r="D6" s="266"/>
      <c r="F6" s="266">
        <v>2021</v>
      </c>
      <c r="G6" s="266" t="s">
        <v>1122</v>
      </c>
    </row>
    <row r="7" spans="1:9">
      <c r="A7" s="266" t="s">
        <v>1123</v>
      </c>
      <c r="C7" s="266"/>
      <c r="D7" s="266"/>
      <c r="F7" s="266"/>
      <c r="G7" s="266" t="s">
        <v>1124</v>
      </c>
    </row>
    <row r="8" spans="1:9">
      <c r="A8" s="266" t="s">
        <v>1125</v>
      </c>
      <c r="C8" s="266"/>
      <c r="D8" s="266"/>
      <c r="F8" s="266"/>
      <c r="G8" s="266" t="s">
        <v>1126</v>
      </c>
    </row>
    <row r="9" spans="1:9">
      <c r="A9" s="266" t="s">
        <v>1127</v>
      </c>
      <c r="G9" s="266" t="s">
        <v>1128</v>
      </c>
    </row>
    <row r="10" spans="1:9">
      <c r="A10" s="266" t="s">
        <v>1129</v>
      </c>
      <c r="G10" s="266" t="s">
        <v>1130</v>
      </c>
    </row>
    <row r="11" spans="1:9">
      <c r="A11" s="266" t="s">
        <v>1131</v>
      </c>
      <c r="G11" s="266" t="s">
        <v>1132</v>
      </c>
    </row>
    <row r="12" spans="1:9">
      <c r="A12" s="266" t="s">
        <v>1133</v>
      </c>
      <c r="G12" s="266" t="s">
        <v>1246</v>
      </c>
    </row>
    <row r="13" spans="1:9">
      <c r="A13" s="266" t="s">
        <v>1134</v>
      </c>
      <c r="G13" s="266" t="s">
        <v>2274</v>
      </c>
    </row>
    <row r="14" spans="1:9">
      <c r="A14" s="266" t="s">
        <v>1135</v>
      </c>
    </row>
    <row r="15" spans="1:9">
      <c r="A15" s="266" t="s">
        <v>1136</v>
      </c>
    </row>
    <row r="16" spans="1:9">
      <c r="A16" s="266" t="s">
        <v>1137</v>
      </c>
    </row>
    <row r="17" spans="1:1">
      <c r="A17" s="266" t="s">
        <v>1138</v>
      </c>
    </row>
    <row r="18" spans="1:1">
      <c r="A18" s="266" t="s">
        <v>1139</v>
      </c>
    </row>
    <row r="19" spans="1:1">
      <c r="A19" s="266" t="s">
        <v>1140</v>
      </c>
    </row>
    <row r="20" spans="1:1">
      <c r="A20" s="266" t="s">
        <v>1141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86"/>
  <sheetViews>
    <sheetView workbookViewId="0"/>
  </sheetViews>
  <sheetFormatPr defaultRowHeight="14.4"/>
  <cols>
    <col min="2" max="2" width="22.88671875" customWidth="1"/>
    <col min="3" max="3" width="92.44140625" customWidth="1"/>
    <col min="4" max="4" width="8.5546875" customWidth="1"/>
    <col min="5" max="5" width="16.88671875" bestFit="1" customWidth="1"/>
    <col min="6" max="6" width="31.88671875" bestFit="1" customWidth="1"/>
    <col min="7" max="7" width="33.88671875" customWidth="1"/>
    <col min="8" max="8" width="33.88671875" bestFit="1" customWidth="1"/>
    <col min="9" max="9" width="11" customWidth="1"/>
  </cols>
  <sheetData>
    <row r="1" spans="2:6">
      <c r="B1" s="65" t="s">
        <v>133</v>
      </c>
      <c r="C1" s="804" t="s" vm="1">
        <v>134</v>
      </c>
    </row>
    <row r="2" spans="2:6">
      <c r="B2" s="65" t="s">
        <v>132</v>
      </c>
      <c r="C2" s="804" t="s" vm="2">
        <v>9</v>
      </c>
    </row>
    <row r="4" spans="2:6">
      <c r="B4" s="65" t="s">
        <v>4</v>
      </c>
      <c r="C4" s="65" t="s">
        <v>167</v>
      </c>
      <c r="D4" s="65" t="s">
        <v>185</v>
      </c>
      <c r="E4" s="65" t="s">
        <v>11</v>
      </c>
      <c r="F4" t="s">
        <v>191</v>
      </c>
    </row>
    <row r="5" spans="2:6">
      <c r="B5" s="804" t="s">
        <v>141</v>
      </c>
      <c r="C5" s="804" t="s">
        <v>169</v>
      </c>
      <c r="D5" s="804" t="s">
        <v>187</v>
      </c>
      <c r="E5" s="804" t="s">
        <v>307</v>
      </c>
      <c r="F5" s="66">
        <v>2.0024649637463607</v>
      </c>
    </row>
    <row r="6" spans="2:6">
      <c r="B6" s="804" t="s">
        <v>147</v>
      </c>
      <c r="C6" s="804" t="s">
        <v>170</v>
      </c>
      <c r="D6" s="804" t="s">
        <v>187</v>
      </c>
      <c r="E6" s="804" t="s">
        <v>316</v>
      </c>
      <c r="F6" s="66">
        <v>0.33488397000000003</v>
      </c>
    </row>
    <row r="7" spans="2:6">
      <c r="B7" s="804" t="s">
        <v>148</v>
      </c>
      <c r="C7" s="804" t="s">
        <v>178</v>
      </c>
      <c r="D7" s="804" t="s">
        <v>187</v>
      </c>
      <c r="E7" s="804" t="s">
        <v>317</v>
      </c>
      <c r="F7" s="66">
        <v>-0.27557974600065327</v>
      </c>
    </row>
    <row r="8" spans="2:6">
      <c r="B8" s="804" t="s">
        <v>140</v>
      </c>
      <c r="C8" s="804" t="s">
        <v>1395</v>
      </c>
      <c r="D8" s="804" t="s">
        <v>189</v>
      </c>
      <c r="E8" s="804" t="s">
        <v>308</v>
      </c>
      <c r="F8" s="66">
        <v>2.4549712882560443E-2</v>
      </c>
    </row>
    <row r="9" spans="2:6">
      <c r="B9" s="804" t="s">
        <v>137</v>
      </c>
      <c r="C9" s="804" t="s">
        <v>177</v>
      </c>
      <c r="D9" s="804" t="s">
        <v>187</v>
      </c>
      <c r="E9" s="804" t="s">
        <v>309</v>
      </c>
      <c r="F9" s="66">
        <v>4.3252624543250837</v>
      </c>
    </row>
    <row r="10" spans="2:6">
      <c r="B10" s="804" t="s">
        <v>139</v>
      </c>
      <c r="C10" s="804" t="s">
        <v>176</v>
      </c>
      <c r="D10" s="804" t="s">
        <v>187</v>
      </c>
      <c r="E10" s="804" t="s">
        <v>310</v>
      </c>
      <c r="F10" s="66">
        <v>13.249681736388402</v>
      </c>
    </row>
    <row r="11" spans="2:6">
      <c r="B11" s="804" t="s">
        <v>146</v>
      </c>
      <c r="C11" s="804" t="s">
        <v>179</v>
      </c>
      <c r="D11" s="804" t="s">
        <v>187</v>
      </c>
      <c r="E11" s="804" t="s">
        <v>315</v>
      </c>
      <c r="F11" s="66">
        <v>0.93803993462185464</v>
      </c>
    </row>
    <row r="12" spans="2:6">
      <c r="B12" s="804" t="s">
        <v>151</v>
      </c>
      <c r="C12" s="804" t="s">
        <v>168</v>
      </c>
      <c r="D12" s="804" t="s">
        <v>186</v>
      </c>
      <c r="E12" s="804" t="s">
        <v>318</v>
      </c>
      <c r="F12" s="66">
        <v>10.329683659370945</v>
      </c>
    </row>
    <row r="13" spans="2:6">
      <c r="B13" s="804" t="s">
        <v>161</v>
      </c>
      <c r="C13" s="804" t="s">
        <v>182</v>
      </c>
      <c r="D13" s="804" t="s">
        <v>189</v>
      </c>
      <c r="E13" s="804" t="s">
        <v>311</v>
      </c>
      <c r="F13" s="66">
        <v>6.2002094117021581E-2</v>
      </c>
    </row>
    <row r="14" spans="2:6">
      <c r="B14" s="804" t="s">
        <v>153</v>
      </c>
      <c r="C14" s="804" t="s">
        <v>173</v>
      </c>
      <c r="D14" s="804" t="s">
        <v>186</v>
      </c>
      <c r="E14" s="804" t="s">
        <v>319</v>
      </c>
      <c r="F14" s="66">
        <v>4.1037659618869169</v>
      </c>
    </row>
    <row r="15" spans="2:6">
      <c r="B15" s="804" t="s">
        <v>143</v>
      </c>
      <c r="C15" s="804" t="s">
        <v>183</v>
      </c>
      <c r="D15" s="804" t="s">
        <v>186</v>
      </c>
      <c r="E15" s="804" t="s">
        <v>312</v>
      </c>
      <c r="F15" s="66">
        <v>0.3504006360536861</v>
      </c>
    </row>
    <row r="16" spans="2:6">
      <c r="B16" s="804" t="s">
        <v>1396</v>
      </c>
      <c r="C16" s="804" t="s">
        <v>1397</v>
      </c>
      <c r="D16" s="804" t="s">
        <v>188</v>
      </c>
      <c r="E16" s="804" t="s">
        <v>1398</v>
      </c>
      <c r="F16" s="66">
        <v>25.652366378807603</v>
      </c>
    </row>
    <row r="17" spans="2:6">
      <c r="B17" s="804" t="s">
        <v>138</v>
      </c>
      <c r="C17" s="804" t="s">
        <v>180</v>
      </c>
      <c r="D17" s="804" t="s">
        <v>186</v>
      </c>
      <c r="E17" s="804" t="s">
        <v>313</v>
      </c>
      <c r="F17" s="66">
        <v>185.9827443018182</v>
      </c>
    </row>
    <row r="18" spans="2:6">
      <c r="B18" s="804" t="s">
        <v>150</v>
      </c>
      <c r="C18" s="804" t="s">
        <v>180</v>
      </c>
      <c r="D18" s="804" t="s">
        <v>186</v>
      </c>
      <c r="E18" s="804" t="s">
        <v>320</v>
      </c>
      <c r="F18" s="66">
        <v>5.2897178368379247</v>
      </c>
    </row>
    <row r="19" spans="2:6">
      <c r="B19" s="804" t="s">
        <v>1399</v>
      </c>
      <c r="C19" s="804" t="s">
        <v>1400</v>
      </c>
      <c r="D19" s="804" t="s">
        <v>187</v>
      </c>
      <c r="E19" s="804" t="s">
        <v>1401</v>
      </c>
      <c r="F19" s="66">
        <v>4.6367169414921428</v>
      </c>
    </row>
    <row r="20" spans="2:6">
      <c r="B20" s="804" t="s">
        <v>142</v>
      </c>
      <c r="C20" s="804" t="s">
        <v>174</v>
      </c>
      <c r="D20" s="804" t="s">
        <v>186</v>
      </c>
      <c r="E20" s="804" t="s">
        <v>325</v>
      </c>
      <c r="F20" s="66">
        <v>26.14409211139801</v>
      </c>
    </row>
    <row r="21" spans="2:6">
      <c r="B21" s="804" t="s">
        <v>145</v>
      </c>
      <c r="C21" s="804" t="s">
        <v>172</v>
      </c>
      <c r="D21" s="804" t="s">
        <v>187</v>
      </c>
      <c r="E21" s="804" t="s">
        <v>326</v>
      </c>
      <c r="F21" s="66">
        <v>0</v>
      </c>
    </row>
    <row r="22" spans="2:6">
      <c r="B22" s="804" t="s">
        <v>144</v>
      </c>
      <c r="C22" s="804" t="s">
        <v>171</v>
      </c>
      <c r="D22" s="804" t="s">
        <v>187</v>
      </c>
      <c r="E22" s="804" t="s">
        <v>314</v>
      </c>
      <c r="F22" s="66">
        <v>2.8776154020104019</v>
      </c>
    </row>
    <row r="23" spans="2:6">
      <c r="B23" s="804" t="s">
        <v>463</v>
      </c>
      <c r="C23" s="804" t="s">
        <v>1402</v>
      </c>
      <c r="D23" s="804" t="s">
        <v>187</v>
      </c>
      <c r="E23" s="804" t="s">
        <v>1403</v>
      </c>
      <c r="F23" s="66">
        <v>-3.8369852663718618E-2</v>
      </c>
    </row>
    <row r="24" spans="2:6">
      <c r="B24" s="804" t="s">
        <v>149</v>
      </c>
      <c r="C24" s="804" t="s">
        <v>175</v>
      </c>
      <c r="D24" s="804" t="s">
        <v>187</v>
      </c>
      <c r="E24" s="804" t="s">
        <v>322</v>
      </c>
      <c r="F24" s="66">
        <v>68.516255385008705</v>
      </c>
    </row>
    <row r="25" spans="2:6">
      <c r="B25" s="804" t="s">
        <v>154</v>
      </c>
      <c r="C25" s="804" t="s">
        <v>1404</v>
      </c>
      <c r="D25" s="804" t="s">
        <v>190</v>
      </c>
      <c r="E25" s="804" t="s">
        <v>321</v>
      </c>
      <c r="F25" s="66">
        <v>11.880104110736749</v>
      </c>
    </row>
    <row r="26" spans="2:6">
      <c r="B26" s="804" t="s">
        <v>155</v>
      </c>
      <c r="C26" s="804" t="s">
        <v>184</v>
      </c>
      <c r="D26" s="804" t="s">
        <v>190</v>
      </c>
      <c r="E26" s="804" t="s">
        <v>327</v>
      </c>
      <c r="F26" s="66">
        <v>-2.0378514966809389</v>
      </c>
    </row>
    <row r="27" spans="2:6">
      <c r="B27" s="804" t="s">
        <v>152</v>
      </c>
      <c r="C27" s="804" t="s">
        <v>181</v>
      </c>
      <c r="D27" s="804" t="s">
        <v>190</v>
      </c>
      <c r="E27" s="804" t="s">
        <v>324</v>
      </c>
      <c r="F27" s="66">
        <v>3.8553930622625288</v>
      </c>
    </row>
    <row r="86" spans="1:11">
      <c r="A86" s="67"/>
      <c r="I86" s="67"/>
      <c r="J86" s="67"/>
      <c r="K86" s="67"/>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tint="0.499984740745262"/>
  </sheetPr>
  <dimension ref="A1:P30"/>
  <sheetViews>
    <sheetView workbookViewId="0"/>
  </sheetViews>
  <sheetFormatPr defaultColWidth="18.6640625" defaultRowHeight="12.75" customHeight="1"/>
  <cols>
    <col min="1" max="1" width="9.109375" style="1" customWidth="1"/>
    <col min="2" max="5" width="13.109375" style="1" customWidth="1"/>
    <col min="6" max="6" width="9.109375" style="1" customWidth="1"/>
    <col min="7" max="15" width="18.6640625" style="1"/>
    <col min="16" max="16" width="0" style="1" hidden="1" customWidth="1"/>
    <col min="17" max="16384" width="18.6640625" style="1"/>
  </cols>
  <sheetData>
    <row r="1" spans="1:16" ht="14.4">
      <c r="A1" s="154" t="s">
        <v>885</v>
      </c>
      <c r="P1" s="155" t="s">
        <v>886</v>
      </c>
    </row>
    <row r="2" spans="1:16" ht="14.4">
      <c r="A2" s="156" t="s">
        <v>1136</v>
      </c>
    </row>
    <row r="3" spans="1:16" ht="14.4">
      <c r="A3" s="157" t="s">
        <v>1631</v>
      </c>
    </row>
    <row r="4" spans="1:16" ht="14.4">
      <c r="A4" s="157"/>
      <c r="B4" s="158" t="s">
        <v>887</v>
      </c>
      <c r="C4" s="158" t="s">
        <v>888</v>
      </c>
      <c r="D4" s="158" t="s">
        <v>880</v>
      </c>
      <c r="E4" s="158" t="s">
        <v>881</v>
      </c>
    </row>
    <row r="5" spans="1:16" ht="14.4">
      <c r="A5" s="159" t="s">
        <v>8</v>
      </c>
      <c r="B5" s="159" t="s">
        <v>889</v>
      </c>
      <c r="C5" s="159" t="s">
        <v>890</v>
      </c>
      <c r="D5" s="159" t="s">
        <v>891</v>
      </c>
      <c r="E5" s="159" t="s">
        <v>892</v>
      </c>
      <c r="F5" s="160" t="s">
        <v>893</v>
      </c>
    </row>
    <row r="6" spans="1:16" ht="14.4">
      <c r="A6" s="161">
        <v>1997</v>
      </c>
      <c r="B6" s="162">
        <v>2.5600000000000001E-2</v>
      </c>
      <c r="C6" s="162">
        <v>0</v>
      </c>
      <c r="D6" s="162">
        <v>0</v>
      </c>
      <c r="E6" s="162">
        <v>0</v>
      </c>
      <c r="F6" s="162">
        <v>0</v>
      </c>
    </row>
    <row r="7" spans="1:16" ht="14.4">
      <c r="A7" s="161">
        <f>A6+1</f>
        <v>1998</v>
      </c>
      <c r="B7" s="162">
        <v>2.5600000000000001E-2</v>
      </c>
      <c r="C7" s="162">
        <v>0</v>
      </c>
      <c r="D7" s="162">
        <v>0</v>
      </c>
      <c r="E7" s="162">
        <v>0</v>
      </c>
      <c r="F7" s="162">
        <v>0</v>
      </c>
    </row>
    <row r="8" spans="1:16" ht="14.4">
      <c r="A8" s="161">
        <f t="shared" ref="A8:A28" si="0">A7+1</f>
        <v>1999</v>
      </c>
      <c r="B8" s="162">
        <v>2.5600000000000001E-2</v>
      </c>
      <c r="C8" s="162">
        <v>0</v>
      </c>
      <c r="D8" s="162">
        <v>0</v>
      </c>
      <c r="E8" s="162">
        <v>0</v>
      </c>
      <c r="F8" s="162">
        <v>0</v>
      </c>
    </row>
    <row r="9" spans="1:16" ht="14.4">
      <c r="A9" s="161">
        <f t="shared" si="0"/>
        <v>2000</v>
      </c>
      <c r="B9" s="162">
        <v>2.5600000000000001E-2</v>
      </c>
      <c r="C9" s="162">
        <v>0</v>
      </c>
      <c r="D9" s="162">
        <v>0</v>
      </c>
      <c r="E9" s="162">
        <v>0</v>
      </c>
      <c r="F9" s="162">
        <v>0</v>
      </c>
    </row>
    <row r="10" spans="1:16" ht="14.4">
      <c r="A10" s="161">
        <f t="shared" si="0"/>
        <v>2001</v>
      </c>
      <c r="B10" s="162">
        <v>2.5600000000000001E-2</v>
      </c>
      <c r="C10" s="162">
        <v>0</v>
      </c>
      <c r="D10" s="162">
        <v>0</v>
      </c>
      <c r="E10" s="162">
        <v>0</v>
      </c>
      <c r="F10" s="162">
        <v>0</v>
      </c>
    </row>
    <row r="11" spans="1:16" ht="14.4">
      <c r="A11" s="161">
        <f t="shared" si="0"/>
        <v>2002</v>
      </c>
      <c r="B11" s="162">
        <v>2.5600000000000001E-2</v>
      </c>
      <c r="C11" s="162">
        <v>0</v>
      </c>
      <c r="D11" s="162">
        <v>0</v>
      </c>
      <c r="E11" s="162">
        <v>0</v>
      </c>
      <c r="F11" s="162">
        <v>0</v>
      </c>
    </row>
    <row r="12" spans="1:16" ht="14.4">
      <c r="A12" s="161">
        <f t="shared" si="0"/>
        <v>2003</v>
      </c>
      <c r="B12" s="162">
        <v>2.5600000000000001E-2</v>
      </c>
      <c r="C12" s="162">
        <v>0</v>
      </c>
      <c r="D12" s="162">
        <v>0</v>
      </c>
      <c r="E12" s="162">
        <v>0</v>
      </c>
      <c r="F12" s="162">
        <v>0</v>
      </c>
    </row>
    <row r="13" spans="1:16" ht="14.4">
      <c r="A13" s="161">
        <f t="shared" si="0"/>
        <v>2004</v>
      </c>
      <c r="B13" s="162">
        <v>2.5600000000000001E-2</v>
      </c>
      <c r="C13" s="162">
        <v>0</v>
      </c>
      <c r="D13" s="162">
        <v>0</v>
      </c>
      <c r="E13" s="162">
        <v>0</v>
      </c>
      <c r="F13" s="162">
        <v>0</v>
      </c>
    </row>
    <row r="14" spans="1:16" ht="14.4">
      <c r="A14" s="161">
        <f t="shared" si="0"/>
        <v>2005</v>
      </c>
      <c r="B14" s="162">
        <v>2.5600000000000001E-2</v>
      </c>
      <c r="C14" s="162">
        <v>2.5600000000000001E-2</v>
      </c>
      <c r="D14" s="162">
        <v>0</v>
      </c>
      <c r="E14" s="162">
        <v>0</v>
      </c>
      <c r="F14" s="162">
        <v>0</v>
      </c>
    </row>
    <row r="15" spans="1:16" ht="14.4">
      <c r="A15" s="161">
        <f t="shared" si="0"/>
        <v>2006</v>
      </c>
      <c r="B15" s="162">
        <v>2.5600000000000001E-2</v>
      </c>
      <c r="C15" s="162">
        <v>2.5600000000000001E-2</v>
      </c>
      <c r="D15" s="162">
        <v>0</v>
      </c>
      <c r="E15" s="162">
        <v>0</v>
      </c>
      <c r="F15" s="162">
        <v>0</v>
      </c>
    </row>
    <row r="16" spans="1:16" ht="14.4">
      <c r="A16" s="161">
        <f t="shared" si="0"/>
        <v>2007</v>
      </c>
      <c r="B16" s="162">
        <v>2.5600000000000001E-2</v>
      </c>
      <c r="C16" s="162">
        <v>2.5600000000000001E-2</v>
      </c>
      <c r="D16" s="162">
        <v>0</v>
      </c>
      <c r="E16" s="162">
        <v>0</v>
      </c>
      <c r="F16" s="162">
        <v>0</v>
      </c>
    </row>
    <row r="17" spans="1:6" ht="14.4">
      <c r="A17" s="161">
        <f t="shared" si="0"/>
        <v>2008</v>
      </c>
      <c r="B17" s="162">
        <v>2.5600000000000001E-2</v>
      </c>
      <c r="C17" s="162">
        <v>2.5600000000000001E-2</v>
      </c>
      <c r="D17" s="162">
        <v>0</v>
      </c>
      <c r="E17" s="162">
        <v>0</v>
      </c>
      <c r="F17" s="162">
        <v>0</v>
      </c>
    </row>
    <row r="18" spans="1:6" ht="14.4">
      <c r="A18" s="161">
        <f t="shared" si="0"/>
        <v>2009</v>
      </c>
      <c r="B18" s="162">
        <v>2.5600000000000001E-2</v>
      </c>
      <c r="C18" s="162">
        <v>2.5600000000000001E-2</v>
      </c>
      <c r="D18" s="162">
        <v>0</v>
      </c>
      <c r="E18" s="162">
        <v>0</v>
      </c>
      <c r="F18" s="162">
        <v>0</v>
      </c>
    </row>
    <row r="19" spans="1:6" ht="14.4">
      <c r="A19" s="161">
        <f t="shared" si="0"/>
        <v>2010</v>
      </c>
      <c r="B19" s="162">
        <v>2.5600000000000001E-2</v>
      </c>
      <c r="C19" s="162">
        <v>2.5600000000000001E-2</v>
      </c>
      <c r="D19" s="162">
        <v>3.04E-2</v>
      </c>
      <c r="E19" s="162">
        <v>0</v>
      </c>
      <c r="F19" s="162">
        <v>0</v>
      </c>
    </row>
    <row r="20" spans="1:6" ht="14.4">
      <c r="A20" s="161">
        <f t="shared" si="0"/>
        <v>2011</v>
      </c>
      <c r="B20" s="162">
        <v>2.5600000000000001E-2</v>
      </c>
      <c r="C20" s="162">
        <v>2.5600000000000001E-2</v>
      </c>
      <c r="D20" s="162">
        <v>3.04E-2</v>
      </c>
      <c r="E20" s="162">
        <v>0</v>
      </c>
      <c r="F20" s="162">
        <v>0</v>
      </c>
    </row>
    <row r="21" spans="1:6" ht="14.4">
      <c r="A21" s="161">
        <f t="shared" si="0"/>
        <v>2012</v>
      </c>
      <c r="B21" s="162">
        <v>2.5600000000000001E-2</v>
      </c>
      <c r="C21" s="162">
        <v>2.5600000000000001E-2</v>
      </c>
      <c r="D21" s="162">
        <v>3.0099999999999998E-2</v>
      </c>
      <c r="E21" s="162">
        <v>0</v>
      </c>
      <c r="F21" s="162">
        <v>0</v>
      </c>
    </row>
    <row r="22" spans="1:6" ht="14.4">
      <c r="A22" s="161">
        <f t="shared" si="0"/>
        <v>2013</v>
      </c>
      <c r="B22" s="162">
        <v>2.5600000000000001E-2</v>
      </c>
      <c r="C22" s="162">
        <v>2.5600000000000001E-2</v>
      </c>
      <c r="D22" s="162">
        <v>3.0099999999999998E-2</v>
      </c>
      <c r="E22" s="162">
        <v>0</v>
      </c>
      <c r="F22" s="162">
        <v>0</v>
      </c>
    </row>
    <row r="23" spans="1:6" ht="14.4">
      <c r="A23" s="161">
        <f t="shared" si="0"/>
        <v>2014</v>
      </c>
      <c r="B23" s="162">
        <v>2.5600000000000001E-2</v>
      </c>
      <c r="C23" s="162">
        <v>2.5600000000000001E-2</v>
      </c>
      <c r="D23" s="162">
        <v>3.0099999999999998E-2</v>
      </c>
      <c r="E23" s="162">
        <v>0</v>
      </c>
      <c r="F23" s="162">
        <v>0</v>
      </c>
    </row>
    <row r="24" spans="1:6" ht="14.4">
      <c r="A24" s="161">
        <f t="shared" si="0"/>
        <v>2015</v>
      </c>
      <c r="B24" s="162">
        <v>2.5600000000000001E-2</v>
      </c>
      <c r="C24" s="162">
        <v>2.5600000000000001E-2</v>
      </c>
      <c r="D24" s="162">
        <v>3.0099999999999998E-2</v>
      </c>
      <c r="E24" s="162">
        <v>2.5399999999999999E-2</v>
      </c>
      <c r="F24" s="162">
        <v>0</v>
      </c>
    </row>
    <row r="25" spans="1:6" ht="14.4">
      <c r="A25" s="161">
        <f t="shared" si="0"/>
        <v>2016</v>
      </c>
      <c r="B25" s="162">
        <v>2.5600000000000001E-2</v>
      </c>
      <c r="C25" s="162">
        <v>2.5600000000000001E-2</v>
      </c>
      <c r="D25" s="162">
        <v>3.0099999999999998E-2</v>
      </c>
      <c r="E25" s="162">
        <v>2.5399999999999999E-2</v>
      </c>
      <c r="F25" s="162">
        <v>0</v>
      </c>
    </row>
    <row r="26" spans="1:6" ht="14.4">
      <c r="A26" s="161">
        <f t="shared" si="0"/>
        <v>2017</v>
      </c>
      <c r="B26" s="162">
        <v>2.5600000000000001E-2</v>
      </c>
      <c r="C26" s="162">
        <v>2.5600000000000001E-2</v>
      </c>
      <c r="D26" s="162">
        <v>3.0099999999999998E-2</v>
      </c>
      <c r="E26" s="162">
        <v>2.5499999999999998E-2</v>
      </c>
      <c r="F26" s="162">
        <v>0</v>
      </c>
    </row>
    <row r="27" spans="1:6" ht="14.4">
      <c r="A27" s="161">
        <f>A26+1</f>
        <v>2018</v>
      </c>
      <c r="B27" s="162">
        <v>2.5600000000000001E-2</v>
      </c>
      <c r="C27" s="162">
        <v>2.5600000000000001E-2</v>
      </c>
      <c r="D27" s="162">
        <v>3.0099999999999998E-2</v>
      </c>
      <c r="E27" s="162">
        <v>2.5499999999999998E-2</v>
      </c>
      <c r="F27" s="162">
        <v>0</v>
      </c>
    </row>
    <row r="28" spans="1:6" ht="14.4">
      <c r="A28" s="161">
        <f t="shared" si="0"/>
        <v>2019</v>
      </c>
      <c r="B28" s="162">
        <v>2.5600000000000001E-2</v>
      </c>
      <c r="C28" s="162">
        <v>2.5600000000000001E-2</v>
      </c>
      <c r="D28" s="162">
        <v>3.0099999999999998E-2</v>
      </c>
      <c r="E28" s="162">
        <v>2.5499999999999998E-2</v>
      </c>
      <c r="F28" s="162">
        <v>0</v>
      </c>
    </row>
    <row r="30" spans="1:6" ht="12.75" customHeight="1">
      <c r="A30" s="99"/>
      <c r="B30" s="99"/>
      <c r="C30" s="99"/>
      <c r="D30" s="99"/>
      <c r="E30" s="99"/>
      <c r="F30" s="99"/>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filterMode="1">
    <tabColor rgb="FF0083CA"/>
    <pageSetUpPr fitToPage="1"/>
  </sheetPr>
  <dimension ref="A1:W154"/>
  <sheetViews>
    <sheetView topLeftCell="H4" workbookViewId="0">
      <selection activeCell="M85" sqref="M85"/>
    </sheetView>
  </sheetViews>
  <sheetFormatPr defaultColWidth="11.44140625" defaultRowHeight="12.75" customHeight="1" outlineLevelCol="1"/>
  <cols>
    <col min="1" max="1" width="13.88671875" style="460" hidden="1" customWidth="1" outlineLevel="1"/>
    <col min="2" max="2" width="10.44140625" style="460" hidden="1" customWidth="1" outlineLevel="1"/>
    <col min="3" max="3" width="8.109375" style="461" hidden="1" customWidth="1" outlineLevel="1"/>
    <col min="4" max="4" width="13.109375" style="461" hidden="1" customWidth="1" outlineLevel="1"/>
    <col min="5" max="5" width="7.5546875" style="461" hidden="1" customWidth="1" outlineLevel="1"/>
    <col min="6" max="6" width="13.109375" style="461" hidden="1" customWidth="1" outlineLevel="1"/>
    <col min="7" max="7" width="14.44140625" style="460" hidden="1" customWidth="1" outlineLevel="1"/>
    <col min="8" max="8" width="11.44140625" style="462" collapsed="1"/>
    <col min="9" max="9" width="23.109375" style="462" customWidth="1"/>
    <col min="10" max="11" width="11.44140625" style="462"/>
    <col min="12" max="12" width="10" style="462" customWidth="1"/>
    <col min="13" max="15" width="9" style="463" customWidth="1"/>
    <col min="16" max="16" width="12.109375" style="463" customWidth="1"/>
    <col min="17" max="17" width="11.33203125" style="462" customWidth="1"/>
    <col min="18" max="21" width="11.44140625" style="462"/>
    <col min="22" max="22" width="11.44140625" style="464"/>
    <col min="23" max="16384" width="11.44140625" style="462"/>
  </cols>
  <sheetData>
    <row r="1" spans="1:23" ht="54" customHeight="1">
      <c r="H1" s="2462" t="str">
        <f>I5&amp;":"</f>
        <v>Ductless Heat Pumps:</v>
      </c>
      <c r="I1" s="2875" t="str">
        <f>INDEX(Programs!C:C,MATCH(I6,Programs!B:B,0))</f>
        <v>Accelerate the adoption and market acceptance of inverter-driven ductless heat pumps in electrically heated homes.</v>
      </c>
      <c r="J1" s="2875"/>
      <c r="K1" s="2875"/>
      <c r="L1" s="2875"/>
      <c r="U1" s="1152" t="s">
        <v>1152</v>
      </c>
      <c r="V1" s="993" t="s">
        <v>1870</v>
      </c>
    </row>
    <row r="2" spans="1:23" ht="16.5" customHeight="1">
      <c r="H2" s="926"/>
    </row>
    <row r="3" spans="1:23" s="458" customFormat="1" ht="15.75" customHeight="1">
      <c r="A3" s="2876" t="s">
        <v>131</v>
      </c>
      <c r="B3" s="2877"/>
      <c r="C3" s="2877"/>
      <c r="D3" s="2877"/>
      <c r="E3" s="2877"/>
      <c r="F3" s="2877"/>
      <c r="G3" s="2878"/>
      <c r="H3" s="2879" t="s">
        <v>7</v>
      </c>
      <c r="I3" s="2880"/>
      <c r="J3" s="2880"/>
      <c r="K3" s="2880"/>
      <c r="L3" s="2880"/>
      <c r="M3" s="2881" t="s">
        <v>127</v>
      </c>
      <c r="N3" s="2882"/>
      <c r="O3" s="2882"/>
      <c r="P3" s="2882"/>
      <c r="Q3" s="2883"/>
      <c r="R3" s="2884" t="s">
        <v>129</v>
      </c>
      <c r="S3" s="2885"/>
      <c r="T3" s="2872" t="s">
        <v>130</v>
      </c>
      <c r="U3" s="2873"/>
      <c r="V3" s="2874"/>
    </row>
    <row r="4" spans="1:23" s="931" customFormat="1" ht="40.5" customHeight="1" thickBot="1">
      <c r="A4" s="927" t="s">
        <v>0</v>
      </c>
      <c r="B4" s="928" t="s">
        <v>11</v>
      </c>
      <c r="C4" s="929" t="s">
        <v>1</v>
      </c>
      <c r="D4" s="929" t="s">
        <v>2</v>
      </c>
      <c r="E4" s="929" t="s">
        <v>266</v>
      </c>
      <c r="F4" s="929" t="s">
        <v>306</v>
      </c>
      <c r="G4" s="930" t="s">
        <v>12</v>
      </c>
      <c r="H4" s="996" t="s">
        <v>3</v>
      </c>
      <c r="I4" s="996" t="s">
        <v>4</v>
      </c>
      <c r="J4" s="996" t="s">
        <v>5</v>
      </c>
      <c r="K4" s="996" t="s">
        <v>6</v>
      </c>
      <c r="L4" s="996" t="s">
        <v>8</v>
      </c>
      <c r="M4" s="997" t="s">
        <v>271</v>
      </c>
      <c r="N4" s="996" t="s">
        <v>14</v>
      </c>
      <c r="O4" s="996" t="s">
        <v>123</v>
      </c>
      <c r="P4" s="996" t="s">
        <v>124</v>
      </c>
      <c r="Q4" s="998" t="str">
        <f>"Funder Share: "&amp;Selection!A2&amp;" "&amp;Selection!A3</f>
        <v>Funder Share: Puget Sound Energy Washington</v>
      </c>
      <c r="R4" s="997" t="s">
        <v>871</v>
      </c>
      <c r="S4" s="998" t="s">
        <v>125</v>
      </c>
      <c r="T4" s="997" t="s">
        <v>126</v>
      </c>
      <c r="U4" s="996" t="s">
        <v>18</v>
      </c>
      <c r="V4" s="999" t="s">
        <v>17</v>
      </c>
    </row>
    <row r="5" spans="1:23" ht="12.75" hidden="1" customHeight="1" thickTop="1">
      <c r="A5" s="498" t="s">
        <v>51</v>
      </c>
      <c r="B5" s="499" t="str">
        <f t="shared" ref="B5:B10" si="0">LEFT(A5,10)</f>
        <v>RES_200804</v>
      </c>
      <c r="C5" s="499">
        <v>0</v>
      </c>
      <c r="D5" s="499">
        <v>0</v>
      </c>
      <c r="E5" s="499">
        <f t="shared" ref="E5:E16" si="1">COUNTIFS($A:$A,A5,$L:$L,L5)</f>
        <v>1</v>
      </c>
      <c r="F5" s="499">
        <v>1</v>
      </c>
      <c r="G5" s="500" t="b">
        <v>1</v>
      </c>
      <c r="H5" s="501" t="str">
        <f t="shared" ref="H5:H6" si="2">IF(LEFT(A5,3)="Res","Residential",IF(LEFT(A5,3)="Ind","industrial",IF(LEFT(A5,3)="Com","Commercial",IF(LEFT(A5,3)="AGR","Agriculture",""))))</f>
        <v>Residential</v>
      </c>
      <c r="I5" s="502" t="s">
        <v>151</v>
      </c>
      <c r="J5" s="502" t="s">
        <v>437</v>
      </c>
      <c r="K5" s="502" t="s">
        <v>158</v>
      </c>
      <c r="L5" s="24">
        <v>2019</v>
      </c>
      <c r="M5" s="503">
        <v>14341.04814502</v>
      </c>
      <c r="N5" s="504">
        <v>7505.31099455</v>
      </c>
      <c r="O5" s="504">
        <v>0</v>
      </c>
      <c r="P5" s="318" t="s">
        <v>270</v>
      </c>
      <c r="Q5" s="505">
        <v>0.14199999999999999</v>
      </c>
      <c r="R5" s="506">
        <f>$O$114</f>
        <v>2123.2057880977891</v>
      </c>
      <c r="S5" s="71" t="s">
        <v>941</v>
      </c>
      <c r="T5" s="507">
        <f>(M5-O5)*Q5*R5/8760000</f>
        <v>0.49357962247753018</v>
      </c>
      <c r="U5" s="508">
        <f t="shared" ref="U5:U6" si="3">IFERROR((N5-O5/M5*N5)*Q5*R5/8760/1000,0)</f>
        <v>0.25831226070828306</v>
      </c>
      <c r="V5" s="509">
        <f t="shared" ref="V5:V6" si="4">T5-U5</f>
        <v>0.23526736176924712</v>
      </c>
      <c r="W5" s="532">
        <f>N5*R5/8760000</f>
        <v>1.8191004275231204</v>
      </c>
    </row>
    <row r="6" spans="1:23" ht="12.75" hidden="1" customHeight="1">
      <c r="A6" s="498" t="s">
        <v>52</v>
      </c>
      <c r="B6" s="499" t="str">
        <f t="shared" si="0"/>
        <v>RES_200804</v>
      </c>
      <c r="C6" s="499">
        <v>0</v>
      </c>
      <c r="D6" s="499">
        <v>0</v>
      </c>
      <c r="E6" s="499">
        <f t="shared" si="1"/>
        <v>1</v>
      </c>
      <c r="F6" s="499">
        <v>1</v>
      </c>
      <c r="G6" s="500" t="b">
        <v>1</v>
      </c>
      <c r="H6" s="501" t="str">
        <f t="shared" si="2"/>
        <v>Residential</v>
      </c>
      <c r="I6" s="502" t="s">
        <v>151</v>
      </c>
      <c r="J6" s="502" t="s">
        <v>435</v>
      </c>
      <c r="K6" s="502" t="s">
        <v>158</v>
      </c>
      <c r="L6" s="24">
        <v>2019</v>
      </c>
      <c r="M6" s="933">
        <v>2226.2059177900001</v>
      </c>
      <c r="N6" s="934">
        <v>1366.7441245800001</v>
      </c>
      <c r="O6" s="934">
        <v>0</v>
      </c>
      <c r="P6" s="318" t="s">
        <v>270</v>
      </c>
      <c r="Q6" s="505">
        <v>0.14199999999999999</v>
      </c>
      <c r="R6" s="506">
        <f>$N$146</f>
        <v>2364.7929155970751</v>
      </c>
      <c r="S6" s="71" t="s">
        <v>941</v>
      </c>
      <c r="T6" s="507">
        <f>(M6-O6)*Q6*R6/8760000</f>
        <v>8.5338044474099414E-2</v>
      </c>
      <c r="U6" s="508">
        <f t="shared" si="3"/>
        <v>5.2391950787691877E-2</v>
      </c>
      <c r="V6" s="509">
        <f t="shared" si="4"/>
        <v>3.2946093686407538E-2</v>
      </c>
      <c r="W6" s="532">
        <f t="shared" ref="W6:W10" si="5">N6*R6/8760000</f>
        <v>0.3689573999133231</v>
      </c>
    </row>
    <row r="7" spans="1:23" ht="12.75" hidden="1" customHeight="1">
      <c r="A7" s="460" t="s">
        <v>53</v>
      </c>
      <c r="B7" s="499" t="str">
        <f t="shared" si="0"/>
        <v>RES_200804</v>
      </c>
      <c r="C7" s="499">
        <v>0</v>
      </c>
      <c r="D7" s="499">
        <v>0</v>
      </c>
      <c r="E7" s="499">
        <f t="shared" si="1"/>
        <v>1</v>
      </c>
      <c r="F7" s="499">
        <v>1</v>
      </c>
      <c r="G7" s="500" t="b">
        <v>1</v>
      </c>
      <c r="H7" s="501" t="str">
        <f t="shared" ref="H7:H12" si="6">IF(LEFT(A7,3)="Res","Residential",IF(LEFT(A7,3)="Ind","industrial",IF(LEFT(A7,3)="Com","Commercial",IF(LEFT(A7,3)="AGR","Agriculture",""))))</f>
        <v>Residential</v>
      </c>
      <c r="I7" s="502" t="s">
        <v>151</v>
      </c>
      <c r="J7" s="502" t="s">
        <v>436</v>
      </c>
      <c r="K7" s="502" t="s">
        <v>158</v>
      </c>
      <c r="L7" s="24">
        <v>2019</v>
      </c>
      <c r="M7" s="933">
        <v>2282.2336519700002</v>
      </c>
      <c r="N7" s="934">
        <v>1401.1414711499999</v>
      </c>
      <c r="O7" s="934">
        <v>0</v>
      </c>
      <c r="P7" s="318" t="s">
        <v>270</v>
      </c>
      <c r="Q7" s="505">
        <v>0.14199999999999999</v>
      </c>
      <c r="R7" s="506">
        <f>$N$154</f>
        <v>2877.0548649874468</v>
      </c>
      <c r="S7" s="71" t="s">
        <v>941</v>
      </c>
      <c r="T7" s="507">
        <f t="shared" ref="T7:T10" si="7">(M7-O7)*Q7*R7/8760000</f>
        <v>0.10643696612605555</v>
      </c>
      <c r="U7" s="508">
        <f t="shared" ref="U7:U12" si="8">IFERROR((N7-O7/M7*N7)*Q7*R7/8760/1000,0)</f>
        <v>6.5345302035080363E-2</v>
      </c>
      <c r="V7" s="509">
        <f t="shared" ref="V7:V12" si="9">T7-U7</f>
        <v>4.1091664090975186E-2</v>
      </c>
      <c r="W7" s="532">
        <f t="shared" si="5"/>
        <v>0.46017818334563648</v>
      </c>
    </row>
    <row r="8" spans="1:23" ht="12.75" hidden="1" customHeight="1">
      <c r="A8" s="460" t="s">
        <v>51</v>
      </c>
      <c r="B8" s="499" t="str">
        <f t="shared" si="0"/>
        <v>RES_200804</v>
      </c>
      <c r="C8" s="499">
        <v>0</v>
      </c>
      <c r="D8" s="499">
        <v>0</v>
      </c>
      <c r="E8" s="499">
        <f t="shared" si="1"/>
        <v>1</v>
      </c>
      <c r="F8" s="499">
        <v>1</v>
      </c>
      <c r="G8" s="500" t="b">
        <v>1</v>
      </c>
      <c r="H8" s="501" t="str">
        <f t="shared" si="6"/>
        <v>Residential</v>
      </c>
      <c r="I8" s="502" t="s">
        <v>151</v>
      </c>
      <c r="J8" s="502" t="s">
        <v>437</v>
      </c>
      <c r="K8" s="502" t="s">
        <v>158</v>
      </c>
      <c r="L8" s="24">
        <v>2018</v>
      </c>
      <c r="M8" s="933">
        <v>13658.141090499999</v>
      </c>
      <c r="N8" s="934">
        <v>10921.54561406</v>
      </c>
      <c r="O8" s="934">
        <v>0</v>
      </c>
      <c r="P8" s="318" t="s">
        <v>270</v>
      </c>
      <c r="Q8" s="505">
        <v>0.14199999999999999</v>
      </c>
      <c r="R8" s="506">
        <f>$N$114</f>
        <v>2106.9146127680133</v>
      </c>
      <c r="S8" s="71" t="s">
        <v>941</v>
      </c>
      <c r="T8" s="507">
        <f t="shared" si="7"/>
        <v>0.46646897952610505</v>
      </c>
      <c r="U8" s="508">
        <f t="shared" si="8"/>
        <v>0.37300553594236407</v>
      </c>
      <c r="V8" s="509">
        <f t="shared" si="9"/>
        <v>9.3463443583740979E-2</v>
      </c>
      <c r="W8" s="532">
        <f t="shared" si="5"/>
        <v>2.6267995488898879</v>
      </c>
    </row>
    <row r="9" spans="1:23" ht="12.75" hidden="1" customHeight="1">
      <c r="A9" s="460" t="s">
        <v>52</v>
      </c>
      <c r="B9" s="499" t="str">
        <f t="shared" si="0"/>
        <v>RES_200804</v>
      </c>
      <c r="C9" s="499">
        <v>0</v>
      </c>
      <c r="D9" s="499">
        <v>0</v>
      </c>
      <c r="E9" s="499">
        <f t="shared" si="1"/>
        <v>1</v>
      </c>
      <c r="F9" s="499">
        <v>1</v>
      </c>
      <c r="G9" s="500" t="b">
        <v>1</v>
      </c>
      <c r="H9" s="501" t="str">
        <f t="shared" si="6"/>
        <v>Residential</v>
      </c>
      <c r="I9" s="502" t="s">
        <v>151</v>
      </c>
      <c r="J9" s="502" t="s">
        <v>435</v>
      </c>
      <c r="K9" s="502" t="s">
        <v>158</v>
      </c>
      <c r="L9" s="24">
        <v>2018</v>
      </c>
      <c r="M9" s="933">
        <v>2461.36291149</v>
      </c>
      <c r="N9" s="934">
        <v>1754.2</v>
      </c>
      <c r="O9" s="934">
        <v>0</v>
      </c>
      <c r="P9" s="318" t="s">
        <v>270</v>
      </c>
      <c r="Q9" s="505">
        <v>0.14199999999999999</v>
      </c>
      <c r="R9" s="506">
        <f>$N$146</f>
        <v>2364.7929155970751</v>
      </c>
      <c r="S9" s="71" t="s">
        <v>941</v>
      </c>
      <c r="T9" s="507">
        <f t="shared" si="7"/>
        <v>9.4352411845239917E-2</v>
      </c>
      <c r="U9" s="508">
        <f t="shared" si="8"/>
        <v>6.7244452285472045E-2</v>
      </c>
      <c r="V9" s="509">
        <f t="shared" si="9"/>
        <v>2.7107959559767872E-2</v>
      </c>
      <c r="W9" s="532">
        <f t="shared" si="5"/>
        <v>0.47355248088360608</v>
      </c>
    </row>
    <row r="10" spans="1:23" ht="12.75" hidden="1" customHeight="1" thickBot="1">
      <c r="A10" s="460" t="s">
        <v>53</v>
      </c>
      <c r="B10" s="499" t="str">
        <f t="shared" si="0"/>
        <v>RES_200804</v>
      </c>
      <c r="C10" s="499">
        <v>0</v>
      </c>
      <c r="D10" s="499">
        <v>0</v>
      </c>
      <c r="E10" s="499">
        <f t="shared" si="1"/>
        <v>1</v>
      </c>
      <c r="F10" s="499">
        <v>1</v>
      </c>
      <c r="G10" s="500" t="b">
        <v>1</v>
      </c>
      <c r="H10" s="710" t="str">
        <f t="shared" si="6"/>
        <v>Residential</v>
      </c>
      <c r="I10" s="559" t="s">
        <v>151</v>
      </c>
      <c r="J10" s="559" t="s">
        <v>436</v>
      </c>
      <c r="K10" s="559" t="s">
        <v>158</v>
      </c>
      <c r="L10" s="277">
        <v>2018</v>
      </c>
      <c r="M10" s="935">
        <v>1196</v>
      </c>
      <c r="N10" s="936">
        <v>1196</v>
      </c>
      <c r="O10" s="936">
        <v>0</v>
      </c>
      <c r="P10" s="319" t="s">
        <v>270</v>
      </c>
      <c r="Q10" s="562">
        <v>0.14199999999999999</v>
      </c>
      <c r="R10" s="711">
        <f>$N$154</f>
        <v>2877.0548649874468</v>
      </c>
      <c r="S10" s="696" t="s">
        <v>941</v>
      </c>
      <c r="T10" s="564">
        <f t="shared" si="7"/>
        <v>5.5778080117642466E-2</v>
      </c>
      <c r="U10" s="565">
        <f t="shared" si="8"/>
        <v>5.5778080117642466E-2</v>
      </c>
      <c r="V10" s="566">
        <f t="shared" si="9"/>
        <v>0</v>
      </c>
      <c r="W10" s="532">
        <f t="shared" si="5"/>
        <v>0.39280338111015828</v>
      </c>
    </row>
    <row r="11" spans="1:23" ht="12.75" customHeight="1" thickTop="1">
      <c r="A11" s="498" t="s">
        <v>51</v>
      </c>
      <c r="B11" s="499" t="str">
        <f t="shared" ref="B11:B16" si="10">LEFT(A11,10)</f>
        <v>RES_200804</v>
      </c>
      <c r="C11" s="499">
        <v>0</v>
      </c>
      <c r="D11" s="499">
        <v>0</v>
      </c>
      <c r="E11" s="499">
        <f t="shared" si="1"/>
        <v>1</v>
      </c>
      <c r="F11" s="499">
        <v>1</v>
      </c>
      <c r="G11" s="499" t="b">
        <v>1</v>
      </c>
      <c r="H11" s="793" t="str">
        <f t="shared" si="6"/>
        <v>Residential</v>
      </c>
      <c r="I11" s="502" t="s">
        <v>151</v>
      </c>
      <c r="J11" s="848" t="s">
        <v>437</v>
      </c>
      <c r="K11" s="848" t="s">
        <v>158</v>
      </c>
      <c r="L11" s="701">
        <v>2020</v>
      </c>
      <c r="M11" s="717">
        <v>14699.57434865</v>
      </c>
      <c r="N11" s="718">
        <v>7482.0379820300004</v>
      </c>
      <c r="O11" s="718">
        <v>0</v>
      </c>
      <c r="P11" s="765" t="s">
        <v>270</v>
      </c>
      <c r="Q11" s="719">
        <v>0.14199999999999999</v>
      </c>
      <c r="R11" s="720">
        <f>$O$114</f>
        <v>2123.2057880977891</v>
      </c>
      <c r="S11" s="705" t="s">
        <v>941</v>
      </c>
      <c r="T11" s="721">
        <f>(M11-O11)*Q11*R11/8760000</f>
        <v>0.50591911303962322</v>
      </c>
      <c r="U11" s="722">
        <f t="shared" si="8"/>
        <v>0.25751126732081403</v>
      </c>
      <c r="V11" s="794">
        <f t="shared" si="9"/>
        <v>0.24840784571880919</v>
      </c>
      <c r="W11" s="532">
        <f>N11*R11/8760000</f>
        <v>1.8134596290198173</v>
      </c>
    </row>
    <row r="12" spans="1:23" ht="12.75" customHeight="1">
      <c r="A12" s="498" t="s">
        <v>52</v>
      </c>
      <c r="B12" s="499" t="str">
        <f t="shared" si="10"/>
        <v>RES_200804</v>
      </c>
      <c r="C12" s="499">
        <v>0</v>
      </c>
      <c r="D12" s="499">
        <v>0</v>
      </c>
      <c r="E12" s="499">
        <f t="shared" si="1"/>
        <v>1</v>
      </c>
      <c r="F12" s="499">
        <v>1</v>
      </c>
      <c r="G12" s="499" t="b">
        <v>1</v>
      </c>
      <c r="H12" s="795" t="str">
        <f t="shared" si="6"/>
        <v>Residential</v>
      </c>
      <c r="I12" s="502" t="s">
        <v>151</v>
      </c>
      <c r="J12" s="848" t="s">
        <v>435</v>
      </c>
      <c r="K12" s="848" t="s">
        <v>158</v>
      </c>
      <c r="L12" s="24">
        <v>2020</v>
      </c>
      <c r="M12" s="933">
        <v>2448.1124760299999</v>
      </c>
      <c r="N12" s="934">
        <v>979.24499041000001</v>
      </c>
      <c r="O12" s="934">
        <v>0</v>
      </c>
      <c r="P12" s="318" t="s">
        <v>270</v>
      </c>
      <c r="Q12" s="505">
        <v>0.14199999999999999</v>
      </c>
      <c r="R12" s="506">
        <f>IF($V$1="RTF",$N$146,IF($V$1="7th PP",$P$146,"N/A"))</f>
        <v>2364.7929155970751</v>
      </c>
      <c r="S12" s="71" t="s">
        <v>941</v>
      </c>
      <c r="T12" s="507">
        <f>(M12-O12)*Q12*R12/8760000</f>
        <v>9.3844477587429143E-2</v>
      </c>
      <c r="U12" s="508">
        <f t="shared" si="8"/>
        <v>3.7537791034894984E-2</v>
      </c>
      <c r="V12" s="796">
        <f t="shared" si="9"/>
        <v>5.6306686552534159E-2</v>
      </c>
      <c r="W12" s="532">
        <f t="shared" ref="W12:W16" si="11">N12*R12/8760000</f>
        <v>0.2643506410908098</v>
      </c>
    </row>
    <row r="13" spans="1:23" ht="12.75" customHeight="1">
      <c r="A13" s="460" t="s">
        <v>53</v>
      </c>
      <c r="B13" s="499" t="str">
        <f t="shared" si="10"/>
        <v>RES_200804</v>
      </c>
      <c r="C13" s="499">
        <v>0</v>
      </c>
      <c r="D13" s="499">
        <v>0</v>
      </c>
      <c r="E13" s="499">
        <f t="shared" si="1"/>
        <v>1</v>
      </c>
      <c r="F13" s="499">
        <v>1</v>
      </c>
      <c r="G13" s="499" t="b">
        <v>1</v>
      </c>
      <c r="H13" s="795" t="str">
        <f t="shared" ref="H13:H16" si="12">IF(LEFT(A13,3)="Res","Residential",IF(LEFT(A13,3)="Ind","industrial",IF(LEFT(A13,3)="Com","Commercial",IF(LEFT(A13,3)="AGR","Agriculture",""))))</f>
        <v>Residential</v>
      </c>
      <c r="I13" s="502" t="s">
        <v>151</v>
      </c>
      <c r="J13" s="848" t="s">
        <v>436</v>
      </c>
      <c r="K13" s="848" t="s">
        <v>158</v>
      </c>
      <c r="L13" s="24">
        <v>2020</v>
      </c>
      <c r="M13" s="933">
        <v>2229.2368780000002</v>
      </c>
      <c r="N13" s="934">
        <v>891.69475120000004</v>
      </c>
      <c r="O13" s="934">
        <v>0</v>
      </c>
      <c r="P13" s="318" t="s">
        <v>270</v>
      </c>
      <c r="Q13" s="505">
        <v>0.14199999999999999</v>
      </c>
      <c r="R13" s="506">
        <f>IF($V$1="RTF",$N$154,IF($V$1="7th PP",$P$154,"N/A"))</f>
        <v>2877.0548649874468</v>
      </c>
      <c r="S13" s="71" t="s">
        <v>941</v>
      </c>
      <c r="T13" s="507">
        <f t="shared" ref="T13:T16" si="13">(M13-O13)*Q13*R13/8760000</f>
        <v>0.10396534547013978</v>
      </c>
      <c r="U13" s="508">
        <f t="shared" ref="U13:U16" si="14">IFERROR((N13-O13/M13*N13)*Q13*R13/8760/1000,0)</f>
        <v>4.1586138188055913E-2</v>
      </c>
      <c r="V13" s="796">
        <f t="shared" ref="V13:V16" si="15">T13-U13</f>
        <v>6.2379207282083862E-2</v>
      </c>
      <c r="W13" s="532">
        <f t="shared" si="11"/>
        <v>0.29286012808490081</v>
      </c>
    </row>
    <row r="14" spans="1:23" ht="12.75" customHeight="1">
      <c r="A14" s="460" t="s">
        <v>51</v>
      </c>
      <c r="B14" s="499" t="str">
        <f t="shared" si="10"/>
        <v>RES_200804</v>
      </c>
      <c r="C14" s="499">
        <v>0</v>
      </c>
      <c r="D14" s="499">
        <v>0</v>
      </c>
      <c r="E14" s="499">
        <f t="shared" si="1"/>
        <v>1</v>
      </c>
      <c r="F14" s="499">
        <v>1</v>
      </c>
      <c r="G14" s="499" t="b">
        <v>1</v>
      </c>
      <c r="H14" s="795" t="str">
        <f t="shared" si="12"/>
        <v>Residential</v>
      </c>
      <c r="I14" s="502" t="s">
        <v>151</v>
      </c>
      <c r="J14" s="848" t="s">
        <v>437</v>
      </c>
      <c r="K14" s="848" t="s">
        <v>158</v>
      </c>
      <c r="L14" s="24">
        <v>2021</v>
      </c>
      <c r="M14" s="933">
        <v>15067.063707359999</v>
      </c>
      <c r="N14" s="934">
        <v>7469.1666426399997</v>
      </c>
      <c r="O14" s="934">
        <v>0</v>
      </c>
      <c r="P14" s="318" t="s">
        <v>270</v>
      </c>
      <c r="Q14" s="505">
        <v>0.14199999999999999</v>
      </c>
      <c r="R14" s="506">
        <f>$N$114</f>
        <v>2106.9146127680133</v>
      </c>
      <c r="S14" s="71" t="s">
        <v>941</v>
      </c>
      <c r="T14" s="507">
        <f t="shared" si="13"/>
        <v>0.5145881701951095</v>
      </c>
      <c r="U14" s="508">
        <f t="shared" si="14"/>
        <v>0.2550958083253449</v>
      </c>
      <c r="V14" s="796">
        <f t="shared" si="15"/>
        <v>0.2594923618697646</v>
      </c>
      <c r="W14" s="532">
        <f t="shared" si="11"/>
        <v>1.7964493544038374</v>
      </c>
    </row>
    <row r="15" spans="1:23" ht="12.75" customHeight="1">
      <c r="A15" s="460" t="s">
        <v>52</v>
      </c>
      <c r="B15" s="499" t="str">
        <f t="shared" si="10"/>
        <v>RES_200804</v>
      </c>
      <c r="C15" s="499">
        <v>0</v>
      </c>
      <c r="D15" s="499">
        <v>0</v>
      </c>
      <c r="E15" s="499">
        <f t="shared" si="1"/>
        <v>1</v>
      </c>
      <c r="F15" s="499">
        <v>1</v>
      </c>
      <c r="G15" s="499" t="b">
        <v>1</v>
      </c>
      <c r="H15" s="795" t="str">
        <f t="shared" si="12"/>
        <v>Residential</v>
      </c>
      <c r="I15" s="502" t="s">
        <v>151</v>
      </c>
      <c r="J15" s="848" t="s">
        <v>435</v>
      </c>
      <c r="K15" s="848" t="s">
        <v>158</v>
      </c>
      <c r="L15" s="24">
        <v>2021</v>
      </c>
      <c r="M15" s="933">
        <v>2597.06682185</v>
      </c>
      <c r="N15" s="934">
        <v>779.12004655999999</v>
      </c>
      <c r="O15" s="934">
        <v>0</v>
      </c>
      <c r="P15" s="318" t="s">
        <v>270</v>
      </c>
      <c r="Q15" s="505">
        <v>0.14199999999999999</v>
      </c>
      <c r="R15" s="506">
        <f>IF($V$1="RTF",$N$146,IF($V$1="7th PP",$P$146,"N/A"))</f>
        <v>2364.7929155970751</v>
      </c>
      <c r="S15" s="71" t="s">
        <v>941</v>
      </c>
      <c r="T15" s="507">
        <f t="shared" si="13"/>
        <v>9.9554404277776121E-2</v>
      </c>
      <c r="U15" s="508">
        <f t="shared" si="14"/>
        <v>2.9866321283524504E-2</v>
      </c>
      <c r="V15" s="796">
        <f t="shared" si="15"/>
        <v>6.968808299425161E-2</v>
      </c>
      <c r="W15" s="532">
        <f t="shared" si="11"/>
        <v>0.21032620622200357</v>
      </c>
    </row>
    <row r="16" spans="1:23" ht="12.75" customHeight="1" thickBot="1">
      <c r="A16" s="460" t="s">
        <v>53</v>
      </c>
      <c r="B16" s="499" t="str">
        <f t="shared" si="10"/>
        <v>RES_200804</v>
      </c>
      <c r="C16" s="499">
        <v>0</v>
      </c>
      <c r="D16" s="499">
        <v>0</v>
      </c>
      <c r="E16" s="499">
        <f t="shared" si="1"/>
        <v>1</v>
      </c>
      <c r="F16" s="499">
        <v>1</v>
      </c>
      <c r="G16" s="499" t="b">
        <v>1</v>
      </c>
      <c r="H16" s="809" t="str">
        <f t="shared" si="12"/>
        <v>Residential</v>
      </c>
      <c r="I16" s="734" t="s">
        <v>151</v>
      </c>
      <c r="J16" s="1390" t="s">
        <v>436</v>
      </c>
      <c r="K16" s="1390" t="s">
        <v>158</v>
      </c>
      <c r="L16" s="708">
        <v>2021</v>
      </c>
      <c r="M16" s="937">
        <v>2265.6665372399998</v>
      </c>
      <c r="N16" s="938">
        <v>679.69996117000005</v>
      </c>
      <c r="O16" s="938">
        <v>0</v>
      </c>
      <c r="P16" s="810" t="s">
        <v>270</v>
      </c>
      <c r="Q16" s="737">
        <v>0.14199999999999999</v>
      </c>
      <c r="R16" s="738">
        <f>IF($V$1="RTF",$N$154,IF($V$1="7th PP",$P$154,"N/A"))</f>
        <v>2877.0548649874468</v>
      </c>
      <c r="S16" s="709" t="s">
        <v>941</v>
      </c>
      <c r="T16" s="739">
        <f t="shared" si="13"/>
        <v>0.10566432243648352</v>
      </c>
      <c r="U16" s="740">
        <f t="shared" si="14"/>
        <v>3.1699296730851784E-2</v>
      </c>
      <c r="V16" s="811">
        <f t="shared" si="15"/>
        <v>7.3965025705631737E-2</v>
      </c>
      <c r="W16" s="532">
        <f t="shared" si="11"/>
        <v>0.22323448402008303</v>
      </c>
    </row>
    <row r="17" spans="6:23" ht="12.75" customHeight="1">
      <c r="F17" s="499"/>
      <c r="H17" s="939" t="s">
        <v>1355</v>
      </c>
      <c r="I17" s="940"/>
      <c r="J17" s="940"/>
      <c r="K17" s="940"/>
      <c r="L17" s="96"/>
    </row>
    <row r="18" spans="6:23" ht="101.25" customHeight="1">
      <c r="F18" s="499"/>
      <c r="H18" s="2860" t="s">
        <v>1611</v>
      </c>
      <c r="I18" s="2861"/>
      <c r="J18" s="2861"/>
      <c r="K18" s="2861"/>
      <c r="L18" s="2861"/>
      <c r="M18" s="2861"/>
      <c r="N18" s="2861"/>
      <c r="O18" s="2861"/>
      <c r="P18" s="2861"/>
      <c r="Q18" s="2861"/>
      <c r="R18" s="2861"/>
      <c r="S18" s="2861"/>
      <c r="T18" s="2861"/>
      <c r="U18" s="2861"/>
      <c r="V18" s="2862"/>
    </row>
    <row r="20" spans="6:23" ht="18" customHeight="1" thickBot="1">
      <c r="H20" s="994" t="s">
        <v>923</v>
      </c>
      <c r="I20" s="941"/>
      <c r="J20" s="941"/>
      <c r="K20" s="941"/>
      <c r="L20" s="941"/>
      <c r="M20" s="941"/>
      <c r="N20" s="941"/>
      <c r="O20" s="941"/>
      <c r="P20" s="941"/>
      <c r="Q20" s="941"/>
      <c r="R20" s="941"/>
      <c r="S20" s="941"/>
      <c r="T20" s="941"/>
      <c r="U20" s="941"/>
      <c r="V20" s="941"/>
      <c r="W20" s="941"/>
    </row>
    <row r="21" spans="6:23" ht="12.75" customHeight="1" thickTop="1"/>
    <row r="22" spans="6:23" ht="52.5" customHeight="1">
      <c r="H22" s="2863" t="s">
        <v>1612</v>
      </c>
      <c r="I22" s="2864"/>
      <c r="J22" s="2864"/>
      <c r="K22" s="2864"/>
      <c r="L22" s="2864"/>
      <c r="M22" s="2864"/>
      <c r="N22" s="2864"/>
      <c r="O22" s="2864"/>
      <c r="P22" s="2864"/>
      <c r="Q22" s="2864"/>
      <c r="R22" s="2864"/>
      <c r="S22" s="2864"/>
      <c r="T22" s="2864"/>
      <c r="U22" s="2864"/>
      <c r="V22" s="2864"/>
      <c r="W22" s="2865"/>
    </row>
    <row r="24" spans="6:23" ht="12.75" customHeight="1">
      <c r="H24" s="995" t="s">
        <v>924</v>
      </c>
    </row>
    <row r="26" spans="6:23" ht="12.75" customHeight="1">
      <c r="H26" s="462" t="s">
        <v>914</v>
      </c>
      <c r="I26" s="462" t="s">
        <v>942</v>
      </c>
      <c r="J26" s="462" t="s">
        <v>2403</v>
      </c>
      <c r="M26" s="462"/>
      <c r="N26" s="462"/>
      <c r="O26" s="462"/>
      <c r="P26" s="462"/>
      <c r="T26" s="463"/>
    </row>
    <row r="27" spans="6:23" ht="51" customHeight="1">
      <c r="H27" s="1000" t="s">
        <v>901</v>
      </c>
      <c r="I27" s="1000" t="s">
        <v>902</v>
      </c>
      <c r="J27" s="1000" t="s">
        <v>7</v>
      </c>
      <c r="K27" s="1000" t="s">
        <v>915</v>
      </c>
      <c r="L27" s="1000" t="s">
        <v>916</v>
      </c>
      <c r="M27" s="1000" t="s">
        <v>917</v>
      </c>
      <c r="N27" s="2532"/>
      <c r="O27" s="2532"/>
      <c r="P27" s="1000" t="s">
        <v>918</v>
      </c>
      <c r="Q27" s="1000" t="s">
        <v>919</v>
      </c>
      <c r="R27" s="1000" t="s">
        <v>920</v>
      </c>
      <c r="S27" s="1000" t="s">
        <v>921</v>
      </c>
      <c r="T27" s="463"/>
    </row>
    <row r="28" spans="6:23" ht="12.75" customHeight="1">
      <c r="H28" s="1001">
        <v>1</v>
      </c>
      <c r="I28" s="1002">
        <v>1</v>
      </c>
      <c r="J28" s="1003" t="s">
        <v>922</v>
      </c>
      <c r="K28" s="1002" t="s">
        <v>944</v>
      </c>
      <c r="L28" s="1004">
        <v>2028.9643804388772</v>
      </c>
      <c r="M28" s="1004">
        <v>-32.124417637256897</v>
      </c>
      <c r="N28" s="458"/>
      <c r="O28" s="458"/>
      <c r="P28" s="1005">
        <v>486.49085156222907</v>
      </c>
      <c r="Q28" s="1005">
        <v>45.082427814878784</v>
      </c>
      <c r="R28" s="1005">
        <v>5.236110055565355</v>
      </c>
      <c r="S28" s="1004">
        <f>SUM(L28:M28)</f>
        <v>1996.8399628016205</v>
      </c>
      <c r="T28" s="463"/>
    </row>
    <row r="29" spans="6:23" ht="12.75" customHeight="1">
      <c r="H29" s="1006">
        <v>2</v>
      </c>
      <c r="I29" s="1007">
        <v>1</v>
      </c>
      <c r="J29" s="1008" t="s">
        <v>922</v>
      </c>
      <c r="K29" s="1007" t="s">
        <v>945</v>
      </c>
      <c r="L29" s="1009">
        <v>2141.7877441601659</v>
      </c>
      <c r="M29" s="1009">
        <v>-32.124417637256897</v>
      </c>
      <c r="N29" s="458"/>
      <c r="O29" s="458"/>
      <c r="P29" s="1010">
        <v>383.50185423396442</v>
      </c>
      <c r="Q29" s="1010">
        <v>35.538581259761536</v>
      </c>
      <c r="R29" s="1010">
        <v>5.236110055565355</v>
      </c>
      <c r="S29" s="1009">
        <f t="shared" ref="S29:S63" si="16">SUM(L29:M29)</f>
        <v>2109.6633265229088</v>
      </c>
      <c r="T29" s="463"/>
    </row>
    <row r="30" spans="6:23" ht="12.75" customHeight="1">
      <c r="H30" s="1006">
        <v>3</v>
      </c>
      <c r="I30" s="1007">
        <v>1</v>
      </c>
      <c r="J30" s="1008" t="s">
        <v>922</v>
      </c>
      <c r="K30" s="1007" t="s">
        <v>946</v>
      </c>
      <c r="L30" s="1009">
        <v>1548.160058480209</v>
      </c>
      <c r="M30" s="1009">
        <v>-32.124417637256897</v>
      </c>
      <c r="N30" s="458"/>
      <c r="O30" s="458"/>
      <c r="P30" s="1010">
        <v>1329.4924997281378</v>
      </c>
      <c r="Q30" s="1010">
        <v>123.2022132727603</v>
      </c>
      <c r="R30" s="1010">
        <v>5.236110055565355</v>
      </c>
      <c r="S30" s="1009">
        <f t="shared" si="16"/>
        <v>1516.035640842952</v>
      </c>
      <c r="T30" s="463"/>
    </row>
    <row r="31" spans="6:23" ht="12.75" customHeight="1">
      <c r="H31" s="1011">
        <v>1</v>
      </c>
      <c r="I31" s="1012">
        <v>2</v>
      </c>
      <c r="J31" s="1013" t="s">
        <v>922</v>
      </c>
      <c r="K31" s="1012" t="s">
        <v>947</v>
      </c>
      <c r="L31" s="1014">
        <v>2028.9643804388772</v>
      </c>
      <c r="M31" s="1014">
        <v>117.23903663470225</v>
      </c>
      <c r="N31" s="458"/>
      <c r="O31" s="458"/>
      <c r="P31" s="1015">
        <v>486.49085156222907</v>
      </c>
      <c r="Q31" s="1015">
        <v>45.082427814878784</v>
      </c>
      <c r="R31" s="1015">
        <v>7.1334107738902777</v>
      </c>
      <c r="S31" s="1014">
        <f t="shared" si="16"/>
        <v>2146.2034170735797</v>
      </c>
      <c r="T31" s="463"/>
    </row>
    <row r="32" spans="6:23" ht="12.75" customHeight="1">
      <c r="H32" s="1011">
        <v>2</v>
      </c>
      <c r="I32" s="1012">
        <v>2</v>
      </c>
      <c r="J32" s="1013" t="s">
        <v>922</v>
      </c>
      <c r="K32" s="1012" t="s">
        <v>948</v>
      </c>
      <c r="L32" s="1014">
        <v>2141.7877441601659</v>
      </c>
      <c r="M32" s="1014">
        <v>117.23903663470225</v>
      </c>
      <c r="N32" s="458"/>
      <c r="O32" s="458"/>
      <c r="P32" s="1015">
        <v>383.50185423396442</v>
      </c>
      <c r="Q32" s="1015">
        <v>35.538581259761536</v>
      </c>
      <c r="R32" s="1015">
        <v>7.1334107738902777</v>
      </c>
      <c r="S32" s="1014">
        <f t="shared" si="16"/>
        <v>2259.026780794868</v>
      </c>
      <c r="T32" s="463"/>
    </row>
    <row r="33" spans="8:20" ht="12.75" customHeight="1">
      <c r="H33" s="1011">
        <v>3</v>
      </c>
      <c r="I33" s="1012">
        <v>2</v>
      </c>
      <c r="J33" s="1013" t="s">
        <v>922</v>
      </c>
      <c r="K33" s="1012" t="s">
        <v>949</v>
      </c>
      <c r="L33" s="1014">
        <v>1548.160058480209</v>
      </c>
      <c r="M33" s="1014">
        <v>117.23903663470225</v>
      </c>
      <c r="N33" s="458"/>
      <c r="O33" s="458"/>
      <c r="P33" s="1015">
        <v>1329.4924997281378</v>
      </c>
      <c r="Q33" s="1015">
        <v>123.2022132727603</v>
      </c>
      <c r="R33" s="1015">
        <v>7.1334107738902777</v>
      </c>
      <c r="S33" s="1014">
        <f t="shared" si="16"/>
        <v>1665.3990951149112</v>
      </c>
      <c r="T33" s="463"/>
    </row>
    <row r="34" spans="8:20" ht="12.75" customHeight="1">
      <c r="H34" s="1006">
        <v>1</v>
      </c>
      <c r="I34" s="1007">
        <v>3</v>
      </c>
      <c r="J34" s="1008" t="s">
        <v>922</v>
      </c>
      <c r="K34" s="1007" t="s">
        <v>950</v>
      </c>
      <c r="L34" s="1009">
        <v>2028.9643804388772</v>
      </c>
      <c r="M34" s="1009">
        <v>412</v>
      </c>
      <c r="N34" s="458"/>
      <c r="O34" s="458"/>
      <c r="P34" s="1010">
        <v>486.49085156222907</v>
      </c>
      <c r="Q34" s="1010">
        <v>45.082427814878784</v>
      </c>
      <c r="R34" s="1010">
        <v>0</v>
      </c>
      <c r="S34" s="1009">
        <f t="shared" si="16"/>
        <v>2440.964380438877</v>
      </c>
      <c r="T34" s="463"/>
    </row>
    <row r="35" spans="8:20" ht="12.75" customHeight="1">
      <c r="H35" s="1006">
        <v>2</v>
      </c>
      <c r="I35" s="1007">
        <v>3</v>
      </c>
      <c r="J35" s="1008" t="s">
        <v>922</v>
      </c>
      <c r="K35" s="1007" t="s">
        <v>951</v>
      </c>
      <c r="L35" s="1009">
        <v>2141.7877441601659</v>
      </c>
      <c r="M35" s="1009">
        <v>412</v>
      </c>
      <c r="N35" s="458"/>
      <c r="O35" s="458"/>
      <c r="P35" s="1010">
        <v>383.50185423396442</v>
      </c>
      <c r="Q35" s="1010">
        <v>35.538581259761536</v>
      </c>
      <c r="R35" s="1010">
        <v>0</v>
      </c>
      <c r="S35" s="1009">
        <f t="shared" si="16"/>
        <v>2553.7877441601659</v>
      </c>
      <c r="T35" s="463"/>
    </row>
    <row r="36" spans="8:20" ht="12.75" customHeight="1" thickBot="1">
      <c r="H36" s="2539">
        <v>3</v>
      </c>
      <c r="I36" s="1016">
        <v>3</v>
      </c>
      <c r="J36" s="1017" t="s">
        <v>922</v>
      </c>
      <c r="K36" s="1016" t="s">
        <v>952</v>
      </c>
      <c r="L36" s="1018">
        <v>1548.160058480209</v>
      </c>
      <c r="M36" s="1018">
        <v>412</v>
      </c>
      <c r="N36" s="458"/>
      <c r="O36" s="458"/>
      <c r="P36" s="1019">
        <v>1329.4924997281378</v>
      </c>
      <c r="Q36" s="1019">
        <v>123.2022132727603</v>
      </c>
      <c r="R36" s="1019">
        <v>0</v>
      </c>
      <c r="S36" s="1018">
        <f t="shared" si="16"/>
        <v>1960.160058480209</v>
      </c>
      <c r="T36" s="463"/>
    </row>
    <row r="37" spans="8:20" ht="12.75" customHeight="1">
      <c r="H37" s="1020">
        <v>1</v>
      </c>
      <c r="I37" s="1021">
        <v>1</v>
      </c>
      <c r="J37" s="1022" t="s">
        <v>922</v>
      </c>
      <c r="K37" s="1021" t="s">
        <v>953</v>
      </c>
      <c r="L37" s="1023">
        <v>2028.9643804388772</v>
      </c>
      <c r="M37" s="1023">
        <v>-32.124417637256897</v>
      </c>
      <c r="N37" s="458"/>
      <c r="O37" s="458"/>
      <c r="P37" s="1024">
        <v>486.49085156222907</v>
      </c>
      <c r="Q37" s="1024">
        <v>45.082427814878784</v>
      </c>
      <c r="R37" s="1024">
        <v>5.236110055565355</v>
      </c>
      <c r="S37" s="1023">
        <f t="shared" si="16"/>
        <v>1996.8399628016205</v>
      </c>
      <c r="T37" s="463"/>
    </row>
    <row r="38" spans="8:20" ht="12.75" customHeight="1">
      <c r="H38" s="1006">
        <v>2</v>
      </c>
      <c r="I38" s="1007">
        <v>1</v>
      </c>
      <c r="J38" s="1008" t="s">
        <v>922</v>
      </c>
      <c r="K38" s="1007" t="s">
        <v>954</v>
      </c>
      <c r="L38" s="1009">
        <v>2141.7877441601659</v>
      </c>
      <c r="M38" s="1009">
        <v>-32.124417637256897</v>
      </c>
      <c r="N38" s="458"/>
      <c r="O38" s="458"/>
      <c r="P38" s="1010">
        <v>383.50185423396442</v>
      </c>
      <c r="Q38" s="1010">
        <v>35.538581259761536</v>
      </c>
      <c r="R38" s="1010">
        <v>5.236110055565355</v>
      </c>
      <c r="S38" s="1009">
        <f t="shared" si="16"/>
        <v>2109.6633265229088</v>
      </c>
      <c r="T38" s="463"/>
    </row>
    <row r="39" spans="8:20" ht="12.75" customHeight="1">
      <c r="H39" s="1006">
        <v>3</v>
      </c>
      <c r="I39" s="1007">
        <v>1</v>
      </c>
      <c r="J39" s="1008" t="s">
        <v>922</v>
      </c>
      <c r="K39" s="1007" t="s">
        <v>955</v>
      </c>
      <c r="L39" s="1009">
        <v>1548.160058480209</v>
      </c>
      <c r="M39" s="1009">
        <v>-32.124417637256897</v>
      </c>
      <c r="N39" s="458"/>
      <c r="O39" s="458"/>
      <c r="P39" s="1010">
        <v>1329.4924997281378</v>
      </c>
      <c r="Q39" s="1010">
        <v>123.2022132727603</v>
      </c>
      <c r="R39" s="1010">
        <v>5.236110055565355</v>
      </c>
      <c r="S39" s="1009">
        <f t="shared" si="16"/>
        <v>1516.035640842952</v>
      </c>
      <c r="T39" s="463"/>
    </row>
    <row r="40" spans="8:20" ht="12.75" customHeight="1">
      <c r="H40" s="1011">
        <v>1</v>
      </c>
      <c r="I40" s="1012">
        <v>2</v>
      </c>
      <c r="J40" s="1013" t="s">
        <v>922</v>
      </c>
      <c r="K40" s="1012" t="s">
        <v>956</v>
      </c>
      <c r="L40" s="1014">
        <v>2028.9643804388772</v>
      </c>
      <c r="M40" s="1014">
        <v>117.23903663470225</v>
      </c>
      <c r="N40" s="458"/>
      <c r="O40" s="458"/>
      <c r="P40" s="1015">
        <v>486.49085156222907</v>
      </c>
      <c r="Q40" s="1015">
        <v>45.082427814878784</v>
      </c>
      <c r="R40" s="1015">
        <v>7.1334107738902777</v>
      </c>
      <c r="S40" s="1014">
        <f t="shared" si="16"/>
        <v>2146.2034170735797</v>
      </c>
      <c r="T40" s="463"/>
    </row>
    <row r="41" spans="8:20" ht="12.75" customHeight="1">
      <c r="H41" s="1011">
        <v>2</v>
      </c>
      <c r="I41" s="1012">
        <v>2</v>
      </c>
      <c r="J41" s="1013" t="s">
        <v>922</v>
      </c>
      <c r="K41" s="1012" t="s">
        <v>957</v>
      </c>
      <c r="L41" s="1014">
        <v>2141.7877441601659</v>
      </c>
      <c r="M41" s="1014">
        <v>117.23903663470225</v>
      </c>
      <c r="N41" s="458"/>
      <c r="O41" s="458"/>
      <c r="P41" s="1015">
        <v>383.50185423396442</v>
      </c>
      <c r="Q41" s="1015">
        <v>35.538581259761536</v>
      </c>
      <c r="R41" s="1015">
        <v>7.1334107738902777</v>
      </c>
      <c r="S41" s="1014">
        <f t="shared" si="16"/>
        <v>2259.026780794868</v>
      </c>
      <c r="T41" s="463"/>
    </row>
    <row r="42" spans="8:20" ht="12.75" customHeight="1">
      <c r="H42" s="1011">
        <v>3</v>
      </c>
      <c r="I42" s="1012">
        <v>2</v>
      </c>
      <c r="J42" s="1013" t="s">
        <v>922</v>
      </c>
      <c r="K42" s="1012" t="s">
        <v>958</v>
      </c>
      <c r="L42" s="1014">
        <v>1548.160058480209</v>
      </c>
      <c r="M42" s="1014">
        <v>117.23903663470225</v>
      </c>
      <c r="N42" s="458"/>
      <c r="O42" s="458"/>
      <c r="P42" s="1015">
        <v>1329.4924997281378</v>
      </c>
      <c r="Q42" s="1015">
        <v>123.2022132727603</v>
      </c>
      <c r="R42" s="1015">
        <v>7.1334107738902777</v>
      </c>
      <c r="S42" s="1014">
        <f t="shared" si="16"/>
        <v>1665.3990951149112</v>
      </c>
      <c r="T42" s="463"/>
    </row>
    <row r="43" spans="8:20" ht="12.75" customHeight="1">
      <c r="H43" s="1006">
        <v>1</v>
      </c>
      <c r="I43" s="1007">
        <v>3</v>
      </c>
      <c r="J43" s="1008" t="s">
        <v>922</v>
      </c>
      <c r="K43" s="1007" t="s">
        <v>959</v>
      </c>
      <c r="L43" s="1009">
        <v>2028.9643804388772</v>
      </c>
      <c r="M43" s="1009">
        <v>412</v>
      </c>
      <c r="N43" s="458"/>
      <c r="O43" s="458"/>
      <c r="P43" s="1010">
        <v>486.49085156222907</v>
      </c>
      <c r="Q43" s="1010">
        <v>45.082427814878784</v>
      </c>
      <c r="R43" s="1010">
        <v>0</v>
      </c>
      <c r="S43" s="1009">
        <f t="shared" si="16"/>
        <v>2440.964380438877</v>
      </c>
      <c r="T43" s="463"/>
    </row>
    <row r="44" spans="8:20" ht="12.75" customHeight="1">
      <c r="H44" s="1006">
        <v>2</v>
      </c>
      <c r="I44" s="1007">
        <v>3</v>
      </c>
      <c r="J44" s="1008" t="s">
        <v>922</v>
      </c>
      <c r="K44" s="1007" t="s">
        <v>960</v>
      </c>
      <c r="L44" s="1009">
        <v>2141.7877441601659</v>
      </c>
      <c r="M44" s="1009">
        <v>412</v>
      </c>
      <c r="N44" s="458"/>
      <c r="O44" s="458"/>
      <c r="P44" s="1010">
        <v>383.50185423396442</v>
      </c>
      <c r="Q44" s="1010">
        <v>35.538581259761536</v>
      </c>
      <c r="R44" s="1010">
        <v>0</v>
      </c>
      <c r="S44" s="1009">
        <f t="shared" si="16"/>
        <v>2553.7877441601659</v>
      </c>
      <c r="T44" s="463"/>
    </row>
    <row r="45" spans="8:20" ht="12.75" customHeight="1" thickBot="1">
      <c r="H45" s="2539">
        <v>3</v>
      </c>
      <c r="I45" s="1016">
        <v>3</v>
      </c>
      <c r="J45" s="1017" t="s">
        <v>922</v>
      </c>
      <c r="K45" s="1016" t="s">
        <v>961</v>
      </c>
      <c r="L45" s="1018">
        <v>1548.160058480209</v>
      </c>
      <c r="M45" s="1018">
        <v>412</v>
      </c>
      <c r="N45" s="458"/>
      <c r="O45" s="458"/>
      <c r="P45" s="1019">
        <v>1329.4924997281378</v>
      </c>
      <c r="Q45" s="1019">
        <v>123.2022132727603</v>
      </c>
      <c r="R45" s="1019">
        <v>0</v>
      </c>
      <c r="S45" s="1018">
        <f t="shared" si="16"/>
        <v>1960.160058480209</v>
      </c>
      <c r="T45" s="463"/>
    </row>
    <row r="46" spans="8:20" ht="12.75" customHeight="1">
      <c r="H46" s="1020">
        <v>1</v>
      </c>
      <c r="I46" s="1021">
        <v>1</v>
      </c>
      <c r="J46" s="1022" t="s">
        <v>922</v>
      </c>
      <c r="K46" s="1021" t="s">
        <v>962</v>
      </c>
      <c r="L46" s="1023">
        <v>2122.1007902530791</v>
      </c>
      <c r="M46" s="1023">
        <v>-32.124417637256897</v>
      </c>
      <c r="N46" s="458"/>
      <c r="O46" s="458"/>
      <c r="P46" s="1024">
        <v>486.49085156222907</v>
      </c>
      <c r="Q46" s="1024">
        <v>45.082427814878784</v>
      </c>
      <c r="R46" s="1024">
        <v>5.236110055565355</v>
      </c>
      <c r="S46" s="1023">
        <f t="shared" si="16"/>
        <v>2089.9763726158221</v>
      </c>
      <c r="T46" s="463"/>
    </row>
    <row r="47" spans="8:20" ht="12.75" customHeight="1">
      <c r="H47" s="1006">
        <v>2</v>
      </c>
      <c r="I47" s="1007">
        <v>1</v>
      </c>
      <c r="J47" s="1008" t="s">
        <v>922</v>
      </c>
      <c r="K47" s="1007" t="s">
        <v>963</v>
      </c>
      <c r="L47" s="1009">
        <v>2257.9373160474706</v>
      </c>
      <c r="M47" s="1009">
        <v>-32.124417637256897</v>
      </c>
      <c r="N47" s="458"/>
      <c r="O47" s="458"/>
      <c r="P47" s="1010">
        <v>383.50185423396442</v>
      </c>
      <c r="Q47" s="1010">
        <v>35.538581259761536</v>
      </c>
      <c r="R47" s="1010">
        <v>5.236110055565355</v>
      </c>
      <c r="S47" s="1009">
        <f t="shared" si="16"/>
        <v>2225.8128984102136</v>
      </c>
      <c r="T47" s="463"/>
    </row>
    <row r="48" spans="8:20" ht="12.75" customHeight="1">
      <c r="H48" s="1006">
        <v>3</v>
      </c>
      <c r="I48" s="1007">
        <v>1</v>
      </c>
      <c r="J48" s="1008" t="s">
        <v>922</v>
      </c>
      <c r="K48" s="1007" t="s">
        <v>964</v>
      </c>
      <c r="L48" s="1009">
        <v>1647.645116635603</v>
      </c>
      <c r="M48" s="1009">
        <v>-32.124417637256897</v>
      </c>
      <c r="N48" s="458"/>
      <c r="O48" s="458"/>
      <c r="P48" s="1010">
        <v>1329.4924997281378</v>
      </c>
      <c r="Q48" s="1010">
        <v>123.2022132727603</v>
      </c>
      <c r="R48" s="1010">
        <v>5.236110055565355</v>
      </c>
      <c r="S48" s="1009">
        <f t="shared" si="16"/>
        <v>1615.5206989983462</v>
      </c>
      <c r="T48" s="463"/>
    </row>
    <row r="49" spans="8:20" ht="12.75" customHeight="1">
      <c r="H49" s="1011">
        <v>1</v>
      </c>
      <c r="I49" s="1012">
        <v>2</v>
      </c>
      <c r="J49" s="1013" t="s">
        <v>922</v>
      </c>
      <c r="K49" s="1012" t="s">
        <v>965</v>
      </c>
      <c r="L49" s="1014">
        <v>2122.1007902530791</v>
      </c>
      <c r="M49" s="1014">
        <v>117.23903663470225</v>
      </c>
      <c r="N49" s="458"/>
      <c r="O49" s="458"/>
      <c r="P49" s="1015">
        <v>486.49085156222907</v>
      </c>
      <c r="Q49" s="1015">
        <v>45.082427814878784</v>
      </c>
      <c r="R49" s="1015">
        <v>7.1334107738902777</v>
      </c>
      <c r="S49" s="1014">
        <f t="shared" si="16"/>
        <v>2239.3398268877813</v>
      </c>
      <c r="T49" s="463"/>
    </row>
    <row r="50" spans="8:20" ht="12.75" customHeight="1">
      <c r="H50" s="1011">
        <v>2</v>
      </c>
      <c r="I50" s="1012">
        <v>2</v>
      </c>
      <c r="J50" s="1013" t="s">
        <v>922</v>
      </c>
      <c r="K50" s="1012" t="s">
        <v>966</v>
      </c>
      <c r="L50" s="1014">
        <v>2257.9373160474706</v>
      </c>
      <c r="M50" s="1014">
        <v>117.23903663470225</v>
      </c>
      <c r="N50" s="458"/>
      <c r="O50" s="458"/>
      <c r="P50" s="1015">
        <v>383.50185423396442</v>
      </c>
      <c r="Q50" s="1015">
        <v>35.538581259761536</v>
      </c>
      <c r="R50" s="1015">
        <v>7.1334107738902777</v>
      </c>
      <c r="S50" s="1014">
        <f t="shared" si="16"/>
        <v>2375.1763526821728</v>
      </c>
      <c r="T50" s="463"/>
    </row>
    <row r="51" spans="8:20" ht="12.75" customHeight="1">
      <c r="H51" s="1011">
        <v>3</v>
      </c>
      <c r="I51" s="1012">
        <v>2</v>
      </c>
      <c r="J51" s="1013" t="s">
        <v>922</v>
      </c>
      <c r="K51" s="1012" t="s">
        <v>967</v>
      </c>
      <c r="L51" s="1014">
        <v>1647.645116635603</v>
      </c>
      <c r="M51" s="1014">
        <v>117.23903663470225</v>
      </c>
      <c r="N51" s="458"/>
      <c r="O51" s="458"/>
      <c r="P51" s="1015">
        <v>1329.4924997281378</v>
      </c>
      <c r="Q51" s="1015">
        <v>123.2022132727603</v>
      </c>
      <c r="R51" s="1015">
        <v>7.1334107738902777</v>
      </c>
      <c r="S51" s="1014">
        <f t="shared" si="16"/>
        <v>1764.8841532703052</v>
      </c>
      <c r="T51" s="463"/>
    </row>
    <row r="52" spans="8:20" ht="12.75" customHeight="1">
      <c r="H52" s="1006">
        <v>1</v>
      </c>
      <c r="I52" s="1007">
        <v>3</v>
      </c>
      <c r="J52" s="1008" t="s">
        <v>922</v>
      </c>
      <c r="K52" s="1007" t="s">
        <v>968</v>
      </c>
      <c r="L52" s="1009">
        <v>2122.1007902530791</v>
      </c>
      <c r="M52" s="1009">
        <v>412</v>
      </c>
      <c r="N52" s="458"/>
      <c r="O52" s="458"/>
      <c r="P52" s="1010">
        <v>486.49085156222907</v>
      </c>
      <c r="Q52" s="1010">
        <v>45.082427814878784</v>
      </c>
      <c r="R52" s="1010">
        <v>0</v>
      </c>
      <c r="S52" s="1009">
        <f t="shared" si="16"/>
        <v>2534.1007902530791</v>
      </c>
      <c r="T52" s="463"/>
    </row>
    <row r="53" spans="8:20" ht="12.75" customHeight="1">
      <c r="H53" s="1006">
        <v>2</v>
      </c>
      <c r="I53" s="1007">
        <v>3</v>
      </c>
      <c r="J53" s="1008" t="s">
        <v>922</v>
      </c>
      <c r="K53" s="1007" t="s">
        <v>969</v>
      </c>
      <c r="L53" s="1009">
        <v>2257.9373160474706</v>
      </c>
      <c r="M53" s="1009">
        <v>412</v>
      </c>
      <c r="N53" s="458"/>
      <c r="O53" s="458"/>
      <c r="P53" s="1010">
        <v>383.50185423396442</v>
      </c>
      <c r="Q53" s="1010">
        <v>35.538581259761536</v>
      </c>
      <c r="R53" s="1010">
        <v>0</v>
      </c>
      <c r="S53" s="1009">
        <f t="shared" si="16"/>
        <v>2669.9373160474706</v>
      </c>
      <c r="T53" s="463"/>
    </row>
    <row r="54" spans="8:20" ht="12.75" customHeight="1" thickBot="1">
      <c r="H54" s="2539">
        <v>3</v>
      </c>
      <c r="I54" s="1016">
        <v>3</v>
      </c>
      <c r="J54" s="1017" t="s">
        <v>922</v>
      </c>
      <c r="K54" s="1016" t="s">
        <v>970</v>
      </c>
      <c r="L54" s="1018">
        <v>1647.645116635603</v>
      </c>
      <c r="M54" s="1018">
        <v>412</v>
      </c>
      <c r="N54" s="458"/>
      <c r="O54" s="458"/>
      <c r="P54" s="1019">
        <v>1329.4924997281378</v>
      </c>
      <c r="Q54" s="1019">
        <v>123.2022132727603</v>
      </c>
      <c r="R54" s="1019">
        <v>0</v>
      </c>
      <c r="S54" s="1018">
        <f t="shared" si="16"/>
        <v>2059.6451166356028</v>
      </c>
      <c r="T54" s="463"/>
    </row>
    <row r="55" spans="8:20" ht="12.75" customHeight="1">
      <c r="H55" s="1020">
        <v>1</v>
      </c>
      <c r="I55" s="1021">
        <v>1</v>
      </c>
      <c r="J55" s="1022" t="s">
        <v>922</v>
      </c>
      <c r="K55" s="1021" t="s">
        <v>971</v>
      </c>
      <c r="L55" s="1023">
        <v>2223.3275378728363</v>
      </c>
      <c r="M55" s="1023">
        <v>-32.124417637256897</v>
      </c>
      <c r="N55" s="458"/>
      <c r="O55" s="458"/>
      <c r="P55" s="1024">
        <v>486.49085156222907</v>
      </c>
      <c r="Q55" s="1024">
        <v>45.082427814878784</v>
      </c>
      <c r="R55" s="1024">
        <v>5.236110055565355</v>
      </c>
      <c r="S55" s="1023">
        <f t="shared" si="16"/>
        <v>2191.2031202355793</v>
      </c>
      <c r="T55" s="463"/>
    </row>
    <row r="56" spans="8:20" ht="12.75" customHeight="1">
      <c r="H56" s="1006">
        <v>2</v>
      </c>
      <c r="I56" s="1007">
        <v>1</v>
      </c>
      <c r="J56" s="1008" t="s">
        <v>922</v>
      </c>
      <c r="K56" s="1007" t="s">
        <v>972</v>
      </c>
      <c r="L56" s="1009">
        <v>2381.9708340806469</v>
      </c>
      <c r="M56" s="1009">
        <v>-32.124417637256897</v>
      </c>
      <c r="N56" s="458"/>
      <c r="O56" s="458"/>
      <c r="P56" s="1010">
        <v>383.50185423396442</v>
      </c>
      <c r="Q56" s="1010">
        <v>35.538581259761536</v>
      </c>
      <c r="R56" s="1010">
        <v>5.236110055565355</v>
      </c>
      <c r="S56" s="1009">
        <f t="shared" si="16"/>
        <v>2349.8464164433899</v>
      </c>
      <c r="T56" s="463"/>
    </row>
    <row r="57" spans="8:20" ht="12.75" customHeight="1">
      <c r="H57" s="1006">
        <v>3</v>
      </c>
      <c r="I57" s="1007">
        <v>1</v>
      </c>
      <c r="J57" s="1008" t="s">
        <v>922</v>
      </c>
      <c r="K57" s="1007" t="s">
        <v>973</v>
      </c>
      <c r="L57" s="1009">
        <v>1750.1709399231354</v>
      </c>
      <c r="M57" s="1009">
        <v>-32.124417637256897</v>
      </c>
      <c r="N57" s="458"/>
      <c r="O57" s="458"/>
      <c r="P57" s="1010">
        <v>1329.4924997281378</v>
      </c>
      <c r="Q57" s="1010">
        <v>123.2022132727603</v>
      </c>
      <c r="R57" s="1010">
        <v>5.236110055565355</v>
      </c>
      <c r="S57" s="1009">
        <f t="shared" si="16"/>
        <v>1718.0465222858784</v>
      </c>
      <c r="T57" s="463"/>
    </row>
    <row r="58" spans="8:20" ht="12.75" customHeight="1">
      <c r="H58" s="1011">
        <v>1</v>
      </c>
      <c r="I58" s="1012">
        <v>2</v>
      </c>
      <c r="J58" s="1013" t="s">
        <v>922</v>
      </c>
      <c r="K58" s="1012" t="s">
        <v>974</v>
      </c>
      <c r="L58" s="1014">
        <v>2223.3275378728363</v>
      </c>
      <c r="M58" s="1014">
        <v>117.23903663470225</v>
      </c>
      <c r="N58" s="458"/>
      <c r="O58" s="458"/>
      <c r="P58" s="1015">
        <v>486.49085156222907</v>
      </c>
      <c r="Q58" s="1015">
        <v>45.082427814878784</v>
      </c>
      <c r="R58" s="1015">
        <v>7.1334107738902777</v>
      </c>
      <c r="S58" s="1014">
        <f t="shared" si="16"/>
        <v>2340.5665745075385</v>
      </c>
      <c r="T58" s="463"/>
    </row>
    <row r="59" spans="8:20" ht="12.75" customHeight="1">
      <c r="H59" s="1011">
        <v>2</v>
      </c>
      <c r="I59" s="1012">
        <v>2</v>
      </c>
      <c r="J59" s="1013" t="s">
        <v>922</v>
      </c>
      <c r="K59" s="1012" t="s">
        <v>975</v>
      </c>
      <c r="L59" s="1014">
        <v>2381.9708340806469</v>
      </c>
      <c r="M59" s="1014">
        <v>117.23903663470225</v>
      </c>
      <c r="N59" s="458"/>
      <c r="O59" s="458"/>
      <c r="P59" s="1015">
        <v>383.50185423396442</v>
      </c>
      <c r="Q59" s="1015">
        <v>35.538581259761536</v>
      </c>
      <c r="R59" s="1015">
        <v>7.1334107738902777</v>
      </c>
      <c r="S59" s="1014">
        <f t="shared" si="16"/>
        <v>2499.2098707153491</v>
      </c>
      <c r="T59" s="463"/>
    </row>
    <row r="60" spans="8:20" ht="12.75" customHeight="1">
      <c r="H60" s="1011">
        <v>3</v>
      </c>
      <c r="I60" s="1012">
        <v>2</v>
      </c>
      <c r="J60" s="1013" t="s">
        <v>922</v>
      </c>
      <c r="K60" s="1012" t="s">
        <v>976</v>
      </c>
      <c r="L60" s="1014">
        <v>1750.1709399231354</v>
      </c>
      <c r="M60" s="1014">
        <v>117.23903663470225</v>
      </c>
      <c r="N60" s="458"/>
      <c r="O60" s="458"/>
      <c r="P60" s="1015">
        <v>1329.4924997281378</v>
      </c>
      <c r="Q60" s="1015">
        <v>123.2022132727603</v>
      </c>
      <c r="R60" s="1015">
        <v>7.1334107738902777</v>
      </c>
      <c r="S60" s="1014">
        <f t="shared" si="16"/>
        <v>1867.4099765578376</v>
      </c>
      <c r="T60" s="463"/>
    </row>
    <row r="61" spans="8:20" ht="12.75" customHeight="1">
      <c r="H61" s="1006">
        <v>1</v>
      </c>
      <c r="I61" s="1007">
        <v>3</v>
      </c>
      <c r="J61" s="1008" t="s">
        <v>922</v>
      </c>
      <c r="K61" s="1007" t="s">
        <v>977</v>
      </c>
      <c r="L61" s="1009">
        <v>2223.3275378728363</v>
      </c>
      <c r="M61" s="1009">
        <v>412</v>
      </c>
      <c r="N61" s="458"/>
      <c r="O61" s="458"/>
      <c r="P61" s="1010">
        <v>486.49085156222907</v>
      </c>
      <c r="Q61" s="1010">
        <v>45.082427814878784</v>
      </c>
      <c r="R61" s="1010">
        <v>0</v>
      </c>
      <c r="S61" s="1009">
        <f t="shared" si="16"/>
        <v>2635.3275378728363</v>
      </c>
      <c r="T61" s="463"/>
    </row>
    <row r="62" spans="8:20" ht="12.75" customHeight="1">
      <c r="H62" s="1006">
        <v>2</v>
      </c>
      <c r="I62" s="1007">
        <v>3</v>
      </c>
      <c r="J62" s="1008" t="s">
        <v>922</v>
      </c>
      <c r="K62" s="1007" t="s">
        <v>978</v>
      </c>
      <c r="L62" s="1009">
        <v>2381.9708340806469</v>
      </c>
      <c r="M62" s="1009">
        <v>412</v>
      </c>
      <c r="N62" s="458"/>
      <c r="O62" s="458"/>
      <c r="P62" s="1010">
        <v>383.50185423396442</v>
      </c>
      <c r="Q62" s="1010">
        <v>35.538581259761536</v>
      </c>
      <c r="R62" s="1010">
        <v>0</v>
      </c>
      <c r="S62" s="1009">
        <f t="shared" si="16"/>
        <v>2793.9708340806469</v>
      </c>
      <c r="T62" s="463"/>
    </row>
    <row r="63" spans="8:20" ht="12.75" customHeight="1" thickBot="1">
      <c r="H63" s="2539">
        <v>3</v>
      </c>
      <c r="I63" s="1016">
        <v>3</v>
      </c>
      <c r="J63" s="1017" t="s">
        <v>922</v>
      </c>
      <c r="K63" s="1016" t="s">
        <v>979</v>
      </c>
      <c r="L63" s="1018">
        <v>1750.1709399231354</v>
      </c>
      <c r="M63" s="1018">
        <v>412</v>
      </c>
      <c r="N63" s="458"/>
      <c r="O63" s="458"/>
      <c r="P63" s="1019">
        <v>1329.4924997281378</v>
      </c>
      <c r="Q63" s="1019">
        <v>123.2022132727603</v>
      </c>
      <c r="R63" s="1019">
        <v>0</v>
      </c>
      <c r="S63" s="1018">
        <f t="shared" si="16"/>
        <v>2162.1709399231354</v>
      </c>
      <c r="T63" s="463"/>
    </row>
    <row r="64" spans="8:20" ht="12.75" customHeight="1">
      <c r="Q64" s="463"/>
      <c r="R64" s="463"/>
      <c r="S64" s="463"/>
      <c r="T64" s="463"/>
    </row>
    <row r="65" spans="8:20" ht="12.75" customHeight="1">
      <c r="H65" s="466" t="s">
        <v>981</v>
      </c>
      <c r="Q65" s="463"/>
      <c r="R65" s="463"/>
      <c r="S65" s="463"/>
      <c r="T65" s="463"/>
    </row>
    <row r="66" spans="8:20" ht="12.75" customHeight="1" thickBot="1">
      <c r="Q66" s="463"/>
      <c r="R66" s="463"/>
      <c r="S66" s="463"/>
      <c r="T66" s="463"/>
    </row>
    <row r="67" spans="8:20" ht="12.75" customHeight="1" thickTop="1" thickBot="1">
      <c r="I67" s="458" t="s">
        <v>914</v>
      </c>
      <c r="J67" s="2858" t="s">
        <v>992</v>
      </c>
      <c r="K67" s="2871"/>
      <c r="L67" s="2871"/>
      <c r="M67" s="2871"/>
      <c r="N67" s="2859"/>
      <c r="Q67" s="463"/>
      <c r="R67" s="463"/>
      <c r="S67" s="463"/>
      <c r="T67" s="463"/>
    </row>
    <row r="68" spans="8:20" ht="12.75" customHeight="1" thickTop="1">
      <c r="M68" s="462"/>
      <c r="N68" s="462"/>
      <c r="Q68" s="463"/>
      <c r="R68" s="463"/>
      <c r="S68" s="463"/>
      <c r="T68" s="463"/>
    </row>
    <row r="69" spans="8:20" ht="12.75" customHeight="1">
      <c r="I69" s="943" t="s">
        <v>994</v>
      </c>
      <c r="M69" s="462"/>
      <c r="N69" s="462"/>
      <c r="Q69" s="463"/>
      <c r="R69" s="463"/>
      <c r="S69" s="463"/>
      <c r="T69" s="463"/>
    </row>
    <row r="70" spans="8:20" ht="12.75" customHeight="1">
      <c r="J70" s="462" t="s">
        <v>982</v>
      </c>
      <c r="K70" s="462" t="s">
        <v>983</v>
      </c>
      <c r="L70" s="462" t="s">
        <v>984</v>
      </c>
      <c r="M70" s="462" t="s">
        <v>985</v>
      </c>
      <c r="N70" s="462"/>
      <c r="Q70" s="463"/>
      <c r="R70" s="463"/>
      <c r="S70" s="463"/>
      <c r="T70" s="463"/>
    </row>
    <row r="71" spans="8:20" ht="12.75" customHeight="1">
      <c r="I71" s="462" t="s">
        <v>986</v>
      </c>
      <c r="J71" s="944">
        <v>0.21</v>
      </c>
      <c r="K71" s="944">
        <v>0.6</v>
      </c>
      <c r="L71" s="944">
        <v>0.15</v>
      </c>
      <c r="M71" s="944">
        <v>0.03</v>
      </c>
      <c r="N71" s="944">
        <f>SUM(J71:M71)</f>
        <v>0.99</v>
      </c>
      <c r="Q71" s="463"/>
      <c r="R71" s="463"/>
      <c r="S71" s="463"/>
      <c r="T71" s="463"/>
    </row>
    <row r="72" spans="8:20" ht="12.75" customHeight="1">
      <c r="I72" s="462">
        <v>2016</v>
      </c>
      <c r="J72" s="945">
        <v>0.15467457468393944</v>
      </c>
      <c r="K72" s="945">
        <v>0.53056552728786222</v>
      </c>
      <c r="L72" s="945">
        <v>0.25050725768690496</v>
      </c>
      <c r="M72" s="945">
        <v>6.4252640341293382E-2</v>
      </c>
      <c r="N72" s="944">
        <f>SUM(J72:M72)</f>
        <v>1</v>
      </c>
      <c r="Q72" s="463"/>
      <c r="R72" s="463"/>
      <c r="S72" s="463"/>
      <c r="T72" s="463"/>
    </row>
    <row r="73" spans="8:20" ht="12.75" customHeight="1">
      <c r="M73" s="462"/>
      <c r="N73" s="462"/>
      <c r="Q73" s="463"/>
      <c r="R73" s="463"/>
      <c r="S73" s="463"/>
      <c r="T73" s="463"/>
    </row>
    <row r="74" spans="8:20" ht="12.75" customHeight="1">
      <c r="I74" s="943" t="s">
        <v>772</v>
      </c>
      <c r="J74" s="462" t="s">
        <v>1087</v>
      </c>
      <c r="M74" s="462"/>
      <c r="N74" s="462"/>
      <c r="Q74" s="463"/>
      <c r="R74" s="463"/>
      <c r="S74" s="463"/>
      <c r="T74" s="463"/>
    </row>
    <row r="75" spans="8:20" ht="12.75" customHeight="1">
      <c r="I75" s="462" t="s">
        <v>987</v>
      </c>
      <c r="J75" s="462" t="s">
        <v>988</v>
      </c>
      <c r="K75" s="462" t="s">
        <v>989</v>
      </c>
      <c r="L75" s="462" t="s">
        <v>990</v>
      </c>
      <c r="M75" s="462" t="s">
        <v>991</v>
      </c>
      <c r="N75" s="462"/>
      <c r="Q75" s="463"/>
      <c r="R75" s="463"/>
      <c r="S75" s="463"/>
      <c r="T75" s="463"/>
    </row>
    <row r="76" spans="8:20" ht="12.75" customHeight="1">
      <c r="I76" s="462">
        <v>2015</v>
      </c>
      <c r="J76" s="944"/>
      <c r="K76" s="946">
        <v>0.82</v>
      </c>
      <c r="L76" s="946">
        <f>L71</f>
        <v>0.15</v>
      </c>
      <c r="M76" s="946">
        <f>M71</f>
        <v>0.03</v>
      </c>
      <c r="N76" s="944">
        <f>SUM(K76:M76)</f>
        <v>1</v>
      </c>
      <c r="Q76" s="463"/>
      <c r="R76" s="463"/>
      <c r="S76" s="463"/>
      <c r="T76" s="463"/>
    </row>
    <row r="77" spans="8:20" ht="12.75" customHeight="1">
      <c r="I77" s="462">
        <v>2016</v>
      </c>
      <c r="J77" s="1025"/>
      <c r="K77" s="946">
        <f>J72+K72</f>
        <v>0.68524010197180163</v>
      </c>
      <c r="L77" s="946">
        <f>L72</f>
        <v>0.25050725768690496</v>
      </c>
      <c r="M77" s="946">
        <f>M72</f>
        <v>6.4252640341293382E-2</v>
      </c>
      <c r="N77" s="944">
        <f t="shared" ref="N77:N80" si="17">SUM(K77:M77)</f>
        <v>1</v>
      </c>
      <c r="Q77" s="463"/>
      <c r="R77" s="463"/>
      <c r="S77" s="463"/>
      <c r="T77" s="463"/>
    </row>
    <row r="78" spans="8:20" ht="12.75" customHeight="1">
      <c r="I78" s="462">
        <v>2017</v>
      </c>
      <c r="K78" s="946">
        <f t="shared" ref="K78:M80" si="18">FORECAST($I78,K76:K77,$I76:$I77)</f>
        <v>0.55048020394360719</v>
      </c>
      <c r="L78" s="946">
        <f t="shared" si="18"/>
        <v>0.35101451537380512</v>
      </c>
      <c r="M78" s="946">
        <f t="shared" si="18"/>
        <v>9.8505280682587681E-2</v>
      </c>
      <c r="N78" s="944">
        <f t="shared" si="17"/>
        <v>1</v>
      </c>
      <c r="Q78" s="463"/>
      <c r="R78" s="463"/>
      <c r="S78" s="463"/>
      <c r="T78" s="463"/>
    </row>
    <row r="79" spans="8:20" ht="12.75" customHeight="1">
      <c r="I79" s="462">
        <v>2018</v>
      </c>
      <c r="K79" s="946">
        <f t="shared" si="18"/>
        <v>0.41572030591538578</v>
      </c>
      <c r="L79" s="946">
        <f t="shared" si="18"/>
        <v>0.45152177306070485</v>
      </c>
      <c r="M79" s="946">
        <f t="shared" si="18"/>
        <v>0.13275792102388095</v>
      </c>
      <c r="N79" s="944">
        <f t="shared" si="17"/>
        <v>0.99999999999997158</v>
      </c>
      <c r="Q79" s="463"/>
      <c r="R79" s="463"/>
      <c r="S79" s="463"/>
      <c r="T79" s="463"/>
    </row>
    <row r="80" spans="8:20" ht="12.75" customHeight="1">
      <c r="I80" s="462">
        <v>2019</v>
      </c>
      <c r="K80" s="946">
        <f t="shared" si="18"/>
        <v>0.28096040788710752</v>
      </c>
      <c r="L80" s="946">
        <f t="shared" si="18"/>
        <v>0.55202903074760457</v>
      </c>
      <c r="M80" s="946">
        <f t="shared" si="18"/>
        <v>0.16701056136517423</v>
      </c>
      <c r="N80" s="944">
        <f t="shared" si="17"/>
        <v>0.99999999999988631</v>
      </c>
      <c r="Q80" s="463"/>
      <c r="R80" s="463"/>
      <c r="S80" s="463"/>
      <c r="T80" s="463"/>
    </row>
    <row r="81" spans="8:23" ht="12.75" customHeight="1">
      <c r="Q81" s="463"/>
      <c r="R81" s="463"/>
      <c r="S81" s="463"/>
      <c r="T81" s="463"/>
    </row>
    <row r="82" spans="8:23" ht="12.75" customHeight="1">
      <c r="Q82" s="463"/>
      <c r="R82" s="463"/>
      <c r="S82" s="463"/>
      <c r="T82" s="463"/>
      <c r="V82" s="462"/>
    </row>
    <row r="83" spans="8:23" ht="12.75" customHeight="1">
      <c r="H83" s="466" t="s">
        <v>980</v>
      </c>
      <c r="M83" s="462"/>
      <c r="N83" s="462"/>
      <c r="O83" s="462"/>
      <c r="Q83" s="463"/>
      <c r="R83" s="463"/>
      <c r="S83" s="463"/>
      <c r="T83" s="463"/>
      <c r="U83" s="482"/>
      <c r="V83" s="482"/>
      <c r="W83" s="482"/>
    </row>
    <row r="84" spans="8:23" ht="12.75" customHeight="1" thickBot="1">
      <c r="M84" s="462"/>
      <c r="N84" s="462"/>
      <c r="O84" s="462"/>
      <c r="Q84" s="463"/>
      <c r="R84" s="463"/>
      <c r="S84" s="463"/>
      <c r="T84" s="463"/>
      <c r="U84" s="482"/>
      <c r="V84" s="482"/>
      <c r="W84" s="482"/>
    </row>
    <row r="85" spans="8:23" ht="12.75" customHeight="1" thickTop="1" thickBot="1">
      <c r="I85" s="458" t="s">
        <v>914</v>
      </c>
      <c r="M85" s="949" t="s">
        <v>2409</v>
      </c>
      <c r="N85" s="458"/>
      <c r="O85" s="458"/>
      <c r="Q85" s="463"/>
      <c r="R85" s="463"/>
      <c r="S85" s="463"/>
      <c r="T85" s="463"/>
      <c r="U85" s="482"/>
      <c r="V85" s="482"/>
      <c r="W85" s="482"/>
    </row>
    <row r="86" spans="8:23" ht="12.75" customHeight="1" thickTop="1" thickBot="1">
      <c r="M86" s="462"/>
      <c r="N86" s="458"/>
      <c r="O86" s="458"/>
      <c r="Q86" s="463"/>
      <c r="R86" s="463"/>
      <c r="S86" s="463"/>
      <c r="T86" s="463"/>
      <c r="U86" s="482"/>
      <c r="V86" s="482"/>
      <c r="W86" s="482"/>
    </row>
    <row r="87" spans="8:23" ht="12.75" customHeight="1">
      <c r="I87" s="950"/>
      <c r="J87" s="951" t="s">
        <v>899</v>
      </c>
      <c r="K87" s="951"/>
      <c r="L87" s="952"/>
      <c r="M87" s="952"/>
      <c r="N87" s="458"/>
      <c r="O87" s="458"/>
      <c r="Q87" s="463"/>
      <c r="R87" s="463"/>
      <c r="S87" s="463"/>
      <c r="T87" s="463"/>
      <c r="U87" s="482"/>
      <c r="V87" s="482"/>
      <c r="W87" s="482"/>
    </row>
    <row r="88" spans="8:23" ht="41.4">
      <c r="I88" s="1026" t="s">
        <v>900</v>
      </c>
      <c r="J88" s="2540" t="s">
        <v>2412</v>
      </c>
      <c r="K88" s="2540" t="s">
        <v>2413</v>
      </c>
      <c r="L88" s="1028"/>
      <c r="M88" s="1028" t="s">
        <v>903</v>
      </c>
      <c r="N88" s="458"/>
      <c r="O88" s="458"/>
      <c r="P88" s="482"/>
      <c r="Q88" s="482"/>
      <c r="R88" s="482"/>
      <c r="S88" s="482"/>
      <c r="T88" s="482"/>
      <c r="U88" s="482"/>
      <c r="V88" s="482"/>
      <c r="W88" s="482"/>
    </row>
    <row r="89" spans="8:23" ht="12.75" customHeight="1">
      <c r="I89" s="953" t="s">
        <v>905</v>
      </c>
      <c r="J89" s="954">
        <v>1</v>
      </c>
      <c r="K89" s="954">
        <v>1</v>
      </c>
      <c r="L89" s="955"/>
      <c r="M89" s="956">
        <v>0.75670431205023725</v>
      </c>
      <c r="N89" s="458"/>
      <c r="O89" s="458"/>
      <c r="P89" s="482"/>
      <c r="Q89" s="482"/>
      <c r="R89" s="482"/>
      <c r="S89" s="482"/>
      <c r="T89" s="482"/>
      <c r="U89" s="482"/>
      <c r="V89" s="482"/>
      <c r="W89" s="482"/>
    </row>
    <row r="90" spans="8:23" ht="12.75" customHeight="1">
      <c r="I90" s="957" t="s">
        <v>906</v>
      </c>
      <c r="J90" s="958">
        <v>1</v>
      </c>
      <c r="K90" s="958">
        <v>2</v>
      </c>
      <c r="L90" s="959"/>
      <c r="M90" s="960">
        <v>7.5369438439207084E-2</v>
      </c>
      <c r="N90" s="458"/>
      <c r="O90" s="458"/>
      <c r="P90" s="482"/>
      <c r="Q90" s="482"/>
      <c r="R90" s="482"/>
      <c r="S90" s="482"/>
      <c r="T90" s="482"/>
      <c r="U90" s="482"/>
      <c r="V90" s="482"/>
      <c r="W90" s="482"/>
    </row>
    <row r="91" spans="8:23" ht="12.75" customHeight="1">
      <c r="I91" s="957" t="s">
        <v>907</v>
      </c>
      <c r="J91" s="958">
        <v>1</v>
      </c>
      <c r="K91" s="958">
        <v>3</v>
      </c>
      <c r="L91" s="959"/>
      <c r="M91" s="960">
        <v>7.144349678319023E-2</v>
      </c>
      <c r="N91" s="458"/>
      <c r="O91" s="458"/>
      <c r="P91" s="482"/>
      <c r="Q91" s="482"/>
      <c r="R91" s="482"/>
      <c r="S91" s="482"/>
      <c r="T91" s="482"/>
      <c r="U91" s="482"/>
      <c r="V91" s="482"/>
      <c r="W91" s="482"/>
    </row>
    <row r="92" spans="8:23" ht="12.75" customHeight="1">
      <c r="I92" s="957" t="s">
        <v>908</v>
      </c>
      <c r="J92" s="958">
        <v>2</v>
      </c>
      <c r="K92" s="958">
        <v>1</v>
      </c>
      <c r="L92" s="959"/>
      <c r="M92" s="960">
        <v>3.2010256727218599E-2</v>
      </c>
      <c r="N92" s="458"/>
      <c r="O92" s="458"/>
      <c r="P92" s="482"/>
      <c r="Q92" s="482"/>
      <c r="R92" s="482"/>
      <c r="S92" s="482"/>
      <c r="T92" s="482"/>
      <c r="U92" s="482"/>
      <c r="V92" s="482"/>
      <c r="W92" s="482"/>
    </row>
    <row r="93" spans="8:23" ht="12.75" customHeight="1">
      <c r="I93" s="957" t="s">
        <v>909</v>
      </c>
      <c r="J93" s="958">
        <v>2</v>
      </c>
      <c r="K93" s="958">
        <v>2</v>
      </c>
      <c r="L93" s="959"/>
      <c r="M93" s="960">
        <v>3.0355726604795932E-2</v>
      </c>
      <c r="N93" s="458"/>
      <c r="O93" s="458"/>
      <c r="P93" s="482"/>
      <c r="Q93" s="482"/>
      <c r="R93" s="482"/>
      <c r="S93" s="482"/>
      <c r="T93" s="482"/>
      <c r="U93" s="482"/>
      <c r="V93" s="482"/>
      <c r="W93" s="482"/>
    </row>
    <row r="94" spans="8:23" ht="12.75" customHeight="1">
      <c r="I94" s="957" t="s">
        <v>910</v>
      </c>
      <c r="J94" s="958">
        <v>2</v>
      </c>
      <c r="K94" s="958">
        <v>3</v>
      </c>
      <c r="L94" s="959"/>
      <c r="M94" s="960">
        <v>0</v>
      </c>
      <c r="N94" s="458"/>
      <c r="O94" s="458"/>
      <c r="P94" s="482"/>
      <c r="Q94" s="482"/>
      <c r="R94" s="482"/>
      <c r="S94" s="482"/>
      <c r="T94" s="482"/>
      <c r="U94" s="482"/>
      <c r="V94" s="482"/>
      <c r="W94" s="482"/>
    </row>
    <row r="95" spans="8:23" ht="12.75" customHeight="1">
      <c r="I95" s="957" t="s">
        <v>911</v>
      </c>
      <c r="J95" s="958">
        <v>3</v>
      </c>
      <c r="K95" s="958">
        <v>1</v>
      </c>
      <c r="L95" s="959"/>
      <c r="M95" s="960">
        <v>1.4672187103848818E-2</v>
      </c>
      <c r="N95" s="458"/>
      <c r="O95" s="458"/>
      <c r="P95" s="482"/>
      <c r="Q95" s="482"/>
      <c r="R95" s="482"/>
      <c r="S95" s="482"/>
      <c r="T95" s="482"/>
      <c r="U95" s="482"/>
      <c r="V95" s="482"/>
      <c r="W95" s="482"/>
    </row>
    <row r="96" spans="8:23" ht="12.75" customHeight="1">
      <c r="I96" s="957" t="s">
        <v>912</v>
      </c>
      <c r="J96" s="958">
        <v>3</v>
      </c>
      <c r="K96" s="958">
        <v>2</v>
      </c>
      <c r="L96" s="959"/>
      <c r="M96" s="960">
        <v>1.9444582291501998E-2</v>
      </c>
      <c r="N96" s="458"/>
      <c r="O96" s="458"/>
      <c r="P96" s="482"/>
      <c r="Q96" s="482"/>
      <c r="R96" s="482"/>
      <c r="S96" s="482"/>
      <c r="T96" s="482"/>
      <c r="U96" s="482"/>
      <c r="V96" s="482"/>
      <c r="W96" s="482"/>
    </row>
    <row r="97" spans="8:23" ht="12.75" customHeight="1">
      <c r="I97" s="961" t="s">
        <v>913</v>
      </c>
      <c r="J97" s="962">
        <v>3</v>
      </c>
      <c r="K97" s="962">
        <v>3</v>
      </c>
      <c r="L97" s="963"/>
      <c r="M97" s="964">
        <v>0</v>
      </c>
      <c r="N97" s="458"/>
      <c r="O97" s="458"/>
      <c r="P97" s="482"/>
      <c r="Q97" s="482"/>
      <c r="R97" s="482"/>
      <c r="S97" s="482"/>
      <c r="T97" s="482"/>
      <c r="U97" s="482"/>
      <c r="V97" s="482"/>
      <c r="W97" s="482"/>
    </row>
    <row r="98" spans="8:23" ht="12.75" customHeight="1" thickBot="1">
      <c r="I98" s="965"/>
      <c r="J98" s="496"/>
      <c r="K98" s="496"/>
      <c r="L98" s="966"/>
      <c r="M98" s="967">
        <v>0.99999999999999989</v>
      </c>
      <c r="N98" s="458"/>
      <c r="O98" s="458"/>
      <c r="Q98" s="463"/>
      <c r="R98" s="463"/>
      <c r="S98" s="463"/>
      <c r="T98" s="463"/>
      <c r="U98" s="482"/>
      <c r="V98" s="482"/>
      <c r="W98" s="482"/>
    </row>
    <row r="99" spans="8:23" ht="12.75" customHeight="1">
      <c r="H99" s="482"/>
      <c r="I99" s="482"/>
      <c r="J99" s="482"/>
      <c r="K99" s="947"/>
      <c r="L99" s="947"/>
      <c r="M99" s="948"/>
      <c r="N99" s="458"/>
      <c r="O99" s="458"/>
      <c r="Q99" s="463"/>
      <c r="R99" s="463"/>
      <c r="S99" s="463"/>
      <c r="T99" s="463"/>
      <c r="U99" s="482"/>
      <c r="V99" s="482"/>
      <c r="W99" s="482"/>
    </row>
    <row r="100" spans="8:23" ht="12.75" customHeight="1">
      <c r="H100" s="968" t="s">
        <v>995</v>
      </c>
      <c r="I100" s="482"/>
      <c r="J100" s="482"/>
      <c r="K100" s="947"/>
      <c r="L100" s="947"/>
      <c r="M100" s="948"/>
      <c r="N100" s="458"/>
      <c r="O100" s="458"/>
      <c r="Q100" s="463"/>
      <c r="R100" s="463"/>
      <c r="S100" s="463"/>
      <c r="T100" s="463"/>
      <c r="U100" s="482"/>
      <c r="V100" s="482"/>
      <c r="W100" s="482"/>
    </row>
    <row r="101" spans="8:23" ht="12.75" customHeight="1">
      <c r="H101" s="482"/>
      <c r="I101" s="482"/>
      <c r="J101" s="482"/>
      <c r="K101" s="947"/>
      <c r="L101" s="947"/>
      <c r="M101" s="948"/>
      <c r="N101" s="458"/>
      <c r="O101" s="458"/>
      <c r="Q101" s="463"/>
      <c r="R101" s="463"/>
      <c r="S101" s="463"/>
      <c r="T101" s="463"/>
      <c r="U101" s="482"/>
      <c r="V101" s="482"/>
      <c r="W101" s="482"/>
    </row>
    <row r="102" spans="8:23" ht="12.75" customHeight="1">
      <c r="L102" s="462" t="s">
        <v>921</v>
      </c>
      <c r="M102" s="462"/>
      <c r="N102" s="462"/>
      <c r="O102" s="462"/>
      <c r="Q102" s="463"/>
      <c r="R102" s="463"/>
      <c r="S102" s="463"/>
      <c r="T102" s="463"/>
      <c r="U102" s="482"/>
      <c r="V102" s="482"/>
      <c r="W102" s="482"/>
    </row>
    <row r="103" spans="8:23" ht="12.75" customHeight="1">
      <c r="J103" s="1029" t="s">
        <v>901</v>
      </c>
      <c r="K103" s="1029" t="s">
        <v>902</v>
      </c>
      <c r="L103" s="1029">
        <v>2016</v>
      </c>
      <c r="M103" s="1029">
        <v>2017</v>
      </c>
      <c r="N103" s="1029">
        <v>2018</v>
      </c>
      <c r="O103" s="1029">
        <v>2019</v>
      </c>
      <c r="Q103" s="463"/>
      <c r="R103" s="463"/>
      <c r="S103" s="463"/>
      <c r="T103" s="463"/>
      <c r="U103" s="482"/>
      <c r="V103" s="482"/>
      <c r="W103" s="482"/>
    </row>
    <row r="104" spans="8:23" ht="12.75" customHeight="1">
      <c r="I104" s="946">
        <f>SUMIFS($M$89:$M$97,$J$89:$J$97,J104,$K$89:$K$97,K104)</f>
        <v>0.75670431205023725</v>
      </c>
      <c r="J104" s="1007">
        <v>1</v>
      </c>
      <c r="K104" s="1007">
        <v>1</v>
      </c>
      <c r="L104" s="969">
        <f t="shared" ref="L104:O112" si="19">($S37*INDEX($K$76:$M$80,MATCH(L$103,$I$76:$I$80,0),1)+$S46*INDEX($K$76:$M$80,MATCH(L$103,$I$76:$I$80,0),2)+$S55*INDEX($K$76:$M$80,MATCH(L$103,$I$76:$I$80,0),3))*$I104</f>
        <v>1538.1223262210528</v>
      </c>
      <c r="M104" s="969">
        <f t="shared" si="19"/>
        <v>1550.2434704985722</v>
      </c>
      <c r="N104" s="969">
        <f t="shared" si="19"/>
        <v>1562.3646147760485</v>
      </c>
      <c r="O104" s="969">
        <f t="shared" si="19"/>
        <v>1574.4857590534389</v>
      </c>
      <c r="Q104" s="463"/>
      <c r="R104" s="463"/>
      <c r="S104" s="463"/>
      <c r="T104" s="463"/>
      <c r="U104" s="482"/>
      <c r="V104" s="482"/>
      <c r="W104" s="482"/>
    </row>
    <row r="105" spans="8:23" ht="12.75" customHeight="1">
      <c r="I105" s="946">
        <f t="shared" ref="I105:I112" si="20">SUMIFS($M$89:$M$97,$J$89:$J$97,J105,$K$89:$K$97,K105)</f>
        <v>3.2010256727218599E-2</v>
      </c>
      <c r="J105" s="1007">
        <v>2</v>
      </c>
      <c r="K105" s="1007">
        <v>1</v>
      </c>
      <c r="L105" s="969">
        <f t="shared" si="19"/>
        <v>68.956240078499022</v>
      </c>
      <c r="M105" s="969">
        <f t="shared" si="19"/>
        <v>69.593269153674612</v>
      </c>
      <c r="N105" s="969">
        <f t="shared" si="19"/>
        <v>70.230298228848284</v>
      </c>
      <c r="O105" s="969">
        <f t="shared" si="19"/>
        <v>70.867327304018119</v>
      </c>
      <c r="Q105" s="463"/>
      <c r="R105" s="463"/>
      <c r="S105" s="463"/>
      <c r="T105" s="463"/>
      <c r="U105" s="482"/>
      <c r="V105" s="482"/>
      <c r="W105" s="482"/>
    </row>
    <row r="106" spans="8:23" ht="12.75" customHeight="1">
      <c r="I106" s="946">
        <f t="shared" si="20"/>
        <v>1.4672187103848818E-2</v>
      </c>
      <c r="J106" s="1007">
        <v>3</v>
      </c>
      <c r="K106" s="1007">
        <v>1</v>
      </c>
      <c r="L106" s="969">
        <f t="shared" si="19"/>
        <v>22.799655914798148</v>
      </c>
      <c r="M106" s="969">
        <f t="shared" si="19"/>
        <v>23.047885499464847</v>
      </c>
      <c r="N106" s="969">
        <f t="shared" si="19"/>
        <v>23.296115084130914</v>
      </c>
      <c r="O106" s="969">
        <f t="shared" si="19"/>
        <v>23.544344668795716</v>
      </c>
      <c r="Q106" s="463"/>
      <c r="R106" s="463"/>
      <c r="S106" s="463"/>
      <c r="T106" s="463"/>
      <c r="U106" s="482"/>
      <c r="V106" s="482"/>
      <c r="W106" s="482"/>
    </row>
    <row r="107" spans="8:23" ht="12.75" customHeight="1">
      <c r="I107" s="946">
        <f t="shared" si="20"/>
        <v>7.5369438439207084E-2</v>
      </c>
      <c r="J107" s="1012">
        <v>1</v>
      </c>
      <c r="K107" s="1012">
        <v>2</v>
      </c>
      <c r="L107" s="969">
        <f t="shared" si="19"/>
        <v>164.45785644226069</v>
      </c>
      <c r="M107" s="969">
        <f t="shared" si="19"/>
        <v>165.66514946661522</v>
      </c>
      <c r="N107" s="969">
        <f t="shared" si="19"/>
        <v>166.87244249096508</v>
      </c>
      <c r="O107" s="969">
        <f t="shared" si="19"/>
        <v>168.0797355153058</v>
      </c>
      <c r="Q107" s="463"/>
      <c r="R107" s="463"/>
      <c r="S107" s="463"/>
      <c r="T107" s="463"/>
      <c r="U107" s="482"/>
      <c r="V107" s="482"/>
      <c r="W107" s="482"/>
    </row>
    <row r="108" spans="8:23" ht="12.75" customHeight="1">
      <c r="I108" s="946">
        <f t="shared" si="20"/>
        <v>3.0355726604795932E-2</v>
      </c>
      <c r="J108" s="1012">
        <v>2</v>
      </c>
      <c r="K108" s="1012">
        <v>2</v>
      </c>
      <c r="L108" s="969">
        <f t="shared" si="19"/>
        <v>69.926100649817755</v>
      </c>
      <c r="M108" s="969">
        <f t="shared" si="19"/>
        <v>70.530203285111327</v>
      </c>
      <c r="N108" s="969">
        <f t="shared" si="19"/>
        <v>71.134305920402937</v>
      </c>
      <c r="O108" s="969">
        <f t="shared" si="19"/>
        <v>71.73840855569064</v>
      </c>
      <c r="Q108" s="463"/>
      <c r="R108" s="463"/>
      <c r="S108" s="463"/>
      <c r="T108" s="463"/>
      <c r="U108" s="482"/>
      <c r="V108" s="482"/>
      <c r="W108" s="482"/>
    </row>
    <row r="109" spans="8:23" ht="12.75" customHeight="1">
      <c r="I109" s="946">
        <f t="shared" si="20"/>
        <v>1.9444582291501998E-2</v>
      </c>
      <c r="J109" s="1012">
        <v>3</v>
      </c>
      <c r="K109" s="1012">
        <v>2</v>
      </c>
      <c r="L109" s="969">
        <f t="shared" si="19"/>
        <v>33.119967842393066</v>
      </c>
      <c r="M109" s="969">
        <f t="shared" si="19"/>
        <v>33.44893860537978</v>
      </c>
      <c r="N109" s="969">
        <f t="shared" si="19"/>
        <v>33.77790936836557</v>
      </c>
      <c r="O109" s="969">
        <f t="shared" si="19"/>
        <v>34.10688013134952</v>
      </c>
      <c r="Q109" s="463"/>
      <c r="R109" s="463"/>
      <c r="S109" s="463"/>
      <c r="T109" s="463"/>
      <c r="U109" s="482"/>
      <c r="V109" s="482"/>
      <c r="W109" s="482"/>
    </row>
    <row r="110" spans="8:23" ht="12.75" customHeight="1">
      <c r="I110" s="946">
        <f t="shared" si="20"/>
        <v>7.144349678319023E-2</v>
      </c>
      <c r="J110" s="1007">
        <v>1</v>
      </c>
      <c r="K110" s="1007">
        <v>3</v>
      </c>
      <c r="L110" s="969">
        <f t="shared" si="19"/>
        <v>176.95011495935088</v>
      </c>
      <c r="M110" s="969">
        <f t="shared" si="19"/>
        <v>178.094520929304</v>
      </c>
      <c r="N110" s="969">
        <f t="shared" si="19"/>
        <v>179.23892689925208</v>
      </c>
      <c r="O110" s="969">
        <f t="shared" si="19"/>
        <v>180.3833328691903</v>
      </c>
      <c r="Q110" s="463"/>
      <c r="R110" s="463"/>
      <c r="S110" s="463"/>
      <c r="T110" s="463"/>
      <c r="U110" s="482"/>
      <c r="V110" s="482"/>
      <c r="W110" s="482"/>
    </row>
    <row r="111" spans="8:23" ht="12.75" customHeight="1">
      <c r="I111" s="946">
        <f t="shared" si="20"/>
        <v>0</v>
      </c>
      <c r="J111" s="1007">
        <v>2</v>
      </c>
      <c r="K111" s="1007">
        <v>3</v>
      </c>
      <c r="L111" s="969">
        <f t="shared" si="19"/>
        <v>0</v>
      </c>
      <c r="M111" s="969">
        <f t="shared" si="19"/>
        <v>0</v>
      </c>
      <c r="N111" s="969">
        <f t="shared" si="19"/>
        <v>0</v>
      </c>
      <c r="O111" s="969">
        <f t="shared" si="19"/>
        <v>0</v>
      </c>
      <c r="Q111" s="463"/>
      <c r="R111" s="463"/>
      <c r="S111" s="463"/>
      <c r="T111" s="463"/>
      <c r="U111" s="482"/>
      <c r="V111" s="482"/>
      <c r="W111" s="482"/>
    </row>
    <row r="112" spans="8:23" ht="12.75" customHeight="1">
      <c r="I112" s="946">
        <f t="shared" si="20"/>
        <v>0</v>
      </c>
      <c r="J112" s="1007">
        <v>3</v>
      </c>
      <c r="K112" s="1007">
        <v>3</v>
      </c>
      <c r="L112" s="969">
        <f t="shared" si="19"/>
        <v>0</v>
      </c>
      <c r="M112" s="969">
        <f t="shared" si="19"/>
        <v>0</v>
      </c>
      <c r="N112" s="969">
        <f t="shared" si="19"/>
        <v>0</v>
      </c>
      <c r="O112" s="969">
        <f t="shared" si="19"/>
        <v>0</v>
      </c>
      <c r="Q112" s="463"/>
      <c r="R112" s="463"/>
      <c r="S112" s="463"/>
      <c r="T112" s="463"/>
      <c r="U112" s="482"/>
      <c r="V112" s="482"/>
      <c r="W112" s="482"/>
    </row>
    <row r="113" spans="1:23" ht="12.75" customHeight="1">
      <c r="M113" s="462"/>
      <c r="N113" s="462"/>
      <c r="O113" s="462"/>
      <c r="Q113" s="463"/>
      <c r="R113" s="463"/>
      <c r="S113" s="463"/>
      <c r="T113" s="463"/>
      <c r="U113" s="482"/>
      <c r="V113" s="482"/>
      <c r="W113" s="482"/>
    </row>
    <row r="114" spans="1:23" ht="12.75" customHeight="1">
      <c r="J114" s="462" t="s">
        <v>993</v>
      </c>
      <c r="L114" s="970">
        <f>SUM(L104:L112)</f>
        <v>2074.332262108172</v>
      </c>
      <c r="M114" s="970">
        <f t="shared" ref="M114:O114" si="21">SUM(M104:M112)</f>
        <v>2090.623437438122</v>
      </c>
      <c r="N114" s="971">
        <f t="shared" si="21"/>
        <v>2106.9146127680133</v>
      </c>
      <c r="O114" s="971">
        <f t="shared" si="21"/>
        <v>2123.2057880977891</v>
      </c>
      <c r="Q114" s="463"/>
      <c r="R114" s="463"/>
      <c r="S114" s="463"/>
      <c r="T114" s="463"/>
      <c r="U114" s="482"/>
      <c r="V114" s="482"/>
      <c r="W114" s="482"/>
    </row>
    <row r="115" spans="1:23" ht="12.75" customHeight="1">
      <c r="H115" s="482"/>
      <c r="I115" s="482"/>
      <c r="J115" s="482"/>
      <c r="K115" s="947"/>
      <c r="L115" s="947"/>
      <c r="M115" s="948"/>
      <c r="N115" s="458"/>
      <c r="O115" s="458"/>
      <c r="Q115" s="463"/>
      <c r="R115" s="463"/>
      <c r="S115" s="463"/>
      <c r="T115" s="463"/>
      <c r="U115" s="482"/>
      <c r="V115" s="482"/>
      <c r="W115" s="482"/>
    </row>
    <row r="116" spans="1:23" ht="12.75" customHeight="1">
      <c r="N116" s="458"/>
      <c r="O116" s="458"/>
      <c r="V116" s="462"/>
    </row>
    <row r="117" spans="1:23" ht="12.75" customHeight="1">
      <c r="V117" s="462"/>
    </row>
    <row r="118" spans="1:23" ht="16.5" customHeight="1" thickBot="1">
      <c r="H118" s="941" t="s">
        <v>926</v>
      </c>
      <c r="I118" s="941"/>
      <c r="J118" s="941"/>
      <c r="K118" s="941"/>
      <c r="L118" s="941"/>
      <c r="M118" s="941"/>
      <c r="N118" s="941"/>
      <c r="O118" s="941"/>
      <c r="P118" s="941"/>
      <c r="Q118" s="941"/>
      <c r="R118" s="941"/>
      <c r="S118" s="941"/>
      <c r="T118" s="941"/>
      <c r="U118" s="941"/>
      <c r="V118" s="941"/>
      <c r="W118" s="941"/>
    </row>
    <row r="119" spans="1:23" ht="12.75" customHeight="1" thickTop="1"/>
    <row r="120" spans="1:23" ht="24.75" customHeight="1">
      <c r="H120" s="2868" t="s">
        <v>1609</v>
      </c>
      <c r="I120" s="2869"/>
      <c r="J120" s="2869"/>
      <c r="K120" s="2869"/>
      <c r="L120" s="2869"/>
      <c r="M120" s="2869"/>
      <c r="N120" s="2869"/>
      <c r="O120" s="2869"/>
      <c r="P120" s="2869"/>
      <c r="Q120" s="2869"/>
      <c r="R120" s="2869"/>
      <c r="S120" s="2869"/>
      <c r="T120" s="2869"/>
      <c r="U120" s="2869"/>
      <c r="V120" s="2869"/>
      <c r="W120" s="2870"/>
    </row>
    <row r="122" spans="1:23" ht="12.75" customHeight="1">
      <c r="H122" s="466" t="s">
        <v>924</v>
      </c>
      <c r="V122" s="462"/>
    </row>
    <row r="123" spans="1:23" ht="12.75" customHeight="1" thickBot="1">
      <c r="V123" s="462"/>
    </row>
    <row r="124" spans="1:23" ht="12.75" customHeight="1" thickTop="1" thickBot="1">
      <c r="H124" s="458" t="s">
        <v>914</v>
      </c>
      <c r="I124" s="2858" t="s">
        <v>1802</v>
      </c>
      <c r="J124" s="2871"/>
      <c r="K124" s="2859"/>
      <c r="Q124" s="463"/>
      <c r="R124" s="463"/>
      <c r="S124" s="463"/>
      <c r="T124" s="463"/>
      <c r="V124" s="462"/>
    </row>
    <row r="125" spans="1:23" ht="12.75" customHeight="1" thickTop="1">
      <c r="M125" s="462"/>
      <c r="N125" s="462"/>
      <c r="O125" s="462"/>
      <c r="P125" s="462"/>
      <c r="V125" s="462"/>
    </row>
    <row r="126" spans="1:23" ht="12.75" customHeight="1">
      <c r="H126" s="466" t="s">
        <v>272</v>
      </c>
      <c r="M126" s="462"/>
      <c r="N126" s="462"/>
      <c r="O126" s="462"/>
      <c r="P126" s="462"/>
      <c r="V126" s="462"/>
    </row>
    <row r="127" spans="1:23" s="931" customFormat="1" ht="30.75" customHeight="1">
      <c r="A127" s="928"/>
      <c r="B127" s="928"/>
      <c r="C127" s="929"/>
      <c r="D127" s="929"/>
      <c r="E127" s="929"/>
      <c r="F127" s="929"/>
      <c r="G127" s="928"/>
      <c r="H127" s="2867" t="s">
        <v>274</v>
      </c>
      <c r="I127" s="2867"/>
      <c r="J127" s="380" t="s">
        <v>275</v>
      </c>
      <c r="K127" s="380" t="s">
        <v>276</v>
      </c>
      <c r="L127" s="380" t="s">
        <v>277</v>
      </c>
      <c r="M127" s="380" t="s">
        <v>278</v>
      </c>
      <c r="N127" s="380" t="s">
        <v>279</v>
      </c>
      <c r="O127" s="380" t="s">
        <v>280</v>
      </c>
      <c r="P127" s="380" t="s">
        <v>281</v>
      </c>
      <c r="Q127" s="380" t="s">
        <v>282</v>
      </c>
      <c r="R127" s="380" t="s">
        <v>283</v>
      </c>
      <c r="S127" s="380" t="s">
        <v>284</v>
      </c>
      <c r="T127" s="380" t="s">
        <v>285</v>
      </c>
      <c r="U127" s="380" t="s">
        <v>286</v>
      </c>
      <c r="V127" s="1030" t="s">
        <v>287</v>
      </c>
      <c r="W127" s="380" t="s">
        <v>279</v>
      </c>
    </row>
    <row r="128" spans="1:23" ht="51" customHeight="1">
      <c r="H128" s="2866" t="s">
        <v>288</v>
      </c>
      <c r="I128" s="2866"/>
      <c r="J128" s="1031">
        <v>2550</v>
      </c>
      <c r="K128" s="1031">
        <v>15</v>
      </c>
      <c r="L128" s="1031">
        <v>4039</v>
      </c>
      <c r="M128" s="1031">
        <v>0</v>
      </c>
      <c r="N128" s="1032" t="s">
        <v>289</v>
      </c>
      <c r="O128" s="1033">
        <v>158</v>
      </c>
      <c r="P128" s="1032">
        <v>0</v>
      </c>
      <c r="Q128" s="1032">
        <v>0</v>
      </c>
      <c r="R128" s="1032">
        <v>0</v>
      </c>
      <c r="S128" s="1032">
        <v>0</v>
      </c>
      <c r="T128" s="1032">
        <v>0</v>
      </c>
      <c r="U128" s="1032">
        <v>0</v>
      </c>
      <c r="V128" s="1032">
        <v>0</v>
      </c>
      <c r="W128" s="1032">
        <v>0</v>
      </c>
    </row>
    <row r="129" spans="8:23" ht="51" customHeight="1">
      <c r="H129" s="2866" t="s">
        <v>290</v>
      </c>
      <c r="I129" s="2866"/>
      <c r="J129" s="1031">
        <v>2570</v>
      </c>
      <c r="K129" s="1031">
        <v>15</v>
      </c>
      <c r="L129" s="1031">
        <v>4039</v>
      </c>
      <c r="M129" s="1031">
        <v>0</v>
      </c>
      <c r="N129" s="1032" t="s">
        <v>291</v>
      </c>
      <c r="O129" s="1033">
        <v>87</v>
      </c>
      <c r="P129" s="1032">
        <v>0</v>
      </c>
      <c r="Q129" s="1032">
        <v>0</v>
      </c>
      <c r="R129" s="1032">
        <v>0</v>
      </c>
      <c r="S129" s="1032">
        <v>0</v>
      </c>
      <c r="T129" s="1032">
        <v>0</v>
      </c>
      <c r="U129" s="1032">
        <v>0</v>
      </c>
      <c r="V129" s="1032">
        <v>0</v>
      </c>
      <c r="W129" s="1032">
        <v>0</v>
      </c>
    </row>
    <row r="130" spans="8:23" ht="51" customHeight="1">
      <c r="H130" s="2866" t="s">
        <v>292</v>
      </c>
      <c r="I130" s="2866"/>
      <c r="J130" s="1031">
        <v>0</v>
      </c>
      <c r="K130" s="1031">
        <v>0</v>
      </c>
      <c r="L130" s="1031">
        <v>0</v>
      </c>
      <c r="M130" s="1031">
        <v>0</v>
      </c>
      <c r="N130" s="1032" t="s">
        <v>293</v>
      </c>
      <c r="O130" s="1033">
        <v>0</v>
      </c>
      <c r="P130" s="1032">
        <v>0</v>
      </c>
      <c r="Q130" s="1032">
        <v>0</v>
      </c>
      <c r="R130" s="1032">
        <v>0</v>
      </c>
      <c r="S130" s="1032">
        <v>0</v>
      </c>
      <c r="T130" s="1032">
        <v>0</v>
      </c>
      <c r="U130" s="1032">
        <v>0</v>
      </c>
      <c r="V130" s="1032">
        <v>0</v>
      </c>
      <c r="W130" s="1032">
        <v>0</v>
      </c>
    </row>
    <row r="131" spans="8:23" ht="51" customHeight="1">
      <c r="H131" s="2866" t="s">
        <v>294</v>
      </c>
      <c r="I131" s="2866"/>
      <c r="J131" s="1031">
        <v>3054.5425703898527</v>
      </c>
      <c r="K131" s="1031">
        <v>15</v>
      </c>
      <c r="L131" s="1031">
        <v>3895.1627660149065</v>
      </c>
      <c r="M131" s="1031">
        <v>0</v>
      </c>
      <c r="N131" s="1032" t="s">
        <v>289</v>
      </c>
      <c r="O131" s="1033">
        <v>60.664116037622378</v>
      </c>
      <c r="P131" s="1032">
        <v>0</v>
      </c>
      <c r="Q131" s="1032">
        <v>0</v>
      </c>
      <c r="R131" s="1032">
        <v>0</v>
      </c>
      <c r="S131" s="1032">
        <v>0</v>
      </c>
      <c r="T131" s="1032">
        <v>0</v>
      </c>
      <c r="U131" s="1032">
        <v>0</v>
      </c>
      <c r="V131" s="1032">
        <v>0</v>
      </c>
      <c r="W131" s="1032">
        <v>0</v>
      </c>
    </row>
    <row r="132" spans="8:23" ht="51" customHeight="1">
      <c r="H132" s="2866" t="s">
        <v>295</v>
      </c>
      <c r="I132" s="2866"/>
      <c r="J132" s="1031">
        <v>2824.967888457496</v>
      </c>
      <c r="K132" s="1031">
        <v>15</v>
      </c>
      <c r="L132" s="1031">
        <v>3895.1627660149065</v>
      </c>
      <c r="M132" s="1031">
        <v>0</v>
      </c>
      <c r="N132" s="1032" t="s">
        <v>291</v>
      </c>
      <c r="O132" s="1033">
        <v>94.211755882154307</v>
      </c>
      <c r="P132" s="1032">
        <v>0</v>
      </c>
      <c r="Q132" s="1032">
        <v>0</v>
      </c>
      <c r="R132" s="1032">
        <v>0</v>
      </c>
      <c r="S132" s="1032">
        <v>0</v>
      </c>
      <c r="T132" s="1032">
        <v>0</v>
      </c>
      <c r="U132" s="1032">
        <v>0</v>
      </c>
      <c r="V132" s="1032">
        <v>0</v>
      </c>
      <c r="W132" s="1032">
        <v>0</v>
      </c>
    </row>
    <row r="133" spans="8:23" ht="51" customHeight="1">
      <c r="H133" s="2866" t="s">
        <v>296</v>
      </c>
      <c r="I133" s="2866"/>
      <c r="J133" s="1031">
        <v>0</v>
      </c>
      <c r="K133" s="1031">
        <v>0</v>
      </c>
      <c r="L133" s="1031">
        <v>0</v>
      </c>
      <c r="M133" s="1031">
        <v>0</v>
      </c>
      <c r="N133" s="1032" t="s">
        <v>293</v>
      </c>
      <c r="O133" s="1033">
        <v>0</v>
      </c>
      <c r="P133" s="1032">
        <v>0</v>
      </c>
      <c r="Q133" s="1032">
        <v>0</v>
      </c>
      <c r="R133" s="1032">
        <v>0</v>
      </c>
      <c r="S133" s="1032">
        <v>0</v>
      </c>
      <c r="T133" s="1032">
        <v>0</v>
      </c>
      <c r="U133" s="1032">
        <v>0</v>
      </c>
      <c r="V133" s="1032">
        <v>0</v>
      </c>
      <c r="W133" s="1032">
        <v>0</v>
      </c>
    </row>
    <row r="134" spans="8:23" ht="12.75" customHeight="1">
      <c r="H134" s="463"/>
      <c r="I134" s="463"/>
      <c r="J134" s="463"/>
      <c r="K134" s="463"/>
      <c r="M134" s="462"/>
      <c r="N134" s="462"/>
      <c r="O134" s="462"/>
      <c r="P134" s="462"/>
      <c r="Q134" s="464"/>
      <c r="V134" s="462"/>
    </row>
    <row r="135" spans="8:23" ht="12.75" customHeight="1">
      <c r="H135" s="466" t="s">
        <v>925</v>
      </c>
      <c r="J135" s="458"/>
    </row>
    <row r="136" spans="8:23" ht="12.75" customHeight="1" thickBot="1">
      <c r="J136" s="458"/>
    </row>
    <row r="137" spans="8:23" ht="12.75" customHeight="1" thickTop="1" thickBot="1">
      <c r="H137" s="458" t="s">
        <v>914</v>
      </c>
      <c r="I137" s="2858" t="s">
        <v>927</v>
      </c>
      <c r="J137" s="2859"/>
    </row>
    <row r="138" spans="8:23" ht="12.75" customHeight="1" thickTop="1">
      <c r="H138" s="458"/>
      <c r="I138" s="458"/>
      <c r="J138" s="458"/>
    </row>
    <row r="139" spans="8:23" ht="12.75" customHeight="1">
      <c r="H139" s="972" t="s">
        <v>930</v>
      </c>
      <c r="M139" s="462"/>
      <c r="N139" s="462"/>
    </row>
    <row r="140" spans="8:23" ht="12.75" customHeight="1" thickBot="1">
      <c r="H140" s="972"/>
      <c r="M140" s="462"/>
      <c r="N140" s="462"/>
    </row>
    <row r="141" spans="8:23" ht="12.75" customHeight="1">
      <c r="H141" s="950" t="s">
        <v>928</v>
      </c>
      <c r="I141" s="951"/>
      <c r="J141" s="951"/>
      <c r="K141" s="952"/>
      <c r="L141" s="950"/>
      <c r="M141" s="952"/>
      <c r="N141" s="952"/>
    </row>
    <row r="142" spans="8:23" ht="12.75" customHeight="1">
      <c r="H142" s="1026"/>
      <c r="I142" s="1027" t="s">
        <v>901</v>
      </c>
      <c r="J142" s="1027"/>
      <c r="K142" s="1028"/>
      <c r="L142" s="1026"/>
      <c r="M142" s="1028" t="s">
        <v>903</v>
      </c>
      <c r="N142" s="1028" t="s">
        <v>904</v>
      </c>
    </row>
    <row r="143" spans="8:23" ht="12.75" customHeight="1">
      <c r="H143" s="973"/>
      <c r="I143" s="974">
        <v>1</v>
      </c>
      <c r="J143" s="974"/>
      <c r="K143" s="975"/>
      <c r="L143" s="976"/>
      <c r="M143" s="977">
        <v>0.7711725908668724</v>
      </c>
      <c r="N143" s="978">
        <f>J128*M143</f>
        <v>1966.4901067105245</v>
      </c>
    </row>
    <row r="144" spans="8:23" ht="12.75" customHeight="1">
      <c r="H144" s="979"/>
      <c r="I144" s="980">
        <v>2</v>
      </c>
      <c r="J144" s="980"/>
      <c r="K144" s="981"/>
      <c r="L144" s="982"/>
      <c r="M144" s="983">
        <v>0.15498163769904699</v>
      </c>
      <c r="N144" s="984">
        <f>J129*M144</f>
        <v>398.30280888655079</v>
      </c>
    </row>
    <row r="145" spans="8:16" ht="12.75" customHeight="1">
      <c r="H145" s="979"/>
      <c r="I145" s="980">
        <v>3</v>
      </c>
      <c r="J145" s="980"/>
      <c r="K145" s="981"/>
      <c r="L145" s="982"/>
      <c r="M145" s="983">
        <v>7.3845771434080693E-2</v>
      </c>
      <c r="N145" s="984">
        <f>J130*M145</f>
        <v>0</v>
      </c>
      <c r="P145" s="985" t="s">
        <v>2009</v>
      </c>
    </row>
    <row r="146" spans="8:16" ht="12.75" customHeight="1" thickBot="1">
      <c r="H146" s="986"/>
      <c r="I146" s="987"/>
      <c r="J146" s="987"/>
      <c r="K146" s="988"/>
      <c r="L146" s="989"/>
      <c r="M146" s="990">
        <v>0.99999999999999989</v>
      </c>
      <c r="N146" s="1034">
        <f>SUM(N143:N145)</f>
        <v>2364.7929155970751</v>
      </c>
      <c r="P146" s="991">
        <v>3787.3579693139627</v>
      </c>
    </row>
    <row r="148" spans="8:16" ht="12.75" customHeight="1" thickBot="1">
      <c r="M148" s="462"/>
      <c r="N148" s="462"/>
    </row>
    <row r="149" spans="8:16" ht="12.75" customHeight="1">
      <c r="H149" s="950" t="s">
        <v>929</v>
      </c>
      <c r="I149" s="951"/>
      <c r="J149" s="951"/>
      <c r="K149" s="952"/>
      <c r="L149" s="950"/>
      <c r="M149" s="951"/>
      <c r="N149" s="992"/>
    </row>
    <row r="150" spans="8:16" ht="12.75" customHeight="1">
      <c r="H150" s="1026"/>
      <c r="I150" s="1027" t="s">
        <v>901</v>
      </c>
      <c r="J150" s="1027"/>
      <c r="K150" s="1028"/>
      <c r="L150" s="1026"/>
      <c r="M150" s="1027" t="s">
        <v>903</v>
      </c>
      <c r="N150" s="1035" t="s">
        <v>904</v>
      </c>
    </row>
    <row r="151" spans="8:16" ht="12.75" customHeight="1">
      <c r="H151" s="973"/>
      <c r="I151" s="974">
        <v>1</v>
      </c>
      <c r="J151" s="974"/>
      <c r="K151" s="975"/>
      <c r="L151" s="976"/>
      <c r="M151" s="977">
        <v>0.71597580667594873</v>
      </c>
      <c r="N151" s="978">
        <f>J131*M151</f>
        <v>2186.9785808609008</v>
      </c>
    </row>
    <row r="152" spans="8:16" ht="12.75" customHeight="1">
      <c r="H152" s="979"/>
      <c r="I152" s="980">
        <v>2</v>
      </c>
      <c r="J152" s="980"/>
      <c r="K152" s="981"/>
      <c r="L152" s="982"/>
      <c r="M152" s="983">
        <v>0.24427756752426133</v>
      </c>
      <c r="N152" s="984">
        <f>J132*M152</f>
        <v>690.07628412654594</v>
      </c>
    </row>
    <row r="153" spans="8:16" ht="12.75" customHeight="1">
      <c r="H153" s="979"/>
      <c r="I153" s="980">
        <v>3</v>
      </c>
      <c r="J153" s="980"/>
      <c r="K153" s="981"/>
      <c r="L153" s="982"/>
      <c r="M153" s="983">
        <v>3.9746625799789999E-2</v>
      </c>
      <c r="N153" s="984">
        <f>J133*M153</f>
        <v>0</v>
      </c>
      <c r="P153" s="985" t="s">
        <v>2009</v>
      </c>
    </row>
    <row r="154" spans="8:16" ht="12.75" customHeight="1" thickBot="1">
      <c r="H154" s="986"/>
      <c r="I154" s="987"/>
      <c r="J154" s="987"/>
      <c r="K154" s="988"/>
      <c r="L154" s="989"/>
      <c r="M154" s="990">
        <v>0.99999999999999989</v>
      </c>
      <c r="N154" s="1034">
        <f>SUM(N151:N153)</f>
        <v>2877.0548649874468</v>
      </c>
      <c r="P154" s="991">
        <v>5709.528312693622</v>
      </c>
    </row>
  </sheetData>
  <autoFilter ref="A4:W18">
    <filterColumn colId="11">
      <filters blank="1">
        <filter val="2020"/>
        <filter val="2021"/>
      </filters>
    </filterColumn>
  </autoFilter>
  <dataConsolidate/>
  <mergeCells count="19">
    <mergeCell ref="T3:V3"/>
    <mergeCell ref="I1:L1"/>
    <mergeCell ref="A3:G3"/>
    <mergeCell ref="H3:L3"/>
    <mergeCell ref="M3:Q3"/>
    <mergeCell ref="R3:S3"/>
    <mergeCell ref="I137:J137"/>
    <mergeCell ref="H18:V18"/>
    <mergeCell ref="H22:W22"/>
    <mergeCell ref="H132:I132"/>
    <mergeCell ref="H133:I133"/>
    <mergeCell ref="H127:I127"/>
    <mergeCell ref="H128:I128"/>
    <mergeCell ref="H129:I129"/>
    <mergeCell ref="H130:I130"/>
    <mergeCell ref="H131:I131"/>
    <mergeCell ref="H120:W120"/>
    <mergeCell ref="J67:N67"/>
    <mergeCell ref="I124:K124"/>
  </mergeCells>
  <dataValidations count="1">
    <dataValidation type="list" allowBlank="1" showInputMessage="1" showErrorMessage="1" sqref="V1">
      <formula1>Source_list</formula1>
    </dataValidation>
  </dataValidations>
  <hyperlinks>
    <hyperlink ref="H1" location="' Summary by Program 2020-21'!A1" display="' Summary by Program 2020-21'!A1"/>
  </hyperlinks>
  <pageMargins left="0.7" right="0.7" top="0.75" bottom="0.75" header="0.3" footer="0.3"/>
  <pageSetup scale="2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83CA"/>
  </sheetPr>
  <dimension ref="A1:J6"/>
  <sheetViews>
    <sheetView showGridLines="0" workbookViewId="0">
      <selection activeCell="C16" sqref="C16"/>
    </sheetView>
  </sheetViews>
  <sheetFormatPr defaultRowHeight="14.4"/>
  <cols>
    <col min="1" max="1" width="16" bestFit="1" customWidth="1"/>
    <col min="3" max="3" width="70.44140625" customWidth="1"/>
    <col min="4" max="4" width="16.6640625" customWidth="1"/>
  </cols>
  <sheetData>
    <row r="1" spans="1:10" s="416" customFormat="1" ht="228.75" customHeight="1">
      <c r="A1" s="2671" t="s">
        <v>2637</v>
      </c>
      <c r="B1" s="2672"/>
      <c r="C1" s="2672"/>
      <c r="D1" s="2672"/>
      <c r="J1"/>
    </row>
    <row r="2" spans="1:10" hidden="1"/>
    <row r="3" spans="1:10">
      <c r="A3" s="417" t="s">
        <v>1386</v>
      </c>
    </row>
    <row r="4" spans="1:10">
      <c r="A4" s="418" t="s">
        <v>1669</v>
      </c>
    </row>
    <row r="5" spans="1:10">
      <c r="A5" s="417"/>
    </row>
    <row r="6" spans="1:10">
      <c r="A6" s="628">
        <v>43707</v>
      </c>
    </row>
  </sheetData>
  <mergeCells count="1">
    <mergeCell ref="A1:D1"/>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filterMode="1">
    <tabColor rgb="FF0083CA"/>
    <pageSetUpPr fitToPage="1"/>
  </sheetPr>
  <dimension ref="A1:AU508"/>
  <sheetViews>
    <sheetView topLeftCell="H1" workbookViewId="0">
      <selection activeCell="H1" sqref="H1"/>
    </sheetView>
  </sheetViews>
  <sheetFormatPr defaultColWidth="19.109375" defaultRowHeight="12.75" customHeight="1" outlineLevelRow="1" outlineLevelCol="1"/>
  <cols>
    <col min="1" max="1" width="11.33203125" style="460" hidden="1" customWidth="1" outlineLevel="1"/>
    <col min="2" max="2" width="9.44140625" style="460" hidden="1" customWidth="1" outlineLevel="1"/>
    <col min="3" max="3" width="13.109375" style="461" hidden="1" customWidth="1" outlineLevel="1"/>
    <col min="4" max="4" width="12" style="461" hidden="1" customWidth="1" outlineLevel="1"/>
    <col min="5" max="5" width="9.6640625" style="461" hidden="1" customWidth="1" outlineLevel="1"/>
    <col min="6" max="6" width="14.5546875" style="461" hidden="1" customWidth="1" outlineLevel="1"/>
    <col min="7" max="7" width="22.44140625" style="460" hidden="1" customWidth="1" outlineLevel="1"/>
    <col min="8" max="8" width="18.6640625" style="462" customWidth="1" collapsed="1"/>
    <col min="9" max="9" width="30.33203125" style="462" customWidth="1"/>
    <col min="10" max="10" width="41.109375" style="462" customWidth="1"/>
    <col min="11" max="11" width="9.109375" style="462" customWidth="1"/>
    <col min="12" max="12" width="8.88671875" style="462" customWidth="1"/>
    <col min="13" max="15" width="9.33203125" style="463" customWidth="1"/>
    <col min="16" max="16" width="47.6640625" style="463" customWidth="1"/>
    <col min="17" max="17" width="19.109375" style="462"/>
    <col min="18" max="18" width="14" style="462" customWidth="1"/>
    <col min="19" max="19" width="18.6640625" style="462" customWidth="1"/>
    <col min="20" max="20" width="11.6640625" style="462" customWidth="1"/>
    <col min="21" max="21" width="11.33203125" style="462" customWidth="1"/>
    <col min="22" max="22" width="11.33203125" style="464" customWidth="1"/>
    <col min="23" max="23" width="7.44140625" style="462" customWidth="1"/>
    <col min="24" max="16384" width="19.109375" style="462"/>
  </cols>
  <sheetData>
    <row r="1" spans="1:47" ht="12.75" customHeight="1">
      <c r="H1" s="239" t="s">
        <v>1067</v>
      </c>
      <c r="S1"/>
      <c r="T1"/>
    </row>
    <row r="2" spans="1:47" ht="36.75" customHeight="1">
      <c r="H2" s="1164" t="str">
        <f>I6&amp;":"</f>
        <v>Heat Pump Water Heaters:</v>
      </c>
      <c r="I2" s="2875" t="str">
        <f>INDEX(Programs!C:C,MATCH(I8,Programs!B:B,0))</f>
        <v>Influence the passage of a 2025 federal standard requiring HPWHs for all electric storage tanks greater than 40 gallons in size.</v>
      </c>
      <c r="J2" s="2875"/>
      <c r="K2" s="2875"/>
      <c r="L2" s="2875"/>
      <c r="R2" s="1152" t="s">
        <v>1152</v>
      </c>
      <c r="S2" s="993" t="s">
        <v>1870</v>
      </c>
    </row>
    <row r="3" spans="1:47" ht="16.5" customHeight="1">
      <c r="H3" s="926"/>
    </row>
    <row r="4" spans="1:47" s="458" customFormat="1" ht="15.75" customHeight="1">
      <c r="A4" s="2876" t="s">
        <v>131</v>
      </c>
      <c r="B4" s="2877"/>
      <c r="C4" s="2877"/>
      <c r="D4" s="2877"/>
      <c r="E4" s="2877"/>
      <c r="F4" s="2877"/>
      <c r="G4" s="2878"/>
      <c r="H4" s="2943" t="s">
        <v>7</v>
      </c>
      <c r="I4" s="2944"/>
      <c r="J4" s="2944"/>
      <c r="K4" s="2944"/>
      <c r="L4" s="2944"/>
      <c r="M4" s="2881" t="s">
        <v>127</v>
      </c>
      <c r="N4" s="2882"/>
      <c r="O4" s="2882"/>
      <c r="P4" s="2882"/>
      <c r="Q4" s="2883"/>
      <c r="R4" s="2884" t="s">
        <v>129</v>
      </c>
      <c r="S4" s="2885"/>
      <c r="T4" s="2872" t="s">
        <v>130</v>
      </c>
      <c r="U4" s="2873"/>
      <c r="V4" s="2874"/>
    </row>
    <row r="5" spans="1:47" s="931" customFormat="1" ht="60" customHeight="1" thickBot="1">
      <c r="A5" s="927" t="s">
        <v>0</v>
      </c>
      <c r="B5" s="928" t="s">
        <v>11</v>
      </c>
      <c r="C5" s="929" t="s">
        <v>1</v>
      </c>
      <c r="D5" s="929" t="s">
        <v>2</v>
      </c>
      <c r="E5" s="929" t="s">
        <v>266</v>
      </c>
      <c r="F5" s="929" t="s">
        <v>306</v>
      </c>
      <c r="G5" s="930" t="s">
        <v>12</v>
      </c>
      <c r="H5" s="1112" t="s">
        <v>3</v>
      </c>
      <c r="I5" s="1112" t="s">
        <v>4</v>
      </c>
      <c r="J5" s="1112" t="s">
        <v>5</v>
      </c>
      <c r="K5" s="1112" t="s">
        <v>6</v>
      </c>
      <c r="L5" s="1112" t="s">
        <v>8</v>
      </c>
      <c r="M5" s="1113" t="s">
        <v>271</v>
      </c>
      <c r="N5" s="1112" t="s">
        <v>14</v>
      </c>
      <c r="O5" s="1112" t="s">
        <v>15</v>
      </c>
      <c r="P5" s="1112" t="s">
        <v>124</v>
      </c>
      <c r="Q5" s="998" t="str">
        <f>"Funder Share: "&amp;Selection!A2&amp;" "&amp;Selection!A3</f>
        <v>Funder Share: Puget Sound Energy Washington</v>
      </c>
      <c r="R5" s="1113" t="s">
        <v>871</v>
      </c>
      <c r="S5" s="1114" t="s">
        <v>125</v>
      </c>
      <c r="T5" s="1113" t="s">
        <v>126</v>
      </c>
      <c r="U5" s="1112" t="s">
        <v>18</v>
      </c>
      <c r="V5" s="1115" t="s">
        <v>17</v>
      </c>
    </row>
    <row r="6" spans="1:47" ht="12.75" hidden="1" customHeight="1" thickTop="1">
      <c r="A6" s="498" t="s">
        <v>55</v>
      </c>
      <c r="B6" s="499" t="str">
        <f t="shared" ref="B6:B37" si="0">LEFT(A6,10)</f>
        <v>RES_201202</v>
      </c>
      <c r="C6" s="499">
        <v>0</v>
      </c>
      <c r="D6" s="499">
        <v>0</v>
      </c>
      <c r="E6" s="499">
        <f t="shared" ref="E6:E37" si="1">COUNTIFS($A:$A,A6,$L:$L,L6)</f>
        <v>1</v>
      </c>
      <c r="F6" s="499">
        <v>1</v>
      </c>
      <c r="G6" s="500" t="b">
        <v>1</v>
      </c>
      <c r="H6" s="501" t="str">
        <f t="shared" ref="H6:H37" si="2">IF(LEFT(A6,3)="Res","Residential",IF(LEFT(A6,3)="Ind","industrial",IF(LEFT(A6,3)="Com","Commercial",IF(LEFT(A6,3)="AGR","Agriculture",""))))</f>
        <v>Residential</v>
      </c>
      <c r="I6" s="502" t="s">
        <v>153</v>
      </c>
      <c r="J6" s="502" t="s">
        <v>1282</v>
      </c>
      <c r="K6" s="502" t="s">
        <v>158</v>
      </c>
      <c r="L6" s="24">
        <v>2019</v>
      </c>
      <c r="M6" s="503">
        <v>4550</v>
      </c>
      <c r="N6" s="504">
        <v>3646.2658898300001</v>
      </c>
      <c r="O6" s="504">
        <v>0</v>
      </c>
      <c r="P6" s="1163" t="str">
        <f t="shared" ref="P6:P37" si="3">IF($S$2="RTF","The savings rates for HPWHs are relative to the RTFs current practice baseline",IF(S$2="7th PP",IF(AND(LEFT(J6,7)="HPWH (&gt;",K6="Tier 1"),"7th PP assumes a 100% baseline saturation based on the 2015 standard for tier 1 tanks above 55gal","7th PP assumes a .10% baseline saturation based on the 2012 Residential Building Stock Assessment"),""))</f>
        <v>The savings rates for HPWHs are relative to the RTFs current practice baseline</v>
      </c>
      <c r="Q6" s="505">
        <v>0.14199999999999999</v>
      </c>
      <c r="R6" s="1160">
        <f t="shared" ref="R6:R38" si="4">IF($S$2="RTF",IF(RIGHT(J6,21)="Existing Construction",INDEX($K$80:$K$83,MATCH(K6,$I$80:$I$83,0)),INDEX($L$84:$S$87,MATCH(K6,$I$84:$I$87,0),MATCH(J6&amp;L6,$L$88:$S$88,0))),IF($S$2="7th PP",IF(RIGHT(J6,21)="Existing Construction",INDEX($K$302:$K$305,MATCH(K6,$I$302:$I$305,0)),INDEX($L$306:$S$309,MATCH(K6,$I$306:$I$309,0),MATCH(J6&amp;L6,$L$310:$S$310,0))),""))</f>
        <v>934.91575546526076</v>
      </c>
      <c r="S6" s="71" t="s">
        <v>941</v>
      </c>
      <c r="T6" s="507">
        <f t="shared" ref="T6:T37" si="5">(M6-O6)*Q6*R6/8760000</f>
        <v>6.8955373242706036E-2</v>
      </c>
      <c r="U6" s="508">
        <f t="shared" ref="U6:U37" si="6">IFERROR((N6-O6/M6*N6)*Q6*R6/8760/1000,0)</f>
        <v>5.5259258324258313E-2</v>
      </c>
      <c r="V6" s="509">
        <f t="shared" ref="V6:V37" si="7">T6-U6</f>
        <v>1.3696114918447723E-2</v>
      </c>
      <c r="X6" s="510">
        <f>M6</f>
        <v>4550</v>
      </c>
    </row>
    <row r="7" spans="1:47" ht="12.75" hidden="1" customHeight="1">
      <c r="A7" s="498" t="s">
        <v>57</v>
      </c>
      <c r="B7" s="499" t="str">
        <f t="shared" si="0"/>
        <v>RES_201202</v>
      </c>
      <c r="C7" s="499">
        <v>0</v>
      </c>
      <c r="D7" s="499">
        <v>1</v>
      </c>
      <c r="E7" s="499">
        <f t="shared" si="1"/>
        <v>1</v>
      </c>
      <c r="F7" s="499">
        <v>1</v>
      </c>
      <c r="G7" s="500" t="b">
        <v>1</v>
      </c>
      <c r="H7" s="501" t="str">
        <f t="shared" si="2"/>
        <v>Residential</v>
      </c>
      <c r="I7" s="502" t="s">
        <v>153</v>
      </c>
      <c r="J7" s="502" t="s">
        <v>1283</v>
      </c>
      <c r="K7" s="502" t="s">
        <v>158</v>
      </c>
      <c r="L7" s="24">
        <v>2019</v>
      </c>
      <c r="M7" s="511">
        <v>2410</v>
      </c>
      <c r="N7" s="512">
        <v>1947.0300530300001</v>
      </c>
      <c r="O7" s="512">
        <v>0</v>
      </c>
      <c r="P7" s="1163" t="str">
        <f t="shared" si="3"/>
        <v>The savings rates for HPWHs are relative to the RTFs current practice baseline</v>
      </c>
      <c r="Q7" s="505">
        <v>0.14199999999999999</v>
      </c>
      <c r="R7" s="1161">
        <f t="shared" si="4"/>
        <v>934.91575546526076</v>
      </c>
      <c r="S7" s="71" t="s">
        <v>941</v>
      </c>
      <c r="T7" s="507">
        <f t="shared" si="5"/>
        <v>3.652361527800474E-2</v>
      </c>
      <c r="U7" s="508">
        <f t="shared" si="6"/>
        <v>2.950729319152734E-2</v>
      </c>
      <c r="V7" s="509">
        <f t="shared" si="7"/>
        <v>7.0163220864774001E-3</v>
      </c>
      <c r="X7" s="513" t="s">
        <v>1285</v>
      </c>
    </row>
    <row r="8" spans="1:47" ht="12.75" hidden="1" customHeight="1">
      <c r="A8" s="498" t="s">
        <v>56</v>
      </c>
      <c r="B8" s="499" t="str">
        <f t="shared" si="0"/>
        <v>RES_201202</v>
      </c>
      <c r="C8" s="499">
        <v>0</v>
      </c>
      <c r="D8" s="499">
        <v>0</v>
      </c>
      <c r="E8" s="499">
        <f t="shared" si="1"/>
        <v>1</v>
      </c>
      <c r="F8" s="499">
        <v>1</v>
      </c>
      <c r="G8" s="500" t="b">
        <v>1</v>
      </c>
      <c r="H8" s="501" t="str">
        <f t="shared" si="2"/>
        <v>Residential</v>
      </c>
      <c r="I8" s="502" t="s">
        <v>153</v>
      </c>
      <c r="J8" s="502" t="s">
        <v>1282</v>
      </c>
      <c r="K8" s="502" t="s">
        <v>160</v>
      </c>
      <c r="L8" s="24">
        <v>2019</v>
      </c>
      <c r="M8" s="511">
        <v>4544</v>
      </c>
      <c r="N8" s="512">
        <v>3626.0445387099999</v>
      </c>
      <c r="O8" s="512">
        <v>0</v>
      </c>
      <c r="P8" s="1163" t="str">
        <f t="shared" si="3"/>
        <v>The savings rates for HPWHs are relative to the RTFs current practice baseline</v>
      </c>
      <c r="Q8" s="505">
        <v>0.14199999999999999</v>
      </c>
      <c r="R8" s="1161">
        <f t="shared" si="4"/>
        <v>270.93782804489194</v>
      </c>
      <c r="S8" s="71" t="s">
        <v>941</v>
      </c>
      <c r="T8" s="507">
        <f t="shared" si="5"/>
        <v>1.9956859779715799E-2</v>
      </c>
      <c r="U8" s="508">
        <f t="shared" si="6"/>
        <v>1.5925277819991139E-2</v>
      </c>
      <c r="V8" s="509">
        <f t="shared" si="7"/>
        <v>4.0315819597246602E-3</v>
      </c>
      <c r="X8" s="514"/>
    </row>
    <row r="9" spans="1:47" ht="12.75" hidden="1" customHeight="1">
      <c r="A9" s="460" t="s">
        <v>58</v>
      </c>
      <c r="B9" s="499" t="str">
        <f t="shared" si="0"/>
        <v>RES_201202</v>
      </c>
      <c r="C9" s="499">
        <v>0</v>
      </c>
      <c r="D9" s="499">
        <v>0</v>
      </c>
      <c r="E9" s="499">
        <f t="shared" si="1"/>
        <v>1</v>
      </c>
      <c r="F9" s="499">
        <v>1</v>
      </c>
      <c r="G9" s="500" t="b">
        <v>1</v>
      </c>
      <c r="H9" s="501" t="str">
        <f t="shared" si="2"/>
        <v>Residential</v>
      </c>
      <c r="I9" s="502" t="s">
        <v>153</v>
      </c>
      <c r="J9" s="502" t="s">
        <v>1283</v>
      </c>
      <c r="K9" s="502" t="s">
        <v>160</v>
      </c>
      <c r="L9" s="24">
        <v>2019</v>
      </c>
      <c r="M9" s="511">
        <v>2408.4500827400002</v>
      </c>
      <c r="N9" s="512">
        <v>1938.4046951299999</v>
      </c>
      <c r="O9" s="512">
        <v>0</v>
      </c>
      <c r="P9" s="1163" t="str">
        <f t="shared" si="3"/>
        <v>The savings rates for HPWHs are relative to the RTFs current practice baseline</v>
      </c>
      <c r="Q9" s="505">
        <v>0.14199999999999999</v>
      </c>
      <c r="R9" s="1161">
        <f t="shared" si="4"/>
        <v>270.93782804489194</v>
      </c>
      <c r="S9" s="71" t="s">
        <v>941</v>
      </c>
      <c r="T9" s="507">
        <f t="shared" si="5"/>
        <v>1.0577706995529733E-2</v>
      </c>
      <c r="U9" s="508">
        <f t="shared" si="6"/>
        <v>8.513307811851268E-3</v>
      </c>
      <c r="V9" s="509">
        <f t="shared" si="7"/>
        <v>2.0643991836784645E-3</v>
      </c>
    </row>
    <row r="10" spans="1:47" ht="12.75" hidden="1" customHeight="1">
      <c r="A10" s="460" t="s">
        <v>1217</v>
      </c>
      <c r="B10" s="499" t="str">
        <f t="shared" si="0"/>
        <v>RES_201202</v>
      </c>
      <c r="C10" s="499">
        <v>0</v>
      </c>
      <c r="D10" s="499">
        <v>0</v>
      </c>
      <c r="E10" s="499">
        <f t="shared" si="1"/>
        <v>1</v>
      </c>
      <c r="F10" s="499">
        <v>1</v>
      </c>
      <c r="G10" s="500" t="b">
        <v>1</v>
      </c>
      <c r="H10" s="501" t="str">
        <f t="shared" si="2"/>
        <v>Residential</v>
      </c>
      <c r="I10" s="502" t="s">
        <v>153</v>
      </c>
      <c r="J10" s="502" t="s">
        <v>1283</v>
      </c>
      <c r="K10" s="502" t="s">
        <v>1296</v>
      </c>
      <c r="L10" s="24">
        <v>2019</v>
      </c>
      <c r="M10" s="511">
        <v>2319.8805846700002</v>
      </c>
      <c r="N10" s="512">
        <v>1807.3488275899999</v>
      </c>
      <c r="O10" s="512">
        <v>0</v>
      </c>
      <c r="P10" s="1163" t="str">
        <f t="shared" si="3"/>
        <v>The savings rates for HPWHs are relative to the RTFs current practice baseline</v>
      </c>
      <c r="Q10" s="505">
        <v>0.14199999999999999</v>
      </c>
      <c r="R10" s="1161">
        <f t="shared" si="4"/>
        <v>165.26166691085132</v>
      </c>
      <c r="S10" s="71" t="s">
        <v>941</v>
      </c>
      <c r="T10" s="507">
        <f t="shared" si="5"/>
        <v>6.214726165393745E-3</v>
      </c>
      <c r="U10" s="508">
        <f t="shared" si="6"/>
        <v>4.8417052683834777E-3</v>
      </c>
      <c r="V10" s="509">
        <f t="shared" si="7"/>
        <v>1.3730208970102672E-3</v>
      </c>
    </row>
    <row r="11" spans="1:47" ht="12.75" hidden="1" customHeight="1">
      <c r="A11" s="498" t="s">
        <v>1218</v>
      </c>
      <c r="B11" s="499" t="str">
        <f t="shared" si="0"/>
        <v>RES_201202</v>
      </c>
      <c r="C11" s="499">
        <v>0</v>
      </c>
      <c r="D11" s="499">
        <v>0</v>
      </c>
      <c r="E11" s="499">
        <f t="shared" si="1"/>
        <v>1</v>
      </c>
      <c r="F11" s="499">
        <v>1</v>
      </c>
      <c r="G11" s="500" t="b">
        <v>1</v>
      </c>
      <c r="H11" s="501" t="str">
        <f t="shared" si="2"/>
        <v>Residential</v>
      </c>
      <c r="I11" s="502" t="s">
        <v>153</v>
      </c>
      <c r="J11" s="502" t="s">
        <v>1283</v>
      </c>
      <c r="K11" s="502" t="s">
        <v>1297</v>
      </c>
      <c r="L11" s="24">
        <v>2019</v>
      </c>
      <c r="M11" s="511">
        <v>27.27330392</v>
      </c>
      <c r="N11" s="512">
        <v>0</v>
      </c>
      <c r="O11" s="512">
        <v>0</v>
      </c>
      <c r="P11" s="1163" t="str">
        <f t="shared" si="3"/>
        <v>The savings rates for HPWHs are relative to the RTFs current practice baseline</v>
      </c>
      <c r="Q11" s="505">
        <v>0.14199999999999999</v>
      </c>
      <c r="R11" s="1161">
        <f t="shared" si="4"/>
        <v>423.47074957899622</v>
      </c>
      <c r="S11" s="71" t="s">
        <v>941</v>
      </c>
      <c r="T11" s="507">
        <f t="shared" si="5"/>
        <v>1.8721705439939964E-4</v>
      </c>
      <c r="U11" s="508">
        <f t="shared" si="6"/>
        <v>0</v>
      </c>
      <c r="V11" s="509">
        <f t="shared" si="7"/>
        <v>1.8721705439939964E-4</v>
      </c>
    </row>
    <row r="12" spans="1:47" ht="12.75" hidden="1" customHeight="1">
      <c r="A12" s="460" t="s">
        <v>1184</v>
      </c>
      <c r="B12" s="499" t="str">
        <f t="shared" si="0"/>
        <v>RES_201202</v>
      </c>
      <c r="C12" s="499">
        <v>0</v>
      </c>
      <c r="D12" s="499">
        <v>0</v>
      </c>
      <c r="E12" s="499">
        <f t="shared" si="1"/>
        <v>1</v>
      </c>
      <c r="F12" s="499">
        <v>1</v>
      </c>
      <c r="G12" s="500" t="b">
        <v>1</v>
      </c>
      <c r="H12" s="501" t="str">
        <f t="shared" si="2"/>
        <v>Residential</v>
      </c>
      <c r="I12" s="502" t="s">
        <v>153</v>
      </c>
      <c r="J12" s="502" t="s">
        <v>1284</v>
      </c>
      <c r="K12" s="502" t="s">
        <v>158</v>
      </c>
      <c r="L12" s="24">
        <v>2019</v>
      </c>
      <c r="M12" s="511">
        <v>4180</v>
      </c>
      <c r="N12" s="512">
        <v>831.52108082999996</v>
      </c>
      <c r="O12" s="512">
        <v>0</v>
      </c>
      <c r="P12" s="1163" t="str">
        <f t="shared" si="3"/>
        <v>The savings rates for HPWHs are relative to the RTFs current practice baseline</v>
      </c>
      <c r="Q12" s="505">
        <v>0.14199999999999999</v>
      </c>
      <c r="R12" s="1161">
        <f t="shared" si="4"/>
        <v>485.27997464359726</v>
      </c>
      <c r="S12" s="71" t="s">
        <v>941</v>
      </c>
      <c r="T12" s="507">
        <f t="shared" si="5"/>
        <v>3.2881596090120271E-2</v>
      </c>
      <c r="U12" s="508">
        <f t="shared" si="6"/>
        <v>6.5410862010220833E-3</v>
      </c>
      <c r="V12" s="509">
        <f t="shared" si="7"/>
        <v>2.6340509889098189E-2</v>
      </c>
    </row>
    <row r="13" spans="1:47" ht="12.75" hidden="1" customHeight="1">
      <c r="A13" s="460" t="s">
        <v>1185</v>
      </c>
      <c r="B13" s="499" t="str">
        <f t="shared" si="0"/>
        <v>RES_201202</v>
      </c>
      <c r="C13" s="499">
        <v>0</v>
      </c>
      <c r="D13" s="499">
        <v>0</v>
      </c>
      <c r="E13" s="499">
        <f t="shared" si="1"/>
        <v>1</v>
      </c>
      <c r="F13" s="499">
        <v>1</v>
      </c>
      <c r="G13" s="500" t="b">
        <v>1</v>
      </c>
      <c r="H13" s="501" t="str">
        <f t="shared" si="2"/>
        <v>Residential</v>
      </c>
      <c r="I13" s="502" t="s">
        <v>153</v>
      </c>
      <c r="J13" s="502" t="s">
        <v>1284</v>
      </c>
      <c r="K13" s="502" t="s">
        <v>160</v>
      </c>
      <c r="L13" s="24">
        <v>2019</v>
      </c>
      <c r="M13" s="511">
        <v>4175</v>
      </c>
      <c r="N13" s="512">
        <v>826.81945415999996</v>
      </c>
      <c r="O13" s="512">
        <v>0</v>
      </c>
      <c r="P13" s="1163" t="str">
        <f t="shared" si="3"/>
        <v>The savings rates for HPWHs are relative to the RTFs current practice baseline</v>
      </c>
      <c r="Q13" s="505">
        <v>0.14199999999999999</v>
      </c>
      <c r="R13" s="1161">
        <f t="shared" si="4"/>
        <v>140.63374325977117</v>
      </c>
      <c r="S13" s="71" t="s">
        <v>941</v>
      </c>
      <c r="T13" s="507">
        <f t="shared" si="5"/>
        <v>9.5176614944697847E-3</v>
      </c>
      <c r="U13" s="508">
        <f t="shared" si="6"/>
        <v>1.8848832770627926E-3</v>
      </c>
      <c r="V13" s="509">
        <f t="shared" si="7"/>
        <v>7.6327782174069924E-3</v>
      </c>
      <c r="AA13" s="458"/>
      <c r="AB13" s="458"/>
    </row>
    <row r="14" spans="1:47" ht="12.75" hidden="1" customHeight="1">
      <c r="A14" s="460" t="s">
        <v>1219</v>
      </c>
      <c r="B14" s="499" t="str">
        <f t="shared" si="0"/>
        <v>RES_201202</v>
      </c>
      <c r="C14" s="499">
        <v>0</v>
      </c>
      <c r="D14" s="499">
        <v>0</v>
      </c>
      <c r="E14" s="499">
        <f t="shared" si="1"/>
        <v>1</v>
      </c>
      <c r="F14" s="499">
        <v>1</v>
      </c>
      <c r="G14" s="500" t="b">
        <v>1</v>
      </c>
      <c r="H14" s="501" t="str">
        <f t="shared" si="2"/>
        <v>Residential</v>
      </c>
      <c r="I14" s="502" t="s">
        <v>153</v>
      </c>
      <c r="J14" s="502" t="s">
        <v>1284</v>
      </c>
      <c r="K14" s="502" t="s">
        <v>1296</v>
      </c>
      <c r="L14" s="24">
        <v>2019</v>
      </c>
      <c r="M14" s="511">
        <v>3565</v>
      </c>
      <c r="N14" s="512">
        <v>811.15678776000004</v>
      </c>
      <c r="O14" s="512">
        <v>0</v>
      </c>
      <c r="P14" s="1163" t="str">
        <f t="shared" si="3"/>
        <v>The savings rates for HPWHs are relative to the RTFs current practice baseline</v>
      </c>
      <c r="Q14" s="505">
        <v>0.14199999999999999</v>
      </c>
      <c r="R14" s="1161">
        <f t="shared" si="4"/>
        <v>85.781180880993844</v>
      </c>
      <c r="S14" s="71" t="s">
        <v>941</v>
      </c>
      <c r="T14" s="507">
        <f t="shared" si="5"/>
        <v>4.9571926024412679E-3</v>
      </c>
      <c r="U14" s="508">
        <f t="shared" si="6"/>
        <v>1.1279271886967446E-3</v>
      </c>
      <c r="V14" s="509">
        <f t="shared" si="7"/>
        <v>3.8292654137445231E-3</v>
      </c>
      <c r="AA14" s="458"/>
      <c r="AB14" s="458"/>
    </row>
    <row r="15" spans="1:47" ht="12.75" hidden="1" customHeight="1">
      <c r="A15" s="460" t="s">
        <v>1220</v>
      </c>
      <c r="B15" s="499" t="str">
        <f t="shared" si="0"/>
        <v>RES_201202</v>
      </c>
      <c r="C15" s="499">
        <v>0</v>
      </c>
      <c r="D15" s="499">
        <v>0</v>
      </c>
      <c r="E15" s="499">
        <f t="shared" si="1"/>
        <v>1</v>
      </c>
      <c r="F15" s="499">
        <v>1</v>
      </c>
      <c r="G15" s="500" t="b">
        <v>1</v>
      </c>
      <c r="H15" s="501" t="str">
        <f t="shared" si="2"/>
        <v>Residential</v>
      </c>
      <c r="I15" s="502" t="s">
        <v>153</v>
      </c>
      <c r="J15" s="502" t="s">
        <v>1284</v>
      </c>
      <c r="K15" s="502" t="s">
        <v>1297</v>
      </c>
      <c r="L15" s="24">
        <v>2019</v>
      </c>
      <c r="M15" s="511">
        <v>26</v>
      </c>
      <c r="N15" s="512">
        <v>0</v>
      </c>
      <c r="O15" s="512">
        <v>0</v>
      </c>
      <c r="P15" s="1163" t="str">
        <f t="shared" si="3"/>
        <v>The savings rates for HPWHs are relative to the RTFs current practice baseline</v>
      </c>
      <c r="Q15" s="505">
        <v>0.14199999999999999</v>
      </c>
      <c r="R15" s="1161">
        <f t="shared" si="4"/>
        <v>219.80790613132027</v>
      </c>
      <c r="S15" s="71" t="s">
        <v>941</v>
      </c>
      <c r="T15" s="507">
        <f t="shared" si="5"/>
        <v>9.2640501077264188E-5</v>
      </c>
      <c r="U15" s="508">
        <f t="shared" si="6"/>
        <v>0</v>
      </c>
      <c r="V15" s="509">
        <f t="shared" si="7"/>
        <v>9.2640501077264188E-5</v>
      </c>
      <c r="AA15" s="458"/>
      <c r="AB15" s="458"/>
    </row>
    <row r="16" spans="1:47" ht="12.75" hidden="1" customHeight="1">
      <c r="A16" s="515" t="s">
        <v>1221</v>
      </c>
      <c r="B16" s="516" t="str">
        <f t="shared" si="0"/>
        <v>RES_201202</v>
      </c>
      <c r="C16" s="516">
        <v>0</v>
      </c>
      <c r="D16" s="516">
        <v>0</v>
      </c>
      <c r="E16" s="516">
        <f t="shared" si="1"/>
        <v>1</v>
      </c>
      <c r="F16" s="499">
        <v>1</v>
      </c>
      <c r="G16" s="517" t="b">
        <v>1</v>
      </c>
      <c r="H16" s="501" t="str">
        <f t="shared" si="2"/>
        <v>Residential</v>
      </c>
      <c r="I16" s="502" t="s">
        <v>153</v>
      </c>
      <c r="J16" s="502" t="s">
        <v>1285</v>
      </c>
      <c r="K16" s="502" t="s">
        <v>158</v>
      </c>
      <c r="L16" s="24">
        <v>2019</v>
      </c>
      <c r="M16" s="511">
        <v>2213</v>
      </c>
      <c r="N16" s="512">
        <v>580.49663038000006</v>
      </c>
      <c r="O16" s="512">
        <v>0</v>
      </c>
      <c r="P16" s="1163" t="str">
        <f t="shared" si="3"/>
        <v>The savings rates for HPWHs are relative to the RTFs current practice baseline</v>
      </c>
      <c r="Q16" s="505">
        <v>0.14199999999999999</v>
      </c>
      <c r="R16" s="1161">
        <f t="shared" si="4"/>
        <v>355.08531748285185</v>
      </c>
      <c r="S16" s="71" t="s">
        <v>941</v>
      </c>
      <c r="T16" s="507">
        <f t="shared" si="5"/>
        <v>1.2737915602479024E-2</v>
      </c>
      <c r="U16" s="508">
        <f t="shared" si="6"/>
        <v>3.3413091212399016E-3</v>
      </c>
      <c r="V16" s="509">
        <f t="shared" si="7"/>
        <v>9.3966064812391233E-3</v>
      </c>
      <c r="W16" s="518"/>
      <c r="X16" s="518"/>
      <c r="Y16" s="518"/>
      <c r="Z16" s="518"/>
      <c r="AA16" s="458"/>
      <c r="AB16" s="458"/>
      <c r="AC16" s="518"/>
      <c r="AD16" s="518"/>
      <c r="AE16" s="518"/>
      <c r="AF16" s="518"/>
      <c r="AG16" s="518"/>
      <c r="AH16" s="518"/>
      <c r="AI16" s="518"/>
      <c r="AJ16" s="518"/>
      <c r="AK16" s="518"/>
      <c r="AL16" s="518"/>
      <c r="AM16" s="518"/>
      <c r="AN16" s="518"/>
      <c r="AO16" s="518"/>
      <c r="AP16" s="518"/>
      <c r="AQ16" s="518"/>
      <c r="AR16" s="518"/>
      <c r="AS16" s="518"/>
      <c r="AT16" s="518"/>
      <c r="AU16" s="518"/>
    </row>
    <row r="17" spans="1:47" ht="12.75" hidden="1" customHeight="1">
      <c r="A17" s="460" t="s">
        <v>1222</v>
      </c>
      <c r="B17" s="499" t="str">
        <f t="shared" si="0"/>
        <v>RES_201202</v>
      </c>
      <c r="C17" s="499">
        <v>0</v>
      </c>
      <c r="D17" s="499">
        <v>0</v>
      </c>
      <c r="E17" s="499">
        <f t="shared" si="1"/>
        <v>1</v>
      </c>
      <c r="F17" s="499">
        <v>1</v>
      </c>
      <c r="G17" s="500" t="b">
        <v>1</v>
      </c>
      <c r="H17" s="501" t="str">
        <f t="shared" si="2"/>
        <v>Residential</v>
      </c>
      <c r="I17" s="502" t="s">
        <v>153</v>
      </c>
      <c r="J17" s="502" t="s">
        <v>1285</v>
      </c>
      <c r="K17" s="502" t="s">
        <v>160</v>
      </c>
      <c r="L17" s="24">
        <v>2019</v>
      </c>
      <c r="M17" s="511">
        <v>2212</v>
      </c>
      <c r="N17" s="512">
        <v>578.24066389999996</v>
      </c>
      <c r="O17" s="512">
        <v>0</v>
      </c>
      <c r="P17" s="1163" t="str">
        <f t="shared" si="3"/>
        <v>The savings rates for HPWHs are relative to the RTFs current practice baseline</v>
      </c>
      <c r="Q17" s="505">
        <v>0.14199999999999999</v>
      </c>
      <c r="R17" s="1161">
        <f t="shared" si="4"/>
        <v>102.90343715681404</v>
      </c>
      <c r="S17" s="71" t="s">
        <v>941</v>
      </c>
      <c r="T17" s="507">
        <f t="shared" si="5"/>
        <v>3.6897695461990767E-3</v>
      </c>
      <c r="U17" s="508">
        <f t="shared" si="6"/>
        <v>9.6454556601815371E-4</v>
      </c>
      <c r="V17" s="509">
        <f t="shared" si="7"/>
        <v>2.7252239801809231E-3</v>
      </c>
      <c r="AA17" s="458"/>
      <c r="AB17" s="458"/>
    </row>
    <row r="18" spans="1:47" ht="12.75" hidden="1" customHeight="1">
      <c r="A18" s="460" t="s">
        <v>1223</v>
      </c>
      <c r="B18" s="499" t="str">
        <f t="shared" si="0"/>
        <v>RES_201202</v>
      </c>
      <c r="C18" s="499">
        <v>0</v>
      </c>
      <c r="D18" s="499">
        <v>0</v>
      </c>
      <c r="E18" s="499">
        <f t="shared" si="1"/>
        <v>1</v>
      </c>
      <c r="F18" s="499">
        <v>1</v>
      </c>
      <c r="G18" s="500" t="b">
        <v>1</v>
      </c>
      <c r="H18" s="501" t="str">
        <f t="shared" si="2"/>
        <v>Residential</v>
      </c>
      <c r="I18" s="502" t="s">
        <v>153</v>
      </c>
      <c r="J18" s="502" t="s">
        <v>1285</v>
      </c>
      <c r="K18" s="502" t="s">
        <v>1296</v>
      </c>
      <c r="L18" s="24">
        <v>2019</v>
      </c>
      <c r="M18" s="511">
        <v>2131</v>
      </c>
      <c r="N18" s="512">
        <v>573.77490576000002</v>
      </c>
      <c r="O18" s="512">
        <v>0</v>
      </c>
      <c r="P18" s="1163" t="str">
        <f t="shared" si="3"/>
        <v>The savings rates for HPWHs are relative to the RTFs current practice baseline</v>
      </c>
      <c r="Q18" s="505">
        <v>0.14199999999999999</v>
      </c>
      <c r="R18" s="1161">
        <f t="shared" si="4"/>
        <v>62.767143584591601</v>
      </c>
      <c r="S18" s="71" t="s">
        <v>941</v>
      </c>
      <c r="T18" s="507">
        <f t="shared" si="5"/>
        <v>2.1682035597014367E-3</v>
      </c>
      <c r="U18" s="508">
        <f t="shared" si="6"/>
        <v>5.8379201930370173E-4</v>
      </c>
      <c r="V18" s="509">
        <f t="shared" si="7"/>
        <v>1.584411540397735E-3</v>
      </c>
      <c r="AA18" s="458"/>
      <c r="AB18" s="458"/>
    </row>
    <row r="19" spans="1:47" ht="12.75" hidden="1" customHeight="1">
      <c r="A19" s="460" t="s">
        <v>1224</v>
      </c>
      <c r="B19" s="499" t="str">
        <f t="shared" si="0"/>
        <v>RES_201202</v>
      </c>
      <c r="C19" s="499">
        <v>0</v>
      </c>
      <c r="D19" s="499">
        <v>0</v>
      </c>
      <c r="E19" s="499">
        <f t="shared" si="1"/>
        <v>1</v>
      </c>
      <c r="F19" s="499">
        <v>1</v>
      </c>
      <c r="G19" s="500" t="b">
        <v>1</v>
      </c>
      <c r="H19" s="501" t="str">
        <f t="shared" si="2"/>
        <v>Residential</v>
      </c>
      <c r="I19" s="502" t="s">
        <v>153</v>
      </c>
      <c r="J19" s="502" t="s">
        <v>1285</v>
      </c>
      <c r="K19" s="502" t="s">
        <v>1297</v>
      </c>
      <c r="L19" s="24">
        <v>2019</v>
      </c>
      <c r="M19" s="511">
        <v>25</v>
      </c>
      <c r="N19" s="512">
        <v>10.227272729999999</v>
      </c>
      <c r="O19" s="512">
        <v>0</v>
      </c>
      <c r="P19" s="1163" t="str">
        <f t="shared" si="3"/>
        <v>The savings rates for HPWHs are relative to the RTFs current practice baseline</v>
      </c>
      <c r="Q19" s="505">
        <v>0.14199999999999999</v>
      </c>
      <c r="R19" s="1161">
        <f t="shared" si="4"/>
        <v>160.83614451884853</v>
      </c>
      <c r="S19" s="71" t="s">
        <v>941</v>
      </c>
      <c r="T19" s="507">
        <f t="shared" si="5"/>
        <v>6.5179031169168057E-5</v>
      </c>
      <c r="U19" s="508">
        <f t="shared" si="6"/>
        <v>2.6664149121770099E-5</v>
      </c>
      <c r="V19" s="509">
        <f t="shared" si="7"/>
        <v>3.8514882047397962E-5</v>
      </c>
      <c r="AA19" s="458"/>
      <c r="AB19" s="458"/>
    </row>
    <row r="20" spans="1:47" s="518" customFormat="1" ht="12.75" hidden="1" customHeight="1">
      <c r="A20" s="460" t="s">
        <v>1225</v>
      </c>
      <c r="B20" s="499" t="str">
        <f t="shared" si="0"/>
        <v>RES_201202</v>
      </c>
      <c r="C20" s="499">
        <v>0</v>
      </c>
      <c r="D20" s="499">
        <v>0</v>
      </c>
      <c r="E20" s="499">
        <f t="shared" si="1"/>
        <v>1</v>
      </c>
      <c r="F20" s="499">
        <v>1</v>
      </c>
      <c r="G20" s="500" t="b">
        <v>1</v>
      </c>
      <c r="H20" s="501" t="str">
        <f t="shared" si="2"/>
        <v>Residential</v>
      </c>
      <c r="I20" s="502" t="s">
        <v>153</v>
      </c>
      <c r="J20" s="502" t="s">
        <v>1282</v>
      </c>
      <c r="K20" s="502" t="s">
        <v>1296</v>
      </c>
      <c r="L20" s="24">
        <v>2019</v>
      </c>
      <c r="M20" s="511">
        <v>3880.60838814</v>
      </c>
      <c r="N20" s="512">
        <v>3520.3780534399998</v>
      </c>
      <c r="O20" s="512">
        <v>0</v>
      </c>
      <c r="P20" s="1163" t="str">
        <f t="shared" si="3"/>
        <v>The savings rates for HPWHs are relative to the RTFs current practice baseline</v>
      </c>
      <c r="Q20" s="505">
        <v>0.14199999999999999</v>
      </c>
      <c r="R20" s="1161">
        <f t="shared" si="4"/>
        <v>165.26166691085132</v>
      </c>
      <c r="S20" s="71" t="s">
        <v>941</v>
      </c>
      <c r="T20" s="507">
        <f t="shared" si="5"/>
        <v>1.0395758577741923E-2</v>
      </c>
      <c r="U20" s="508">
        <f t="shared" si="6"/>
        <v>9.4307378342508991E-3</v>
      </c>
      <c r="V20" s="509">
        <f t="shared" si="7"/>
        <v>9.6502074349102442E-4</v>
      </c>
      <c r="W20" s="462"/>
      <c r="X20" s="462"/>
      <c r="Y20" s="462"/>
      <c r="Z20" s="462"/>
      <c r="AA20" s="458"/>
      <c r="AB20" s="458"/>
      <c r="AC20" s="462"/>
      <c r="AD20" s="462"/>
      <c r="AE20" s="462"/>
      <c r="AF20" s="462"/>
      <c r="AG20" s="462"/>
      <c r="AH20" s="462"/>
      <c r="AI20" s="462"/>
      <c r="AJ20" s="462"/>
      <c r="AK20" s="462"/>
      <c r="AL20" s="462"/>
      <c r="AM20" s="462"/>
      <c r="AN20" s="462"/>
      <c r="AO20" s="462"/>
      <c r="AP20" s="462"/>
      <c r="AQ20" s="462"/>
      <c r="AR20" s="462"/>
      <c r="AS20" s="462"/>
      <c r="AT20" s="462"/>
      <c r="AU20" s="462"/>
    </row>
    <row r="21" spans="1:47" ht="12.75" hidden="1" customHeight="1">
      <c r="A21" s="460" t="s">
        <v>1226</v>
      </c>
      <c r="B21" s="499" t="str">
        <f t="shared" si="0"/>
        <v>RES_201202</v>
      </c>
      <c r="C21" s="499">
        <v>0</v>
      </c>
      <c r="D21" s="499">
        <v>0</v>
      </c>
      <c r="E21" s="499">
        <f t="shared" si="1"/>
        <v>1</v>
      </c>
      <c r="F21" s="499">
        <v>1</v>
      </c>
      <c r="G21" s="500" t="b">
        <v>1</v>
      </c>
      <c r="H21" s="501" t="str">
        <f t="shared" si="2"/>
        <v>Residential</v>
      </c>
      <c r="I21" s="502" t="s">
        <v>153</v>
      </c>
      <c r="J21" s="502" t="s">
        <v>1282</v>
      </c>
      <c r="K21" s="502" t="s">
        <v>1297</v>
      </c>
      <c r="L21" s="24">
        <v>2019</v>
      </c>
      <c r="M21" s="511">
        <v>28.094800840000001</v>
      </c>
      <c r="N21" s="512">
        <v>0</v>
      </c>
      <c r="O21" s="512">
        <v>0</v>
      </c>
      <c r="P21" s="1163" t="str">
        <f t="shared" si="3"/>
        <v>The savings rates for HPWHs are relative to the RTFs current practice baseline</v>
      </c>
      <c r="Q21" s="505">
        <v>0.14199999999999999</v>
      </c>
      <c r="R21" s="1161">
        <f t="shared" si="4"/>
        <v>423.47074957899622</v>
      </c>
      <c r="S21" s="71" t="s">
        <v>941</v>
      </c>
      <c r="T21" s="507">
        <f t="shared" si="5"/>
        <v>1.9285620373061786E-4</v>
      </c>
      <c r="U21" s="508">
        <f t="shared" si="6"/>
        <v>0</v>
      </c>
      <c r="V21" s="509">
        <f t="shared" si="7"/>
        <v>1.9285620373061786E-4</v>
      </c>
      <c r="AA21" s="458"/>
      <c r="AB21" s="458"/>
    </row>
    <row r="22" spans="1:47" ht="12.75" hidden="1" customHeight="1">
      <c r="A22" s="460" t="s">
        <v>55</v>
      </c>
      <c r="B22" s="499" t="str">
        <f t="shared" si="0"/>
        <v>RES_201202</v>
      </c>
      <c r="C22" s="499">
        <v>0</v>
      </c>
      <c r="D22" s="499">
        <v>0</v>
      </c>
      <c r="E22" s="499">
        <f t="shared" si="1"/>
        <v>1</v>
      </c>
      <c r="F22" s="499">
        <v>1</v>
      </c>
      <c r="G22" s="500" t="b">
        <v>1</v>
      </c>
      <c r="H22" s="501" t="str">
        <f t="shared" si="2"/>
        <v>Residential</v>
      </c>
      <c r="I22" s="502" t="s">
        <v>153</v>
      </c>
      <c r="J22" s="502" t="s">
        <v>1282</v>
      </c>
      <c r="K22" s="502" t="s">
        <v>158</v>
      </c>
      <c r="L22" s="24">
        <v>2018</v>
      </c>
      <c r="M22" s="511">
        <v>3776</v>
      </c>
      <c r="N22" s="512">
        <v>3026</v>
      </c>
      <c r="O22" s="512">
        <v>0</v>
      </c>
      <c r="P22" s="1163" t="str">
        <f t="shared" si="3"/>
        <v>The savings rates for HPWHs are relative to the RTFs current practice baseline</v>
      </c>
      <c r="Q22" s="505">
        <v>0.14199999999999999</v>
      </c>
      <c r="R22" s="1161">
        <f t="shared" si="4"/>
        <v>934.91575546526076</v>
      </c>
      <c r="S22" s="71" t="s">
        <v>941</v>
      </c>
      <c r="T22" s="507">
        <f t="shared" si="5"/>
        <v>5.7225382277902866E-2</v>
      </c>
      <c r="U22" s="508">
        <f t="shared" si="6"/>
        <v>4.5859111963171093E-2</v>
      </c>
      <c r="V22" s="509">
        <f t="shared" si="7"/>
        <v>1.1366270314731773E-2</v>
      </c>
    </row>
    <row r="23" spans="1:47" ht="12.75" hidden="1" customHeight="1">
      <c r="A23" s="460" t="s">
        <v>57</v>
      </c>
      <c r="B23" s="499" t="str">
        <f t="shared" si="0"/>
        <v>RES_201202</v>
      </c>
      <c r="C23" s="499">
        <v>0</v>
      </c>
      <c r="D23" s="499">
        <v>1</v>
      </c>
      <c r="E23" s="499">
        <f t="shared" si="1"/>
        <v>1</v>
      </c>
      <c r="F23" s="499">
        <v>1</v>
      </c>
      <c r="G23" s="500" t="b">
        <v>1</v>
      </c>
      <c r="H23" s="501" t="str">
        <f t="shared" si="2"/>
        <v>Residential</v>
      </c>
      <c r="I23" s="502" t="s">
        <v>153</v>
      </c>
      <c r="J23" s="502" t="s">
        <v>1283</v>
      </c>
      <c r="K23" s="502" t="s">
        <v>158</v>
      </c>
      <c r="L23" s="24">
        <v>2018</v>
      </c>
      <c r="M23" s="511">
        <v>1697</v>
      </c>
      <c r="N23" s="512">
        <v>1371</v>
      </c>
      <c r="O23" s="512">
        <v>0</v>
      </c>
      <c r="P23" s="1163" t="str">
        <f t="shared" si="3"/>
        <v>The savings rates for HPWHs are relative to the RTFs current practice baseline</v>
      </c>
      <c r="Q23" s="505">
        <v>0.14199999999999999</v>
      </c>
      <c r="R23" s="1161">
        <f t="shared" si="4"/>
        <v>934.91575546526076</v>
      </c>
      <c r="S23" s="71" t="s">
        <v>941</v>
      </c>
      <c r="T23" s="507">
        <f t="shared" si="5"/>
        <v>2.5718080965466409E-2</v>
      </c>
      <c r="U23" s="508">
        <f t="shared" si="6"/>
        <v>2.0777542135329667E-2</v>
      </c>
      <c r="V23" s="509">
        <f t="shared" si="7"/>
        <v>4.9405388301367419E-3</v>
      </c>
    </row>
    <row r="24" spans="1:47" ht="12.75" hidden="1" customHeight="1">
      <c r="A24" s="460" t="s">
        <v>56</v>
      </c>
      <c r="B24" s="499" t="str">
        <f t="shared" si="0"/>
        <v>RES_201202</v>
      </c>
      <c r="C24" s="499">
        <v>0</v>
      </c>
      <c r="D24" s="499">
        <v>0</v>
      </c>
      <c r="E24" s="499">
        <f t="shared" si="1"/>
        <v>1</v>
      </c>
      <c r="F24" s="499">
        <v>1</v>
      </c>
      <c r="G24" s="500" t="b">
        <v>1</v>
      </c>
      <c r="H24" s="501" t="str">
        <f t="shared" si="2"/>
        <v>Residential</v>
      </c>
      <c r="I24" s="502" t="s">
        <v>153</v>
      </c>
      <c r="J24" s="502" t="s">
        <v>1282</v>
      </c>
      <c r="K24" s="502" t="s">
        <v>160</v>
      </c>
      <c r="L24" s="24">
        <v>2018</v>
      </c>
      <c r="M24" s="511">
        <v>3772</v>
      </c>
      <c r="N24" s="512">
        <v>3010</v>
      </c>
      <c r="O24" s="512">
        <v>0</v>
      </c>
      <c r="P24" s="1163" t="str">
        <f t="shared" si="3"/>
        <v>The savings rates for HPWHs are relative to the RTFs current practice baseline</v>
      </c>
      <c r="Q24" s="505">
        <v>0.14199999999999999</v>
      </c>
      <c r="R24" s="1161">
        <f t="shared" si="4"/>
        <v>270.93782804489194</v>
      </c>
      <c r="S24" s="71" t="s">
        <v>941</v>
      </c>
      <c r="T24" s="507">
        <f t="shared" si="5"/>
        <v>1.6566301736154927E-2</v>
      </c>
      <c r="U24" s="508">
        <f t="shared" si="6"/>
        <v>1.3219662838236038E-2</v>
      </c>
      <c r="V24" s="509">
        <f t="shared" si="7"/>
        <v>3.3466388979188893E-3</v>
      </c>
    </row>
    <row r="25" spans="1:47" ht="12.75" hidden="1" customHeight="1">
      <c r="A25" s="460" t="s">
        <v>58</v>
      </c>
      <c r="B25" s="499" t="str">
        <f t="shared" si="0"/>
        <v>RES_201202</v>
      </c>
      <c r="C25" s="499">
        <v>0</v>
      </c>
      <c r="D25" s="499">
        <v>0</v>
      </c>
      <c r="E25" s="499">
        <f t="shared" si="1"/>
        <v>1</v>
      </c>
      <c r="F25" s="499">
        <v>1</v>
      </c>
      <c r="G25" s="500" t="b">
        <v>1</v>
      </c>
      <c r="H25" s="501" t="str">
        <f t="shared" si="2"/>
        <v>Residential</v>
      </c>
      <c r="I25" s="502" t="s">
        <v>153</v>
      </c>
      <c r="J25" s="502" t="s">
        <v>1283</v>
      </c>
      <c r="K25" s="502" t="s">
        <v>160</v>
      </c>
      <c r="L25" s="24">
        <v>2018</v>
      </c>
      <c r="M25" s="511">
        <v>1696</v>
      </c>
      <c r="N25" s="512">
        <v>1365</v>
      </c>
      <c r="O25" s="512">
        <v>0</v>
      </c>
      <c r="P25" s="1163" t="str">
        <f t="shared" si="3"/>
        <v>The savings rates for HPWHs are relative to the RTFs current practice baseline</v>
      </c>
      <c r="Q25" s="505">
        <v>0.14199999999999999</v>
      </c>
      <c r="R25" s="1161">
        <f t="shared" si="4"/>
        <v>270.93782804489194</v>
      </c>
      <c r="S25" s="71" t="s">
        <v>941</v>
      </c>
      <c r="T25" s="507">
        <f t="shared" si="5"/>
        <v>7.4486871008798416E-3</v>
      </c>
      <c r="U25" s="508">
        <f t="shared" si="6"/>
        <v>5.994963380130296E-3</v>
      </c>
      <c r="V25" s="509">
        <f t="shared" si="7"/>
        <v>1.4537237207495456E-3</v>
      </c>
    </row>
    <row r="26" spans="1:47" ht="12.75" hidden="1" customHeight="1">
      <c r="A26" s="460" t="s">
        <v>1217</v>
      </c>
      <c r="B26" s="499" t="str">
        <f t="shared" si="0"/>
        <v>RES_201202</v>
      </c>
      <c r="C26" s="499">
        <v>0</v>
      </c>
      <c r="D26" s="499">
        <v>0</v>
      </c>
      <c r="E26" s="499">
        <f t="shared" si="1"/>
        <v>1</v>
      </c>
      <c r="F26" s="499">
        <v>1</v>
      </c>
      <c r="G26" s="500" t="b">
        <v>1</v>
      </c>
      <c r="H26" s="501" t="str">
        <f t="shared" si="2"/>
        <v>Residential</v>
      </c>
      <c r="I26" s="502" t="s">
        <v>153</v>
      </c>
      <c r="J26" s="502" t="s">
        <v>1283</v>
      </c>
      <c r="K26" s="502" t="s">
        <v>1296</v>
      </c>
      <c r="L26" s="24">
        <v>2018</v>
      </c>
      <c r="M26" s="511">
        <v>1634</v>
      </c>
      <c r="N26" s="512">
        <v>1273</v>
      </c>
      <c r="O26" s="512">
        <v>0</v>
      </c>
      <c r="P26" s="1163" t="str">
        <f t="shared" si="3"/>
        <v>The savings rates for HPWHs are relative to the RTFs current practice baseline</v>
      </c>
      <c r="Q26" s="505">
        <v>0.14199999999999999</v>
      </c>
      <c r="R26" s="1161">
        <f t="shared" si="4"/>
        <v>165.26166691085132</v>
      </c>
      <c r="S26" s="71" t="s">
        <v>941</v>
      </c>
      <c r="T26" s="507">
        <f t="shared" si="5"/>
        <v>4.3773212385834481E-3</v>
      </c>
      <c r="U26" s="508">
        <f t="shared" si="6"/>
        <v>3.4102386393615237E-3</v>
      </c>
      <c r="V26" s="509">
        <f t="shared" si="7"/>
        <v>9.6708259922192443E-4</v>
      </c>
    </row>
    <row r="27" spans="1:47" ht="12.75" hidden="1" customHeight="1">
      <c r="A27" s="460" t="s">
        <v>1218</v>
      </c>
      <c r="B27" s="499" t="str">
        <f t="shared" si="0"/>
        <v>RES_201202</v>
      </c>
      <c r="C27" s="499">
        <v>0</v>
      </c>
      <c r="D27" s="499">
        <v>0</v>
      </c>
      <c r="E27" s="499">
        <f t="shared" si="1"/>
        <v>1</v>
      </c>
      <c r="F27" s="499">
        <v>1</v>
      </c>
      <c r="G27" s="500" t="b">
        <v>1</v>
      </c>
      <c r="H27" s="501" t="str">
        <f t="shared" si="2"/>
        <v>Residential</v>
      </c>
      <c r="I27" s="502" t="s">
        <v>153</v>
      </c>
      <c r="J27" s="502" t="s">
        <v>1283</v>
      </c>
      <c r="K27" s="502" t="s">
        <v>1297</v>
      </c>
      <c r="L27" s="24">
        <v>2018</v>
      </c>
      <c r="M27" s="511">
        <v>19</v>
      </c>
      <c r="N27" s="512">
        <v>0</v>
      </c>
      <c r="O27" s="512">
        <v>0</v>
      </c>
      <c r="P27" s="1163" t="str">
        <f t="shared" si="3"/>
        <v>The savings rates for HPWHs are relative to the RTFs current practice baseline</v>
      </c>
      <c r="Q27" s="505">
        <v>0.14199999999999999</v>
      </c>
      <c r="R27" s="1161">
        <f t="shared" si="4"/>
        <v>423.47074957899622</v>
      </c>
      <c r="S27" s="71" t="s">
        <v>941</v>
      </c>
      <c r="T27" s="507">
        <f t="shared" si="5"/>
        <v>1.304251235575493E-4</v>
      </c>
      <c r="U27" s="508">
        <f t="shared" si="6"/>
        <v>0</v>
      </c>
      <c r="V27" s="509">
        <f t="shared" si="7"/>
        <v>1.304251235575493E-4</v>
      </c>
    </row>
    <row r="28" spans="1:47" ht="12.75" hidden="1" customHeight="1">
      <c r="A28" s="460" t="s">
        <v>1184</v>
      </c>
      <c r="B28" s="499" t="str">
        <f t="shared" si="0"/>
        <v>RES_201202</v>
      </c>
      <c r="C28" s="499">
        <v>0</v>
      </c>
      <c r="D28" s="499">
        <v>0</v>
      </c>
      <c r="E28" s="499">
        <f t="shared" si="1"/>
        <v>1</v>
      </c>
      <c r="F28" s="499">
        <v>1</v>
      </c>
      <c r="G28" s="500" t="b">
        <v>1</v>
      </c>
      <c r="H28" s="501" t="str">
        <f t="shared" si="2"/>
        <v>Residential</v>
      </c>
      <c r="I28" s="502" t="s">
        <v>153</v>
      </c>
      <c r="J28" s="502" t="s">
        <v>1284</v>
      </c>
      <c r="K28" s="502" t="s">
        <v>158</v>
      </c>
      <c r="L28" s="24">
        <v>2018</v>
      </c>
      <c r="M28" s="511">
        <v>4293</v>
      </c>
      <c r="N28" s="512">
        <v>854</v>
      </c>
      <c r="O28" s="512">
        <v>0</v>
      </c>
      <c r="P28" s="1163" t="str">
        <f t="shared" si="3"/>
        <v>The savings rates for HPWHs are relative to the RTFs current practice baseline</v>
      </c>
      <c r="Q28" s="505">
        <v>0.14199999999999999</v>
      </c>
      <c r="R28" s="1161">
        <f t="shared" si="4"/>
        <v>531.89039583838928</v>
      </c>
      <c r="S28" s="71" t="s">
        <v>941</v>
      </c>
      <c r="T28" s="507">
        <f t="shared" si="5"/>
        <v>3.7014106922997392E-2</v>
      </c>
      <c r="U28" s="508">
        <f t="shared" si="6"/>
        <v>7.3631603336221218E-3</v>
      </c>
      <c r="V28" s="509">
        <f t="shared" si="7"/>
        <v>2.9650946589375268E-2</v>
      </c>
      <c r="AA28" s="518"/>
      <c r="AB28" s="518"/>
    </row>
    <row r="29" spans="1:47" ht="12.75" hidden="1" customHeight="1">
      <c r="A29" s="460" t="s">
        <v>1185</v>
      </c>
      <c r="B29" s="499" t="str">
        <f t="shared" si="0"/>
        <v>RES_201202</v>
      </c>
      <c r="C29" s="499">
        <v>0</v>
      </c>
      <c r="D29" s="499">
        <v>0</v>
      </c>
      <c r="E29" s="499">
        <f t="shared" si="1"/>
        <v>1</v>
      </c>
      <c r="F29" s="499">
        <v>1</v>
      </c>
      <c r="G29" s="500" t="b">
        <v>1</v>
      </c>
      <c r="H29" s="501" t="str">
        <f t="shared" si="2"/>
        <v>Residential</v>
      </c>
      <c r="I29" s="502" t="s">
        <v>153</v>
      </c>
      <c r="J29" s="502" t="s">
        <v>1284</v>
      </c>
      <c r="K29" s="502" t="s">
        <v>160</v>
      </c>
      <c r="L29" s="24">
        <v>2018</v>
      </c>
      <c r="M29" s="511">
        <v>4287</v>
      </c>
      <c r="N29" s="512">
        <v>849</v>
      </c>
      <c r="O29" s="512">
        <v>0</v>
      </c>
      <c r="P29" s="1163" t="str">
        <f t="shared" si="3"/>
        <v>The savings rates for HPWHs are relative to the RTFs current practice baseline</v>
      </c>
      <c r="Q29" s="505">
        <v>0.14199999999999999</v>
      </c>
      <c r="R29" s="1161">
        <f t="shared" si="4"/>
        <v>154.14140553730968</v>
      </c>
      <c r="S29" s="71" t="s">
        <v>941</v>
      </c>
      <c r="T29" s="507">
        <f t="shared" si="5"/>
        <v>1.0711666345486233E-2</v>
      </c>
      <c r="U29" s="508">
        <f t="shared" si="6"/>
        <v>2.1213446996309338E-3</v>
      </c>
      <c r="V29" s="509">
        <f t="shared" si="7"/>
        <v>8.5903216458552995E-3</v>
      </c>
    </row>
    <row r="30" spans="1:47" ht="12.75" hidden="1" customHeight="1">
      <c r="A30" s="460" t="s">
        <v>1219</v>
      </c>
      <c r="B30" s="499" t="str">
        <f t="shared" si="0"/>
        <v>RES_201202</v>
      </c>
      <c r="C30" s="499">
        <v>0</v>
      </c>
      <c r="D30" s="499">
        <v>0</v>
      </c>
      <c r="E30" s="499">
        <f t="shared" si="1"/>
        <v>1</v>
      </c>
      <c r="F30" s="499">
        <v>1</v>
      </c>
      <c r="G30" s="500" t="b">
        <v>1</v>
      </c>
      <c r="H30" s="501" t="str">
        <f t="shared" si="2"/>
        <v>Residential</v>
      </c>
      <c r="I30" s="502" t="s">
        <v>153</v>
      </c>
      <c r="J30" s="502" t="s">
        <v>1284</v>
      </c>
      <c r="K30" s="502" t="s">
        <v>1296</v>
      </c>
      <c r="L30" s="24">
        <v>2018</v>
      </c>
      <c r="M30" s="511">
        <v>3661</v>
      </c>
      <c r="N30" s="512">
        <v>833</v>
      </c>
      <c r="O30" s="512">
        <v>0</v>
      </c>
      <c r="P30" s="1163" t="str">
        <f t="shared" si="3"/>
        <v>The savings rates for HPWHs are relative to the RTFs current practice baseline</v>
      </c>
      <c r="Q30" s="505">
        <v>0.14199999999999999</v>
      </c>
      <c r="R30" s="1161">
        <f t="shared" si="4"/>
        <v>94.02033596746989</v>
      </c>
      <c r="S30" s="71" t="s">
        <v>941</v>
      </c>
      <c r="T30" s="507">
        <f t="shared" si="5"/>
        <v>5.5796346914064876E-3</v>
      </c>
      <c r="U30" s="508">
        <f t="shared" si="6"/>
        <v>1.2695535913525278E-3</v>
      </c>
      <c r="V30" s="509">
        <f t="shared" si="7"/>
        <v>4.3100811000539602E-3</v>
      </c>
    </row>
    <row r="31" spans="1:47" ht="12.75" hidden="1" customHeight="1">
      <c r="A31" s="460" t="s">
        <v>1220</v>
      </c>
      <c r="B31" s="499" t="str">
        <f t="shared" si="0"/>
        <v>RES_201202</v>
      </c>
      <c r="C31" s="499">
        <v>0</v>
      </c>
      <c r="D31" s="499">
        <v>0</v>
      </c>
      <c r="E31" s="499">
        <f t="shared" si="1"/>
        <v>1</v>
      </c>
      <c r="F31" s="499">
        <v>1</v>
      </c>
      <c r="G31" s="500" t="b">
        <v>1</v>
      </c>
      <c r="H31" s="501" t="str">
        <f t="shared" si="2"/>
        <v>Residential</v>
      </c>
      <c r="I31" s="502" t="s">
        <v>153</v>
      </c>
      <c r="J31" s="502" t="s">
        <v>1284</v>
      </c>
      <c r="K31" s="502" t="s">
        <v>1297</v>
      </c>
      <c r="L31" s="24">
        <v>2018</v>
      </c>
      <c r="M31" s="511">
        <v>27</v>
      </c>
      <c r="N31" s="512">
        <v>0</v>
      </c>
      <c r="O31" s="512">
        <v>0</v>
      </c>
      <c r="P31" s="1163" t="str">
        <f t="shared" si="3"/>
        <v>The savings rates for HPWHs are relative to the RTFs current practice baseline</v>
      </c>
      <c r="Q31" s="505">
        <v>0.14199999999999999</v>
      </c>
      <c r="R31" s="1161">
        <f t="shared" si="4"/>
        <v>240.92012922325929</v>
      </c>
      <c r="S31" s="71" t="s">
        <v>941</v>
      </c>
      <c r="T31" s="507">
        <f t="shared" si="5"/>
        <v>1.0544380998196075E-4</v>
      </c>
      <c r="U31" s="508">
        <f t="shared" si="6"/>
        <v>0</v>
      </c>
      <c r="V31" s="509">
        <f t="shared" si="7"/>
        <v>1.0544380998196075E-4</v>
      </c>
    </row>
    <row r="32" spans="1:47" s="518" customFormat="1" ht="12.75" hidden="1" customHeight="1">
      <c r="A32" s="515" t="s">
        <v>1221</v>
      </c>
      <c r="B32" s="516" t="str">
        <f t="shared" si="0"/>
        <v>RES_201202</v>
      </c>
      <c r="C32" s="516">
        <v>0</v>
      </c>
      <c r="D32" s="516">
        <v>0</v>
      </c>
      <c r="E32" s="516">
        <f t="shared" si="1"/>
        <v>1</v>
      </c>
      <c r="F32" s="499">
        <v>1</v>
      </c>
      <c r="G32" s="517" t="b">
        <v>1</v>
      </c>
      <c r="H32" s="501" t="str">
        <f t="shared" si="2"/>
        <v>Residential</v>
      </c>
      <c r="I32" s="502" t="s">
        <v>153</v>
      </c>
      <c r="J32" s="502" t="s">
        <v>1285</v>
      </c>
      <c r="K32" s="502" t="s">
        <v>158</v>
      </c>
      <c r="L32" s="24">
        <v>2018</v>
      </c>
      <c r="M32" s="511">
        <v>1929</v>
      </c>
      <c r="N32" s="512">
        <v>506</v>
      </c>
      <c r="O32" s="512">
        <v>0</v>
      </c>
      <c r="P32" s="1163" t="str">
        <f t="shared" si="3"/>
        <v>The savings rates for HPWHs are relative to the RTFs current practice baseline</v>
      </c>
      <c r="Q32" s="505">
        <v>0.14199999999999999</v>
      </c>
      <c r="R32" s="1161">
        <f t="shared" si="4"/>
        <v>349.38871545544691</v>
      </c>
      <c r="S32" s="71" t="s">
        <v>941</v>
      </c>
      <c r="T32" s="507">
        <f t="shared" si="5"/>
        <v>1.0925097963484599E-2</v>
      </c>
      <c r="U32" s="508">
        <f t="shared" si="6"/>
        <v>2.8657851578658411E-3</v>
      </c>
      <c r="V32" s="509">
        <f t="shared" si="7"/>
        <v>8.0593128056187582E-3</v>
      </c>
      <c r="AA32" s="462"/>
      <c r="AB32" s="462"/>
    </row>
    <row r="33" spans="1:47" ht="12.75" hidden="1" customHeight="1">
      <c r="A33" s="460" t="s">
        <v>1222</v>
      </c>
      <c r="B33" s="499" t="str">
        <f t="shared" si="0"/>
        <v>RES_201202</v>
      </c>
      <c r="C33" s="499">
        <v>0</v>
      </c>
      <c r="D33" s="499">
        <v>0</v>
      </c>
      <c r="E33" s="499">
        <f t="shared" si="1"/>
        <v>1</v>
      </c>
      <c r="F33" s="499">
        <v>1</v>
      </c>
      <c r="G33" s="500" t="b">
        <v>1</v>
      </c>
      <c r="H33" s="501" t="str">
        <f t="shared" si="2"/>
        <v>Residential</v>
      </c>
      <c r="I33" s="502" t="s">
        <v>153</v>
      </c>
      <c r="J33" s="502" t="s">
        <v>1285</v>
      </c>
      <c r="K33" s="502" t="s">
        <v>160</v>
      </c>
      <c r="L33" s="24">
        <v>2018</v>
      </c>
      <c r="M33" s="511">
        <v>1928</v>
      </c>
      <c r="N33" s="512">
        <v>504</v>
      </c>
      <c r="O33" s="512">
        <v>0</v>
      </c>
      <c r="P33" s="1163" t="str">
        <f t="shared" si="3"/>
        <v>The savings rates for HPWHs are relative to the RTFs current practice baseline</v>
      </c>
      <c r="Q33" s="505">
        <v>0.14199999999999999</v>
      </c>
      <c r="R33" s="1161">
        <f t="shared" si="4"/>
        <v>101.25256650721937</v>
      </c>
      <c r="S33" s="71" t="s">
        <v>941</v>
      </c>
      <c r="T33" s="507">
        <f t="shared" si="5"/>
        <v>3.1644432246667221E-3</v>
      </c>
      <c r="U33" s="508">
        <f t="shared" si="6"/>
        <v>8.2721959814939213E-4</v>
      </c>
      <c r="V33" s="509">
        <f t="shared" si="7"/>
        <v>2.33722362651733E-3</v>
      </c>
    </row>
    <row r="34" spans="1:47" ht="12.75" hidden="1" customHeight="1">
      <c r="A34" s="460" t="s">
        <v>1223</v>
      </c>
      <c r="B34" s="499" t="str">
        <f t="shared" si="0"/>
        <v>RES_201202</v>
      </c>
      <c r="C34" s="499">
        <v>0</v>
      </c>
      <c r="D34" s="499">
        <v>0</v>
      </c>
      <c r="E34" s="499">
        <f t="shared" si="1"/>
        <v>1</v>
      </c>
      <c r="F34" s="499">
        <v>1</v>
      </c>
      <c r="G34" s="500" t="b">
        <v>1</v>
      </c>
      <c r="H34" s="501" t="str">
        <f t="shared" si="2"/>
        <v>Residential</v>
      </c>
      <c r="I34" s="502" t="s">
        <v>153</v>
      </c>
      <c r="J34" s="502" t="s">
        <v>1285</v>
      </c>
      <c r="K34" s="502" t="s">
        <v>1296</v>
      </c>
      <c r="L34" s="24">
        <v>2018</v>
      </c>
      <c r="M34" s="511">
        <v>1857</v>
      </c>
      <c r="N34" s="512">
        <v>500</v>
      </c>
      <c r="O34" s="512">
        <v>0</v>
      </c>
      <c r="P34" s="1163" t="str">
        <f t="shared" si="3"/>
        <v>The savings rates for HPWHs are relative to the RTFs current practice baseline</v>
      </c>
      <c r="Q34" s="505">
        <v>0.14199999999999999</v>
      </c>
      <c r="R34" s="1161">
        <f t="shared" si="4"/>
        <v>61.760175907265243</v>
      </c>
      <c r="S34" s="71" t="s">
        <v>941</v>
      </c>
      <c r="T34" s="507">
        <f t="shared" si="5"/>
        <v>1.8591081992797259E-3</v>
      </c>
      <c r="U34" s="508">
        <f t="shared" si="6"/>
        <v>5.0056763577806306E-4</v>
      </c>
      <c r="V34" s="509">
        <f t="shared" si="7"/>
        <v>1.358540563501663E-3</v>
      </c>
    </row>
    <row r="35" spans="1:47" ht="12.75" hidden="1" customHeight="1">
      <c r="A35" s="460" t="s">
        <v>1224</v>
      </c>
      <c r="B35" s="499" t="str">
        <f t="shared" si="0"/>
        <v>RES_201202</v>
      </c>
      <c r="C35" s="499">
        <v>0</v>
      </c>
      <c r="D35" s="499">
        <v>0</v>
      </c>
      <c r="E35" s="499">
        <f t="shared" si="1"/>
        <v>1</v>
      </c>
      <c r="F35" s="499">
        <v>1</v>
      </c>
      <c r="G35" s="500" t="b">
        <v>1</v>
      </c>
      <c r="H35" s="501" t="str">
        <f t="shared" si="2"/>
        <v>Residential</v>
      </c>
      <c r="I35" s="502" t="s">
        <v>153</v>
      </c>
      <c r="J35" s="502" t="s">
        <v>1285</v>
      </c>
      <c r="K35" s="502" t="s">
        <v>1297</v>
      </c>
      <c r="L35" s="24">
        <v>2018</v>
      </c>
      <c r="M35" s="511">
        <v>22</v>
      </c>
      <c r="N35" s="512">
        <v>9</v>
      </c>
      <c r="O35" s="512">
        <v>0</v>
      </c>
      <c r="P35" s="1163" t="str">
        <f t="shared" si="3"/>
        <v>The savings rates for HPWHs are relative to the RTFs current practice baseline</v>
      </c>
      <c r="Q35" s="505">
        <v>0.14199999999999999</v>
      </c>
      <c r="R35" s="1161">
        <f t="shared" si="4"/>
        <v>158.25586462036944</v>
      </c>
      <c r="S35" s="71" t="s">
        <v>941</v>
      </c>
      <c r="T35" s="507">
        <f t="shared" si="5"/>
        <v>5.6437365419410282E-5</v>
      </c>
      <c r="U35" s="508">
        <f t="shared" si="6"/>
        <v>2.3088013126122388E-5</v>
      </c>
      <c r="V35" s="509">
        <f t="shared" si="7"/>
        <v>3.3349352293287894E-5</v>
      </c>
    </row>
    <row r="36" spans="1:47" ht="12.75" hidden="1" customHeight="1">
      <c r="A36" s="460" t="s">
        <v>1225</v>
      </c>
      <c r="B36" s="499" t="str">
        <f t="shared" si="0"/>
        <v>RES_201202</v>
      </c>
      <c r="C36" s="499">
        <v>0</v>
      </c>
      <c r="D36" s="499">
        <v>0</v>
      </c>
      <c r="E36" s="499">
        <f t="shared" si="1"/>
        <v>1</v>
      </c>
      <c r="F36" s="499">
        <v>1</v>
      </c>
      <c r="G36" s="500" t="b">
        <v>1</v>
      </c>
      <c r="H36" s="501" t="str">
        <f t="shared" si="2"/>
        <v>Residential</v>
      </c>
      <c r="I36" s="502" t="s">
        <v>153</v>
      </c>
      <c r="J36" s="502" t="s">
        <v>1282</v>
      </c>
      <c r="K36" s="502" t="s">
        <v>1296</v>
      </c>
      <c r="L36" s="24">
        <v>2018</v>
      </c>
      <c r="M36" s="511">
        <v>3221</v>
      </c>
      <c r="N36" s="512">
        <v>2922</v>
      </c>
      <c r="O36" s="512">
        <v>0</v>
      </c>
      <c r="P36" s="1163" t="str">
        <f t="shared" si="3"/>
        <v>The savings rates for HPWHs are relative to the RTFs current practice baseline</v>
      </c>
      <c r="Q36" s="505">
        <v>0.14199999999999999</v>
      </c>
      <c r="R36" s="1161">
        <f t="shared" si="4"/>
        <v>165.26166691085132</v>
      </c>
      <c r="S36" s="71" t="s">
        <v>941</v>
      </c>
      <c r="T36" s="507">
        <f t="shared" si="5"/>
        <v>8.628734216326369E-3</v>
      </c>
      <c r="U36" s="508">
        <f t="shared" si="6"/>
        <v>7.8277433654472678E-3</v>
      </c>
      <c r="V36" s="509">
        <f t="shared" si="7"/>
        <v>8.0099085087910124E-4</v>
      </c>
    </row>
    <row r="37" spans="1:47" ht="12.75" hidden="1" customHeight="1" thickBot="1">
      <c r="A37" s="460" t="s">
        <v>1226</v>
      </c>
      <c r="B37" s="499" t="str">
        <f t="shared" si="0"/>
        <v>RES_201202</v>
      </c>
      <c r="C37" s="499">
        <v>0</v>
      </c>
      <c r="D37" s="499">
        <v>0</v>
      </c>
      <c r="E37" s="499">
        <f t="shared" si="1"/>
        <v>1</v>
      </c>
      <c r="F37" s="499">
        <v>1</v>
      </c>
      <c r="G37" s="500" t="b">
        <v>1</v>
      </c>
      <c r="H37" s="710" t="str">
        <f t="shared" si="2"/>
        <v>Residential</v>
      </c>
      <c r="I37" s="559" t="s">
        <v>153</v>
      </c>
      <c r="J37" s="559" t="s">
        <v>1282</v>
      </c>
      <c r="K37" s="559" t="s">
        <v>1297</v>
      </c>
      <c r="L37" s="277">
        <v>2018</v>
      </c>
      <c r="M37" s="560">
        <v>23</v>
      </c>
      <c r="N37" s="561">
        <v>0</v>
      </c>
      <c r="O37" s="561">
        <v>0</v>
      </c>
      <c r="P37" s="1163" t="str">
        <f t="shared" si="3"/>
        <v>The savings rates for HPWHs are relative to the RTFs current practice baseline</v>
      </c>
      <c r="Q37" s="562">
        <v>0.14199999999999999</v>
      </c>
      <c r="R37" s="1162">
        <f t="shared" si="4"/>
        <v>423.47074957899622</v>
      </c>
      <c r="S37" s="696" t="s">
        <v>941</v>
      </c>
      <c r="T37" s="564">
        <f t="shared" si="5"/>
        <v>1.5788304430650702E-4</v>
      </c>
      <c r="U37" s="565">
        <f t="shared" si="6"/>
        <v>0</v>
      </c>
      <c r="V37" s="566">
        <f t="shared" si="7"/>
        <v>1.5788304430650702E-4</v>
      </c>
    </row>
    <row r="38" spans="1:47" s="724" customFormat="1" ht="12.75" customHeight="1" thickTop="1">
      <c r="A38" s="712" t="s">
        <v>55</v>
      </c>
      <c r="B38" s="713" t="str">
        <f t="shared" ref="B38:B69" si="8">LEFT(A38,10)</f>
        <v>RES_201202</v>
      </c>
      <c r="C38" s="713">
        <v>0</v>
      </c>
      <c r="D38" s="713">
        <v>0</v>
      </c>
      <c r="E38" s="713">
        <f t="shared" ref="E38:E69" si="9">COUNTIFS($A:$A,A38,$L:$L,L38)</f>
        <v>1</v>
      </c>
      <c r="F38" s="713">
        <v>1</v>
      </c>
      <c r="G38" s="714" t="b">
        <v>1</v>
      </c>
      <c r="H38" s="567" t="str">
        <f t="shared" ref="H38:H69" si="10">IF(LEFT(A38,3)="Res","Residential",IF(LEFT(A38,3)="Ind","industrial",IF(LEFT(A38,3)="Com","Commercial",IF(LEFT(A38,3)="AGR","Agriculture",""))))</f>
        <v>Residential</v>
      </c>
      <c r="I38" s="568" t="s">
        <v>153</v>
      </c>
      <c r="J38" s="568" t="s">
        <v>1282</v>
      </c>
      <c r="K38" s="568" t="s">
        <v>158</v>
      </c>
      <c r="L38" s="245">
        <v>2020</v>
      </c>
      <c r="M38" s="1118">
        <v>5924</v>
      </c>
      <c r="N38" s="1119">
        <v>4747.3580508499999</v>
      </c>
      <c r="O38" s="1119">
        <v>0</v>
      </c>
      <c r="P38" s="1163" t="str">
        <f t="shared" ref="P38:P69" si="11">IF($S$2="RTF","The savings rates for HPWHs are relative to the RTFs current practice baseline",IF(S$2="7th PP",IF(AND(LEFT(J38,7)="HPWH (&gt;",K38="Tier 1"),"7th PP assumes a 100% baseline saturation based on the 2015 standard for tier 1 tanks above 55gal","7th PP assumes a .10% baseline saturation based on the 2012 Residential Building Stock Assessment"),""))</f>
        <v>The savings rates for HPWHs are relative to the RTFs current practice baseline</v>
      </c>
      <c r="Q38" s="571">
        <v>0.13985600000000001</v>
      </c>
      <c r="R38" s="1160">
        <f t="shared" si="4"/>
        <v>934.91575546526076</v>
      </c>
      <c r="S38" s="1163" t="s">
        <v>2318</v>
      </c>
      <c r="T38" s="573">
        <f t="shared" ref="T38:T69" si="12">(M38-O38)*Q38*R38/8760000</f>
        <v>8.842285336278248E-2</v>
      </c>
      <c r="U38" s="574">
        <f t="shared" ref="U38:U69" si="13">IFERROR((N38-O38/M38*N38)*Q38*R38/8760/1000,0)</f>
        <v>7.0860051450191502E-2</v>
      </c>
      <c r="V38" s="575">
        <f t="shared" ref="V38:V69" si="14">T38-U38</f>
        <v>1.7562801912590978E-2</v>
      </c>
      <c r="X38" s="725">
        <f>M38</f>
        <v>5924</v>
      </c>
    </row>
    <row r="39" spans="1:47" s="482" customFormat="1" ht="12.75" customHeight="1">
      <c r="A39" s="726" t="s">
        <v>57</v>
      </c>
      <c r="B39" s="499" t="str">
        <f t="shared" si="8"/>
        <v>RES_201202</v>
      </c>
      <c r="C39" s="499">
        <v>0</v>
      </c>
      <c r="D39" s="499">
        <v>1</v>
      </c>
      <c r="E39" s="499">
        <f t="shared" si="9"/>
        <v>1</v>
      </c>
      <c r="F39" s="499">
        <v>1</v>
      </c>
      <c r="G39" s="500" t="b">
        <v>1</v>
      </c>
      <c r="H39" s="555" t="str">
        <f t="shared" si="10"/>
        <v>Residential</v>
      </c>
      <c r="I39" s="502" t="s">
        <v>153</v>
      </c>
      <c r="J39" s="502" t="s">
        <v>1283</v>
      </c>
      <c r="K39" s="502" t="s">
        <v>158</v>
      </c>
      <c r="L39" s="24">
        <v>2020</v>
      </c>
      <c r="M39" s="511">
        <v>3137</v>
      </c>
      <c r="N39" s="512">
        <v>2534.3706541000001</v>
      </c>
      <c r="O39" s="512">
        <v>0</v>
      </c>
      <c r="P39" s="1163" t="str">
        <f t="shared" si="11"/>
        <v>The savings rates for HPWHs are relative to the RTFs current practice baseline</v>
      </c>
      <c r="Q39" s="505">
        <v>0.13985600000000001</v>
      </c>
      <c r="R39" s="1161">
        <f t="shared" ref="R39:R69" si="15">IF($S$2="RTF",IF(RIGHT(J39,21)="Existing Construction",INDEX($K$80:$K$83,MATCH(K39,$I$80:$I$83,0)),INDEX($L$84:$S$87,MATCH(K39,$I$84:$I$87,0),MATCH(J39&amp;L39,$L$88:$S$88,0))),IF($S$2="7th PP",IF(RIGHT(J39,21)="Existing Construction",INDEX($K$302:$K$305,MATCH(K39,$I$302:$I$305,0)),INDEX($L$306:$S$309,MATCH(K39,$I$306:$I$309,0),MATCH(J39&amp;L39,$L$310:$S$310,0))),""))</f>
        <v>934.91575546526076</v>
      </c>
      <c r="S39" s="1163" t="s">
        <v>2318</v>
      </c>
      <c r="T39" s="507">
        <f t="shared" si="12"/>
        <v>4.6823512997813746E-2</v>
      </c>
      <c r="U39" s="508">
        <f t="shared" si="13"/>
        <v>3.7828542321813548E-2</v>
      </c>
      <c r="V39" s="509">
        <f t="shared" si="14"/>
        <v>8.9949706760001982E-3</v>
      </c>
      <c r="X39" s="513" t="s">
        <v>1285</v>
      </c>
    </row>
    <row r="40" spans="1:47" s="482" customFormat="1" ht="12.75" customHeight="1">
      <c r="A40" s="726" t="s">
        <v>56</v>
      </c>
      <c r="B40" s="499" t="str">
        <f t="shared" si="8"/>
        <v>RES_201202</v>
      </c>
      <c r="C40" s="499">
        <v>0</v>
      </c>
      <c r="D40" s="499">
        <v>0</v>
      </c>
      <c r="E40" s="499">
        <f t="shared" si="9"/>
        <v>1</v>
      </c>
      <c r="F40" s="499">
        <v>1</v>
      </c>
      <c r="G40" s="500" t="b">
        <v>1</v>
      </c>
      <c r="H40" s="555" t="str">
        <f t="shared" si="10"/>
        <v>Residential</v>
      </c>
      <c r="I40" s="502" t="s">
        <v>153</v>
      </c>
      <c r="J40" s="502" t="s">
        <v>1282</v>
      </c>
      <c r="K40" s="502" t="s">
        <v>160</v>
      </c>
      <c r="L40" s="24">
        <v>2020</v>
      </c>
      <c r="M40" s="511">
        <v>5917</v>
      </c>
      <c r="N40" s="512">
        <v>4721.6781548299996</v>
      </c>
      <c r="O40" s="512">
        <v>0</v>
      </c>
      <c r="P40" s="1163" t="str">
        <f t="shared" si="11"/>
        <v>The savings rates for HPWHs are relative to the RTFs current practice baseline</v>
      </c>
      <c r="Q40" s="505">
        <v>0.13985600000000001</v>
      </c>
      <c r="R40" s="1161">
        <f t="shared" si="15"/>
        <v>270.93782804489194</v>
      </c>
      <c r="S40" s="1163" t="s">
        <v>2322</v>
      </c>
      <c r="T40" s="507">
        <f t="shared" si="12"/>
        <v>2.5594592004716619E-2</v>
      </c>
      <c r="U40" s="508">
        <f t="shared" si="13"/>
        <v>2.0424104436447023E-2</v>
      </c>
      <c r="V40" s="509">
        <f t="shared" si="14"/>
        <v>5.170487568269596E-3</v>
      </c>
      <c r="X40" s="514"/>
    </row>
    <row r="41" spans="1:47" s="482" customFormat="1" ht="12.75" customHeight="1">
      <c r="A41" s="726" t="s">
        <v>58</v>
      </c>
      <c r="B41" s="499" t="str">
        <f t="shared" si="8"/>
        <v>RES_201202</v>
      </c>
      <c r="C41" s="499">
        <v>0</v>
      </c>
      <c r="D41" s="499">
        <v>0</v>
      </c>
      <c r="E41" s="499">
        <f t="shared" si="9"/>
        <v>1</v>
      </c>
      <c r="F41" s="499">
        <v>1</v>
      </c>
      <c r="G41" s="500" t="b">
        <v>1</v>
      </c>
      <c r="H41" s="555" t="str">
        <f t="shared" si="10"/>
        <v>Residential</v>
      </c>
      <c r="I41" s="502" t="s">
        <v>153</v>
      </c>
      <c r="J41" s="502" t="s">
        <v>1283</v>
      </c>
      <c r="K41" s="502" t="s">
        <v>160</v>
      </c>
      <c r="L41" s="24">
        <v>2020</v>
      </c>
      <c r="M41" s="511">
        <v>3135.9591836700001</v>
      </c>
      <c r="N41" s="512">
        <v>2523.9294137500001</v>
      </c>
      <c r="O41" s="512">
        <v>0</v>
      </c>
      <c r="P41" s="1163" t="str">
        <f t="shared" si="11"/>
        <v>The savings rates for HPWHs are relative to the RTFs current practice baseline</v>
      </c>
      <c r="Q41" s="505">
        <v>0.13985600000000001</v>
      </c>
      <c r="R41" s="1161">
        <f t="shared" si="15"/>
        <v>270.93782804489194</v>
      </c>
      <c r="S41" s="1163" t="s">
        <v>2322</v>
      </c>
      <c r="T41" s="507">
        <f t="shared" si="12"/>
        <v>1.356491395123844E-2</v>
      </c>
      <c r="U41" s="508">
        <f t="shared" si="13"/>
        <v>1.0917516240262777E-2</v>
      </c>
      <c r="V41" s="509">
        <f t="shared" si="14"/>
        <v>2.647397710975663E-3</v>
      </c>
    </row>
    <row r="42" spans="1:47" s="482" customFormat="1" ht="12.75" customHeight="1">
      <c r="A42" s="726" t="s">
        <v>1217</v>
      </c>
      <c r="B42" s="499" t="str">
        <f t="shared" si="8"/>
        <v>RES_201202</v>
      </c>
      <c r="C42" s="499">
        <v>0</v>
      </c>
      <c r="D42" s="499">
        <v>0</v>
      </c>
      <c r="E42" s="499">
        <f t="shared" si="9"/>
        <v>1</v>
      </c>
      <c r="F42" s="499">
        <v>1</v>
      </c>
      <c r="G42" s="500" t="b">
        <v>1</v>
      </c>
      <c r="H42" s="555" t="str">
        <f t="shared" si="10"/>
        <v>Residential</v>
      </c>
      <c r="I42" s="502" t="s">
        <v>153</v>
      </c>
      <c r="J42" s="502" t="s">
        <v>1283</v>
      </c>
      <c r="K42" s="502" t="s">
        <v>1296</v>
      </c>
      <c r="L42" s="24">
        <v>2020</v>
      </c>
      <c r="M42" s="511">
        <v>3020.7448979599999</v>
      </c>
      <c r="N42" s="512">
        <v>2353.3710251500002</v>
      </c>
      <c r="O42" s="512">
        <v>0</v>
      </c>
      <c r="P42" s="1163" t="str">
        <f t="shared" si="11"/>
        <v>The savings rates for HPWHs are relative to the RTFs current practice baseline</v>
      </c>
      <c r="Q42" s="505">
        <v>0.13985600000000001</v>
      </c>
      <c r="R42" s="1161">
        <f t="shared" si="15"/>
        <v>165.26166691085132</v>
      </c>
      <c r="S42" s="2456" t="s">
        <v>2323</v>
      </c>
      <c r="T42" s="507">
        <f t="shared" si="12"/>
        <v>7.9700890959309555E-3</v>
      </c>
      <c r="U42" s="508">
        <f t="shared" si="13"/>
        <v>6.2092554584449525E-3</v>
      </c>
      <c r="V42" s="509">
        <f t="shared" si="14"/>
        <v>1.7608336374860031E-3</v>
      </c>
    </row>
    <row r="43" spans="1:47" s="482" customFormat="1" ht="12.75" customHeight="1">
      <c r="A43" s="726" t="s">
        <v>1218</v>
      </c>
      <c r="B43" s="499" t="str">
        <f t="shared" si="8"/>
        <v>RES_201202</v>
      </c>
      <c r="C43" s="499">
        <v>0</v>
      </c>
      <c r="D43" s="499">
        <v>0</v>
      </c>
      <c r="E43" s="499">
        <f t="shared" si="9"/>
        <v>1</v>
      </c>
      <c r="F43" s="499">
        <v>1</v>
      </c>
      <c r="G43" s="500" t="b">
        <v>1</v>
      </c>
      <c r="H43" s="555" t="str">
        <f t="shared" si="10"/>
        <v>Residential</v>
      </c>
      <c r="I43" s="502" t="s">
        <v>153</v>
      </c>
      <c r="J43" s="502" t="s">
        <v>1283</v>
      </c>
      <c r="K43" s="502" t="s">
        <v>1297</v>
      </c>
      <c r="L43" s="24">
        <v>2020</v>
      </c>
      <c r="M43" s="511">
        <v>35.33673469</v>
      </c>
      <c r="N43" s="512">
        <v>0</v>
      </c>
      <c r="O43" s="512">
        <v>0</v>
      </c>
      <c r="P43" s="1163" t="str">
        <f t="shared" si="11"/>
        <v>The savings rates for HPWHs are relative to the RTFs current practice baseline</v>
      </c>
      <c r="Q43" s="505">
        <v>0.13985600000000001</v>
      </c>
      <c r="R43" s="1161">
        <f t="shared" si="15"/>
        <v>423.47074957899622</v>
      </c>
      <c r="S43" s="2456" t="s">
        <v>2324</v>
      </c>
      <c r="T43" s="507">
        <f t="shared" si="12"/>
        <v>2.3890587524782108E-4</v>
      </c>
      <c r="U43" s="508">
        <f t="shared" si="13"/>
        <v>0</v>
      </c>
      <c r="V43" s="509">
        <f t="shared" si="14"/>
        <v>2.3890587524782108E-4</v>
      </c>
    </row>
    <row r="44" spans="1:47" s="482" customFormat="1" ht="12.75" customHeight="1">
      <c r="A44" s="726" t="s">
        <v>1184</v>
      </c>
      <c r="B44" s="499" t="str">
        <f t="shared" si="8"/>
        <v>RES_201202</v>
      </c>
      <c r="C44" s="499">
        <v>0</v>
      </c>
      <c r="D44" s="499">
        <v>0</v>
      </c>
      <c r="E44" s="499">
        <f t="shared" si="9"/>
        <v>1</v>
      </c>
      <c r="F44" s="499">
        <v>1</v>
      </c>
      <c r="G44" s="500" t="b">
        <v>1</v>
      </c>
      <c r="H44" s="555" t="str">
        <f t="shared" si="10"/>
        <v>Residential</v>
      </c>
      <c r="I44" s="502" t="s">
        <v>153</v>
      </c>
      <c r="J44" s="502" t="s">
        <v>1284</v>
      </c>
      <c r="K44" s="502" t="s">
        <v>158</v>
      </c>
      <c r="L44" s="24">
        <v>2020</v>
      </c>
      <c r="M44" s="511">
        <v>4486</v>
      </c>
      <c r="N44" s="512">
        <v>892.39319823000005</v>
      </c>
      <c r="O44" s="512">
        <v>0</v>
      </c>
      <c r="P44" s="1163" t="str">
        <f t="shared" si="11"/>
        <v>The savings rates for HPWHs are relative to the RTFs current practice baseline</v>
      </c>
      <c r="Q44" s="505">
        <v>0.13985600000000001</v>
      </c>
      <c r="R44" s="1161">
        <f>IF($S$2="RTF",IF(RIGHT(J44,21)="Existing Construction",INDEX($K$80:$K$83,MATCH(K44,$I$80:$I$83,0)),INDEX($L$84:$S$87,MATCH(K44,$I$84:$I$87,0),MATCH(J44&amp;L44,$L$88:$S$88,0))),IF($S$2="7th PP",IF(RIGHT(J44,21)="Existing Construction",INDEX($K$302:$K$305,MATCH(K44,$I$302:$I$305,0)),INDEX($L$306:$S$309,MATCH(K44,$I$306:$I$309,0),MATCH(J44&amp;L44,$L$310:$S$310,0))),""))</f>
        <v>493.8258016559663</v>
      </c>
      <c r="S44" s="1163" t="s">
        <v>2318</v>
      </c>
      <c r="T44" s="507">
        <f t="shared" si="12"/>
        <v>3.5367962660428791E-2</v>
      </c>
      <c r="U44" s="508">
        <f t="shared" si="13"/>
        <v>7.0356953440524443E-3</v>
      </c>
      <c r="V44" s="509">
        <f t="shared" si="14"/>
        <v>2.8332267316376347E-2</v>
      </c>
    </row>
    <row r="45" spans="1:47" s="482" customFormat="1" ht="12.75" customHeight="1">
      <c r="A45" s="726" t="s">
        <v>1185</v>
      </c>
      <c r="B45" s="499" t="str">
        <f t="shared" si="8"/>
        <v>RES_201202</v>
      </c>
      <c r="C45" s="499">
        <v>0</v>
      </c>
      <c r="D45" s="499">
        <v>0</v>
      </c>
      <c r="E45" s="499">
        <f t="shared" si="9"/>
        <v>1</v>
      </c>
      <c r="F45" s="499">
        <v>1</v>
      </c>
      <c r="G45" s="500" t="b">
        <v>1</v>
      </c>
      <c r="H45" s="555" t="str">
        <f t="shared" si="10"/>
        <v>Residential</v>
      </c>
      <c r="I45" s="502" t="s">
        <v>153</v>
      </c>
      <c r="J45" s="502" t="s">
        <v>1284</v>
      </c>
      <c r="K45" s="502" t="s">
        <v>160</v>
      </c>
      <c r="L45" s="24">
        <v>2020</v>
      </c>
      <c r="M45" s="511">
        <v>4480</v>
      </c>
      <c r="N45" s="512">
        <v>887.22183344999996</v>
      </c>
      <c r="O45" s="512">
        <v>0</v>
      </c>
      <c r="P45" s="1163" t="str">
        <f t="shared" si="11"/>
        <v>The savings rates for HPWHs are relative to the RTFs current practice baseline</v>
      </c>
      <c r="Q45" s="505">
        <v>0.13985600000000001</v>
      </c>
      <c r="R45" s="1161">
        <f>IF($S$2="RTF",IF(RIGHT(J45,21)="Existing Construction",INDEX($K$80:$K$83,MATCH(K45,$I$80:$I$83,0)),INDEX($L$84:$S$87,MATCH(K45,$I$84:$I$87,0),MATCH(J45&amp;L45,$L$88:$S$88,0))),IF($S$2="7th PP",IF(RIGHT(J45,21)="Existing Construction",INDEX($K$302:$K$305,MATCH(K45,$I$302:$I$305,0)),INDEX($L$306:$S$309,MATCH(K45,$I$306:$I$309,0),MATCH(J45&amp;L45,$L$310:$S$310,0))),""))</f>
        <v>143.11031700028576</v>
      </c>
      <c r="S45" s="1163" t="s">
        <v>2322</v>
      </c>
      <c r="T45" s="507">
        <f t="shared" si="12"/>
        <v>1.0235898115853426E-2</v>
      </c>
      <c r="U45" s="508">
        <f t="shared" si="13"/>
        <v>2.0271232797667137E-3</v>
      </c>
      <c r="V45" s="509">
        <f t="shared" si="14"/>
        <v>8.2087748360867123E-3</v>
      </c>
      <c r="AA45" s="727"/>
      <c r="AB45" s="727"/>
    </row>
    <row r="46" spans="1:47" s="482" customFormat="1" ht="12.75" customHeight="1">
      <c r="A46" s="726" t="s">
        <v>1219</v>
      </c>
      <c r="B46" s="499" t="str">
        <f t="shared" si="8"/>
        <v>RES_201202</v>
      </c>
      <c r="C46" s="499">
        <v>0</v>
      </c>
      <c r="D46" s="499">
        <v>0</v>
      </c>
      <c r="E46" s="499">
        <f t="shared" si="9"/>
        <v>1</v>
      </c>
      <c r="F46" s="499">
        <v>1</v>
      </c>
      <c r="G46" s="500" t="b">
        <v>1</v>
      </c>
      <c r="H46" s="555" t="str">
        <f t="shared" si="10"/>
        <v>Residential</v>
      </c>
      <c r="I46" s="502" t="s">
        <v>153</v>
      </c>
      <c r="J46" s="502" t="s">
        <v>1284</v>
      </c>
      <c r="K46" s="502" t="s">
        <v>1296</v>
      </c>
      <c r="L46" s="24">
        <v>2020</v>
      </c>
      <c r="M46" s="511">
        <v>3826</v>
      </c>
      <c r="N46" s="512">
        <v>870.54302102999998</v>
      </c>
      <c r="O46" s="512">
        <v>0</v>
      </c>
      <c r="P46" s="1163" t="str">
        <f t="shared" si="11"/>
        <v>The savings rates for HPWHs are relative to the RTFs current practice baseline</v>
      </c>
      <c r="Q46" s="505">
        <v>0.13985600000000001</v>
      </c>
      <c r="R46" s="1161">
        <f t="shared" si="15"/>
        <v>87.291795724031815</v>
      </c>
      <c r="S46" s="2456" t="s">
        <v>2323</v>
      </c>
      <c r="T46" s="507">
        <f t="shared" si="12"/>
        <v>5.332064448689158E-3</v>
      </c>
      <c r="U46" s="508">
        <f t="shared" si="13"/>
        <v>1.2132230772317096E-3</v>
      </c>
      <c r="V46" s="509">
        <f t="shared" si="14"/>
        <v>4.118841371457448E-3</v>
      </c>
      <c r="AA46" s="727"/>
      <c r="AB46" s="727"/>
    </row>
    <row r="47" spans="1:47" s="482" customFormat="1" ht="12.75" customHeight="1">
      <c r="A47" s="726" t="s">
        <v>1220</v>
      </c>
      <c r="B47" s="499" t="str">
        <f t="shared" si="8"/>
        <v>RES_201202</v>
      </c>
      <c r="C47" s="499">
        <v>0</v>
      </c>
      <c r="D47" s="499">
        <v>0</v>
      </c>
      <c r="E47" s="499">
        <f t="shared" si="9"/>
        <v>1</v>
      </c>
      <c r="F47" s="499">
        <v>1</v>
      </c>
      <c r="G47" s="500" t="b">
        <v>1</v>
      </c>
      <c r="H47" s="555" t="str">
        <f t="shared" si="10"/>
        <v>Residential</v>
      </c>
      <c r="I47" s="502" t="s">
        <v>153</v>
      </c>
      <c r="J47" s="502" t="s">
        <v>1284</v>
      </c>
      <c r="K47" s="502" t="s">
        <v>1297</v>
      </c>
      <c r="L47" s="24">
        <v>2020</v>
      </c>
      <c r="M47" s="511">
        <v>28</v>
      </c>
      <c r="N47" s="512">
        <v>0</v>
      </c>
      <c r="O47" s="512">
        <v>0</v>
      </c>
      <c r="P47" s="1163" t="str">
        <f t="shared" si="11"/>
        <v>The savings rates for HPWHs are relative to the RTFs current practice baseline</v>
      </c>
      <c r="Q47" s="505">
        <v>0.13985600000000001</v>
      </c>
      <c r="R47" s="1161">
        <f t="shared" si="15"/>
        <v>223.67874449247228</v>
      </c>
      <c r="S47" s="2456" t="s">
        <v>2324</v>
      </c>
      <c r="T47" s="507">
        <f t="shared" si="12"/>
        <v>9.9990731245741757E-5</v>
      </c>
      <c r="U47" s="508">
        <f t="shared" si="13"/>
        <v>0</v>
      </c>
      <c r="V47" s="509">
        <f t="shared" si="14"/>
        <v>9.9990731245741757E-5</v>
      </c>
      <c r="AA47" s="727"/>
      <c r="AB47" s="727"/>
    </row>
    <row r="48" spans="1:47" s="482" customFormat="1" ht="12.75" customHeight="1">
      <c r="A48" s="728" t="s">
        <v>1221</v>
      </c>
      <c r="B48" s="516" t="str">
        <f t="shared" si="8"/>
        <v>RES_201202</v>
      </c>
      <c r="C48" s="516">
        <v>0</v>
      </c>
      <c r="D48" s="516">
        <v>0</v>
      </c>
      <c r="E48" s="516">
        <f t="shared" si="9"/>
        <v>1</v>
      </c>
      <c r="F48" s="499">
        <v>1</v>
      </c>
      <c r="G48" s="517" t="b">
        <v>1</v>
      </c>
      <c r="H48" s="555" t="str">
        <f t="shared" si="10"/>
        <v>Residential</v>
      </c>
      <c r="I48" s="502" t="s">
        <v>153</v>
      </c>
      <c r="J48" s="502" t="s">
        <v>1285</v>
      </c>
      <c r="K48" s="502" t="s">
        <v>158</v>
      </c>
      <c r="L48" s="24">
        <v>2020</v>
      </c>
      <c r="M48" s="511">
        <v>2376</v>
      </c>
      <c r="N48" s="512">
        <v>623.25349921999998</v>
      </c>
      <c r="O48" s="512">
        <v>0</v>
      </c>
      <c r="P48" s="1163" t="str">
        <f t="shared" si="11"/>
        <v>The savings rates for HPWHs are relative to the RTFs current practice baseline</v>
      </c>
      <c r="Q48" s="505">
        <v>0.13985600000000001</v>
      </c>
      <c r="R48" s="1161">
        <f t="shared" si="15"/>
        <v>372.24983231906316</v>
      </c>
      <c r="S48" s="1163" t="s">
        <v>2318</v>
      </c>
      <c r="T48" s="507">
        <f t="shared" si="12"/>
        <v>1.4120755842007331E-2</v>
      </c>
      <c r="U48" s="508">
        <f t="shared" si="13"/>
        <v>3.7040448190918873E-3</v>
      </c>
      <c r="V48" s="509">
        <f t="shared" si="14"/>
        <v>1.0416711022915442E-2</v>
      </c>
      <c r="W48" s="729"/>
      <c r="X48" s="729"/>
      <c r="Y48" s="729"/>
      <c r="Z48" s="729"/>
      <c r="AA48" s="727"/>
      <c r="AB48" s="727"/>
      <c r="AC48" s="729"/>
      <c r="AD48" s="729"/>
      <c r="AE48" s="729"/>
      <c r="AF48" s="729"/>
      <c r="AG48" s="729"/>
      <c r="AH48" s="729"/>
      <c r="AI48" s="729"/>
      <c r="AJ48" s="729"/>
      <c r="AK48" s="729"/>
      <c r="AL48" s="729"/>
      <c r="AM48" s="729"/>
      <c r="AN48" s="729"/>
      <c r="AO48" s="729"/>
      <c r="AP48" s="729"/>
      <c r="AQ48" s="729"/>
      <c r="AR48" s="729"/>
      <c r="AS48" s="729"/>
      <c r="AT48" s="729"/>
      <c r="AU48" s="729"/>
    </row>
    <row r="49" spans="1:47" s="482" customFormat="1" ht="12.75" customHeight="1">
      <c r="A49" s="726" t="s">
        <v>1222</v>
      </c>
      <c r="B49" s="499" t="str">
        <f t="shared" si="8"/>
        <v>RES_201202</v>
      </c>
      <c r="C49" s="499">
        <v>0</v>
      </c>
      <c r="D49" s="499">
        <v>0</v>
      </c>
      <c r="E49" s="499">
        <f t="shared" si="9"/>
        <v>1</v>
      </c>
      <c r="F49" s="499">
        <v>1</v>
      </c>
      <c r="G49" s="500" t="b">
        <v>1</v>
      </c>
      <c r="H49" s="555" t="str">
        <f t="shared" si="10"/>
        <v>Residential</v>
      </c>
      <c r="I49" s="502" t="s">
        <v>153</v>
      </c>
      <c r="J49" s="502" t="s">
        <v>1285</v>
      </c>
      <c r="K49" s="502" t="s">
        <v>160</v>
      </c>
      <c r="L49" s="24">
        <v>2020</v>
      </c>
      <c r="M49" s="511">
        <v>2374</v>
      </c>
      <c r="N49" s="512">
        <v>620.58921162000001</v>
      </c>
      <c r="O49" s="512">
        <v>0</v>
      </c>
      <c r="P49" s="1163" t="str">
        <f t="shared" si="11"/>
        <v>The savings rates for HPWHs are relative to the RTFs current practice baseline</v>
      </c>
      <c r="Q49" s="505">
        <v>0.13985600000000001</v>
      </c>
      <c r="R49" s="1161">
        <f t="shared" si="15"/>
        <v>107.87769964194359</v>
      </c>
      <c r="S49" s="1163" t="s">
        <v>2322</v>
      </c>
      <c r="T49" s="507">
        <f t="shared" si="12"/>
        <v>4.0887389970442438E-3</v>
      </c>
      <c r="U49" s="508">
        <f t="shared" si="13"/>
        <v>1.0688404847075132E-3</v>
      </c>
      <c r="V49" s="509">
        <f t="shared" si="14"/>
        <v>3.0198985123367304E-3</v>
      </c>
      <c r="X49" s="2375">
        <f>SUM(V38:V69)</f>
        <v>0.20929364182528334</v>
      </c>
      <c r="AA49" s="727"/>
      <c r="AB49" s="727"/>
    </row>
    <row r="50" spans="1:47" s="482" customFormat="1" ht="12.75" customHeight="1">
      <c r="A50" s="726" t="s">
        <v>1223</v>
      </c>
      <c r="B50" s="499" t="str">
        <f t="shared" si="8"/>
        <v>RES_201202</v>
      </c>
      <c r="C50" s="499">
        <v>0</v>
      </c>
      <c r="D50" s="499">
        <v>0</v>
      </c>
      <c r="E50" s="499">
        <f t="shared" si="9"/>
        <v>1</v>
      </c>
      <c r="F50" s="499">
        <v>1</v>
      </c>
      <c r="G50" s="500" t="b">
        <v>1</v>
      </c>
      <c r="H50" s="555" t="str">
        <f t="shared" si="10"/>
        <v>Residential</v>
      </c>
      <c r="I50" s="502" t="s">
        <v>153</v>
      </c>
      <c r="J50" s="502" t="s">
        <v>1285</v>
      </c>
      <c r="K50" s="502" t="s">
        <v>1296</v>
      </c>
      <c r="L50" s="24">
        <v>2020</v>
      </c>
      <c r="M50" s="511">
        <v>2287</v>
      </c>
      <c r="N50" s="512">
        <v>615.77813677999995</v>
      </c>
      <c r="O50" s="512">
        <v>0</v>
      </c>
      <c r="P50" s="1163" t="str">
        <f t="shared" si="11"/>
        <v>The savings rates for HPWHs are relative to the RTFs current practice baseline</v>
      </c>
      <c r="Q50" s="505">
        <v>0.13985600000000001</v>
      </c>
      <c r="R50" s="1161">
        <f t="shared" si="15"/>
        <v>65.801252612026559</v>
      </c>
      <c r="S50" s="2456" t="s">
        <v>2323</v>
      </c>
      <c r="T50" s="507">
        <f t="shared" si="12"/>
        <v>2.4025770395432024E-3</v>
      </c>
      <c r="U50" s="508">
        <f t="shared" si="13"/>
        <v>6.4689742583310945E-4</v>
      </c>
      <c r="V50" s="509">
        <f t="shared" si="14"/>
        <v>1.755679613710093E-3</v>
      </c>
      <c r="AA50" s="727"/>
      <c r="AB50" s="727"/>
    </row>
    <row r="51" spans="1:47" s="482" customFormat="1" ht="12.75" customHeight="1">
      <c r="A51" s="726" t="s">
        <v>1224</v>
      </c>
      <c r="B51" s="499" t="str">
        <f t="shared" si="8"/>
        <v>RES_201202</v>
      </c>
      <c r="C51" s="499">
        <v>0</v>
      </c>
      <c r="D51" s="499">
        <v>0</v>
      </c>
      <c r="E51" s="499">
        <f t="shared" si="9"/>
        <v>1</v>
      </c>
      <c r="F51" s="499">
        <v>1</v>
      </c>
      <c r="G51" s="500" t="b">
        <v>1</v>
      </c>
      <c r="H51" s="555" t="str">
        <f t="shared" si="10"/>
        <v>Residential</v>
      </c>
      <c r="I51" s="502" t="s">
        <v>153</v>
      </c>
      <c r="J51" s="502" t="s">
        <v>1285</v>
      </c>
      <c r="K51" s="502" t="s">
        <v>1297</v>
      </c>
      <c r="L51" s="24">
        <v>2020</v>
      </c>
      <c r="M51" s="511">
        <v>27</v>
      </c>
      <c r="N51" s="512">
        <v>11.045454550000001</v>
      </c>
      <c r="O51" s="512">
        <v>0</v>
      </c>
      <c r="P51" s="1163" t="str">
        <f t="shared" si="11"/>
        <v>The savings rates for HPWHs are relative to the RTFs current practice baseline</v>
      </c>
      <c r="Q51" s="505">
        <v>0.13985600000000001</v>
      </c>
      <c r="R51" s="1161">
        <f t="shared" si="15"/>
        <v>168.61082359700026</v>
      </c>
      <c r="S51" s="2456" t="s">
        <v>2324</v>
      </c>
      <c r="T51" s="507">
        <f t="shared" si="12"/>
        <v>7.2681889761931035E-5</v>
      </c>
      <c r="U51" s="508">
        <f t="shared" si="13"/>
        <v>2.9733500369389611E-5</v>
      </c>
      <c r="V51" s="509">
        <f t="shared" si="14"/>
        <v>4.2948389392541428E-5</v>
      </c>
      <c r="AA51" s="727"/>
      <c r="AB51" s="727"/>
    </row>
    <row r="52" spans="1:47" s="729" customFormat="1" ht="12.75" customHeight="1">
      <c r="A52" s="726" t="s">
        <v>1225</v>
      </c>
      <c r="B52" s="499" t="str">
        <f t="shared" si="8"/>
        <v>RES_201202</v>
      </c>
      <c r="C52" s="499">
        <v>0</v>
      </c>
      <c r="D52" s="499">
        <v>0</v>
      </c>
      <c r="E52" s="499">
        <f t="shared" si="9"/>
        <v>1</v>
      </c>
      <c r="F52" s="499">
        <v>1</v>
      </c>
      <c r="G52" s="500" t="b">
        <v>1</v>
      </c>
      <c r="H52" s="555" t="str">
        <f t="shared" si="10"/>
        <v>Residential</v>
      </c>
      <c r="I52" s="502" t="s">
        <v>153</v>
      </c>
      <c r="J52" s="502" t="s">
        <v>1282</v>
      </c>
      <c r="K52" s="502" t="s">
        <v>1296</v>
      </c>
      <c r="L52" s="24">
        <v>2020</v>
      </c>
      <c r="M52" s="511">
        <v>5052.54001737</v>
      </c>
      <c r="N52" s="512">
        <v>4583.5212451899997</v>
      </c>
      <c r="O52" s="512">
        <v>0</v>
      </c>
      <c r="P52" s="1163" t="str">
        <f t="shared" si="11"/>
        <v>The savings rates for HPWHs are relative to the RTFs current practice baseline</v>
      </c>
      <c r="Q52" s="505">
        <v>0.13985600000000001</v>
      </c>
      <c r="R52" s="1161">
        <f t="shared" si="15"/>
        <v>165.26166691085132</v>
      </c>
      <c r="S52" s="2456" t="s">
        <v>2323</v>
      </c>
      <c r="T52" s="507">
        <f t="shared" si="12"/>
        <v>1.3330882103414441E-2</v>
      </c>
      <c r="U52" s="508">
        <f t="shared" si="13"/>
        <v>1.2093398791115142E-2</v>
      </c>
      <c r="V52" s="509">
        <f t="shared" si="14"/>
        <v>1.2374833122992986E-3</v>
      </c>
      <c r="W52" s="482"/>
      <c r="X52" s="482"/>
      <c r="Y52" s="482"/>
      <c r="Z52" s="482"/>
      <c r="AA52" s="727"/>
      <c r="AB52" s="727"/>
      <c r="AC52" s="482"/>
      <c r="AD52" s="482"/>
      <c r="AE52" s="482"/>
      <c r="AF52" s="482"/>
      <c r="AG52" s="482"/>
      <c r="AH52" s="482"/>
      <c r="AI52" s="482"/>
      <c r="AJ52" s="482"/>
      <c r="AK52" s="482"/>
      <c r="AL52" s="482"/>
      <c r="AM52" s="482"/>
      <c r="AN52" s="482"/>
      <c r="AO52" s="482"/>
      <c r="AP52" s="482"/>
      <c r="AQ52" s="482"/>
      <c r="AR52" s="482"/>
      <c r="AS52" s="482"/>
      <c r="AT52" s="482"/>
      <c r="AU52" s="482"/>
    </row>
    <row r="53" spans="1:47" s="482" customFormat="1" ht="12.75" customHeight="1">
      <c r="A53" s="726" t="s">
        <v>1226</v>
      </c>
      <c r="B53" s="499" t="str">
        <f t="shared" si="8"/>
        <v>RES_201202</v>
      </c>
      <c r="C53" s="499">
        <v>0</v>
      </c>
      <c r="D53" s="499">
        <v>0</v>
      </c>
      <c r="E53" s="499">
        <f t="shared" si="9"/>
        <v>1</v>
      </c>
      <c r="F53" s="499">
        <v>1</v>
      </c>
      <c r="G53" s="500" t="b">
        <v>1</v>
      </c>
      <c r="H53" s="555" t="str">
        <f t="shared" si="10"/>
        <v>Residential</v>
      </c>
      <c r="I53" s="502" t="s">
        <v>153</v>
      </c>
      <c r="J53" s="502" t="s">
        <v>1282</v>
      </c>
      <c r="K53" s="502" t="s">
        <v>1297</v>
      </c>
      <c r="L53" s="24">
        <v>2020</v>
      </c>
      <c r="M53" s="511">
        <v>36.505521780000002</v>
      </c>
      <c r="N53" s="512">
        <v>0</v>
      </c>
      <c r="O53" s="512">
        <v>0</v>
      </c>
      <c r="P53" s="1163" t="str">
        <f t="shared" si="11"/>
        <v>The savings rates for HPWHs are relative to the RTFs current practice baseline</v>
      </c>
      <c r="Q53" s="505">
        <v>0.13985600000000001</v>
      </c>
      <c r="R53" s="1161">
        <f t="shared" si="15"/>
        <v>423.47074957899622</v>
      </c>
      <c r="S53" s="2456" t="s">
        <v>2324</v>
      </c>
      <c r="T53" s="507">
        <f t="shared" si="12"/>
        <v>2.4680785332147211E-4</v>
      </c>
      <c r="U53" s="508">
        <f t="shared" si="13"/>
        <v>0</v>
      </c>
      <c r="V53" s="509">
        <f t="shared" si="14"/>
        <v>2.4680785332147211E-4</v>
      </c>
      <c r="AA53" s="727"/>
      <c r="AB53" s="727"/>
    </row>
    <row r="54" spans="1:47" s="482" customFormat="1" ht="12.75" customHeight="1">
      <c r="A54" s="726" t="s">
        <v>55</v>
      </c>
      <c r="B54" s="499" t="str">
        <f t="shared" si="8"/>
        <v>RES_201202</v>
      </c>
      <c r="C54" s="499">
        <v>0</v>
      </c>
      <c r="D54" s="499">
        <v>0</v>
      </c>
      <c r="E54" s="499">
        <f t="shared" si="9"/>
        <v>1</v>
      </c>
      <c r="F54" s="499">
        <v>1</v>
      </c>
      <c r="G54" s="500" t="b">
        <v>1</v>
      </c>
      <c r="H54" s="555" t="str">
        <f t="shared" si="10"/>
        <v>Residential</v>
      </c>
      <c r="I54" s="502" t="s">
        <v>153</v>
      </c>
      <c r="J54" s="502" t="s">
        <v>1282</v>
      </c>
      <c r="K54" s="502" t="s">
        <v>158</v>
      </c>
      <c r="L54" s="24">
        <v>2021</v>
      </c>
      <c r="M54" s="511">
        <v>8494</v>
      </c>
      <c r="N54" s="512">
        <v>6806.8972457600003</v>
      </c>
      <c r="O54" s="512">
        <v>0</v>
      </c>
      <c r="P54" s="1163" t="str">
        <f t="shared" si="11"/>
        <v>The savings rates for HPWHs are relative to the RTFs current practice baseline</v>
      </c>
      <c r="Q54" s="505">
        <v>0.13985600000000001</v>
      </c>
      <c r="R54" s="1161">
        <f t="shared" si="15"/>
        <v>934.91575546526076</v>
      </c>
      <c r="S54" s="1163" t="s">
        <v>2318</v>
      </c>
      <c r="T54" s="507">
        <f t="shared" si="12"/>
        <v>0.12678320669538731</v>
      </c>
      <c r="U54" s="508">
        <f t="shared" si="13"/>
        <v>0.10160116087396429</v>
      </c>
      <c r="V54" s="509">
        <f t="shared" si="14"/>
        <v>2.5182045821423027E-2</v>
      </c>
    </row>
    <row r="55" spans="1:47" s="482" customFormat="1" ht="12.75" customHeight="1">
      <c r="A55" s="726" t="s">
        <v>57</v>
      </c>
      <c r="B55" s="499" t="str">
        <f t="shared" si="8"/>
        <v>RES_201202</v>
      </c>
      <c r="C55" s="499">
        <v>0</v>
      </c>
      <c r="D55" s="499">
        <v>1</v>
      </c>
      <c r="E55" s="499">
        <f t="shared" si="9"/>
        <v>1</v>
      </c>
      <c r="F55" s="499">
        <v>1</v>
      </c>
      <c r="G55" s="500" t="b">
        <v>1</v>
      </c>
      <c r="H55" s="555" t="str">
        <f t="shared" si="10"/>
        <v>Residential</v>
      </c>
      <c r="I55" s="502" t="s">
        <v>153</v>
      </c>
      <c r="J55" s="502" t="s">
        <v>1283</v>
      </c>
      <c r="K55" s="502" t="s">
        <v>158</v>
      </c>
      <c r="L55" s="24">
        <v>2021</v>
      </c>
      <c r="M55" s="511">
        <v>3641</v>
      </c>
      <c r="N55" s="512">
        <v>2941.5503830299999</v>
      </c>
      <c r="O55" s="512">
        <v>0</v>
      </c>
      <c r="P55" s="1163" t="str">
        <f t="shared" si="11"/>
        <v>The savings rates for HPWHs are relative to the RTFs current practice baseline</v>
      </c>
      <c r="Q55" s="505">
        <v>0.13985600000000001</v>
      </c>
      <c r="R55" s="1161">
        <f t="shared" si="15"/>
        <v>934.91575546526076</v>
      </c>
      <c r="S55" s="1163" t="s">
        <v>2318</v>
      </c>
      <c r="T55" s="507">
        <f t="shared" si="12"/>
        <v>5.4346321589110569E-2</v>
      </c>
      <c r="U55" s="508">
        <f t="shared" si="13"/>
        <v>4.3906191454743136E-2</v>
      </c>
      <c r="V55" s="509">
        <f t="shared" si="14"/>
        <v>1.0440130134367433E-2</v>
      </c>
    </row>
    <row r="56" spans="1:47" s="482" customFormat="1" ht="12.75" customHeight="1">
      <c r="A56" s="726" t="s">
        <v>56</v>
      </c>
      <c r="B56" s="499" t="str">
        <f t="shared" si="8"/>
        <v>RES_201202</v>
      </c>
      <c r="C56" s="499">
        <v>0</v>
      </c>
      <c r="D56" s="499">
        <v>0</v>
      </c>
      <c r="E56" s="499">
        <f t="shared" si="9"/>
        <v>1</v>
      </c>
      <c r="F56" s="499">
        <v>1</v>
      </c>
      <c r="G56" s="500" t="b">
        <v>1</v>
      </c>
      <c r="H56" s="555" t="str">
        <f t="shared" si="10"/>
        <v>Residential</v>
      </c>
      <c r="I56" s="502" t="s">
        <v>153</v>
      </c>
      <c r="J56" s="502" t="s">
        <v>1282</v>
      </c>
      <c r="K56" s="502" t="s">
        <v>160</v>
      </c>
      <c r="L56" s="24">
        <v>2021</v>
      </c>
      <c r="M56" s="511">
        <v>8484</v>
      </c>
      <c r="N56" s="512">
        <v>6770.1060445399999</v>
      </c>
      <c r="O56" s="512">
        <v>0</v>
      </c>
      <c r="P56" s="1163" t="str">
        <f t="shared" si="11"/>
        <v>The savings rates for HPWHs are relative to the RTFs current practice baseline</v>
      </c>
      <c r="Q56" s="505">
        <v>0.13985600000000001</v>
      </c>
      <c r="R56" s="1161">
        <f t="shared" si="15"/>
        <v>270.93782804489194</v>
      </c>
      <c r="S56" s="1163" t="s">
        <v>2322</v>
      </c>
      <c r="T56" s="507">
        <f t="shared" si="12"/>
        <v>3.6698414495186051E-2</v>
      </c>
      <c r="U56" s="508">
        <f t="shared" si="13"/>
        <v>2.9284789933862965E-2</v>
      </c>
      <c r="V56" s="509">
        <f t="shared" si="14"/>
        <v>7.4136245613230858E-3</v>
      </c>
    </row>
    <row r="57" spans="1:47" s="482" customFormat="1" ht="12.75" customHeight="1">
      <c r="A57" s="726" t="s">
        <v>58</v>
      </c>
      <c r="B57" s="499" t="str">
        <f t="shared" si="8"/>
        <v>RES_201202</v>
      </c>
      <c r="C57" s="499">
        <v>0</v>
      </c>
      <c r="D57" s="499">
        <v>0</v>
      </c>
      <c r="E57" s="499">
        <f t="shared" si="9"/>
        <v>1</v>
      </c>
      <c r="F57" s="499">
        <v>1</v>
      </c>
      <c r="G57" s="500" t="b">
        <v>1</v>
      </c>
      <c r="H57" s="555" t="str">
        <f t="shared" si="10"/>
        <v>Residential</v>
      </c>
      <c r="I57" s="502" t="s">
        <v>153</v>
      </c>
      <c r="J57" s="502" t="s">
        <v>1283</v>
      </c>
      <c r="K57" s="502" t="s">
        <v>160</v>
      </c>
      <c r="L57" s="24">
        <v>2021</v>
      </c>
      <c r="M57" s="511">
        <v>3638.7198014300002</v>
      </c>
      <c r="N57" s="512">
        <v>2928.56870811</v>
      </c>
      <c r="O57" s="512">
        <v>0</v>
      </c>
      <c r="P57" s="1163" t="str">
        <f t="shared" si="11"/>
        <v>The savings rates for HPWHs are relative to the RTFs current practice baseline</v>
      </c>
      <c r="Q57" s="505">
        <v>0.13985600000000001</v>
      </c>
      <c r="R57" s="1161">
        <f t="shared" si="15"/>
        <v>270.93782804489194</v>
      </c>
      <c r="S57" s="1163" t="s">
        <v>2322</v>
      </c>
      <c r="T57" s="507">
        <f t="shared" si="12"/>
        <v>1.573965670729835E-2</v>
      </c>
      <c r="U57" s="508">
        <f t="shared" si="13"/>
        <v>1.2667825121151848E-2</v>
      </c>
      <c r="V57" s="509">
        <f t="shared" si="14"/>
        <v>3.0718315861465017E-3</v>
      </c>
    </row>
    <row r="58" spans="1:47" s="482" customFormat="1" ht="12.75" customHeight="1">
      <c r="A58" s="726" t="s">
        <v>1217</v>
      </c>
      <c r="B58" s="499" t="str">
        <f t="shared" si="8"/>
        <v>RES_201202</v>
      </c>
      <c r="C58" s="499">
        <v>0</v>
      </c>
      <c r="D58" s="499">
        <v>0</v>
      </c>
      <c r="E58" s="499">
        <f t="shared" si="9"/>
        <v>1</v>
      </c>
      <c r="F58" s="499">
        <v>1</v>
      </c>
      <c r="G58" s="500" t="b">
        <v>1</v>
      </c>
      <c r="H58" s="555" t="str">
        <f t="shared" si="10"/>
        <v>Residential</v>
      </c>
      <c r="I58" s="502" t="s">
        <v>153</v>
      </c>
      <c r="J58" s="502" t="s">
        <v>1283</v>
      </c>
      <c r="K58" s="502" t="s">
        <v>1296</v>
      </c>
      <c r="L58" s="24">
        <v>2021</v>
      </c>
      <c r="M58" s="511">
        <v>3504.5865967999998</v>
      </c>
      <c r="N58" s="512">
        <v>2730.3174649500002</v>
      </c>
      <c r="O58" s="512">
        <v>0</v>
      </c>
      <c r="P58" s="1163" t="str">
        <f t="shared" si="11"/>
        <v>The savings rates for HPWHs are relative to the RTFs current practice baseline</v>
      </c>
      <c r="Q58" s="505">
        <v>0.13985600000000001</v>
      </c>
      <c r="R58" s="1161">
        <f t="shared" si="15"/>
        <v>165.26166691085132</v>
      </c>
      <c r="S58" s="2456" t="s">
        <v>2323</v>
      </c>
      <c r="T58" s="507">
        <f t="shared" si="12"/>
        <v>9.2466819822371246E-3</v>
      </c>
      <c r="U58" s="508">
        <f t="shared" si="13"/>
        <v>7.2038103815133866E-3</v>
      </c>
      <c r="V58" s="509">
        <f t="shared" si="14"/>
        <v>2.042871600723738E-3</v>
      </c>
    </row>
    <row r="59" spans="1:47" s="482" customFormat="1" ht="12.75" customHeight="1">
      <c r="A59" s="726" t="s">
        <v>1218</v>
      </c>
      <c r="B59" s="499" t="str">
        <f t="shared" si="8"/>
        <v>RES_201202</v>
      </c>
      <c r="C59" s="499">
        <v>0</v>
      </c>
      <c r="D59" s="499">
        <v>0</v>
      </c>
      <c r="E59" s="499">
        <f t="shared" si="9"/>
        <v>1</v>
      </c>
      <c r="F59" s="499">
        <v>1</v>
      </c>
      <c r="G59" s="500" t="b">
        <v>1</v>
      </c>
      <c r="H59" s="555" t="str">
        <f t="shared" si="10"/>
        <v>Residential</v>
      </c>
      <c r="I59" s="502" t="s">
        <v>153</v>
      </c>
      <c r="J59" s="502" t="s">
        <v>1283</v>
      </c>
      <c r="K59" s="502" t="s">
        <v>1297</v>
      </c>
      <c r="L59" s="24">
        <v>2021</v>
      </c>
      <c r="M59" s="511">
        <v>41.244070600000001</v>
      </c>
      <c r="N59" s="512">
        <v>0</v>
      </c>
      <c r="O59" s="512">
        <v>0</v>
      </c>
      <c r="P59" s="1163" t="str">
        <f t="shared" si="11"/>
        <v>The savings rates for HPWHs are relative to the RTFs current practice baseline</v>
      </c>
      <c r="Q59" s="505">
        <v>0.13985600000000001</v>
      </c>
      <c r="R59" s="1161">
        <f t="shared" si="15"/>
        <v>423.47074957899622</v>
      </c>
      <c r="S59" s="2456" t="s">
        <v>2324</v>
      </c>
      <c r="T59" s="507">
        <f t="shared" si="12"/>
        <v>2.7884440574143854E-4</v>
      </c>
      <c r="U59" s="508">
        <f t="shared" si="13"/>
        <v>0</v>
      </c>
      <c r="V59" s="509">
        <f t="shared" si="14"/>
        <v>2.7884440574143854E-4</v>
      </c>
    </row>
    <row r="60" spans="1:47" s="482" customFormat="1" ht="12.75" customHeight="1">
      <c r="A60" s="726" t="s">
        <v>1184</v>
      </c>
      <c r="B60" s="499" t="str">
        <f t="shared" si="8"/>
        <v>RES_201202</v>
      </c>
      <c r="C60" s="499">
        <v>0</v>
      </c>
      <c r="D60" s="499">
        <v>0</v>
      </c>
      <c r="E60" s="499">
        <f t="shared" si="9"/>
        <v>1</v>
      </c>
      <c r="F60" s="499">
        <v>1</v>
      </c>
      <c r="G60" s="500" t="b">
        <v>1</v>
      </c>
      <c r="H60" s="555" t="str">
        <f t="shared" si="10"/>
        <v>Residential</v>
      </c>
      <c r="I60" s="502" t="s">
        <v>153</v>
      </c>
      <c r="J60" s="502" t="s">
        <v>1284</v>
      </c>
      <c r="K60" s="502" t="s">
        <v>158</v>
      </c>
      <c r="L60" s="24">
        <v>2021</v>
      </c>
      <c r="M60" s="511">
        <v>5382</v>
      </c>
      <c r="N60" s="512">
        <v>1070.63312369</v>
      </c>
      <c r="O60" s="512">
        <v>0</v>
      </c>
      <c r="P60" s="1163" t="str">
        <f t="shared" si="11"/>
        <v>The savings rates for HPWHs are relative to the RTFs current practice baseline</v>
      </c>
      <c r="Q60" s="505">
        <v>0.13985600000000001</v>
      </c>
      <c r="R60" s="1161">
        <f t="shared" si="15"/>
        <v>508.84804682049736</v>
      </c>
      <c r="S60" s="1163" t="s">
        <v>2318</v>
      </c>
      <c r="T60" s="507">
        <f t="shared" si="12"/>
        <v>4.3722884133702983E-2</v>
      </c>
      <c r="U60" s="508">
        <f t="shared" si="13"/>
        <v>8.6977272420665861E-3</v>
      </c>
      <c r="V60" s="509">
        <f t="shared" si="14"/>
        <v>3.5025156891636398E-2</v>
      </c>
      <c r="AA60" s="729"/>
      <c r="AB60" s="729"/>
    </row>
    <row r="61" spans="1:47" s="482" customFormat="1" ht="12.75" customHeight="1">
      <c r="A61" s="726" t="s">
        <v>1185</v>
      </c>
      <c r="B61" s="499" t="str">
        <f t="shared" si="8"/>
        <v>RES_201202</v>
      </c>
      <c r="C61" s="499">
        <v>0</v>
      </c>
      <c r="D61" s="499">
        <v>0</v>
      </c>
      <c r="E61" s="499">
        <f t="shared" si="9"/>
        <v>1</v>
      </c>
      <c r="F61" s="499">
        <v>1</v>
      </c>
      <c r="G61" s="500" t="b">
        <v>1</v>
      </c>
      <c r="H61" s="555" t="str">
        <f t="shared" si="10"/>
        <v>Residential</v>
      </c>
      <c r="I61" s="502" t="s">
        <v>153</v>
      </c>
      <c r="J61" s="502" t="s">
        <v>1284</v>
      </c>
      <c r="K61" s="502" t="s">
        <v>160</v>
      </c>
      <c r="L61" s="24">
        <v>2021</v>
      </c>
      <c r="M61" s="511">
        <v>5375</v>
      </c>
      <c r="N61" s="512">
        <v>1064.4681595500001</v>
      </c>
      <c r="O61" s="512">
        <v>0</v>
      </c>
      <c r="P61" s="1163" t="str">
        <f t="shared" si="11"/>
        <v>The savings rates for HPWHs are relative to the RTFs current practice baseline</v>
      </c>
      <c r="Q61" s="505">
        <v>0.13985600000000001</v>
      </c>
      <c r="R61" s="1161">
        <f t="shared" si="15"/>
        <v>147.46375147119213</v>
      </c>
      <c r="S61" s="1163" t="s">
        <v>2322</v>
      </c>
      <c r="T61" s="507">
        <f t="shared" si="12"/>
        <v>1.2654376260095133E-2</v>
      </c>
      <c r="U61" s="508">
        <f t="shared" si="13"/>
        <v>2.5060801130858943E-3</v>
      </c>
      <c r="V61" s="509">
        <f t="shared" si="14"/>
        <v>1.0148296147009239E-2</v>
      </c>
    </row>
    <row r="62" spans="1:47" s="482" customFormat="1" ht="12.75" customHeight="1">
      <c r="A62" s="726" t="s">
        <v>1219</v>
      </c>
      <c r="B62" s="499" t="str">
        <f t="shared" si="8"/>
        <v>RES_201202</v>
      </c>
      <c r="C62" s="499">
        <v>0</v>
      </c>
      <c r="D62" s="499">
        <v>0</v>
      </c>
      <c r="E62" s="499">
        <f t="shared" si="9"/>
        <v>1</v>
      </c>
      <c r="F62" s="499">
        <v>1</v>
      </c>
      <c r="G62" s="500" t="b">
        <v>1</v>
      </c>
      <c r="H62" s="555" t="str">
        <f t="shared" si="10"/>
        <v>Residential</v>
      </c>
      <c r="I62" s="502" t="s">
        <v>153</v>
      </c>
      <c r="J62" s="502" t="s">
        <v>1284</v>
      </c>
      <c r="K62" s="502" t="s">
        <v>1296</v>
      </c>
      <c r="L62" s="24">
        <v>2021</v>
      </c>
      <c r="M62" s="511">
        <v>4590</v>
      </c>
      <c r="N62" s="512">
        <v>1044.3785850899999</v>
      </c>
      <c r="O62" s="512">
        <v>0</v>
      </c>
      <c r="P62" s="1163" t="str">
        <f t="shared" si="11"/>
        <v>The savings rates for HPWHs are relative to the RTFs current practice baseline</v>
      </c>
      <c r="Q62" s="505">
        <v>0.13985600000000001</v>
      </c>
      <c r="R62" s="1161">
        <f t="shared" si="15"/>
        <v>89.947223512173451</v>
      </c>
      <c r="S62" s="2456" t="s">
        <v>2323</v>
      </c>
      <c r="T62" s="507">
        <f t="shared" si="12"/>
        <v>6.5913966109669023E-3</v>
      </c>
      <c r="U62" s="508">
        <f t="shared" si="13"/>
        <v>1.4997632824245385E-3</v>
      </c>
      <c r="V62" s="509">
        <f t="shared" si="14"/>
        <v>5.0916333285423634E-3</v>
      </c>
    </row>
    <row r="63" spans="1:47" s="482" customFormat="1" ht="12.75" customHeight="1">
      <c r="A63" s="726" t="s">
        <v>1220</v>
      </c>
      <c r="B63" s="499" t="str">
        <f t="shared" si="8"/>
        <v>RES_201202</v>
      </c>
      <c r="C63" s="499">
        <v>0</v>
      </c>
      <c r="D63" s="499">
        <v>0</v>
      </c>
      <c r="E63" s="499">
        <f t="shared" si="9"/>
        <v>1</v>
      </c>
      <c r="F63" s="499">
        <v>1</v>
      </c>
      <c r="G63" s="500" t="b">
        <v>1</v>
      </c>
      <c r="H63" s="555" t="str">
        <f t="shared" si="10"/>
        <v>Residential</v>
      </c>
      <c r="I63" s="502" t="s">
        <v>153</v>
      </c>
      <c r="J63" s="502" t="s">
        <v>1284</v>
      </c>
      <c r="K63" s="502" t="s">
        <v>1297</v>
      </c>
      <c r="L63" s="24">
        <v>2021</v>
      </c>
      <c r="M63" s="511">
        <v>33</v>
      </c>
      <c r="N63" s="512">
        <v>0</v>
      </c>
      <c r="O63" s="512">
        <v>0</v>
      </c>
      <c r="P63" s="1163" t="str">
        <f t="shared" si="11"/>
        <v>The savings rates for HPWHs are relative to the RTFs current practice baseline</v>
      </c>
      <c r="Q63" s="505">
        <v>0.13985600000000001</v>
      </c>
      <c r="R63" s="1161">
        <f t="shared" si="15"/>
        <v>230.48308101476957</v>
      </c>
      <c r="S63" s="2456" t="s">
        <v>2324</v>
      </c>
      <c r="T63" s="507">
        <f t="shared" si="12"/>
        <v>1.2143111628849924E-4</v>
      </c>
      <c r="U63" s="508">
        <f t="shared" si="13"/>
        <v>0</v>
      </c>
      <c r="V63" s="509">
        <f t="shared" si="14"/>
        <v>1.2143111628849924E-4</v>
      </c>
    </row>
    <row r="64" spans="1:47" s="729" customFormat="1" ht="12.75" customHeight="1">
      <c r="A64" s="728" t="s">
        <v>1221</v>
      </c>
      <c r="B64" s="516" t="str">
        <f t="shared" si="8"/>
        <v>RES_201202</v>
      </c>
      <c r="C64" s="516">
        <v>0</v>
      </c>
      <c r="D64" s="516">
        <v>0</v>
      </c>
      <c r="E64" s="516">
        <f t="shared" si="9"/>
        <v>1</v>
      </c>
      <c r="F64" s="499">
        <v>1</v>
      </c>
      <c r="G64" s="517" t="b">
        <v>1</v>
      </c>
      <c r="H64" s="555" t="str">
        <f t="shared" si="10"/>
        <v>Residential</v>
      </c>
      <c r="I64" s="502" t="s">
        <v>153</v>
      </c>
      <c r="J64" s="502" t="s">
        <v>1285</v>
      </c>
      <c r="K64" s="502" t="s">
        <v>158</v>
      </c>
      <c r="L64" s="24">
        <v>2021</v>
      </c>
      <c r="M64" s="511">
        <v>2306</v>
      </c>
      <c r="N64" s="512">
        <v>604.89165371000001</v>
      </c>
      <c r="O64" s="512">
        <v>0</v>
      </c>
      <c r="P64" s="1163" t="str">
        <f t="shared" si="11"/>
        <v>The savings rates for HPWHs are relative to the RTFs current practice baseline</v>
      </c>
      <c r="Q64" s="505">
        <v>0.13985600000000001</v>
      </c>
      <c r="R64" s="1161">
        <f t="shared" si="15"/>
        <v>364.74835688550814</v>
      </c>
      <c r="S64" s="1163" t="s">
        <v>2318</v>
      </c>
      <c r="T64" s="507">
        <f t="shared" si="12"/>
        <v>1.3428566180198246E-2</v>
      </c>
      <c r="U64" s="508">
        <f t="shared" si="13"/>
        <v>3.522475110014872E-3</v>
      </c>
      <c r="V64" s="509">
        <f t="shared" si="14"/>
        <v>9.9060910701833753E-3</v>
      </c>
      <c r="AA64" s="482"/>
      <c r="AB64" s="482"/>
    </row>
    <row r="65" spans="1:28" s="482" customFormat="1" ht="12.75" customHeight="1">
      <c r="A65" s="726" t="s">
        <v>1222</v>
      </c>
      <c r="B65" s="499" t="str">
        <f t="shared" si="8"/>
        <v>RES_201202</v>
      </c>
      <c r="C65" s="499">
        <v>0</v>
      </c>
      <c r="D65" s="499">
        <v>0</v>
      </c>
      <c r="E65" s="499">
        <f t="shared" si="9"/>
        <v>1</v>
      </c>
      <c r="F65" s="499">
        <v>1</v>
      </c>
      <c r="G65" s="500" t="b">
        <v>1</v>
      </c>
      <c r="H65" s="555" t="str">
        <f t="shared" si="10"/>
        <v>Residential</v>
      </c>
      <c r="I65" s="502" t="s">
        <v>153</v>
      </c>
      <c r="J65" s="502" t="s">
        <v>1285</v>
      </c>
      <c r="K65" s="502" t="s">
        <v>160</v>
      </c>
      <c r="L65" s="24">
        <v>2021</v>
      </c>
      <c r="M65" s="511">
        <v>2305</v>
      </c>
      <c r="N65" s="512">
        <v>602.55186721999996</v>
      </c>
      <c r="O65" s="512">
        <v>0</v>
      </c>
      <c r="P65" s="1163" t="str">
        <f t="shared" si="11"/>
        <v>The savings rates for HPWHs are relative to the RTFs current practice baseline</v>
      </c>
      <c r="Q65" s="505">
        <v>0.13985600000000001</v>
      </c>
      <c r="R65" s="1161">
        <f t="shared" si="15"/>
        <v>105.70377814236628</v>
      </c>
      <c r="S65" s="1163" t="s">
        <v>2322</v>
      </c>
      <c r="T65" s="507">
        <f t="shared" si="12"/>
        <v>3.8899000009703865E-3</v>
      </c>
      <c r="U65" s="508">
        <f t="shared" si="13"/>
        <v>1.0168618259799506E-3</v>
      </c>
      <c r="V65" s="509">
        <f t="shared" si="14"/>
        <v>2.8730381749904358E-3</v>
      </c>
    </row>
    <row r="66" spans="1:28" s="482" customFormat="1" ht="12.75" customHeight="1">
      <c r="A66" s="726" t="s">
        <v>1223</v>
      </c>
      <c r="B66" s="499" t="str">
        <f t="shared" si="8"/>
        <v>RES_201202</v>
      </c>
      <c r="C66" s="499">
        <v>0</v>
      </c>
      <c r="D66" s="499">
        <v>0</v>
      </c>
      <c r="E66" s="499">
        <f t="shared" si="9"/>
        <v>1</v>
      </c>
      <c r="F66" s="499">
        <v>1</v>
      </c>
      <c r="G66" s="500" t="b">
        <v>1</v>
      </c>
      <c r="H66" s="555" t="str">
        <f t="shared" si="10"/>
        <v>Residential</v>
      </c>
      <c r="I66" s="502" t="s">
        <v>153</v>
      </c>
      <c r="J66" s="502" t="s">
        <v>1285</v>
      </c>
      <c r="K66" s="502" t="s">
        <v>1296</v>
      </c>
      <c r="L66" s="24">
        <v>2021</v>
      </c>
      <c r="M66" s="511">
        <v>2221</v>
      </c>
      <c r="N66" s="512">
        <v>598.00753903999998</v>
      </c>
      <c r="O66" s="512">
        <v>0</v>
      </c>
      <c r="P66" s="1163" t="str">
        <f t="shared" si="11"/>
        <v>The savings rates for HPWHs are relative to the RTFs current practice baseline</v>
      </c>
      <c r="Q66" s="505">
        <v>0.13985600000000001</v>
      </c>
      <c r="R66" s="1161">
        <f t="shared" si="15"/>
        <v>64.475244009440587</v>
      </c>
      <c r="S66" s="2456" t="s">
        <v>2323</v>
      </c>
      <c r="T66" s="507">
        <f t="shared" si="12"/>
        <v>2.2862227901661392E-3</v>
      </c>
      <c r="U66" s="508">
        <f t="shared" si="13"/>
        <v>6.1556887187952055E-4</v>
      </c>
      <c r="V66" s="509">
        <f t="shared" si="14"/>
        <v>1.6706539182866186E-3</v>
      </c>
    </row>
    <row r="67" spans="1:28" s="482" customFormat="1" ht="12.75" customHeight="1">
      <c r="A67" s="726" t="s">
        <v>1224</v>
      </c>
      <c r="B67" s="499" t="str">
        <f t="shared" si="8"/>
        <v>RES_201202</v>
      </c>
      <c r="C67" s="499">
        <v>0</v>
      </c>
      <c r="D67" s="499">
        <v>0</v>
      </c>
      <c r="E67" s="499">
        <f t="shared" si="9"/>
        <v>1</v>
      </c>
      <c r="F67" s="499">
        <v>1</v>
      </c>
      <c r="G67" s="500" t="b">
        <v>1</v>
      </c>
      <c r="H67" s="555" t="str">
        <f t="shared" si="10"/>
        <v>Residential</v>
      </c>
      <c r="I67" s="502" t="s">
        <v>153</v>
      </c>
      <c r="J67" s="502" t="s">
        <v>1285</v>
      </c>
      <c r="K67" s="502" t="s">
        <v>1297</v>
      </c>
      <c r="L67" s="24">
        <v>2021</v>
      </c>
      <c r="M67" s="511">
        <v>26</v>
      </c>
      <c r="N67" s="512">
        <v>10.636363640000001</v>
      </c>
      <c r="O67" s="512">
        <v>0</v>
      </c>
      <c r="P67" s="1163" t="str">
        <f t="shared" si="11"/>
        <v>The savings rates for HPWHs are relative to the RTFs current practice baseline</v>
      </c>
      <c r="Q67" s="505">
        <v>0.13985600000000001</v>
      </c>
      <c r="R67" s="1161">
        <f t="shared" si="15"/>
        <v>165.21302501865125</v>
      </c>
      <c r="S67" s="2456" t="s">
        <v>2324</v>
      </c>
      <c r="T67" s="507">
        <f t="shared" si="12"/>
        <v>6.8579549486554885E-5</v>
      </c>
      <c r="U67" s="508">
        <f t="shared" si="13"/>
        <v>2.8055270254091273E-5</v>
      </c>
      <c r="V67" s="509">
        <f t="shared" si="14"/>
        <v>4.0524279232463615E-5</v>
      </c>
    </row>
    <row r="68" spans="1:28" s="482" customFormat="1" ht="12.75" customHeight="1">
      <c r="A68" s="726" t="s">
        <v>1225</v>
      </c>
      <c r="B68" s="499" t="str">
        <f t="shared" si="8"/>
        <v>RES_201202</v>
      </c>
      <c r="C68" s="499">
        <v>0</v>
      </c>
      <c r="D68" s="499">
        <v>0</v>
      </c>
      <c r="E68" s="499">
        <f t="shared" si="9"/>
        <v>1</v>
      </c>
      <c r="F68" s="499">
        <v>1</v>
      </c>
      <c r="G68" s="500" t="b">
        <v>1</v>
      </c>
      <c r="H68" s="555" t="str">
        <f t="shared" si="10"/>
        <v>Residential</v>
      </c>
      <c r="I68" s="502" t="s">
        <v>153</v>
      </c>
      <c r="J68" s="502" t="s">
        <v>1282</v>
      </c>
      <c r="K68" s="502" t="s">
        <v>1296</v>
      </c>
      <c r="L68" s="24">
        <v>2021</v>
      </c>
      <c r="M68" s="511">
        <v>7244.9221987800001</v>
      </c>
      <c r="N68" s="512">
        <v>6572.3882846500001</v>
      </c>
      <c r="O68" s="512">
        <v>0</v>
      </c>
      <c r="P68" s="1163" t="str">
        <f t="shared" si="11"/>
        <v>The savings rates for HPWHs are relative to the RTFs current practice baseline</v>
      </c>
      <c r="Q68" s="505">
        <v>0.13985600000000001</v>
      </c>
      <c r="R68" s="1161">
        <f t="shared" si="15"/>
        <v>165.26166691085132</v>
      </c>
      <c r="S68" s="2456" t="s">
        <v>2323</v>
      </c>
      <c r="T68" s="507">
        <f t="shared" si="12"/>
        <v>1.9115376295548814E-2</v>
      </c>
      <c r="U68" s="508">
        <f t="shared" si="13"/>
        <v>1.73409281389795E-2</v>
      </c>
      <c r="V68" s="509">
        <f t="shared" si="14"/>
        <v>1.7744481565693145E-3</v>
      </c>
    </row>
    <row r="69" spans="1:28" s="496" customFormat="1" ht="12.75" customHeight="1" thickBot="1">
      <c r="A69" s="730" t="s">
        <v>1226</v>
      </c>
      <c r="B69" s="731" t="str">
        <f t="shared" si="8"/>
        <v>RES_201202</v>
      </c>
      <c r="C69" s="731">
        <v>0</v>
      </c>
      <c r="D69" s="731">
        <v>0</v>
      </c>
      <c r="E69" s="731">
        <f t="shared" si="9"/>
        <v>1</v>
      </c>
      <c r="F69" s="731">
        <v>1</v>
      </c>
      <c r="G69" s="732" t="b">
        <v>1</v>
      </c>
      <c r="H69" s="576" t="str">
        <f t="shared" si="10"/>
        <v>Residential</v>
      </c>
      <c r="I69" s="577" t="s">
        <v>153</v>
      </c>
      <c r="J69" s="577" t="s">
        <v>1282</v>
      </c>
      <c r="K69" s="577" t="s">
        <v>1297</v>
      </c>
      <c r="L69" s="243">
        <v>2021</v>
      </c>
      <c r="M69" s="519">
        <v>52.98461348</v>
      </c>
      <c r="N69" s="520">
        <v>0</v>
      </c>
      <c r="O69" s="520">
        <v>0</v>
      </c>
      <c r="P69" s="1631" t="str">
        <f t="shared" si="11"/>
        <v>The savings rates for HPWHs are relative to the RTFs current practice baseline</v>
      </c>
      <c r="Q69" s="521">
        <v>0.13985600000000001</v>
      </c>
      <c r="R69" s="1162">
        <f t="shared" si="15"/>
        <v>423.47074957899622</v>
      </c>
      <c r="S69" s="2457" t="s">
        <v>2324</v>
      </c>
      <c r="T69" s="528">
        <f t="shared" si="12"/>
        <v>3.5822029310730576E-4</v>
      </c>
      <c r="U69" s="529">
        <f t="shared" si="13"/>
        <v>0</v>
      </c>
      <c r="V69" s="530">
        <f t="shared" si="14"/>
        <v>3.5822029310730576E-4</v>
      </c>
    </row>
    <row r="70" spans="1:28" ht="12.75" customHeight="1">
      <c r="F70" s="499"/>
      <c r="AA70" s="458"/>
      <c r="AB70" s="458"/>
    </row>
    <row r="71" spans="1:28" ht="12.75" customHeight="1">
      <c r="F71" s="499"/>
      <c r="H71" s="995" t="s">
        <v>2089</v>
      </c>
      <c r="AA71" s="458"/>
      <c r="AB71" s="458"/>
    </row>
    <row r="72" spans="1:28" ht="12.75" customHeight="1" outlineLevel="1">
      <c r="F72" s="499"/>
      <c r="H72" s="995"/>
      <c r="AA72" s="458"/>
      <c r="AB72" s="458"/>
    </row>
    <row r="73" spans="1:28" ht="12.75" customHeight="1" outlineLevel="1">
      <c r="F73" s="499"/>
      <c r="H73" s="2950" t="s">
        <v>2046</v>
      </c>
      <c r="I73" s="2951"/>
      <c r="J73" s="2951"/>
      <c r="K73" s="2951"/>
      <c r="L73" s="2951"/>
      <c r="M73" s="2951"/>
      <c r="N73" s="2951"/>
      <c r="O73" s="2951"/>
      <c r="P73" s="2951"/>
      <c r="Q73" s="2951"/>
      <c r="R73" s="2951"/>
      <c r="S73" s="2951"/>
      <c r="T73" s="2951"/>
      <c r="U73" s="2951"/>
      <c r="V73" s="2952"/>
      <c r="AA73" s="458"/>
      <c r="AB73" s="458"/>
    </row>
    <row r="74" spans="1:28" ht="35.25" customHeight="1" outlineLevel="1">
      <c r="F74" s="499"/>
      <c r="H74" s="2953"/>
      <c r="I74" s="2954"/>
      <c r="J74" s="2954"/>
      <c r="K74" s="2954"/>
      <c r="L74" s="2954"/>
      <c r="M74" s="2954"/>
      <c r="N74" s="2954"/>
      <c r="O74" s="2954"/>
      <c r="P74" s="2954"/>
      <c r="Q74" s="2954"/>
      <c r="R74" s="2954"/>
      <c r="S74" s="2954"/>
      <c r="T74" s="2954"/>
      <c r="U74" s="2954"/>
      <c r="V74" s="2955"/>
    </row>
    <row r="75" spans="1:28" ht="12.75" customHeight="1" outlineLevel="1">
      <c r="F75" s="499"/>
      <c r="I75" s="482"/>
      <c r="J75" s="1036"/>
    </row>
    <row r="76" spans="1:28" ht="12.75" customHeight="1" outlineLevel="1">
      <c r="F76" s="499"/>
      <c r="H76" s="2937" t="s">
        <v>1575</v>
      </c>
      <c r="I76" s="2937"/>
      <c r="J76" s="2937"/>
      <c r="K76" s="2937"/>
      <c r="L76" s="2937"/>
      <c r="M76" s="2937"/>
      <c r="N76" s="2937"/>
      <c r="O76" s="2937"/>
      <c r="P76" s="2937"/>
      <c r="Q76" s="2937"/>
      <c r="R76" s="2937"/>
      <c r="S76" s="2937"/>
    </row>
    <row r="77" spans="1:28" s="458" customFormat="1" ht="12.75" customHeight="1" outlineLevel="1">
      <c r="H77" s="2938"/>
      <c r="I77" s="2938"/>
      <c r="J77" s="2938"/>
      <c r="K77" s="2938"/>
      <c r="L77" s="2938"/>
      <c r="M77" s="2938"/>
      <c r="N77" s="2938"/>
      <c r="O77" s="2938"/>
      <c r="P77" s="2938"/>
      <c r="Q77" s="2938"/>
      <c r="R77" s="2938"/>
      <c r="S77" s="2938"/>
    </row>
    <row r="78" spans="1:28" ht="12.75" customHeight="1" outlineLevel="1">
      <c r="F78" s="499"/>
      <c r="H78" s="2893" t="s">
        <v>1584</v>
      </c>
      <c r="I78" s="2893" t="s">
        <v>1149</v>
      </c>
      <c r="J78" s="2893" t="s">
        <v>1152</v>
      </c>
      <c r="K78" s="2949" t="s">
        <v>1547</v>
      </c>
      <c r="L78" s="2893">
        <v>2018</v>
      </c>
      <c r="M78" s="2893"/>
      <c r="N78" s="2893">
        <v>2019</v>
      </c>
      <c r="O78" s="2893"/>
      <c r="P78" s="2893">
        <v>2020</v>
      </c>
      <c r="Q78" s="2893"/>
      <c r="R78" s="2893">
        <v>2021</v>
      </c>
      <c r="S78" s="2893"/>
      <c r="AA78" s="458"/>
      <c r="AB78" s="458"/>
    </row>
    <row r="79" spans="1:28" ht="12.75" customHeight="1" outlineLevel="1">
      <c r="F79" s="499"/>
      <c r="H79" s="2893" t="s">
        <v>1587</v>
      </c>
      <c r="I79" s="2893" t="s">
        <v>1149</v>
      </c>
      <c r="J79" s="2893"/>
      <c r="K79" s="2949"/>
      <c r="L79" s="1037" t="s">
        <v>1548</v>
      </c>
      <c r="M79" s="1037" t="s">
        <v>1549</v>
      </c>
      <c r="N79" s="1037" t="s">
        <v>1548</v>
      </c>
      <c r="O79" s="1037" t="s">
        <v>1549</v>
      </c>
      <c r="P79" s="1037" t="s">
        <v>1548</v>
      </c>
      <c r="Q79" s="1037" t="s">
        <v>1549</v>
      </c>
      <c r="R79" s="1037" t="s">
        <v>1548</v>
      </c>
      <c r="S79" s="1037" t="s">
        <v>1549</v>
      </c>
      <c r="AA79" s="458"/>
      <c r="AB79" s="458"/>
    </row>
    <row r="80" spans="1:28" ht="12.75" customHeight="1" outlineLevel="1">
      <c r="F80" s="499"/>
      <c r="H80" s="1038" t="s">
        <v>1544</v>
      </c>
      <c r="I80" s="1039" t="s">
        <v>158</v>
      </c>
      <c r="J80" s="2931" t="s">
        <v>1298</v>
      </c>
      <c r="K80" s="1040">
        <f>$Q$216</f>
        <v>934.91575546526076</v>
      </c>
      <c r="L80" s="1040"/>
      <c r="M80" s="1040"/>
      <c r="N80" s="1040"/>
      <c r="O80" s="1040"/>
      <c r="P80" s="1040"/>
      <c r="Q80" s="1040"/>
      <c r="R80" s="1040"/>
      <c r="S80" s="1040"/>
      <c r="AA80" s="458"/>
      <c r="AB80" s="458"/>
    </row>
    <row r="81" spans="6:28" ht="12.75" customHeight="1" outlineLevel="1">
      <c r="F81" s="499"/>
      <c r="H81" s="1038" t="s">
        <v>1544</v>
      </c>
      <c r="I81" s="1039" t="s">
        <v>160</v>
      </c>
      <c r="J81" s="2932"/>
      <c r="K81" s="1040">
        <f>$Q$218</f>
        <v>270.93782804489194</v>
      </c>
      <c r="L81" s="1040"/>
      <c r="M81" s="1040"/>
      <c r="N81" s="1040"/>
      <c r="O81" s="1040"/>
      <c r="P81" s="1040"/>
      <c r="Q81" s="1040"/>
      <c r="R81" s="1040"/>
      <c r="S81" s="1040"/>
      <c r="AA81" s="458"/>
      <c r="AB81" s="458"/>
    </row>
    <row r="82" spans="6:28" ht="12.75" customHeight="1" outlineLevel="1">
      <c r="F82" s="499"/>
      <c r="H82" s="1038" t="s">
        <v>1544</v>
      </c>
      <c r="I82" s="1039" t="s">
        <v>1296</v>
      </c>
      <c r="J82" s="2932"/>
      <c r="K82" s="1041">
        <f>$Q$220</f>
        <v>165.26166691085132</v>
      </c>
      <c r="L82" s="1041"/>
      <c r="M82" s="1041"/>
      <c r="N82" s="1041"/>
      <c r="O82" s="1041"/>
      <c r="P82" s="1041"/>
      <c r="Q82" s="1041"/>
      <c r="R82" s="1041"/>
      <c r="S82" s="1041"/>
    </row>
    <row r="83" spans="6:28" ht="12.75" customHeight="1" outlineLevel="1">
      <c r="F83" s="499"/>
      <c r="H83" s="1038" t="s">
        <v>1544</v>
      </c>
      <c r="I83" s="1039" t="s">
        <v>1297</v>
      </c>
      <c r="J83" s="2933"/>
      <c r="K83" s="1041">
        <f>$K$252</f>
        <v>423.47074957899622</v>
      </c>
      <c r="L83" s="1041"/>
      <c r="M83" s="1041"/>
      <c r="N83" s="1041"/>
      <c r="O83" s="1041"/>
      <c r="P83" s="1041"/>
      <c r="Q83" s="1041"/>
      <c r="R83" s="1041"/>
      <c r="S83" s="1041"/>
    </row>
    <row r="84" spans="6:28" ht="12.75" customHeight="1" outlineLevel="1">
      <c r="F84" s="499"/>
      <c r="H84" s="1038" t="s">
        <v>1545</v>
      </c>
      <c r="I84" s="1039" t="s">
        <v>158</v>
      </c>
      <c r="J84" s="2928" t="s">
        <v>1574</v>
      </c>
      <c r="K84" s="1042"/>
      <c r="L84" s="1042">
        <f t="shared" ref="L84:M87" si="16">$K80*T$266</f>
        <v>531.89039583838928</v>
      </c>
      <c r="M84" s="1042">
        <f t="shared" si="16"/>
        <v>349.38871545544691</v>
      </c>
      <c r="N84" s="1042">
        <f t="shared" ref="N84:O87" si="17">$K80*T$267</f>
        <v>485.27997464359726</v>
      </c>
      <c r="O84" s="1042">
        <f t="shared" si="17"/>
        <v>355.08531748285185</v>
      </c>
      <c r="P84" s="1042">
        <f>$K80*T$268</f>
        <v>493.8258016559663</v>
      </c>
      <c r="Q84" s="1042">
        <f>$K80*U$268</f>
        <v>372.24983231906316</v>
      </c>
      <c r="R84" s="1042">
        <f>$K80*T$269</f>
        <v>508.84804682049736</v>
      </c>
      <c r="S84" s="1042">
        <f>$K80*U$269</f>
        <v>364.74835688550814</v>
      </c>
    </row>
    <row r="85" spans="6:28" ht="12.75" customHeight="1" outlineLevel="1">
      <c r="F85" s="499"/>
      <c r="H85" s="1038" t="s">
        <v>1545</v>
      </c>
      <c r="I85" s="1039" t="s">
        <v>160</v>
      </c>
      <c r="J85" s="2929"/>
      <c r="K85" s="1042"/>
      <c r="L85" s="1042">
        <f>$K81*T$266</f>
        <v>154.14140553730968</v>
      </c>
      <c r="M85" s="1042">
        <f t="shared" si="16"/>
        <v>101.25256650721937</v>
      </c>
      <c r="N85" s="1042">
        <f t="shared" si="17"/>
        <v>140.63374325977117</v>
      </c>
      <c r="O85" s="1042">
        <f t="shared" si="17"/>
        <v>102.90343715681404</v>
      </c>
      <c r="P85" s="1042">
        <f t="shared" ref="P85:Q87" si="18">$K81*T$268</f>
        <v>143.11031700028576</v>
      </c>
      <c r="Q85" s="1042">
        <f t="shared" si="18"/>
        <v>107.87769964194359</v>
      </c>
      <c r="R85" s="1042">
        <f t="shared" ref="R85:S87" si="19">$K81*T$269</f>
        <v>147.46375147119213</v>
      </c>
      <c r="S85" s="1042">
        <f t="shared" si="19"/>
        <v>105.70377814236628</v>
      </c>
    </row>
    <row r="86" spans="6:28" ht="12.75" customHeight="1" outlineLevel="1">
      <c r="F86" s="499"/>
      <c r="H86" s="1038" t="s">
        <v>1545</v>
      </c>
      <c r="I86" s="1039" t="s">
        <v>1296</v>
      </c>
      <c r="J86" s="2929"/>
      <c r="K86" s="1042"/>
      <c r="L86" s="1042">
        <f t="shared" si="16"/>
        <v>94.02033596746989</v>
      </c>
      <c r="M86" s="1042">
        <f t="shared" si="16"/>
        <v>61.760175907265243</v>
      </c>
      <c r="N86" s="1042">
        <f>$K82*T$267</f>
        <v>85.781180880993844</v>
      </c>
      <c r="O86" s="1042">
        <f t="shared" si="17"/>
        <v>62.767143584591601</v>
      </c>
      <c r="P86" s="1042">
        <f t="shared" si="18"/>
        <v>87.291795724031815</v>
      </c>
      <c r="Q86" s="1042">
        <f t="shared" si="18"/>
        <v>65.801252612026559</v>
      </c>
      <c r="R86" s="1042">
        <f t="shared" si="19"/>
        <v>89.947223512173451</v>
      </c>
      <c r="S86" s="1042">
        <f t="shared" si="19"/>
        <v>64.475244009440587</v>
      </c>
    </row>
    <row r="87" spans="6:28" ht="12.75" customHeight="1" outlineLevel="1">
      <c r="F87" s="499"/>
      <c r="H87" s="1038" t="s">
        <v>1545</v>
      </c>
      <c r="I87" s="1039" t="s">
        <v>1297</v>
      </c>
      <c r="J87" s="2930"/>
      <c r="K87" s="1042"/>
      <c r="L87" s="1042">
        <f t="shared" si="16"/>
        <v>240.92012922325929</v>
      </c>
      <c r="M87" s="1042">
        <f t="shared" si="16"/>
        <v>158.25586462036944</v>
      </c>
      <c r="N87" s="1042">
        <f t="shared" si="17"/>
        <v>219.80790613132027</v>
      </c>
      <c r="O87" s="1042">
        <f t="shared" si="17"/>
        <v>160.83614451884853</v>
      </c>
      <c r="P87" s="1042">
        <f t="shared" si="18"/>
        <v>223.67874449247228</v>
      </c>
      <c r="Q87" s="1042">
        <f t="shared" si="18"/>
        <v>168.61082359700026</v>
      </c>
      <c r="R87" s="1042">
        <f t="shared" si="19"/>
        <v>230.48308101476957</v>
      </c>
      <c r="S87" s="1042">
        <f t="shared" si="19"/>
        <v>165.21302501865125</v>
      </c>
    </row>
    <row r="88" spans="6:28" ht="12" customHeight="1" outlineLevel="1">
      <c r="F88" s="499"/>
      <c r="L88" s="1043" t="str">
        <f>"HPWH (&lt;=55 gallons) New Construction"&amp;$L$78</f>
        <v>HPWH (&lt;=55 gallons) New Construction2018</v>
      </c>
      <c r="M88" s="1043" t="str">
        <f>"HPWH (&gt;55 gallons) New Construction"&amp;$L$78</f>
        <v>HPWH (&gt;55 gallons) New Construction2018</v>
      </c>
      <c r="N88" s="1043" t="str">
        <f>"HPWH (&lt;=55 gallons) New Construction"&amp;$N$78</f>
        <v>HPWH (&lt;=55 gallons) New Construction2019</v>
      </c>
      <c r="O88" s="1043" t="str">
        <f>"HPWH (&gt;55 gallons) New Construction"&amp;$N$78</f>
        <v>HPWH (&gt;55 gallons) New Construction2019</v>
      </c>
      <c r="P88" s="1043" t="str">
        <f>"HPWH (&lt;=55 gallons) New Construction"&amp;$P$78</f>
        <v>HPWH (&lt;=55 gallons) New Construction2020</v>
      </c>
      <c r="Q88" s="1043" t="str">
        <f>"HPWH (&gt;55 gallons) New Construction"&amp;$P$78</f>
        <v>HPWH (&gt;55 gallons) New Construction2020</v>
      </c>
      <c r="R88" s="1043" t="str">
        <f>"HPWH (&lt;=55 gallons) New Construction"&amp;$R$78</f>
        <v>HPWH (&lt;=55 gallons) New Construction2021</v>
      </c>
      <c r="S88" s="1043" t="str">
        <f>"HPWH (&gt;55 gallons) New Construction"&amp;$R$78</f>
        <v>HPWH (&gt;55 gallons) New Construction2021</v>
      </c>
    </row>
    <row r="89" spans="6:28" ht="12" customHeight="1" outlineLevel="1">
      <c r="F89" s="499"/>
      <c r="H89" s="2915" t="s">
        <v>1593</v>
      </c>
      <c r="I89" s="2915"/>
      <c r="J89" s="2915"/>
      <c r="K89" s="2915"/>
      <c r="L89" s="2915"/>
      <c r="M89" s="2915"/>
      <c r="N89" s="2915"/>
      <c r="O89" s="2915"/>
    </row>
    <row r="90" spans="6:28" ht="53.25" customHeight="1" outlineLevel="1">
      <c r="F90" s="499"/>
      <c r="H90" s="2915"/>
      <c r="I90" s="2915"/>
      <c r="J90" s="2915"/>
      <c r="K90" s="2915"/>
      <c r="L90" s="2915"/>
      <c r="M90" s="2915"/>
      <c r="N90" s="2915"/>
      <c r="O90" s="2915"/>
    </row>
    <row r="91" spans="6:28" ht="12" customHeight="1" outlineLevel="1">
      <c r="F91" s="499"/>
      <c r="H91" s="1044" t="s">
        <v>1594</v>
      </c>
      <c r="L91" s="1043"/>
      <c r="M91" s="1043"/>
      <c r="N91" s="1043"/>
      <c r="O91" s="1043"/>
    </row>
    <row r="92" spans="6:28" ht="12" customHeight="1" outlineLevel="1">
      <c r="F92" s="499"/>
      <c r="L92" s="1043"/>
      <c r="M92" s="1043"/>
      <c r="N92" s="1043"/>
      <c r="O92" s="1043"/>
    </row>
    <row r="93" spans="6:28" ht="12.75" customHeight="1" outlineLevel="1">
      <c r="N93" s="462"/>
      <c r="O93" s="462"/>
      <c r="P93" s="462"/>
      <c r="Z93" s="1045"/>
      <c r="AA93" s="1045"/>
      <c r="AB93" s="1045"/>
    </row>
    <row r="94" spans="6:28" ht="27" customHeight="1" outlineLevel="1" thickBot="1">
      <c r="F94" s="499"/>
      <c r="H94" s="941" t="s">
        <v>1746</v>
      </c>
      <c r="I94" s="941"/>
      <c r="J94" s="941"/>
      <c r="K94" s="941"/>
      <c r="L94" s="941"/>
      <c r="M94" s="941"/>
      <c r="N94" s="941"/>
      <c r="O94" s="941"/>
      <c r="P94" s="941"/>
      <c r="Q94" s="941"/>
      <c r="R94" s="941"/>
      <c r="S94" s="941"/>
      <c r="T94" s="941"/>
      <c r="U94" s="941"/>
      <c r="V94" s="941"/>
      <c r="W94" s="941"/>
    </row>
    <row r="95" spans="6:28" ht="12.75" customHeight="1" outlineLevel="1" thickTop="1">
      <c r="N95" s="462"/>
      <c r="O95" s="462"/>
      <c r="P95" s="462"/>
      <c r="Z95" s="1045"/>
      <c r="AA95" s="1045"/>
      <c r="AB95" s="1045"/>
    </row>
    <row r="96" spans="6:28" ht="12.75" customHeight="1" outlineLevel="1">
      <c r="H96" s="462" t="s">
        <v>2041</v>
      </c>
      <c r="N96" s="462"/>
      <c r="O96" s="462"/>
      <c r="P96" s="462"/>
      <c r="Z96" s="1045"/>
      <c r="AA96" s="1045"/>
      <c r="AB96" s="1045"/>
    </row>
    <row r="97" spans="8:47" ht="12.75" customHeight="1" outlineLevel="1" thickBot="1">
      <c r="N97" s="462"/>
      <c r="O97" s="462"/>
      <c r="P97" s="462"/>
      <c r="Z97" s="1045"/>
      <c r="AA97" s="1045"/>
      <c r="AB97" s="1045"/>
    </row>
    <row r="98" spans="8:47" ht="12.75" customHeight="1" outlineLevel="1" thickTop="1" thickBot="1">
      <c r="H98" s="458" t="s">
        <v>914</v>
      </c>
      <c r="I98" s="949" t="s">
        <v>2446</v>
      </c>
      <c r="J98" s="462" t="s">
        <v>2450</v>
      </c>
      <c r="N98" s="462"/>
      <c r="O98" s="462"/>
      <c r="P98" s="462"/>
      <c r="Y98" s="458"/>
      <c r="Z98" s="458"/>
      <c r="AA98" s="458"/>
      <c r="AB98" s="1045"/>
    </row>
    <row r="99" spans="8:47" ht="12.75" customHeight="1" outlineLevel="1" thickTop="1" thickBot="1">
      <c r="N99" s="462"/>
      <c r="O99" s="462"/>
      <c r="P99" s="462"/>
      <c r="Y99" s="458"/>
      <c r="Z99" s="458"/>
      <c r="AA99" s="458"/>
      <c r="AB99" s="1045"/>
    </row>
    <row r="100" spans="8:47" ht="12.75" customHeight="1" outlineLevel="1" thickBot="1">
      <c r="H100" s="2946" t="s">
        <v>1039</v>
      </c>
      <c r="I100" s="2947"/>
      <c r="J100" s="2947"/>
      <c r="K100" s="2948"/>
      <c r="L100" s="1046"/>
      <c r="M100" s="462"/>
      <c r="N100" s="458"/>
      <c r="O100" s="458"/>
      <c r="P100" s="458"/>
      <c r="Q100" s="458"/>
      <c r="R100" s="458"/>
      <c r="S100" s="458"/>
      <c r="T100" s="458"/>
      <c r="U100" s="458"/>
      <c r="V100" s="458"/>
      <c r="W100" s="458"/>
      <c r="X100" s="458"/>
      <c r="Y100" s="458"/>
      <c r="Z100" s="458"/>
      <c r="AA100" s="458"/>
      <c r="AB100" s="458"/>
      <c r="AC100" s="458"/>
      <c r="AD100" s="458"/>
      <c r="AE100" s="458"/>
      <c r="AF100" s="458"/>
      <c r="AG100" s="458"/>
      <c r="AH100" s="458"/>
      <c r="AI100" s="458"/>
      <c r="AJ100" s="458"/>
      <c r="AK100" s="458"/>
      <c r="AL100" s="458"/>
      <c r="AM100" s="458"/>
      <c r="AN100" s="458"/>
      <c r="AO100" s="458"/>
      <c r="AP100" s="458"/>
      <c r="AQ100" s="458"/>
      <c r="AR100" s="458"/>
      <c r="AS100" s="458"/>
      <c r="AT100" s="458"/>
      <c r="AU100" s="458"/>
    </row>
    <row r="101" spans="8:47" ht="12.75" customHeight="1" outlineLevel="1">
      <c r="M101" s="462"/>
      <c r="N101" s="458"/>
      <c r="O101" s="458"/>
      <c r="P101" s="458"/>
      <c r="Q101" s="458"/>
      <c r="R101" s="458"/>
      <c r="S101" s="458"/>
      <c r="T101" s="458"/>
      <c r="U101" s="458"/>
      <c r="V101" s="458"/>
      <c r="W101" s="458"/>
      <c r="X101" s="1047"/>
      <c r="Y101" s="458"/>
      <c r="Z101" s="458"/>
      <c r="AA101" s="458"/>
      <c r="AC101" s="458"/>
      <c r="AD101" s="458"/>
      <c r="AE101" s="458"/>
      <c r="AF101" s="458"/>
      <c r="AG101" s="458"/>
      <c r="AH101" s="458"/>
      <c r="AI101" s="458"/>
      <c r="AJ101" s="458"/>
    </row>
    <row r="102" spans="8:47" ht="12.75" customHeight="1" outlineLevel="1">
      <c r="H102" s="462" t="s">
        <v>1305</v>
      </c>
      <c r="I102" s="2945" t="s">
        <v>1306</v>
      </c>
      <c r="J102" s="2945"/>
      <c r="K102" s="2945"/>
      <c r="M102" s="462"/>
      <c r="N102" s="458"/>
      <c r="O102" s="458"/>
      <c r="P102" s="458"/>
      <c r="Q102" s="458"/>
      <c r="R102" s="458"/>
      <c r="S102" s="458"/>
      <c r="T102" s="458"/>
      <c r="U102" s="458"/>
      <c r="V102" s="458"/>
      <c r="W102" s="458"/>
      <c r="X102" s="458"/>
      <c r="Y102" s="458"/>
      <c r="Z102" s="458"/>
      <c r="AA102" s="458"/>
      <c r="AC102" s="458"/>
      <c r="AD102" s="458"/>
      <c r="AE102" s="458"/>
      <c r="AF102" s="458"/>
      <c r="AG102" s="458"/>
      <c r="AH102" s="458"/>
      <c r="AI102" s="458"/>
      <c r="AJ102" s="458"/>
    </row>
    <row r="103" spans="8:47" ht="12.75" customHeight="1" outlineLevel="1">
      <c r="I103" s="1096" t="s">
        <v>1036</v>
      </c>
      <c r="J103" s="1096" t="s">
        <v>1037</v>
      </c>
      <c r="K103" s="1096" t="s">
        <v>1038</v>
      </c>
      <c r="M103" s="462"/>
      <c r="N103" s="2934" t="s">
        <v>1307</v>
      </c>
      <c r="O103" s="2935"/>
      <c r="P103" s="2935"/>
      <c r="Q103" s="2935"/>
      <c r="R103" s="2936"/>
      <c r="S103" s="2939" t="s">
        <v>1308</v>
      </c>
      <c r="T103" s="2940"/>
      <c r="U103" s="2940"/>
      <c r="V103" s="2940"/>
      <c r="W103" s="2941"/>
      <c r="X103" s="1097" t="s">
        <v>1304</v>
      </c>
      <c r="Y103" s="458"/>
      <c r="Z103" s="458"/>
      <c r="AA103" s="458"/>
      <c r="AD103" s="1047"/>
      <c r="AE103" s="1047"/>
      <c r="AF103" s="1047"/>
      <c r="AH103" s="1047"/>
      <c r="AI103" s="1047"/>
      <c r="AJ103" s="1047"/>
    </row>
    <row r="104" spans="8:47" ht="12.75" customHeight="1" outlineLevel="1">
      <c r="H104" s="1096" t="s">
        <v>1748</v>
      </c>
      <c r="I104" s="1048">
        <v>911.88228122151418</v>
      </c>
      <c r="J104" s="1048">
        <v>0</v>
      </c>
      <c r="K104" s="1048">
        <v>0</v>
      </c>
      <c r="L104" s="1048"/>
      <c r="M104" s="1048"/>
      <c r="N104" s="1098" t="s">
        <v>1787</v>
      </c>
      <c r="O104" s="1049" t="s">
        <v>1001</v>
      </c>
      <c r="P104" s="1049" t="s">
        <v>1002</v>
      </c>
      <c r="Q104" s="1049" t="s">
        <v>1012</v>
      </c>
      <c r="R104" s="1049"/>
      <c r="S104" s="1050" t="str">
        <f t="shared" ref="S104:S119" si="20">N104</f>
        <v>Tier1</v>
      </c>
      <c r="T104" s="1050" t="str">
        <f t="shared" ref="T104:T119" si="21">IF(O104="basmnt","Unheated Basement",IF(O104="indor2","Interior",IF(O104="ducted","Interior - Exhaust Ducted",O104)))</f>
        <v>garage</v>
      </c>
      <c r="U104" s="1050" t="str">
        <f t="shared" ref="U104:U119" si="22">P104</f>
        <v>HZ1</v>
      </c>
      <c r="V104" s="1050" t="str">
        <f t="shared" ref="V104:V119" si="23">IF(OR(R104="0-55gallons",R104="&gt;55gallons",R104="AnySize"),IF(Q104="resistheat","Electric Resistance",IF(Q104="hp85","Heat Pump HSPF 8.5",Q104)),"Any")</f>
        <v>Any</v>
      </c>
      <c r="W104" s="1050" t="str">
        <f t="shared" ref="W104:W119" si="24">IF(V104="Any",Q104,R104)</f>
        <v>AnySize</v>
      </c>
      <c r="X104" s="1051">
        <f>IF(S104="tier1",IFERROR(INDEX($L$202:$N$206,MATCH(T104&amp;V104,$K$202:$K$206,0),MATCH(U104,$L$200:$N$200,0)),""),IFERROR(INDEX($T$202:$V$209,MATCH(T104&amp;V104,$S$202:$S$209,0),MATCH(U104,$T$200:$V$200,0)),""))</f>
        <v>0.17798040000000001</v>
      </c>
      <c r="Y104" s="458"/>
      <c r="Z104" s="458"/>
      <c r="AA104" s="458"/>
      <c r="AC104" s="1052"/>
      <c r="AD104" s="1053"/>
      <c r="AE104" s="1053"/>
      <c r="AF104" s="1053"/>
      <c r="AG104" s="1052"/>
      <c r="AH104" s="1053"/>
      <c r="AI104" s="1053"/>
      <c r="AJ104" s="1053"/>
    </row>
    <row r="105" spans="8:47" ht="12.75" customHeight="1" outlineLevel="1">
      <c r="H105" s="1096" t="s">
        <v>1749</v>
      </c>
      <c r="I105" s="1048">
        <v>756.37411054433676</v>
      </c>
      <c r="J105" s="1048">
        <v>0</v>
      </c>
      <c r="K105" s="1048">
        <v>0</v>
      </c>
      <c r="L105" s="1048"/>
      <c r="M105" s="1048"/>
      <c r="N105" s="1098" t="s">
        <v>1787</v>
      </c>
      <c r="O105" s="1049" t="s">
        <v>1001</v>
      </c>
      <c r="P105" s="1049" t="s">
        <v>1003</v>
      </c>
      <c r="Q105" s="1049" t="s">
        <v>1012</v>
      </c>
      <c r="R105" s="1049"/>
      <c r="S105" s="1050" t="str">
        <f t="shared" si="20"/>
        <v>Tier1</v>
      </c>
      <c r="T105" s="1050" t="str">
        <f t="shared" si="21"/>
        <v>garage</v>
      </c>
      <c r="U105" s="1050" t="str">
        <f t="shared" si="22"/>
        <v>HZ2</v>
      </c>
      <c r="V105" s="1050" t="str">
        <f t="shared" si="23"/>
        <v>Any</v>
      </c>
      <c r="W105" s="1050" t="str">
        <f t="shared" si="24"/>
        <v>AnySize</v>
      </c>
      <c r="X105" s="1051">
        <f t="shared" ref="X105:X166" si="25">IF(S105="tier1",IFERROR(INDEX($L$202:$N$206,MATCH(T105&amp;V105,$K$202:$K$206,0),MATCH(U105,$L$200:$N$200,0)),""),IFERROR(INDEX($T$202:$V$209,MATCH(T105&amp;V105,$S$202:$S$209,0),MATCH(U105,$T$200:$V$200,0)),""))</f>
        <v>1.2668799999999999E-2</v>
      </c>
      <c r="Y105" s="458"/>
      <c r="Z105" s="458"/>
      <c r="AA105" s="458"/>
      <c r="AC105" s="1052"/>
      <c r="AD105" s="1053"/>
      <c r="AE105" s="1053"/>
      <c r="AF105" s="1053"/>
      <c r="AG105" s="1052"/>
      <c r="AH105" s="1053"/>
      <c r="AI105" s="1053"/>
      <c r="AJ105" s="1053"/>
    </row>
    <row r="106" spans="8:47" ht="12.75" customHeight="1" outlineLevel="1">
      <c r="H106" s="1096" t="s">
        <v>1750</v>
      </c>
      <c r="I106" s="1048">
        <v>574.54029655327577</v>
      </c>
      <c r="J106" s="1048">
        <v>0</v>
      </c>
      <c r="K106" s="1048">
        <v>0</v>
      </c>
      <c r="L106" s="1048"/>
      <c r="M106" s="1048"/>
      <c r="N106" s="1098" t="s">
        <v>1787</v>
      </c>
      <c r="O106" s="1049" t="s">
        <v>1001</v>
      </c>
      <c r="P106" s="1049" t="s">
        <v>1004</v>
      </c>
      <c r="Q106" s="1049" t="s">
        <v>1012</v>
      </c>
      <c r="R106" s="1049"/>
      <c r="S106" s="1050" t="str">
        <f t="shared" si="20"/>
        <v>Tier1</v>
      </c>
      <c r="T106" s="1050" t="str">
        <f t="shared" si="21"/>
        <v>garage</v>
      </c>
      <c r="U106" s="1050" t="str">
        <f t="shared" si="22"/>
        <v>HZ3</v>
      </c>
      <c r="V106" s="1050" t="str">
        <f t="shared" si="23"/>
        <v>Any</v>
      </c>
      <c r="W106" s="1050" t="str">
        <f t="shared" si="24"/>
        <v>AnySize</v>
      </c>
      <c r="X106" s="1051">
        <f t="shared" si="25"/>
        <v>2.728E-3</v>
      </c>
      <c r="Y106" s="458"/>
      <c r="Z106" s="458"/>
      <c r="AA106" s="458"/>
      <c r="AC106" s="1052"/>
      <c r="AD106" s="1053"/>
      <c r="AE106" s="1053"/>
      <c r="AF106" s="1053"/>
      <c r="AG106" s="1052"/>
      <c r="AH106" s="1053"/>
      <c r="AI106" s="1053"/>
      <c r="AJ106" s="1053"/>
    </row>
    <row r="107" spans="8:47" ht="12.75" customHeight="1" outlineLevel="1">
      <c r="H107" s="1096" t="s">
        <v>1751</v>
      </c>
      <c r="I107" s="1048">
        <v>958.53748830240897</v>
      </c>
      <c r="J107" s="1048">
        <v>0</v>
      </c>
      <c r="K107" s="1048">
        <v>0</v>
      </c>
      <c r="L107" s="1048"/>
      <c r="M107" s="1048"/>
      <c r="N107" s="1098" t="s">
        <v>1787</v>
      </c>
      <c r="O107" s="1049" t="s">
        <v>1005</v>
      </c>
      <c r="P107" s="1049" t="s">
        <v>1002</v>
      </c>
      <c r="Q107" s="1049" t="s">
        <v>1012</v>
      </c>
      <c r="R107" s="1049"/>
      <c r="S107" s="1050" t="str">
        <f t="shared" si="20"/>
        <v>Tier1</v>
      </c>
      <c r="T107" s="1050" t="str">
        <f t="shared" si="21"/>
        <v>Unheated Basement</v>
      </c>
      <c r="U107" s="1050" t="str">
        <f t="shared" si="22"/>
        <v>HZ1</v>
      </c>
      <c r="V107" s="1050" t="str">
        <f t="shared" si="23"/>
        <v>Any</v>
      </c>
      <c r="W107" s="1050" t="str">
        <f t="shared" si="24"/>
        <v>AnySize</v>
      </c>
      <c r="X107" s="1051">
        <f t="shared" si="25"/>
        <v>0.26012520000000006</v>
      </c>
      <c r="Y107" s="458"/>
      <c r="Z107" s="458"/>
      <c r="AA107" s="458"/>
      <c r="AC107" s="1052"/>
      <c r="AD107" s="1053"/>
      <c r="AE107" s="1053"/>
      <c r="AF107" s="1053"/>
      <c r="AG107" s="1052"/>
      <c r="AH107" s="1053"/>
      <c r="AI107" s="1053"/>
      <c r="AJ107" s="1053"/>
    </row>
    <row r="108" spans="8:47" ht="12.75" customHeight="1" outlineLevel="1">
      <c r="H108" s="1096" t="s">
        <v>1752</v>
      </c>
      <c r="I108" s="1048">
        <v>933.73518844900934</v>
      </c>
      <c r="J108" s="1048">
        <v>0</v>
      </c>
      <c r="K108" s="1048">
        <v>0</v>
      </c>
      <c r="L108" s="1048"/>
      <c r="M108" s="1048"/>
      <c r="N108" s="1098" t="s">
        <v>1787</v>
      </c>
      <c r="O108" s="1049" t="s">
        <v>1005</v>
      </c>
      <c r="P108" s="1049" t="s">
        <v>1003</v>
      </c>
      <c r="Q108" s="1049" t="s">
        <v>1012</v>
      </c>
      <c r="R108" s="1049"/>
      <c r="S108" s="1050" t="str">
        <f t="shared" si="20"/>
        <v>Tier1</v>
      </c>
      <c r="T108" s="1050" t="str">
        <f t="shared" si="21"/>
        <v>Unheated Basement</v>
      </c>
      <c r="U108" s="1050" t="str">
        <f t="shared" si="22"/>
        <v>HZ2</v>
      </c>
      <c r="V108" s="1050" t="str">
        <f t="shared" si="23"/>
        <v>Any</v>
      </c>
      <c r="W108" s="1050" t="str">
        <f t="shared" si="24"/>
        <v>AnySize</v>
      </c>
      <c r="X108" s="1051">
        <f t="shared" si="25"/>
        <v>8.9708800000000005E-2</v>
      </c>
      <c r="Y108" s="458"/>
      <c r="Z108" s="458"/>
      <c r="AA108" s="458"/>
      <c r="AC108" s="1052"/>
      <c r="AD108" s="1053"/>
      <c r="AE108" s="1053"/>
      <c r="AF108" s="1053"/>
      <c r="AG108" s="1052"/>
      <c r="AH108" s="1053"/>
      <c r="AI108" s="1053"/>
      <c r="AJ108" s="1053"/>
    </row>
    <row r="109" spans="8:47" ht="12.75" customHeight="1" outlineLevel="1">
      <c r="H109" s="1096" t="s">
        <v>1753</v>
      </c>
      <c r="I109" s="1048">
        <v>865.16667636827003</v>
      </c>
      <c r="J109" s="1048">
        <v>0</v>
      </c>
      <c r="K109" s="1048">
        <v>0</v>
      </c>
      <c r="L109" s="1048"/>
      <c r="M109" s="1048"/>
      <c r="N109" s="1098" t="s">
        <v>1787</v>
      </c>
      <c r="O109" s="1049" t="s">
        <v>1005</v>
      </c>
      <c r="P109" s="1049" t="s">
        <v>1004</v>
      </c>
      <c r="Q109" s="1049" t="s">
        <v>1012</v>
      </c>
      <c r="R109" s="1049"/>
      <c r="S109" s="1050" t="str">
        <f t="shared" si="20"/>
        <v>Tier1</v>
      </c>
      <c r="T109" s="1050" t="str">
        <f t="shared" si="21"/>
        <v>Unheated Basement</v>
      </c>
      <c r="U109" s="1050" t="str">
        <f t="shared" si="22"/>
        <v>HZ3</v>
      </c>
      <c r="V109" s="1050" t="str">
        <f t="shared" si="23"/>
        <v>Any</v>
      </c>
      <c r="W109" s="1050" t="str">
        <f t="shared" si="24"/>
        <v>AnySize</v>
      </c>
      <c r="X109" s="1051">
        <f t="shared" si="25"/>
        <v>4.7057999999999996E-2</v>
      </c>
      <c r="Y109" s="458"/>
      <c r="Z109" s="458"/>
      <c r="AA109" s="458"/>
      <c r="AC109" s="1052"/>
      <c r="AD109" s="1053"/>
      <c r="AE109" s="1053"/>
      <c r="AF109" s="1053"/>
      <c r="AG109" s="1052"/>
      <c r="AH109" s="1053"/>
      <c r="AI109" s="1053"/>
      <c r="AJ109" s="1053"/>
    </row>
    <row r="110" spans="8:47" ht="12.75" customHeight="1" outlineLevel="1">
      <c r="H110" s="1096" t="s">
        <v>1754</v>
      </c>
      <c r="I110" s="1048">
        <v>1087.4309261352419</v>
      </c>
      <c r="J110" s="1048">
        <v>-16.693160849865031</v>
      </c>
      <c r="K110" s="1048">
        <v>15.487681402120463</v>
      </c>
      <c r="L110" s="1048"/>
      <c r="M110" s="1048"/>
      <c r="N110" s="1098" t="s">
        <v>1787</v>
      </c>
      <c r="O110" s="1049" t="s">
        <v>1006</v>
      </c>
      <c r="P110" s="1049" t="s">
        <v>1002</v>
      </c>
      <c r="Q110" s="1049" t="s">
        <v>1007</v>
      </c>
      <c r="R110" s="1049" t="s">
        <v>1012</v>
      </c>
      <c r="S110" s="1050" t="str">
        <f t="shared" si="20"/>
        <v>Tier1</v>
      </c>
      <c r="T110" s="1050" t="str">
        <f t="shared" si="21"/>
        <v>Interior</v>
      </c>
      <c r="U110" s="1050" t="str">
        <f t="shared" si="22"/>
        <v>HZ1</v>
      </c>
      <c r="V110" s="1050" t="str">
        <f t="shared" si="23"/>
        <v>gas</v>
      </c>
      <c r="W110" s="1050" t="str">
        <f t="shared" si="24"/>
        <v>AnySize</v>
      </c>
      <c r="X110" s="1051">
        <f t="shared" si="25"/>
        <v>0.17685831008337968</v>
      </c>
      <c r="Y110" s="458"/>
      <c r="Z110" s="458"/>
      <c r="AA110" s="458"/>
      <c r="AC110" s="1052"/>
      <c r="AD110" s="1053"/>
      <c r="AE110" s="1053"/>
      <c r="AF110" s="1053"/>
      <c r="AG110" s="1052"/>
      <c r="AH110" s="1053"/>
      <c r="AI110" s="1053"/>
      <c r="AJ110" s="1053"/>
    </row>
    <row r="111" spans="8:47" ht="12.75" customHeight="1" outlineLevel="1">
      <c r="H111" s="1096" t="s">
        <v>1755</v>
      </c>
      <c r="I111" s="1048">
        <v>1089.4767939877675</v>
      </c>
      <c r="J111" s="1048">
        <v>-406.13095639294374</v>
      </c>
      <c r="K111" s="1048">
        <v>0</v>
      </c>
      <c r="L111" s="1048"/>
      <c r="M111" s="1048"/>
      <c r="N111" s="1098" t="s">
        <v>1787</v>
      </c>
      <c r="O111" s="1049" t="s">
        <v>1006</v>
      </c>
      <c r="P111" s="1049" t="s">
        <v>1002</v>
      </c>
      <c r="Q111" s="1049" t="s">
        <v>1008</v>
      </c>
      <c r="R111" s="1049" t="s">
        <v>1012</v>
      </c>
      <c r="S111" s="1050" t="str">
        <f t="shared" si="20"/>
        <v>Tier1</v>
      </c>
      <c r="T111" s="1050" t="str">
        <f t="shared" si="21"/>
        <v>Interior</v>
      </c>
      <c r="U111" s="1050" t="str">
        <f t="shared" si="22"/>
        <v>HZ1</v>
      </c>
      <c r="V111" s="1050" t="str">
        <f t="shared" si="23"/>
        <v>Electric Resistance</v>
      </c>
      <c r="W111" s="1050" t="str">
        <f t="shared" si="24"/>
        <v>AnySize</v>
      </c>
      <c r="X111" s="1051">
        <f t="shared" si="25"/>
        <v>8.8860807365052252E-2</v>
      </c>
      <c r="Y111" s="458"/>
      <c r="Z111" s="458"/>
      <c r="AA111" s="458"/>
      <c r="AC111" s="1052"/>
      <c r="AD111" s="1053"/>
      <c r="AE111" s="1053"/>
      <c r="AF111" s="1053"/>
      <c r="AG111" s="1052"/>
      <c r="AH111" s="1053"/>
      <c r="AI111" s="1053"/>
      <c r="AJ111" s="1053"/>
    </row>
    <row r="112" spans="8:47" ht="12.75" customHeight="1" outlineLevel="1">
      <c r="H112" s="1096" t="s">
        <v>1756</v>
      </c>
      <c r="I112" s="1048">
        <v>1085.3377717870469</v>
      </c>
      <c r="J112" s="1048">
        <v>-198.00794564330073</v>
      </c>
      <c r="K112" s="1048">
        <v>31.188304510157305</v>
      </c>
      <c r="L112" s="1048"/>
      <c r="M112" s="1048"/>
      <c r="N112" s="1098" t="s">
        <v>1787</v>
      </c>
      <c r="O112" s="1049" t="s">
        <v>1006</v>
      </c>
      <c r="P112" s="1049" t="s">
        <v>1002</v>
      </c>
      <c r="Q112" s="1049" t="s">
        <v>1009</v>
      </c>
      <c r="R112" s="1049" t="s">
        <v>1012</v>
      </c>
      <c r="S112" s="1050" t="str">
        <f t="shared" si="20"/>
        <v>Tier1</v>
      </c>
      <c r="T112" s="1050" t="str">
        <f t="shared" si="21"/>
        <v>Interior</v>
      </c>
      <c r="U112" s="1050" t="str">
        <f t="shared" si="22"/>
        <v>HZ1</v>
      </c>
      <c r="V112" s="1050" t="str">
        <f t="shared" si="23"/>
        <v>Heat Pump HSPF 8.5</v>
      </c>
      <c r="W112" s="1050" t="str">
        <f t="shared" si="24"/>
        <v>AnySize</v>
      </c>
      <c r="X112" s="1051">
        <f t="shared" si="25"/>
        <v>5.6775282551568086E-2</v>
      </c>
      <c r="Y112" s="458"/>
      <c r="Z112" s="458"/>
      <c r="AA112" s="458"/>
      <c r="AC112" s="1052"/>
      <c r="AD112" s="1053"/>
      <c r="AE112" s="1053"/>
      <c r="AF112" s="1053"/>
      <c r="AG112" s="1052"/>
      <c r="AH112" s="1053"/>
      <c r="AI112" s="1053"/>
      <c r="AJ112" s="1053"/>
    </row>
    <row r="113" spans="8:36" ht="12.75" customHeight="1" outlineLevel="1">
      <c r="H113" s="1096" t="s">
        <v>1757</v>
      </c>
      <c r="I113" s="1048">
        <v>1085.0924804248079</v>
      </c>
      <c r="J113" s="1048">
        <v>-14.917253025085133</v>
      </c>
      <c r="K113" s="1048">
        <v>18.204859393912002</v>
      </c>
      <c r="L113" s="1048"/>
      <c r="M113" s="1048"/>
      <c r="N113" s="1098" t="s">
        <v>1787</v>
      </c>
      <c r="O113" s="1049" t="s">
        <v>1006</v>
      </c>
      <c r="P113" s="1049" t="s">
        <v>1003</v>
      </c>
      <c r="Q113" s="1049" t="s">
        <v>1007</v>
      </c>
      <c r="R113" s="1049" t="s">
        <v>1012</v>
      </c>
      <c r="S113" s="1050" t="str">
        <f t="shared" si="20"/>
        <v>Tier1</v>
      </c>
      <c r="T113" s="1050" t="str">
        <f t="shared" si="21"/>
        <v>Interior</v>
      </c>
      <c r="U113" s="1050" t="str">
        <f t="shared" si="22"/>
        <v>HZ2</v>
      </c>
      <c r="V113" s="1050" t="str">
        <f t="shared" si="23"/>
        <v>gas</v>
      </c>
      <c r="W113" s="1050" t="str">
        <f t="shared" si="24"/>
        <v>AnySize</v>
      </c>
      <c r="X113" s="1051">
        <f t="shared" si="25"/>
        <v>3.7742712307197862E-2</v>
      </c>
      <c r="Y113" s="458"/>
      <c r="Z113" s="458"/>
      <c r="AA113" s="458"/>
      <c r="AC113" s="1052"/>
      <c r="AD113" s="1053"/>
      <c r="AE113" s="1053"/>
      <c r="AF113" s="1053"/>
      <c r="AG113" s="1052"/>
      <c r="AH113" s="1053"/>
      <c r="AI113" s="1053"/>
      <c r="AJ113" s="1053"/>
    </row>
    <row r="114" spans="8:36" ht="12.75" customHeight="1" outlineLevel="1">
      <c r="H114" s="1096" t="s">
        <v>1758</v>
      </c>
      <c r="I114" s="1048">
        <v>1087.1153249549591</v>
      </c>
      <c r="J114" s="1048">
        <v>-352.8480844010486</v>
      </c>
      <c r="K114" s="1048">
        <v>0</v>
      </c>
      <c r="L114" s="1048"/>
      <c r="M114" s="1048"/>
      <c r="N114" s="1098" t="s">
        <v>1787</v>
      </c>
      <c r="O114" s="1049" t="s">
        <v>1006</v>
      </c>
      <c r="P114" s="1049" t="s">
        <v>1003</v>
      </c>
      <c r="Q114" s="1049" t="s">
        <v>1008</v>
      </c>
      <c r="R114" s="1049" t="s">
        <v>1012</v>
      </c>
      <c r="S114" s="1050" t="str">
        <f t="shared" si="20"/>
        <v>Tier1</v>
      </c>
      <c r="T114" s="1050" t="str">
        <f t="shared" si="21"/>
        <v>Interior</v>
      </c>
      <c r="U114" s="1050" t="str">
        <f t="shared" si="22"/>
        <v>HZ2</v>
      </c>
      <c r="V114" s="1050" t="str">
        <f t="shared" si="23"/>
        <v>Electric Resistance</v>
      </c>
      <c r="W114" s="1050" t="str">
        <f t="shared" si="24"/>
        <v>AnySize</v>
      </c>
      <c r="X114" s="1051">
        <f t="shared" si="25"/>
        <v>1.8963473563573731E-2</v>
      </c>
      <c r="Y114" s="458"/>
      <c r="Z114" s="458"/>
      <c r="AA114" s="458"/>
      <c r="AC114" s="1052"/>
      <c r="AD114" s="1053"/>
      <c r="AE114" s="1053"/>
      <c r="AF114" s="1053"/>
      <c r="AG114" s="1052"/>
      <c r="AH114" s="1053"/>
      <c r="AI114" s="1053"/>
      <c r="AJ114" s="1053"/>
    </row>
    <row r="115" spans="8:36" ht="12.75" customHeight="1" outlineLevel="1">
      <c r="H115" s="1096" t="s">
        <v>1759</v>
      </c>
      <c r="I115" s="1048">
        <v>1082.5549406370565</v>
      </c>
      <c r="J115" s="1048">
        <v>-226.33661966169618</v>
      </c>
      <c r="K115" s="1048">
        <v>36.647115975199554</v>
      </c>
      <c r="L115" s="1048"/>
      <c r="M115" s="1048"/>
      <c r="N115" s="1098" t="s">
        <v>1787</v>
      </c>
      <c r="O115" s="1049" t="s">
        <v>1006</v>
      </c>
      <c r="P115" s="1049" t="s">
        <v>1003</v>
      </c>
      <c r="Q115" s="1049" t="s">
        <v>1009</v>
      </c>
      <c r="R115" s="1049" t="s">
        <v>1012</v>
      </c>
      <c r="S115" s="1050" t="str">
        <f t="shared" si="20"/>
        <v>Tier1</v>
      </c>
      <c r="T115" s="1050" t="str">
        <f t="shared" si="21"/>
        <v>Interior</v>
      </c>
      <c r="U115" s="1050" t="str">
        <f t="shared" si="22"/>
        <v>HZ2</v>
      </c>
      <c r="V115" s="1050" t="str">
        <f t="shared" si="23"/>
        <v>Heat Pump HSPF 8.5</v>
      </c>
      <c r="W115" s="1050" t="str">
        <f t="shared" si="24"/>
        <v>AnySize</v>
      </c>
      <c r="X115" s="1051">
        <f t="shared" si="25"/>
        <v>1.2116214129228413E-2</v>
      </c>
      <c r="Y115" s="458"/>
      <c r="Z115" s="458"/>
      <c r="AA115" s="458"/>
      <c r="AC115" s="1052"/>
      <c r="AD115" s="1053"/>
      <c r="AE115" s="1053"/>
      <c r="AF115" s="1053"/>
      <c r="AG115" s="1052"/>
      <c r="AH115" s="1053"/>
      <c r="AI115" s="1053"/>
      <c r="AJ115" s="1053"/>
    </row>
    <row r="116" spans="8:36" ht="12.75" customHeight="1" outlineLevel="1">
      <c r="H116" s="1096" t="s">
        <v>1760</v>
      </c>
      <c r="I116" s="1048">
        <v>1030.5597308525425</v>
      </c>
      <c r="J116" s="1048">
        <v>-13.096083703739211</v>
      </c>
      <c r="K116" s="1048">
        <v>17.456717038293782</v>
      </c>
      <c r="L116" s="1048"/>
      <c r="M116" s="1048"/>
      <c r="N116" s="1098" t="s">
        <v>1787</v>
      </c>
      <c r="O116" s="1049" t="s">
        <v>1006</v>
      </c>
      <c r="P116" s="1049" t="s">
        <v>1004</v>
      </c>
      <c r="Q116" s="1049" t="s">
        <v>1007</v>
      </c>
      <c r="R116" s="1049" t="s">
        <v>1012</v>
      </c>
      <c r="S116" s="1050" t="str">
        <f t="shared" si="20"/>
        <v>Tier1</v>
      </c>
      <c r="T116" s="1050" t="str">
        <f t="shared" si="21"/>
        <v>Interior</v>
      </c>
      <c r="U116" s="1050" t="str">
        <f t="shared" si="22"/>
        <v>HZ3</v>
      </c>
      <c r="V116" s="1050" t="str">
        <f t="shared" si="23"/>
        <v>gas</v>
      </c>
      <c r="W116" s="1050" t="str">
        <f t="shared" si="24"/>
        <v>AnySize</v>
      </c>
      <c r="X116" s="1051">
        <f t="shared" si="25"/>
        <v>1.0098373558968322E-2</v>
      </c>
      <c r="Y116" s="458"/>
      <c r="Z116" s="458"/>
      <c r="AA116" s="458"/>
      <c r="AC116" s="1052"/>
      <c r="AD116" s="1053"/>
      <c r="AE116" s="1053"/>
      <c r="AF116" s="1053"/>
      <c r="AG116" s="1052"/>
      <c r="AH116" s="1053"/>
      <c r="AI116" s="1053"/>
      <c r="AJ116" s="1053"/>
    </row>
    <row r="117" spans="8:36" ht="12.75" customHeight="1" outlineLevel="1">
      <c r="H117" s="1096" t="s">
        <v>1761</v>
      </c>
      <c r="I117" s="1048">
        <v>1033.8882116392974</v>
      </c>
      <c r="J117" s="1048">
        <v>-307.80966471877002</v>
      </c>
      <c r="K117" s="1048">
        <v>0</v>
      </c>
      <c r="L117" s="1048"/>
      <c r="M117" s="1048"/>
      <c r="N117" s="1098" t="s">
        <v>1787</v>
      </c>
      <c r="O117" s="1049" t="s">
        <v>1006</v>
      </c>
      <c r="P117" s="1049" t="s">
        <v>1004</v>
      </c>
      <c r="Q117" s="1049" t="s">
        <v>1008</v>
      </c>
      <c r="R117" s="1049" t="s">
        <v>1012</v>
      </c>
      <c r="S117" s="1050" t="str">
        <f t="shared" si="20"/>
        <v>Tier1</v>
      </c>
      <c r="T117" s="1050" t="str">
        <f t="shared" si="21"/>
        <v>Interior</v>
      </c>
      <c r="U117" s="1050" t="str">
        <f t="shared" si="22"/>
        <v>HZ3</v>
      </c>
      <c r="V117" s="1050" t="str">
        <f t="shared" si="23"/>
        <v>Electric Resistance</v>
      </c>
      <c r="W117" s="1050" t="str">
        <f t="shared" si="24"/>
        <v>AnySize</v>
      </c>
      <c r="X117" s="1051">
        <f t="shared" si="25"/>
        <v>5.0738335512804942E-3</v>
      </c>
      <c r="Y117" s="458"/>
      <c r="Z117" s="458"/>
      <c r="AA117" s="458"/>
      <c r="AC117" s="1052"/>
      <c r="AD117" s="1053"/>
      <c r="AE117" s="1053"/>
      <c r="AF117" s="1053"/>
      <c r="AG117" s="1052"/>
      <c r="AH117" s="1053"/>
      <c r="AI117" s="1053"/>
      <c r="AJ117" s="1053"/>
    </row>
    <row r="118" spans="8:36" ht="12.75" customHeight="1" outlineLevel="1">
      <c r="H118" s="1096" t="s">
        <v>1762</v>
      </c>
      <c r="I118" s="1048">
        <v>1027.1783311086767</v>
      </c>
      <c r="J118" s="1048">
        <v>-224.4339757980577</v>
      </c>
      <c r="K118" s="1048">
        <v>35.134123246563249</v>
      </c>
      <c r="L118" s="1048"/>
      <c r="M118" s="1048"/>
      <c r="N118" s="1098" t="s">
        <v>1787</v>
      </c>
      <c r="O118" s="1049" t="s">
        <v>1006</v>
      </c>
      <c r="P118" s="1049" t="s">
        <v>1004</v>
      </c>
      <c r="Q118" s="1049" t="s">
        <v>1009</v>
      </c>
      <c r="R118" s="1049" t="s">
        <v>1012</v>
      </c>
      <c r="S118" s="1050" t="str">
        <f t="shared" si="20"/>
        <v>Tier1</v>
      </c>
      <c r="T118" s="1050" t="str">
        <f t="shared" si="21"/>
        <v>Interior</v>
      </c>
      <c r="U118" s="1050" t="str">
        <f t="shared" si="22"/>
        <v>HZ3</v>
      </c>
      <c r="V118" s="1050" t="str">
        <f t="shared" si="23"/>
        <v>Heat Pump HSPF 8.5</v>
      </c>
      <c r="W118" s="1050" t="str">
        <f t="shared" si="24"/>
        <v>AnySize</v>
      </c>
      <c r="X118" s="1051">
        <f t="shared" si="25"/>
        <v>3.2417928897511853E-3</v>
      </c>
      <c r="Y118" s="458"/>
      <c r="Z118" s="458"/>
      <c r="AA118" s="458"/>
      <c r="AC118" s="1052"/>
      <c r="AD118" s="1053"/>
      <c r="AE118" s="1053"/>
      <c r="AF118" s="1053"/>
      <c r="AG118" s="1052"/>
      <c r="AH118" s="1053"/>
      <c r="AI118" s="1053"/>
      <c r="AJ118" s="1053"/>
    </row>
    <row r="119" spans="8:36" ht="12.75" customHeight="1" outlineLevel="1">
      <c r="H119" s="1096" t="s">
        <v>1763</v>
      </c>
      <c r="I119" s="1048">
        <v>1213.6986602939171</v>
      </c>
      <c r="J119" s="1048">
        <v>0</v>
      </c>
      <c r="K119" s="1048">
        <v>0</v>
      </c>
      <c r="L119" s="1048"/>
      <c r="M119" s="1048"/>
      <c r="N119" s="1098" t="s">
        <v>1788</v>
      </c>
      <c r="O119" s="1049" t="s">
        <v>1001</v>
      </c>
      <c r="P119" s="1049" t="s">
        <v>1002</v>
      </c>
      <c r="Q119" s="1049" t="s">
        <v>1012</v>
      </c>
      <c r="R119" s="1049"/>
      <c r="S119" s="1050" t="str">
        <f t="shared" si="20"/>
        <v>Tier2</v>
      </c>
      <c r="T119" s="1050" t="str">
        <f t="shared" si="21"/>
        <v>garage</v>
      </c>
      <c r="U119" s="1050" t="str">
        <f t="shared" si="22"/>
        <v>HZ1</v>
      </c>
      <c r="V119" s="1050" t="str">
        <f t="shared" si="23"/>
        <v>Any</v>
      </c>
      <c r="W119" s="1050" t="str">
        <f t="shared" si="24"/>
        <v>AnySize</v>
      </c>
      <c r="X119" s="1051">
        <f t="shared" si="25"/>
        <v>0.17798040000000001</v>
      </c>
      <c r="Y119" s="458"/>
      <c r="Z119" s="458"/>
      <c r="AA119" s="458"/>
      <c r="AC119" s="1052"/>
      <c r="AD119" s="1053"/>
      <c r="AE119" s="1053"/>
      <c r="AF119" s="1053"/>
      <c r="AG119" s="1052"/>
      <c r="AH119" s="1053"/>
      <c r="AI119" s="1053"/>
      <c r="AJ119" s="1053"/>
    </row>
    <row r="120" spans="8:36" ht="12.75" customHeight="1" outlineLevel="1">
      <c r="H120" s="1096" t="s">
        <v>1764</v>
      </c>
      <c r="I120" s="1048">
        <v>1158.9394031555457</v>
      </c>
      <c r="J120" s="1048">
        <v>0</v>
      </c>
      <c r="K120" s="1048">
        <v>0</v>
      </c>
      <c r="L120" s="1048"/>
      <c r="M120" s="1048"/>
      <c r="N120" s="1098" t="s">
        <v>1788</v>
      </c>
      <c r="O120" s="1049" t="s">
        <v>1001</v>
      </c>
      <c r="P120" s="1049" t="s">
        <v>1003</v>
      </c>
      <c r="Q120" s="1049" t="s">
        <v>1012</v>
      </c>
      <c r="R120" s="1049"/>
      <c r="S120" s="1050" t="str">
        <f t="shared" ref="S120:S127" si="26">N120</f>
        <v>Tier2</v>
      </c>
      <c r="T120" s="1050" t="str">
        <f t="shared" ref="T120:T127" si="27">IF(O120="basmnt","Unheated Basement",IF(O120="indor2","Interior",IF(O120="ducted","Interior - Exhaust Ducted",O120)))</f>
        <v>garage</v>
      </c>
      <c r="U120" s="1050" t="str">
        <f t="shared" ref="U120:U127" si="28">P120</f>
        <v>HZ2</v>
      </c>
      <c r="V120" s="1050" t="str">
        <f t="shared" ref="V120:V127" si="29">IF(OR(R120="0-55gallons",R120="&gt;55gallons",R120="AnySize"),IF(Q120="resistheat","Electric Resistance",IF(Q120="hp85","Heat Pump HSPF 8.5",Q120)),"Any")</f>
        <v>Any</v>
      </c>
      <c r="W120" s="1050" t="str">
        <f t="shared" ref="W120:W127" si="30">IF(V120="Any",Q120,R120)</f>
        <v>AnySize</v>
      </c>
      <c r="X120" s="1051">
        <f t="shared" si="25"/>
        <v>1.2668799999999999E-2</v>
      </c>
      <c r="Y120" s="458"/>
      <c r="Z120" s="458"/>
      <c r="AA120" s="458"/>
      <c r="AC120" s="1052"/>
      <c r="AD120" s="1053"/>
      <c r="AE120" s="1053"/>
      <c r="AF120" s="1053"/>
      <c r="AG120" s="1052"/>
      <c r="AH120" s="1053"/>
      <c r="AI120" s="1053"/>
      <c r="AJ120" s="1053"/>
    </row>
    <row r="121" spans="8:36" ht="12.75" customHeight="1" outlineLevel="1">
      <c r="H121" s="1096" t="s">
        <v>1765</v>
      </c>
      <c r="I121" s="1048">
        <v>1066.8038453768486</v>
      </c>
      <c r="J121" s="1048">
        <v>0</v>
      </c>
      <c r="K121" s="1048">
        <v>0</v>
      </c>
      <c r="L121" s="1048"/>
      <c r="M121" s="1048"/>
      <c r="N121" s="1098" t="s">
        <v>1788</v>
      </c>
      <c r="O121" s="1049" t="s">
        <v>1001</v>
      </c>
      <c r="P121" s="1049" t="s">
        <v>1004</v>
      </c>
      <c r="Q121" s="1049" t="s">
        <v>1012</v>
      </c>
      <c r="R121" s="1049"/>
      <c r="S121" s="1050" t="str">
        <f t="shared" si="26"/>
        <v>Tier2</v>
      </c>
      <c r="T121" s="1050" t="str">
        <f t="shared" si="27"/>
        <v>garage</v>
      </c>
      <c r="U121" s="1050" t="str">
        <f t="shared" si="28"/>
        <v>HZ3</v>
      </c>
      <c r="V121" s="1050" t="str">
        <f t="shared" si="29"/>
        <v>Any</v>
      </c>
      <c r="W121" s="1050" t="str">
        <f t="shared" si="30"/>
        <v>AnySize</v>
      </c>
      <c r="X121" s="1051">
        <f t="shared" si="25"/>
        <v>2.728E-3</v>
      </c>
      <c r="Y121" s="458"/>
      <c r="Z121" s="458"/>
      <c r="AA121" s="458"/>
      <c r="AC121" s="1052"/>
      <c r="AD121" s="1053"/>
      <c r="AE121" s="1053"/>
      <c r="AF121" s="1053"/>
      <c r="AG121" s="1052"/>
      <c r="AH121" s="1053"/>
      <c r="AI121" s="1053"/>
      <c r="AJ121" s="1053"/>
    </row>
    <row r="122" spans="8:36" ht="12.75" customHeight="1" outlineLevel="1">
      <c r="H122" s="1096" t="s">
        <v>1766</v>
      </c>
      <c r="I122" s="1048">
        <v>1229.9358878996647</v>
      </c>
      <c r="J122" s="1048">
        <v>0</v>
      </c>
      <c r="K122" s="1048">
        <v>0</v>
      </c>
      <c r="L122" s="1048"/>
      <c r="M122" s="1048"/>
      <c r="N122" s="1098" t="s">
        <v>1788</v>
      </c>
      <c r="O122" s="1049" t="s">
        <v>1005</v>
      </c>
      <c r="P122" s="1049" t="s">
        <v>1002</v>
      </c>
      <c r="Q122" s="1049" t="s">
        <v>1012</v>
      </c>
      <c r="R122" s="1049"/>
      <c r="S122" s="1050" t="str">
        <f t="shared" si="26"/>
        <v>Tier2</v>
      </c>
      <c r="T122" s="1050" t="str">
        <f t="shared" si="27"/>
        <v>Unheated Basement</v>
      </c>
      <c r="U122" s="1050" t="str">
        <f t="shared" si="28"/>
        <v>HZ1</v>
      </c>
      <c r="V122" s="1050" t="str">
        <f t="shared" si="29"/>
        <v>Any</v>
      </c>
      <c r="W122" s="1050" t="str">
        <f t="shared" si="30"/>
        <v>AnySize</v>
      </c>
      <c r="X122" s="1051">
        <f t="shared" si="25"/>
        <v>0.26012520000000006</v>
      </c>
      <c r="Y122" s="458"/>
      <c r="Z122" s="458"/>
      <c r="AA122" s="458"/>
      <c r="AC122" s="1052"/>
      <c r="AD122" s="1053"/>
      <c r="AE122" s="1053"/>
      <c r="AF122" s="1053"/>
      <c r="AG122" s="1052"/>
      <c r="AH122" s="1053"/>
      <c r="AI122" s="1053"/>
      <c r="AJ122" s="1053"/>
    </row>
    <row r="123" spans="8:36" ht="12.75" customHeight="1" outlineLevel="1">
      <c r="H123" s="1096" t="s">
        <v>1767</v>
      </c>
      <c r="I123" s="1048">
        <v>1226.1214862921922</v>
      </c>
      <c r="J123" s="1048">
        <v>0</v>
      </c>
      <c r="K123" s="1048">
        <v>0</v>
      </c>
      <c r="L123" s="1048"/>
      <c r="M123" s="1048"/>
      <c r="N123" s="1098" t="s">
        <v>1788</v>
      </c>
      <c r="O123" s="1049" t="s">
        <v>1005</v>
      </c>
      <c r="P123" s="1049" t="s">
        <v>1003</v>
      </c>
      <c r="Q123" s="1049" t="s">
        <v>1012</v>
      </c>
      <c r="R123" s="1049"/>
      <c r="S123" s="1050" t="str">
        <f t="shared" si="26"/>
        <v>Tier2</v>
      </c>
      <c r="T123" s="1050" t="str">
        <f t="shared" si="27"/>
        <v>Unheated Basement</v>
      </c>
      <c r="U123" s="1050" t="str">
        <f t="shared" si="28"/>
        <v>HZ2</v>
      </c>
      <c r="V123" s="1050" t="str">
        <f t="shared" si="29"/>
        <v>Any</v>
      </c>
      <c r="W123" s="1050" t="str">
        <f t="shared" si="30"/>
        <v>AnySize</v>
      </c>
      <c r="X123" s="1051">
        <f t="shared" si="25"/>
        <v>8.9708800000000005E-2</v>
      </c>
      <c r="Y123" s="458"/>
      <c r="Z123" s="458"/>
      <c r="AA123" s="458"/>
      <c r="AC123" s="1052"/>
      <c r="AD123" s="1053"/>
      <c r="AE123" s="1053"/>
      <c r="AF123" s="1053"/>
      <c r="AG123" s="1052"/>
      <c r="AH123" s="1053"/>
      <c r="AI123" s="1053"/>
      <c r="AJ123" s="1053"/>
    </row>
    <row r="124" spans="8:36" ht="12.75" customHeight="1" outlineLevel="1">
      <c r="H124" s="1096" t="s">
        <v>1768</v>
      </c>
      <c r="I124" s="1048">
        <v>1207.3350937133284</v>
      </c>
      <c r="J124" s="1048">
        <v>0</v>
      </c>
      <c r="K124" s="1048">
        <v>0</v>
      </c>
      <c r="L124" s="1048"/>
      <c r="M124" s="1048"/>
      <c r="N124" s="1098" t="s">
        <v>1788</v>
      </c>
      <c r="O124" s="1049" t="s">
        <v>1005</v>
      </c>
      <c r="P124" s="1049" t="s">
        <v>1004</v>
      </c>
      <c r="Q124" s="1049" t="s">
        <v>1012</v>
      </c>
      <c r="R124" s="1049"/>
      <c r="S124" s="1050" t="str">
        <f t="shared" si="26"/>
        <v>Tier2</v>
      </c>
      <c r="T124" s="1050" t="str">
        <f t="shared" si="27"/>
        <v>Unheated Basement</v>
      </c>
      <c r="U124" s="1050" t="str">
        <f t="shared" si="28"/>
        <v>HZ3</v>
      </c>
      <c r="V124" s="1050" t="str">
        <f t="shared" si="29"/>
        <v>Any</v>
      </c>
      <c r="W124" s="1050" t="str">
        <f t="shared" si="30"/>
        <v>AnySize</v>
      </c>
      <c r="X124" s="1051">
        <f t="shared" si="25"/>
        <v>4.7057999999999996E-2</v>
      </c>
      <c r="Y124" s="458"/>
      <c r="Z124" s="458"/>
      <c r="AA124" s="458"/>
      <c r="AC124" s="1052"/>
      <c r="AD124" s="1053"/>
      <c r="AE124" s="1053"/>
      <c r="AF124" s="1053"/>
      <c r="AG124" s="1052"/>
      <c r="AH124" s="1053"/>
      <c r="AI124" s="1053"/>
      <c r="AJ124" s="1053"/>
    </row>
    <row r="125" spans="8:36" ht="12.75" customHeight="1" outlineLevel="1">
      <c r="H125" s="1096" t="s">
        <v>1769</v>
      </c>
      <c r="I125" s="1048">
        <v>1402.2956028477115</v>
      </c>
      <c r="J125" s="1048">
        <v>-26.093964063162279</v>
      </c>
      <c r="K125" s="1048">
        <v>20.03422513740491</v>
      </c>
      <c r="L125" s="1048"/>
      <c r="M125" s="1048"/>
      <c r="N125" s="1098" t="s">
        <v>1788</v>
      </c>
      <c r="O125" s="1049" t="s">
        <v>1006</v>
      </c>
      <c r="P125" s="1049" t="s">
        <v>1002</v>
      </c>
      <c r="Q125" s="1049" t="s">
        <v>1007</v>
      </c>
      <c r="R125" s="1049" t="s">
        <v>1012</v>
      </c>
      <c r="S125" s="1050" t="str">
        <f t="shared" si="26"/>
        <v>Tier2</v>
      </c>
      <c r="T125" s="1050" t="str">
        <f t="shared" si="27"/>
        <v>Interior</v>
      </c>
      <c r="U125" s="1050" t="str">
        <f t="shared" si="28"/>
        <v>HZ1</v>
      </c>
      <c r="V125" s="1050" t="str">
        <f t="shared" si="29"/>
        <v>gas</v>
      </c>
      <c r="W125" s="1050" t="str">
        <f t="shared" si="30"/>
        <v>AnySize</v>
      </c>
      <c r="X125" s="1051">
        <f t="shared" si="25"/>
        <v>0.1697839776800445</v>
      </c>
      <c r="Y125" s="458"/>
      <c r="Z125" s="458"/>
      <c r="AA125" s="458"/>
      <c r="AC125" s="1052"/>
      <c r="AD125" s="1053"/>
      <c r="AE125" s="1053"/>
      <c r="AF125" s="1053"/>
      <c r="AG125" s="1052"/>
      <c r="AH125" s="1053"/>
      <c r="AI125" s="1053"/>
      <c r="AJ125" s="1053"/>
    </row>
    <row r="126" spans="8:36" ht="12.75" customHeight="1" outlineLevel="1">
      <c r="H126" s="1096" t="s">
        <v>1770</v>
      </c>
      <c r="I126" s="1048">
        <v>1404.2340608088812</v>
      </c>
      <c r="J126" s="1048">
        <v>-634.24364937005885</v>
      </c>
      <c r="K126" s="1048">
        <v>0</v>
      </c>
      <c r="L126" s="1048"/>
      <c r="M126" s="1048"/>
      <c r="N126" s="1098" t="s">
        <v>1788</v>
      </c>
      <c r="O126" s="1049" t="s">
        <v>1006</v>
      </c>
      <c r="P126" s="1049" t="s">
        <v>1002</v>
      </c>
      <c r="Q126" s="1049" t="s">
        <v>1008</v>
      </c>
      <c r="R126" s="1049" t="s">
        <v>1012</v>
      </c>
      <c r="S126" s="1050" t="str">
        <f t="shared" si="26"/>
        <v>Tier2</v>
      </c>
      <c r="T126" s="1050" t="str">
        <f t="shared" si="27"/>
        <v>Interior</v>
      </c>
      <c r="U126" s="1050" t="str">
        <f t="shared" si="28"/>
        <v>HZ1</v>
      </c>
      <c r="V126" s="1050" t="str">
        <f t="shared" si="29"/>
        <v>Electric Resistance</v>
      </c>
      <c r="W126" s="1050" t="str">
        <f t="shared" si="30"/>
        <v>AnySize</v>
      </c>
      <c r="X126" s="1051">
        <f t="shared" si="25"/>
        <v>8.5306375070450163E-2</v>
      </c>
      <c r="Y126" s="458"/>
      <c r="Z126" s="458"/>
      <c r="AA126" s="458"/>
      <c r="AC126" s="1052"/>
      <c r="AD126" s="1053"/>
      <c r="AE126" s="1053"/>
      <c r="AF126" s="1053"/>
      <c r="AG126" s="1052"/>
      <c r="AH126" s="1053"/>
      <c r="AI126" s="1053"/>
      <c r="AJ126" s="1053"/>
    </row>
    <row r="127" spans="8:36" ht="12.75" customHeight="1" outlineLevel="1">
      <c r="H127" s="1096" t="s">
        <v>1771</v>
      </c>
      <c r="I127" s="1048">
        <v>1400.3384615937446</v>
      </c>
      <c r="J127" s="1048">
        <v>-312.20056841463031</v>
      </c>
      <c r="K127" s="1048">
        <v>40.329002440049393</v>
      </c>
      <c r="L127" s="1048"/>
      <c r="M127" s="1048"/>
      <c r="N127" s="1098" t="s">
        <v>1788</v>
      </c>
      <c r="O127" s="1049" t="s">
        <v>1006</v>
      </c>
      <c r="P127" s="1049" t="s">
        <v>1002</v>
      </c>
      <c r="Q127" s="1049" t="s">
        <v>1009</v>
      </c>
      <c r="R127" s="1049" t="s">
        <v>1012</v>
      </c>
      <c r="S127" s="1050" t="str">
        <f t="shared" si="26"/>
        <v>Tier2</v>
      </c>
      <c r="T127" s="1050" t="str">
        <f t="shared" si="27"/>
        <v>Interior</v>
      </c>
      <c r="U127" s="1050" t="str">
        <f t="shared" si="28"/>
        <v>HZ1</v>
      </c>
      <c r="V127" s="1050" t="str">
        <f t="shared" si="29"/>
        <v>Heat Pump HSPF 8.5</v>
      </c>
      <c r="W127" s="1050" t="str">
        <f t="shared" si="30"/>
        <v>AnySize</v>
      </c>
      <c r="X127" s="1051">
        <f t="shared" si="25"/>
        <v>5.4504271249505361E-2</v>
      </c>
      <c r="Y127" s="458"/>
      <c r="Z127" s="458"/>
      <c r="AA127" s="458"/>
      <c r="AC127" s="1052"/>
      <c r="AD127" s="1053"/>
      <c r="AE127" s="1053"/>
      <c r="AF127" s="1053"/>
      <c r="AG127" s="1052"/>
      <c r="AH127" s="1053"/>
      <c r="AI127" s="1053"/>
      <c r="AJ127" s="1053"/>
    </row>
    <row r="128" spans="8:36" ht="12.75" customHeight="1" outlineLevel="1">
      <c r="H128" s="1096" t="s">
        <v>1772</v>
      </c>
      <c r="I128" s="1048">
        <v>1420.8651717716643</v>
      </c>
      <c r="J128" s="1048">
        <v>-23.917120390073016</v>
      </c>
      <c r="K128" s="1048">
        <v>23.568373682292304</v>
      </c>
      <c r="L128" s="1048"/>
      <c r="M128" s="1048"/>
      <c r="N128" s="1098" t="s">
        <v>1788</v>
      </c>
      <c r="O128" s="1049" t="s">
        <v>1006</v>
      </c>
      <c r="P128" s="1049" t="s">
        <v>1003</v>
      </c>
      <c r="Q128" s="1049" t="s">
        <v>1007</v>
      </c>
      <c r="R128" s="1049" t="s">
        <v>1012</v>
      </c>
      <c r="S128" s="1050" t="str">
        <f t="shared" ref="S128:S166" si="31">N128</f>
        <v>Tier2</v>
      </c>
      <c r="T128" s="1050" t="str">
        <f t="shared" ref="T128:T166" si="32">IF(O128="basmnt","Unheated Basement",IF(O128="indor2","Interior",IF(O128="ducted","Interior - Exhaust Ducted",O128)))</f>
        <v>Interior</v>
      </c>
      <c r="U128" s="1050" t="str">
        <f t="shared" ref="U128:U166" si="33">P128</f>
        <v>HZ2</v>
      </c>
      <c r="V128" s="1050" t="str">
        <f t="shared" ref="V128:V166" si="34">IF(OR(R128="0-55gallons",R128="&gt;55gallons",R128="AnySize"),IF(Q128="resistheat","Electric Resistance",IF(Q128="hp85","Heat Pump HSPF 8.5",Q128)),"Any")</f>
        <v>gas</v>
      </c>
      <c r="W128" s="1050" t="str">
        <f t="shared" ref="W128:W166" si="35">IF(V128="Any",Q128,R128)</f>
        <v>AnySize</v>
      </c>
      <c r="X128" s="1051">
        <f t="shared" si="25"/>
        <v>3.6233003814909945E-2</v>
      </c>
      <c r="Y128" s="458"/>
      <c r="Z128" s="458"/>
      <c r="AA128" s="458"/>
      <c r="AC128" s="1052"/>
      <c r="AD128" s="1053"/>
      <c r="AE128" s="1053"/>
      <c r="AF128" s="1053"/>
      <c r="AG128" s="1052"/>
      <c r="AH128" s="1053"/>
      <c r="AI128" s="1053"/>
      <c r="AJ128" s="1053"/>
    </row>
    <row r="129" spans="8:36" ht="12.75" customHeight="1" outlineLevel="1">
      <c r="H129" s="1096" t="s">
        <v>1773</v>
      </c>
      <c r="I129" s="1048">
        <v>1424.5270156013257</v>
      </c>
      <c r="J129" s="1048">
        <v>-566.06371321185702</v>
      </c>
      <c r="K129" s="1048">
        <v>0</v>
      </c>
      <c r="L129" s="1048"/>
      <c r="M129" s="1048"/>
      <c r="N129" s="1098" t="s">
        <v>1788</v>
      </c>
      <c r="O129" s="1049" t="s">
        <v>1006</v>
      </c>
      <c r="P129" s="1049" t="s">
        <v>1003</v>
      </c>
      <c r="Q129" s="1049" t="s">
        <v>1008</v>
      </c>
      <c r="R129" s="1049" t="s">
        <v>1012</v>
      </c>
      <c r="S129" s="1050" t="str">
        <f t="shared" si="31"/>
        <v>Tier2</v>
      </c>
      <c r="T129" s="1050" t="str">
        <f t="shared" si="32"/>
        <v>Interior</v>
      </c>
      <c r="U129" s="1050" t="str">
        <f t="shared" si="33"/>
        <v>HZ2</v>
      </c>
      <c r="V129" s="1050" t="str">
        <f t="shared" si="34"/>
        <v>Electric Resistance</v>
      </c>
      <c r="W129" s="1050" t="str">
        <f t="shared" si="35"/>
        <v>AnySize</v>
      </c>
      <c r="X129" s="1051">
        <f t="shared" si="25"/>
        <v>1.8204934621030781E-2</v>
      </c>
      <c r="Y129" s="458"/>
      <c r="Z129" s="458"/>
      <c r="AA129" s="458"/>
      <c r="AC129" s="1052"/>
      <c r="AD129" s="1053"/>
      <c r="AE129" s="1053"/>
      <c r="AF129" s="1053"/>
      <c r="AG129" s="1052"/>
      <c r="AH129" s="1053"/>
      <c r="AI129" s="1053"/>
      <c r="AJ129" s="1053"/>
    </row>
    <row r="130" spans="8:36" ht="12.75" customHeight="1" outlineLevel="1">
      <c r="H130" s="1096" t="s">
        <v>1774</v>
      </c>
      <c r="I130" s="1048">
        <v>1417.1907386707376</v>
      </c>
      <c r="J130" s="1048">
        <v>-363.85146458013639</v>
      </c>
      <c r="K130" s="1048">
        <v>47.440504235144886</v>
      </c>
      <c r="L130" s="1048"/>
      <c r="M130" s="1048"/>
      <c r="N130" s="1098" t="s">
        <v>1788</v>
      </c>
      <c r="O130" s="1049" t="s">
        <v>1006</v>
      </c>
      <c r="P130" s="1049" t="s">
        <v>1003</v>
      </c>
      <c r="Q130" s="1049" t="s">
        <v>1009</v>
      </c>
      <c r="R130" s="1049" t="s">
        <v>1012</v>
      </c>
      <c r="S130" s="1050" t="str">
        <f t="shared" si="31"/>
        <v>Tier2</v>
      </c>
      <c r="T130" s="1050" t="str">
        <f t="shared" si="32"/>
        <v>Interior</v>
      </c>
      <c r="U130" s="1050" t="str">
        <f t="shared" si="33"/>
        <v>HZ2</v>
      </c>
      <c r="V130" s="1050" t="str">
        <f t="shared" si="34"/>
        <v>Heat Pump HSPF 8.5</v>
      </c>
      <c r="W130" s="1050" t="str">
        <f t="shared" si="35"/>
        <v>AnySize</v>
      </c>
      <c r="X130" s="1051">
        <f t="shared" si="25"/>
        <v>1.1631565564059277E-2</v>
      </c>
      <c r="Y130" s="458"/>
      <c r="Z130" s="458"/>
      <c r="AA130" s="458"/>
      <c r="AC130" s="1052"/>
      <c r="AD130" s="1053"/>
      <c r="AE130" s="1053"/>
      <c r="AF130" s="1053"/>
      <c r="AG130" s="1052"/>
      <c r="AH130" s="1053"/>
      <c r="AI130" s="1053"/>
      <c r="AJ130" s="1053"/>
    </row>
    <row r="131" spans="8:36" ht="12.75" customHeight="1" outlineLevel="1">
      <c r="H131" s="1096" t="s">
        <v>1775</v>
      </c>
      <c r="I131" s="1048">
        <v>1425.4102665312882</v>
      </c>
      <c r="J131" s="1048">
        <v>-21.670483433781165</v>
      </c>
      <c r="K131" s="1048">
        <v>25.603898179885366</v>
      </c>
      <c r="L131" s="1048"/>
      <c r="M131" s="1048"/>
      <c r="N131" s="1098" t="s">
        <v>1788</v>
      </c>
      <c r="O131" s="1049" t="s">
        <v>1006</v>
      </c>
      <c r="P131" s="1049" t="s">
        <v>1004</v>
      </c>
      <c r="Q131" s="1049" t="s">
        <v>1007</v>
      </c>
      <c r="R131" s="1049" t="s">
        <v>1012</v>
      </c>
      <c r="S131" s="1050" t="str">
        <f t="shared" si="31"/>
        <v>Tier2</v>
      </c>
      <c r="T131" s="1050" t="str">
        <f t="shared" si="32"/>
        <v>Interior</v>
      </c>
      <c r="U131" s="1050" t="str">
        <f t="shared" si="33"/>
        <v>HZ3</v>
      </c>
      <c r="V131" s="1050" t="str">
        <f t="shared" si="34"/>
        <v>gas</v>
      </c>
      <c r="W131" s="1050" t="str">
        <f t="shared" si="35"/>
        <v>AnySize</v>
      </c>
      <c r="X131" s="1051">
        <f t="shared" si="25"/>
        <v>9.6944386166095894E-3</v>
      </c>
      <c r="Y131" s="458"/>
      <c r="Z131" s="458"/>
      <c r="AA131" s="458"/>
      <c r="AC131" s="1052"/>
      <c r="AD131" s="1053"/>
      <c r="AE131" s="1053"/>
      <c r="AF131" s="1053"/>
      <c r="AG131" s="1052"/>
      <c r="AH131" s="1053"/>
      <c r="AI131" s="1053"/>
      <c r="AJ131" s="1053"/>
    </row>
    <row r="132" spans="8:36" ht="12.75" customHeight="1" outlineLevel="1">
      <c r="H132" s="1096" t="s">
        <v>1776</v>
      </c>
      <c r="I132" s="1048">
        <v>1427.1389373625309</v>
      </c>
      <c r="J132" s="1048">
        <v>-509.02833224044093</v>
      </c>
      <c r="K132" s="1048">
        <v>0</v>
      </c>
      <c r="L132" s="1048"/>
      <c r="M132" s="1048"/>
      <c r="N132" s="1098" t="s">
        <v>1788</v>
      </c>
      <c r="O132" s="1049" t="s">
        <v>1006</v>
      </c>
      <c r="P132" s="1049" t="s">
        <v>1004</v>
      </c>
      <c r="Q132" s="1049" t="s">
        <v>1008</v>
      </c>
      <c r="R132" s="1049" t="s">
        <v>1012</v>
      </c>
      <c r="S132" s="1050" t="str">
        <f t="shared" si="31"/>
        <v>Tier2</v>
      </c>
      <c r="T132" s="1050" t="str">
        <f t="shared" si="32"/>
        <v>Interior</v>
      </c>
      <c r="U132" s="1050" t="str">
        <f t="shared" si="33"/>
        <v>HZ3</v>
      </c>
      <c r="V132" s="1050" t="str">
        <f t="shared" si="34"/>
        <v>Electric Resistance</v>
      </c>
      <c r="W132" s="1050" t="str">
        <f t="shared" si="35"/>
        <v>AnySize</v>
      </c>
      <c r="X132" s="1051">
        <f t="shared" si="25"/>
        <v>4.8708802092292738E-3</v>
      </c>
      <c r="Y132" s="458"/>
      <c r="Z132" s="458"/>
      <c r="AA132" s="458"/>
      <c r="AC132" s="1052"/>
      <c r="AD132" s="1053"/>
      <c r="AE132" s="1053"/>
      <c r="AF132" s="1053"/>
      <c r="AG132" s="1052"/>
      <c r="AH132" s="1053"/>
      <c r="AI132" s="1053"/>
      <c r="AJ132" s="1053"/>
    </row>
    <row r="133" spans="8:36" ht="12.75" customHeight="1" outlineLevel="1">
      <c r="H133" s="1096" t="s">
        <v>1777</v>
      </c>
      <c r="I133" s="1048">
        <v>1423.6620165859017</v>
      </c>
      <c r="J133" s="1048">
        <v>-375.18742962017444</v>
      </c>
      <c r="K133" s="1048">
        <v>51.535600266961318</v>
      </c>
      <c r="L133" s="1048"/>
      <c r="M133" s="1048"/>
      <c r="N133" s="1098" t="s">
        <v>1788</v>
      </c>
      <c r="O133" s="1049" t="s">
        <v>1006</v>
      </c>
      <c r="P133" s="1049" t="s">
        <v>1004</v>
      </c>
      <c r="Q133" s="1049" t="s">
        <v>1009</v>
      </c>
      <c r="R133" s="1049" t="s">
        <v>1012</v>
      </c>
      <c r="S133" s="1050" t="str">
        <f t="shared" si="31"/>
        <v>Tier2</v>
      </c>
      <c r="T133" s="1050" t="str">
        <f t="shared" si="32"/>
        <v>Interior</v>
      </c>
      <c r="U133" s="1050" t="str">
        <f t="shared" si="33"/>
        <v>HZ3</v>
      </c>
      <c r="V133" s="1050" t="str">
        <f t="shared" si="34"/>
        <v>Heat Pump HSPF 8.5</v>
      </c>
      <c r="W133" s="1050" t="str">
        <f t="shared" si="35"/>
        <v>AnySize</v>
      </c>
      <c r="X133" s="1051">
        <f t="shared" si="25"/>
        <v>3.112121174161138E-3</v>
      </c>
      <c r="Y133" s="458"/>
      <c r="Z133" s="458"/>
      <c r="AA133" s="458"/>
      <c r="AC133" s="1052"/>
      <c r="AD133" s="1053"/>
      <c r="AE133" s="1053"/>
      <c r="AF133" s="1053"/>
      <c r="AG133" s="1052"/>
      <c r="AH133" s="1053"/>
      <c r="AI133" s="1053"/>
      <c r="AJ133" s="1053"/>
    </row>
    <row r="134" spans="8:36" ht="12.75" customHeight="1" outlineLevel="1">
      <c r="H134" s="1096" t="s">
        <v>1778</v>
      </c>
      <c r="I134" s="1048">
        <v>1405.281958826419</v>
      </c>
      <c r="J134" s="1048">
        <v>-20.466498610272048</v>
      </c>
      <c r="K134" s="1048">
        <v>-6.7010825683982578</v>
      </c>
      <c r="L134" s="1048"/>
      <c r="M134" s="1048"/>
      <c r="N134" s="1098" t="s">
        <v>1788</v>
      </c>
      <c r="O134" s="1049" t="s">
        <v>1010</v>
      </c>
      <c r="P134" s="1049" t="s">
        <v>1002</v>
      </c>
      <c r="Q134" s="1049" t="s">
        <v>1007</v>
      </c>
      <c r="R134" s="1049" t="s">
        <v>1012</v>
      </c>
      <c r="S134" s="1050" t="str">
        <f t="shared" si="31"/>
        <v>Tier2</v>
      </c>
      <c r="T134" s="1050" t="str">
        <f t="shared" si="32"/>
        <v>Interior - Exhaust Ducted</v>
      </c>
      <c r="U134" s="1050" t="str">
        <f t="shared" si="33"/>
        <v>HZ1</v>
      </c>
      <c r="V134" s="1050" t="str">
        <f t="shared" si="34"/>
        <v>gas</v>
      </c>
      <c r="W134" s="1050" t="str">
        <f t="shared" si="35"/>
        <v>AnySize</v>
      </c>
      <c r="X134" s="1051">
        <f t="shared" si="25"/>
        <v>7.0743324033351873E-3</v>
      </c>
      <c r="Y134" s="458"/>
      <c r="Z134" s="458"/>
      <c r="AA134" s="458"/>
      <c r="AC134" s="1052"/>
      <c r="AD134" s="1053"/>
      <c r="AE134" s="1053"/>
      <c r="AF134" s="1053"/>
      <c r="AG134" s="1052"/>
      <c r="AH134" s="1053"/>
      <c r="AI134" s="1053"/>
      <c r="AJ134" s="1053"/>
    </row>
    <row r="135" spans="8:36" ht="12.75" customHeight="1" outlineLevel="1">
      <c r="H135" s="1096" t="s">
        <v>1779</v>
      </c>
      <c r="I135" s="1048">
        <v>1407.8692988177538</v>
      </c>
      <c r="J135" s="1048">
        <v>-488.92667247028612</v>
      </c>
      <c r="K135" s="1048">
        <v>0</v>
      </c>
      <c r="L135" s="1048"/>
      <c r="M135" s="1048"/>
      <c r="N135" s="1098" t="s">
        <v>1788</v>
      </c>
      <c r="O135" s="1049" t="s">
        <v>1010</v>
      </c>
      <c r="P135" s="1049" t="s">
        <v>1002</v>
      </c>
      <c r="Q135" s="1049" t="s">
        <v>1008</v>
      </c>
      <c r="R135" s="1049" t="s">
        <v>1012</v>
      </c>
      <c r="S135" s="1050" t="str">
        <f t="shared" si="31"/>
        <v>Tier2</v>
      </c>
      <c r="T135" s="1050" t="str">
        <f t="shared" si="32"/>
        <v>Interior - Exhaust Ducted</v>
      </c>
      <c r="U135" s="1050" t="str">
        <f t="shared" si="33"/>
        <v>HZ1</v>
      </c>
      <c r="V135" s="1050" t="str">
        <f t="shared" si="34"/>
        <v>Electric Resistance</v>
      </c>
      <c r="W135" s="1050" t="str">
        <f t="shared" si="35"/>
        <v>AnySize</v>
      </c>
      <c r="X135" s="1051">
        <f t="shared" si="25"/>
        <v>3.5544322946020903E-3</v>
      </c>
      <c r="Y135" s="458"/>
      <c r="Z135" s="458"/>
      <c r="AA135" s="458"/>
      <c r="AC135" s="1052"/>
      <c r="AD135" s="1053"/>
      <c r="AE135" s="1053"/>
      <c r="AF135" s="1053"/>
      <c r="AG135" s="1052"/>
      <c r="AH135" s="1053"/>
      <c r="AI135" s="1053"/>
      <c r="AJ135" s="1053"/>
    </row>
    <row r="136" spans="8:36" ht="12.75" customHeight="1" outlineLevel="1">
      <c r="H136" s="1096" t="s">
        <v>1780</v>
      </c>
      <c r="I136" s="1048">
        <v>1402.6671112323397</v>
      </c>
      <c r="J136" s="1048">
        <v>-290.24196178652772</v>
      </c>
      <c r="K136" s="1048">
        <v>-13.465394372785985</v>
      </c>
      <c r="L136" s="1048"/>
      <c r="M136" s="1048"/>
      <c r="N136" s="1098" t="s">
        <v>1788</v>
      </c>
      <c r="O136" s="1049" t="s">
        <v>1010</v>
      </c>
      <c r="P136" s="1049" t="s">
        <v>1002</v>
      </c>
      <c r="Q136" s="1049" t="s">
        <v>1009</v>
      </c>
      <c r="R136" s="1049" t="s">
        <v>1012</v>
      </c>
      <c r="S136" s="1050" t="str">
        <f t="shared" si="31"/>
        <v>Tier2</v>
      </c>
      <c r="T136" s="1050" t="str">
        <f t="shared" si="32"/>
        <v>Interior - Exhaust Ducted</v>
      </c>
      <c r="U136" s="1050" t="str">
        <f t="shared" si="33"/>
        <v>HZ1</v>
      </c>
      <c r="V136" s="1050" t="str">
        <f t="shared" si="34"/>
        <v>Heat Pump HSPF 8.5</v>
      </c>
      <c r="W136" s="1050" t="str">
        <f t="shared" si="35"/>
        <v>AnySize</v>
      </c>
      <c r="X136" s="1051">
        <f t="shared" si="25"/>
        <v>2.2710113020627237E-3</v>
      </c>
      <c r="Y136" s="458"/>
      <c r="Z136" s="458"/>
      <c r="AA136" s="458"/>
      <c r="AC136" s="1052"/>
      <c r="AD136" s="1053"/>
      <c r="AE136" s="1053"/>
      <c r="AF136" s="1053"/>
      <c r="AG136" s="1052"/>
      <c r="AH136" s="1053"/>
      <c r="AI136" s="1053"/>
      <c r="AJ136" s="1053"/>
    </row>
    <row r="137" spans="8:36" ht="12.75" customHeight="1" outlineLevel="1">
      <c r="H137" s="1096" t="s">
        <v>1781</v>
      </c>
      <c r="I137" s="1048">
        <v>1424.0802037428043</v>
      </c>
      <c r="J137" s="1048">
        <v>-23.493181795222473</v>
      </c>
      <c r="K137" s="1048">
        <v>-7.021391680314168</v>
      </c>
      <c r="L137" s="1048"/>
      <c r="M137" s="1048"/>
      <c r="N137" s="1098" t="s">
        <v>1788</v>
      </c>
      <c r="O137" s="1049" t="s">
        <v>1010</v>
      </c>
      <c r="P137" s="1049" t="s">
        <v>1003</v>
      </c>
      <c r="Q137" s="1049" t="s">
        <v>1007</v>
      </c>
      <c r="R137" s="1049" t="s">
        <v>1012</v>
      </c>
      <c r="S137" s="1050" t="str">
        <f t="shared" si="31"/>
        <v>Tier2</v>
      </c>
      <c r="T137" s="1050" t="str">
        <f t="shared" si="32"/>
        <v>Interior - Exhaust Ducted</v>
      </c>
      <c r="U137" s="1050" t="str">
        <f t="shared" si="33"/>
        <v>HZ2</v>
      </c>
      <c r="V137" s="1050" t="str">
        <f t="shared" si="34"/>
        <v>gas</v>
      </c>
      <c r="W137" s="1050" t="str">
        <f t="shared" si="35"/>
        <v>AnySize</v>
      </c>
      <c r="X137" s="1051">
        <f t="shared" si="25"/>
        <v>1.5097084922879144E-3</v>
      </c>
      <c r="Y137" s="458"/>
      <c r="Z137" s="458"/>
      <c r="AA137" s="458"/>
      <c r="AC137" s="1052"/>
      <c r="AD137" s="1053"/>
      <c r="AE137" s="1053"/>
      <c r="AF137" s="1053"/>
      <c r="AG137" s="1052"/>
      <c r="AH137" s="1053"/>
      <c r="AI137" s="1053"/>
      <c r="AJ137" s="1053"/>
    </row>
    <row r="138" spans="8:36" ht="12.75" customHeight="1" outlineLevel="1">
      <c r="H138" s="1096" t="s">
        <v>1782</v>
      </c>
      <c r="I138" s="1048">
        <v>1428.7680799558243</v>
      </c>
      <c r="J138" s="1048">
        <v>-551.31114668627697</v>
      </c>
      <c r="K138" s="1048">
        <v>0</v>
      </c>
      <c r="L138" s="1048"/>
      <c r="M138" s="1048"/>
      <c r="N138" s="1098" t="s">
        <v>1788</v>
      </c>
      <c r="O138" s="1049" t="s">
        <v>1010</v>
      </c>
      <c r="P138" s="1049" t="s">
        <v>1003</v>
      </c>
      <c r="Q138" s="1049" t="s">
        <v>1008</v>
      </c>
      <c r="R138" s="1049" t="s">
        <v>1012</v>
      </c>
      <c r="S138" s="1050" t="str">
        <f t="shared" si="31"/>
        <v>Tier2</v>
      </c>
      <c r="T138" s="1050" t="str">
        <f t="shared" si="32"/>
        <v>Interior - Exhaust Ducted</v>
      </c>
      <c r="U138" s="1050" t="str">
        <f t="shared" si="33"/>
        <v>HZ2</v>
      </c>
      <c r="V138" s="1050" t="str">
        <f t="shared" si="34"/>
        <v>Electric Resistance</v>
      </c>
      <c r="W138" s="1050" t="str">
        <f t="shared" si="35"/>
        <v>AnySize</v>
      </c>
      <c r="X138" s="1051">
        <f t="shared" si="25"/>
        <v>7.585389425429493E-4</v>
      </c>
      <c r="Y138" s="458"/>
      <c r="Z138" s="458"/>
      <c r="AA138" s="458"/>
      <c r="AC138" s="1052"/>
      <c r="AD138" s="1053"/>
      <c r="AE138" s="1053"/>
      <c r="AF138" s="1053"/>
      <c r="AG138" s="1052"/>
      <c r="AH138" s="1053"/>
      <c r="AI138" s="1053"/>
      <c r="AJ138" s="1053"/>
    </row>
    <row r="139" spans="8:36" ht="12.75" customHeight="1" outlineLevel="1">
      <c r="H139" s="1096" t="s">
        <v>1783</v>
      </c>
      <c r="I139" s="1048">
        <v>1419.3714112825051</v>
      </c>
      <c r="J139" s="1048">
        <v>-446.14948597365623</v>
      </c>
      <c r="K139" s="1048">
        <v>-14.103120124421469</v>
      </c>
      <c r="L139" s="1048"/>
      <c r="M139" s="1048"/>
      <c r="N139" s="1098" t="s">
        <v>1788</v>
      </c>
      <c r="O139" s="1049" t="s">
        <v>1010</v>
      </c>
      <c r="P139" s="1049" t="s">
        <v>1003</v>
      </c>
      <c r="Q139" s="1049" t="s">
        <v>1009</v>
      </c>
      <c r="R139" s="1049" t="s">
        <v>1012</v>
      </c>
      <c r="S139" s="1050" t="str">
        <f t="shared" si="31"/>
        <v>Tier2</v>
      </c>
      <c r="T139" s="1050" t="str">
        <f t="shared" si="32"/>
        <v>Interior - Exhaust Ducted</v>
      </c>
      <c r="U139" s="1050" t="str">
        <f t="shared" si="33"/>
        <v>HZ2</v>
      </c>
      <c r="V139" s="1050" t="str">
        <f t="shared" si="34"/>
        <v>Heat Pump HSPF 8.5</v>
      </c>
      <c r="W139" s="1050" t="str">
        <f t="shared" si="35"/>
        <v>AnySize</v>
      </c>
      <c r="X139" s="1051">
        <f t="shared" si="25"/>
        <v>4.8464856516913655E-4</v>
      </c>
      <c r="Y139" s="458"/>
      <c r="Z139" s="458"/>
      <c r="AA139" s="458"/>
      <c r="AC139" s="1052"/>
      <c r="AD139" s="1053"/>
      <c r="AE139" s="1053"/>
      <c r="AF139" s="1053"/>
      <c r="AG139" s="1052"/>
      <c r="AH139" s="1053"/>
      <c r="AI139" s="1053"/>
      <c r="AJ139" s="1053"/>
    </row>
    <row r="140" spans="8:36" ht="12.75" customHeight="1" outlineLevel="1">
      <c r="H140" s="1096" t="s">
        <v>1784</v>
      </c>
      <c r="I140" s="1048">
        <v>1428.5389234021659</v>
      </c>
      <c r="J140" s="1048">
        <v>-24.584421682104075</v>
      </c>
      <c r="K140" s="1048">
        <v>-7.0999949055997638</v>
      </c>
      <c r="L140" s="1048"/>
      <c r="M140" s="1048"/>
      <c r="N140" s="1098" t="s">
        <v>1788</v>
      </c>
      <c r="O140" s="1049" t="s">
        <v>1010</v>
      </c>
      <c r="P140" s="1049" t="s">
        <v>1004</v>
      </c>
      <c r="Q140" s="1049" t="s">
        <v>1007</v>
      </c>
      <c r="R140" s="1049" t="s">
        <v>1012</v>
      </c>
      <c r="S140" s="1050" t="str">
        <f t="shared" si="31"/>
        <v>Tier2</v>
      </c>
      <c r="T140" s="1050" t="str">
        <f t="shared" si="32"/>
        <v>Interior - Exhaust Ducted</v>
      </c>
      <c r="U140" s="1050" t="str">
        <f t="shared" si="33"/>
        <v>HZ3</v>
      </c>
      <c r="V140" s="1050" t="str">
        <f t="shared" si="34"/>
        <v>gas</v>
      </c>
      <c r="W140" s="1050" t="str">
        <f t="shared" si="35"/>
        <v>AnySize</v>
      </c>
      <c r="X140" s="1051">
        <f t="shared" si="25"/>
        <v>4.0393494235873288E-4</v>
      </c>
      <c r="Y140" s="458"/>
      <c r="Z140" s="458"/>
      <c r="AA140" s="458"/>
      <c r="AC140" s="1052"/>
      <c r="AD140" s="1053"/>
      <c r="AE140" s="1053"/>
      <c r="AF140" s="1053"/>
      <c r="AG140" s="1052"/>
      <c r="AH140" s="1053"/>
      <c r="AI140" s="1053"/>
      <c r="AJ140" s="1053"/>
    </row>
    <row r="141" spans="8:36" ht="12.75" customHeight="1" outlineLevel="1">
      <c r="H141" s="1096" t="s">
        <v>1785</v>
      </c>
      <c r="I141" s="1048">
        <v>1431.0886941008719</v>
      </c>
      <c r="J141" s="1048">
        <v>-575.59928776217737</v>
      </c>
      <c r="K141" s="1048">
        <v>0</v>
      </c>
      <c r="L141" s="1048"/>
      <c r="M141" s="1048"/>
      <c r="N141" s="1098" t="s">
        <v>1788</v>
      </c>
      <c r="O141" s="1049" t="s">
        <v>1010</v>
      </c>
      <c r="P141" s="1049" t="s">
        <v>1004</v>
      </c>
      <c r="Q141" s="1049" t="s">
        <v>1008</v>
      </c>
      <c r="R141" s="1049" t="s">
        <v>1012</v>
      </c>
      <c r="S141" s="1050" t="str">
        <f t="shared" si="31"/>
        <v>Tier2</v>
      </c>
      <c r="T141" s="1050" t="str">
        <f t="shared" si="32"/>
        <v>Interior - Exhaust Ducted</v>
      </c>
      <c r="U141" s="1050" t="str">
        <f t="shared" si="33"/>
        <v>HZ3</v>
      </c>
      <c r="V141" s="1050" t="str">
        <f t="shared" si="34"/>
        <v>Electric Resistance</v>
      </c>
      <c r="W141" s="1050" t="str">
        <f t="shared" si="35"/>
        <v>AnySize</v>
      </c>
      <c r="X141" s="1051">
        <f t="shared" si="25"/>
        <v>2.0295334205121978E-4</v>
      </c>
      <c r="Y141" s="458"/>
      <c r="Z141" s="458"/>
      <c r="AA141" s="458"/>
      <c r="AC141" s="1052"/>
      <c r="AD141" s="1053"/>
      <c r="AE141" s="1053"/>
      <c r="AF141" s="1053"/>
      <c r="AG141" s="1052"/>
      <c r="AH141" s="1053"/>
      <c r="AI141" s="1053"/>
      <c r="AJ141" s="1053"/>
    </row>
    <row r="142" spans="8:36" ht="12.75" customHeight="1" outlineLevel="1">
      <c r="H142" s="1096" t="s">
        <v>1786</v>
      </c>
      <c r="I142" s="1048">
        <v>1425.9786005536698</v>
      </c>
      <c r="J142" s="1048">
        <v>-537.06605586490207</v>
      </c>
      <c r="K142" s="1048">
        <v>-14.257933664953578</v>
      </c>
      <c r="L142" s="1048"/>
      <c r="M142" s="1048"/>
      <c r="N142" s="1098" t="s">
        <v>1788</v>
      </c>
      <c r="O142" s="1049" t="s">
        <v>1010</v>
      </c>
      <c r="P142" s="1049" t="s">
        <v>1004</v>
      </c>
      <c r="Q142" s="1049" t="s">
        <v>1009</v>
      </c>
      <c r="R142" s="1049" t="s">
        <v>1012</v>
      </c>
      <c r="S142" s="1050" t="str">
        <f t="shared" si="31"/>
        <v>Tier2</v>
      </c>
      <c r="T142" s="1050" t="str">
        <f t="shared" si="32"/>
        <v>Interior - Exhaust Ducted</v>
      </c>
      <c r="U142" s="1050" t="str">
        <f t="shared" si="33"/>
        <v>HZ3</v>
      </c>
      <c r="V142" s="1050" t="str">
        <f t="shared" si="34"/>
        <v>Heat Pump HSPF 8.5</v>
      </c>
      <c r="W142" s="1050" t="str">
        <f t="shared" si="35"/>
        <v>AnySize</v>
      </c>
      <c r="X142" s="1051">
        <f t="shared" si="25"/>
        <v>1.2967171559004741E-4</v>
      </c>
      <c r="Y142" s="458"/>
      <c r="Z142" s="458"/>
      <c r="AA142" s="458"/>
      <c r="AC142" s="1052"/>
      <c r="AD142" s="1053"/>
      <c r="AE142" s="1053"/>
      <c r="AF142" s="1053"/>
      <c r="AG142" s="1052"/>
      <c r="AH142" s="1053"/>
      <c r="AI142" s="1053"/>
      <c r="AJ142" s="1053"/>
    </row>
    <row r="143" spans="8:36" ht="12.75" customHeight="1" outlineLevel="1">
      <c r="H143" s="1096" t="s">
        <v>1011</v>
      </c>
      <c r="I143" s="1048">
        <v>1386.4134432850672</v>
      </c>
      <c r="J143" s="1048">
        <v>0</v>
      </c>
      <c r="K143" s="1048">
        <v>0</v>
      </c>
      <c r="L143" s="1048"/>
      <c r="M143" s="1048"/>
      <c r="N143" s="1098" t="s">
        <v>1000</v>
      </c>
      <c r="O143" s="1049" t="s">
        <v>1001</v>
      </c>
      <c r="P143" s="1049" t="s">
        <v>1002</v>
      </c>
      <c r="Q143" s="1049" t="s">
        <v>1012</v>
      </c>
      <c r="R143" s="1049"/>
      <c r="S143" s="1050" t="str">
        <f t="shared" si="31"/>
        <v>Tier3</v>
      </c>
      <c r="T143" s="1050" t="str">
        <f t="shared" si="32"/>
        <v>garage</v>
      </c>
      <c r="U143" s="1050" t="str">
        <f t="shared" si="33"/>
        <v>HZ1</v>
      </c>
      <c r="V143" s="1050" t="str">
        <f t="shared" si="34"/>
        <v>Any</v>
      </c>
      <c r="W143" s="1050" t="str">
        <f t="shared" si="35"/>
        <v>AnySize</v>
      </c>
      <c r="X143" s="1051">
        <f t="shared" si="25"/>
        <v>0.17798040000000001</v>
      </c>
      <c r="Y143" s="458"/>
      <c r="Z143" s="458"/>
      <c r="AA143" s="458"/>
      <c r="AC143" s="1052"/>
      <c r="AD143" s="1053"/>
      <c r="AE143" s="1053"/>
      <c r="AF143" s="1053"/>
      <c r="AG143" s="1052"/>
      <c r="AH143" s="1053"/>
      <c r="AI143" s="1053"/>
      <c r="AJ143" s="1053"/>
    </row>
    <row r="144" spans="8:36" ht="12.75" customHeight="1" outlineLevel="1">
      <c r="H144" s="1096" t="s">
        <v>1013</v>
      </c>
      <c r="I144" s="1048">
        <v>1352.3647619168107</v>
      </c>
      <c r="J144" s="1048">
        <v>0</v>
      </c>
      <c r="K144" s="1048">
        <v>0</v>
      </c>
      <c r="L144" s="1048"/>
      <c r="M144" s="1048"/>
      <c r="N144" s="1098" t="s">
        <v>1000</v>
      </c>
      <c r="O144" s="1049" t="s">
        <v>1001</v>
      </c>
      <c r="P144" s="1049" t="s">
        <v>1003</v>
      </c>
      <c r="Q144" s="1049" t="s">
        <v>1012</v>
      </c>
      <c r="R144" s="1049"/>
      <c r="S144" s="1050" t="str">
        <f t="shared" si="31"/>
        <v>Tier3</v>
      </c>
      <c r="T144" s="1050" t="str">
        <f t="shared" si="32"/>
        <v>garage</v>
      </c>
      <c r="U144" s="1050" t="str">
        <f t="shared" si="33"/>
        <v>HZ2</v>
      </c>
      <c r="V144" s="1050" t="str">
        <f t="shared" si="34"/>
        <v>Any</v>
      </c>
      <c r="W144" s="1050" t="str">
        <f t="shared" si="35"/>
        <v>AnySize</v>
      </c>
      <c r="X144" s="1051">
        <f t="shared" si="25"/>
        <v>1.2668799999999999E-2</v>
      </c>
      <c r="Y144" s="458"/>
      <c r="Z144" s="458"/>
      <c r="AA144" s="458"/>
      <c r="AC144" s="1052"/>
      <c r="AD144" s="1053"/>
      <c r="AE144" s="1053"/>
      <c r="AF144" s="1053"/>
      <c r="AG144" s="1052"/>
      <c r="AH144" s="1053"/>
      <c r="AI144" s="1053"/>
      <c r="AJ144" s="1053"/>
    </row>
    <row r="145" spans="8:36" ht="12.75" customHeight="1" outlineLevel="1">
      <c r="H145" s="1096" t="s">
        <v>1014</v>
      </c>
      <c r="I145" s="1048">
        <v>1285.2463939200945</v>
      </c>
      <c r="J145" s="1048">
        <v>0</v>
      </c>
      <c r="K145" s="1048">
        <v>0</v>
      </c>
      <c r="L145" s="1048"/>
      <c r="M145" s="1048"/>
      <c r="N145" s="1098" t="s">
        <v>1000</v>
      </c>
      <c r="O145" s="1049" t="s">
        <v>1001</v>
      </c>
      <c r="P145" s="1049" t="s">
        <v>1004</v>
      </c>
      <c r="Q145" s="1049" t="s">
        <v>1012</v>
      </c>
      <c r="R145" s="1049"/>
      <c r="S145" s="1050" t="str">
        <f t="shared" si="31"/>
        <v>Tier3</v>
      </c>
      <c r="T145" s="1050" t="str">
        <f t="shared" si="32"/>
        <v>garage</v>
      </c>
      <c r="U145" s="1050" t="str">
        <f t="shared" si="33"/>
        <v>HZ3</v>
      </c>
      <c r="V145" s="1050" t="str">
        <f t="shared" si="34"/>
        <v>Any</v>
      </c>
      <c r="W145" s="1050" t="str">
        <f t="shared" si="35"/>
        <v>AnySize</v>
      </c>
      <c r="X145" s="1051">
        <f t="shared" si="25"/>
        <v>2.728E-3</v>
      </c>
      <c r="Y145" s="458"/>
      <c r="Z145" s="458"/>
      <c r="AA145" s="458"/>
      <c r="AC145" s="1052"/>
      <c r="AD145" s="1053"/>
      <c r="AE145" s="1053"/>
      <c r="AF145" s="1053"/>
      <c r="AG145" s="1052"/>
      <c r="AH145" s="1053"/>
      <c r="AI145" s="1053"/>
      <c r="AJ145" s="1053"/>
    </row>
    <row r="146" spans="8:36" ht="12.75" customHeight="1" outlineLevel="1">
      <c r="H146" s="1096" t="s">
        <v>1015</v>
      </c>
      <c r="I146" s="1048">
        <v>1400.7152217259347</v>
      </c>
      <c r="J146" s="1048">
        <v>0</v>
      </c>
      <c r="K146" s="1048">
        <v>0</v>
      </c>
      <c r="L146" s="1048"/>
      <c r="M146" s="1048"/>
      <c r="N146" s="1098" t="s">
        <v>1000</v>
      </c>
      <c r="O146" s="1049" t="s">
        <v>1005</v>
      </c>
      <c r="P146" s="1049" t="s">
        <v>1002</v>
      </c>
      <c r="Q146" s="1049" t="s">
        <v>1012</v>
      </c>
      <c r="R146" s="1049"/>
      <c r="S146" s="1050" t="str">
        <f t="shared" si="31"/>
        <v>Tier3</v>
      </c>
      <c r="T146" s="1050" t="str">
        <f t="shared" si="32"/>
        <v>Unheated Basement</v>
      </c>
      <c r="U146" s="1050" t="str">
        <f t="shared" si="33"/>
        <v>HZ1</v>
      </c>
      <c r="V146" s="1050" t="str">
        <f t="shared" si="34"/>
        <v>Any</v>
      </c>
      <c r="W146" s="1050" t="str">
        <f t="shared" si="35"/>
        <v>AnySize</v>
      </c>
      <c r="X146" s="1051">
        <f t="shared" si="25"/>
        <v>0.26012520000000006</v>
      </c>
      <c r="Y146" s="458"/>
      <c r="Z146" s="458"/>
      <c r="AA146" s="458"/>
      <c r="AC146" s="1052"/>
      <c r="AD146" s="1053"/>
      <c r="AE146" s="1053"/>
      <c r="AF146" s="1053"/>
      <c r="AG146" s="1052"/>
      <c r="AH146" s="1053"/>
      <c r="AI146" s="1053"/>
      <c r="AJ146" s="1053"/>
    </row>
    <row r="147" spans="8:36" ht="12.75" customHeight="1" outlineLevel="1">
      <c r="H147" s="1096" t="s">
        <v>1016</v>
      </c>
      <c r="I147" s="1048">
        <v>1410.7461500002723</v>
      </c>
      <c r="J147" s="1048">
        <v>0</v>
      </c>
      <c r="K147" s="1048">
        <v>0</v>
      </c>
      <c r="L147" s="1048"/>
      <c r="M147" s="1048"/>
      <c r="N147" s="1098" t="s">
        <v>1000</v>
      </c>
      <c r="O147" s="1049" t="s">
        <v>1005</v>
      </c>
      <c r="P147" s="1049" t="s">
        <v>1003</v>
      </c>
      <c r="Q147" s="1049" t="s">
        <v>1012</v>
      </c>
      <c r="R147" s="1049"/>
      <c r="S147" s="1050" t="str">
        <f t="shared" si="31"/>
        <v>Tier3</v>
      </c>
      <c r="T147" s="1050" t="str">
        <f t="shared" si="32"/>
        <v>Unheated Basement</v>
      </c>
      <c r="U147" s="1050" t="str">
        <f t="shared" si="33"/>
        <v>HZ2</v>
      </c>
      <c r="V147" s="1050" t="str">
        <f t="shared" si="34"/>
        <v>Any</v>
      </c>
      <c r="W147" s="1050" t="str">
        <f t="shared" si="35"/>
        <v>AnySize</v>
      </c>
      <c r="X147" s="1051">
        <f t="shared" si="25"/>
        <v>8.9708800000000005E-2</v>
      </c>
      <c r="Y147" s="458"/>
      <c r="Z147" s="458"/>
      <c r="AA147" s="458"/>
      <c r="AC147" s="1052"/>
      <c r="AD147" s="1053"/>
      <c r="AE147" s="1053"/>
      <c r="AF147" s="1053"/>
      <c r="AG147" s="1052"/>
      <c r="AH147" s="1053"/>
      <c r="AI147" s="1053"/>
      <c r="AJ147" s="1053"/>
    </row>
    <row r="148" spans="8:36" ht="12.75" customHeight="1" outlineLevel="1">
      <c r="H148" s="1096" t="s">
        <v>1017</v>
      </c>
      <c r="I148" s="1048">
        <v>1407.3104311278341</v>
      </c>
      <c r="J148" s="1048">
        <v>0</v>
      </c>
      <c r="K148" s="1048">
        <v>0</v>
      </c>
      <c r="L148" s="1048"/>
      <c r="M148" s="1048"/>
      <c r="N148" s="1098" t="s">
        <v>1000</v>
      </c>
      <c r="O148" s="1049" t="s">
        <v>1005</v>
      </c>
      <c r="P148" s="1049" t="s">
        <v>1004</v>
      </c>
      <c r="Q148" s="1049" t="s">
        <v>1012</v>
      </c>
      <c r="R148" s="1049"/>
      <c r="S148" s="1050" t="str">
        <f t="shared" si="31"/>
        <v>Tier3</v>
      </c>
      <c r="T148" s="1050" t="str">
        <f t="shared" si="32"/>
        <v>Unheated Basement</v>
      </c>
      <c r="U148" s="1050" t="str">
        <f t="shared" si="33"/>
        <v>HZ3</v>
      </c>
      <c r="V148" s="1050" t="str">
        <f t="shared" si="34"/>
        <v>Any</v>
      </c>
      <c r="W148" s="1050" t="str">
        <f t="shared" si="35"/>
        <v>AnySize</v>
      </c>
      <c r="X148" s="1051">
        <f t="shared" si="25"/>
        <v>4.7057999999999996E-2</v>
      </c>
      <c r="Y148" s="458"/>
      <c r="Z148" s="458"/>
      <c r="AA148" s="458"/>
      <c r="AC148" s="1052"/>
      <c r="AD148" s="1053"/>
      <c r="AE148" s="1053"/>
      <c r="AF148" s="1053"/>
      <c r="AG148" s="1052"/>
      <c r="AH148" s="1053"/>
      <c r="AI148" s="1053"/>
      <c r="AJ148" s="1053"/>
    </row>
    <row r="149" spans="8:36" ht="12.75" customHeight="1" outlineLevel="1">
      <c r="H149" s="1096" t="s">
        <v>1018</v>
      </c>
      <c r="I149" s="1048">
        <v>1548.5795714344117</v>
      </c>
      <c r="J149" s="1048">
        <v>-26.093964063162279</v>
      </c>
      <c r="K149" s="1048">
        <v>20.03422513740491</v>
      </c>
      <c r="L149" s="1048"/>
      <c r="M149" s="1048"/>
      <c r="N149" s="1098" t="s">
        <v>1000</v>
      </c>
      <c r="O149" s="1049" t="s">
        <v>1006</v>
      </c>
      <c r="P149" s="1049" t="s">
        <v>1002</v>
      </c>
      <c r="Q149" s="1049" t="s">
        <v>1007</v>
      </c>
      <c r="R149" s="1049" t="s">
        <v>1012</v>
      </c>
      <c r="S149" s="1050" t="str">
        <f t="shared" si="31"/>
        <v>Tier3</v>
      </c>
      <c r="T149" s="1050" t="str">
        <f t="shared" si="32"/>
        <v>Interior</v>
      </c>
      <c r="U149" s="1050" t="str">
        <f t="shared" si="33"/>
        <v>HZ1</v>
      </c>
      <c r="V149" s="1050" t="str">
        <f t="shared" si="34"/>
        <v>gas</v>
      </c>
      <c r="W149" s="1050" t="str">
        <f t="shared" si="35"/>
        <v>AnySize</v>
      </c>
      <c r="X149" s="1051">
        <f t="shared" si="25"/>
        <v>0.1697839776800445</v>
      </c>
      <c r="Y149" s="458"/>
      <c r="Z149" s="458"/>
      <c r="AA149" s="458"/>
      <c r="AC149" s="1052"/>
      <c r="AD149" s="1053"/>
      <c r="AE149" s="1053"/>
      <c r="AF149" s="1053"/>
      <c r="AG149" s="1052"/>
      <c r="AH149" s="1053"/>
      <c r="AI149" s="1053"/>
      <c r="AJ149" s="1053"/>
    </row>
    <row r="150" spans="8:36" ht="12.75" customHeight="1" outlineLevel="1">
      <c r="H150" s="1096" t="s">
        <v>1019</v>
      </c>
      <c r="I150" s="1048">
        <v>1550.1832156473001</v>
      </c>
      <c r="J150" s="1048">
        <v>-634.24364937005885</v>
      </c>
      <c r="K150" s="1048">
        <v>0</v>
      </c>
      <c r="L150" s="1048"/>
      <c r="M150" s="1048"/>
      <c r="N150" s="1098" t="s">
        <v>1000</v>
      </c>
      <c r="O150" s="1049" t="s">
        <v>1006</v>
      </c>
      <c r="P150" s="1049" t="s">
        <v>1002</v>
      </c>
      <c r="Q150" s="1049" t="s">
        <v>1008</v>
      </c>
      <c r="R150" s="1049" t="s">
        <v>1012</v>
      </c>
      <c r="S150" s="1050" t="str">
        <f t="shared" si="31"/>
        <v>Tier3</v>
      </c>
      <c r="T150" s="1050" t="str">
        <f t="shared" si="32"/>
        <v>Interior</v>
      </c>
      <c r="U150" s="1050" t="str">
        <f t="shared" si="33"/>
        <v>HZ1</v>
      </c>
      <c r="V150" s="1050" t="str">
        <f t="shared" si="34"/>
        <v>Electric Resistance</v>
      </c>
      <c r="W150" s="1050" t="str">
        <f t="shared" si="35"/>
        <v>AnySize</v>
      </c>
      <c r="X150" s="1051">
        <f t="shared" si="25"/>
        <v>8.5306375070450163E-2</v>
      </c>
      <c r="Y150" s="458"/>
      <c r="Z150" s="458"/>
      <c r="AA150" s="458"/>
      <c r="AC150" s="1052"/>
      <c r="AD150" s="1053"/>
      <c r="AE150" s="1053"/>
      <c r="AF150" s="1053"/>
      <c r="AG150" s="1052"/>
      <c r="AH150" s="1053"/>
      <c r="AI150" s="1053"/>
      <c r="AJ150" s="1053"/>
    </row>
    <row r="151" spans="8:36" ht="12.75" customHeight="1" outlineLevel="1">
      <c r="H151" s="1096" t="s">
        <v>1020</v>
      </c>
      <c r="I151" s="1048">
        <v>1546.9603628586899</v>
      </c>
      <c r="J151" s="1048">
        <v>-312.20056841463031</v>
      </c>
      <c r="K151" s="1048">
        <v>40.329002440049393</v>
      </c>
      <c r="L151" s="1048"/>
      <c r="M151" s="1048"/>
      <c r="N151" s="1098" t="s">
        <v>1000</v>
      </c>
      <c r="O151" s="1049" t="s">
        <v>1006</v>
      </c>
      <c r="P151" s="1049" t="s">
        <v>1002</v>
      </c>
      <c r="Q151" s="1049" t="s">
        <v>1009</v>
      </c>
      <c r="R151" s="1049" t="s">
        <v>1012</v>
      </c>
      <c r="S151" s="1050" t="str">
        <f t="shared" si="31"/>
        <v>Tier3</v>
      </c>
      <c r="T151" s="1050" t="str">
        <f t="shared" si="32"/>
        <v>Interior</v>
      </c>
      <c r="U151" s="1050" t="str">
        <f t="shared" si="33"/>
        <v>HZ1</v>
      </c>
      <c r="V151" s="1050" t="str">
        <f t="shared" si="34"/>
        <v>Heat Pump HSPF 8.5</v>
      </c>
      <c r="W151" s="1050" t="str">
        <f t="shared" si="35"/>
        <v>AnySize</v>
      </c>
      <c r="X151" s="1051">
        <f t="shared" si="25"/>
        <v>5.4504271249505361E-2</v>
      </c>
      <c r="Y151" s="458"/>
      <c r="Z151" s="458"/>
      <c r="AA151" s="458"/>
      <c r="AC151" s="1052"/>
      <c r="AD151" s="1053"/>
      <c r="AE151" s="1053"/>
      <c r="AF151" s="1053"/>
      <c r="AG151" s="1052"/>
      <c r="AH151" s="1053"/>
      <c r="AI151" s="1053"/>
      <c r="AJ151" s="1053"/>
    </row>
    <row r="152" spans="8:36" ht="12.75" customHeight="1" outlineLevel="1">
      <c r="H152" s="1096" t="s">
        <v>1021</v>
      </c>
      <c r="I152" s="1048">
        <v>1577.8743642685019</v>
      </c>
      <c r="J152" s="1048">
        <v>-23.917120390073016</v>
      </c>
      <c r="K152" s="1048">
        <v>23.568373682292304</v>
      </c>
      <c r="L152" s="1048"/>
      <c r="M152" s="1048"/>
      <c r="N152" s="1098" t="s">
        <v>1000</v>
      </c>
      <c r="O152" s="1049" t="s">
        <v>1006</v>
      </c>
      <c r="P152" s="1049" t="s">
        <v>1003</v>
      </c>
      <c r="Q152" s="1049" t="s">
        <v>1007</v>
      </c>
      <c r="R152" s="1049" t="s">
        <v>1012</v>
      </c>
      <c r="S152" s="1050" t="str">
        <f t="shared" si="31"/>
        <v>Tier3</v>
      </c>
      <c r="T152" s="1050" t="str">
        <f t="shared" si="32"/>
        <v>Interior</v>
      </c>
      <c r="U152" s="1050" t="str">
        <f t="shared" si="33"/>
        <v>HZ2</v>
      </c>
      <c r="V152" s="1050" t="str">
        <f t="shared" si="34"/>
        <v>gas</v>
      </c>
      <c r="W152" s="1050" t="str">
        <f t="shared" si="35"/>
        <v>AnySize</v>
      </c>
      <c r="X152" s="1051">
        <f t="shared" si="25"/>
        <v>3.6233003814909945E-2</v>
      </c>
      <c r="Y152" s="458"/>
      <c r="Z152" s="458"/>
      <c r="AA152" s="458"/>
      <c r="AC152" s="1052"/>
      <c r="AD152" s="1053"/>
      <c r="AE152" s="1053"/>
      <c r="AF152" s="1053"/>
      <c r="AG152" s="1052"/>
      <c r="AH152" s="1053"/>
      <c r="AI152" s="1053"/>
      <c r="AJ152" s="1053"/>
    </row>
    <row r="153" spans="8:36" ht="12.75" customHeight="1" outlineLevel="1">
      <c r="H153" s="1096" t="s">
        <v>1022</v>
      </c>
      <c r="I153" s="1048">
        <v>1580.950191477431</v>
      </c>
      <c r="J153" s="1048">
        <v>-566.06371321185702</v>
      </c>
      <c r="K153" s="1048">
        <v>0</v>
      </c>
      <c r="L153" s="1048"/>
      <c r="M153" s="1048"/>
      <c r="N153" s="1098" t="s">
        <v>1000</v>
      </c>
      <c r="O153" s="1049" t="s">
        <v>1006</v>
      </c>
      <c r="P153" s="1049" t="s">
        <v>1003</v>
      </c>
      <c r="Q153" s="1049" t="s">
        <v>1008</v>
      </c>
      <c r="R153" s="1049" t="s">
        <v>1012</v>
      </c>
      <c r="S153" s="1050" t="str">
        <f t="shared" si="31"/>
        <v>Tier3</v>
      </c>
      <c r="T153" s="1050" t="str">
        <f t="shared" si="32"/>
        <v>Interior</v>
      </c>
      <c r="U153" s="1050" t="str">
        <f t="shared" si="33"/>
        <v>HZ2</v>
      </c>
      <c r="V153" s="1050" t="str">
        <f t="shared" si="34"/>
        <v>Electric Resistance</v>
      </c>
      <c r="W153" s="1050" t="str">
        <f t="shared" si="35"/>
        <v>AnySize</v>
      </c>
      <c r="X153" s="1051">
        <f t="shared" si="25"/>
        <v>1.8204934621030781E-2</v>
      </c>
      <c r="Y153" s="458"/>
      <c r="Z153" s="458"/>
      <c r="AA153" s="458"/>
      <c r="AC153" s="1052"/>
      <c r="AD153" s="1053"/>
      <c r="AE153" s="1053"/>
      <c r="AF153" s="1053"/>
      <c r="AG153" s="1052"/>
      <c r="AH153" s="1053"/>
      <c r="AI153" s="1053"/>
      <c r="AJ153" s="1053"/>
    </row>
    <row r="154" spans="8:36" ht="12.75" customHeight="1" outlineLevel="1">
      <c r="H154" s="1096" t="s">
        <v>1023</v>
      </c>
      <c r="I154" s="1048">
        <v>1574.7889587260001</v>
      </c>
      <c r="J154" s="1048">
        <v>-363.85146458013639</v>
      </c>
      <c r="K154" s="1048">
        <v>47.440504235144886</v>
      </c>
      <c r="L154" s="1048"/>
      <c r="M154" s="1048"/>
      <c r="N154" s="1098" t="s">
        <v>1000</v>
      </c>
      <c r="O154" s="1049" t="s">
        <v>1006</v>
      </c>
      <c r="P154" s="1049" t="s">
        <v>1003</v>
      </c>
      <c r="Q154" s="1049" t="s">
        <v>1009</v>
      </c>
      <c r="R154" s="1049" t="s">
        <v>1012</v>
      </c>
      <c r="S154" s="1050" t="str">
        <f t="shared" si="31"/>
        <v>Tier3</v>
      </c>
      <c r="T154" s="1050" t="str">
        <f t="shared" si="32"/>
        <v>Interior</v>
      </c>
      <c r="U154" s="1050" t="str">
        <f t="shared" si="33"/>
        <v>HZ2</v>
      </c>
      <c r="V154" s="1050" t="str">
        <f t="shared" si="34"/>
        <v>Heat Pump HSPF 8.5</v>
      </c>
      <c r="W154" s="1050" t="str">
        <f t="shared" si="35"/>
        <v>AnySize</v>
      </c>
      <c r="X154" s="1051">
        <f t="shared" si="25"/>
        <v>1.1631565564059277E-2</v>
      </c>
      <c r="Y154" s="458"/>
      <c r="Z154" s="458"/>
      <c r="AA154" s="458"/>
      <c r="AC154" s="1052"/>
      <c r="AD154" s="1053"/>
      <c r="AE154" s="1053"/>
      <c r="AF154" s="1053"/>
      <c r="AG154" s="1052"/>
      <c r="AH154" s="1053"/>
      <c r="AI154" s="1053"/>
      <c r="AJ154" s="1053"/>
    </row>
    <row r="155" spans="8:36" ht="12.75" customHeight="1" outlineLevel="1">
      <c r="H155" s="1096" t="s">
        <v>1024</v>
      </c>
      <c r="I155" s="1048">
        <v>1594.7371081924339</v>
      </c>
      <c r="J155" s="1048">
        <v>-21.670483433781165</v>
      </c>
      <c r="K155" s="1048">
        <v>25.603898179885366</v>
      </c>
      <c r="L155" s="1048"/>
      <c r="M155" s="1048"/>
      <c r="N155" s="1098" t="s">
        <v>1000</v>
      </c>
      <c r="O155" s="1049" t="s">
        <v>1006</v>
      </c>
      <c r="P155" s="1049" t="s">
        <v>1004</v>
      </c>
      <c r="Q155" s="1049" t="s">
        <v>1007</v>
      </c>
      <c r="R155" s="1049" t="s">
        <v>1012</v>
      </c>
      <c r="S155" s="1050" t="str">
        <f t="shared" si="31"/>
        <v>Tier3</v>
      </c>
      <c r="T155" s="1050" t="str">
        <f t="shared" si="32"/>
        <v>Interior</v>
      </c>
      <c r="U155" s="1050" t="str">
        <f t="shared" si="33"/>
        <v>HZ3</v>
      </c>
      <c r="V155" s="1050" t="str">
        <f t="shared" si="34"/>
        <v>gas</v>
      </c>
      <c r="W155" s="1050" t="str">
        <f t="shared" si="35"/>
        <v>AnySize</v>
      </c>
      <c r="X155" s="1051">
        <f t="shared" si="25"/>
        <v>9.6944386166095894E-3</v>
      </c>
      <c r="Y155" s="458"/>
      <c r="Z155" s="458"/>
      <c r="AA155" s="458"/>
      <c r="AC155" s="1052"/>
      <c r="AD155" s="1053"/>
      <c r="AE155" s="1053"/>
      <c r="AF155" s="1053"/>
      <c r="AG155" s="1052"/>
      <c r="AH155" s="1053"/>
      <c r="AI155" s="1053"/>
      <c r="AJ155" s="1053"/>
    </row>
    <row r="156" spans="8:36" ht="12.75" customHeight="1" outlineLevel="1">
      <c r="H156" s="1096" t="s">
        <v>1025</v>
      </c>
      <c r="I156" s="1048">
        <v>1596.1803222194767</v>
      </c>
      <c r="J156" s="1048">
        <v>-509.02833224044093</v>
      </c>
      <c r="K156" s="1048">
        <v>0</v>
      </c>
      <c r="L156" s="1048"/>
      <c r="M156" s="1048"/>
      <c r="N156" s="1098" t="s">
        <v>1000</v>
      </c>
      <c r="O156" s="1049" t="s">
        <v>1006</v>
      </c>
      <c r="P156" s="1049" t="s">
        <v>1004</v>
      </c>
      <c r="Q156" s="1049" t="s">
        <v>1008</v>
      </c>
      <c r="R156" s="1049" t="s">
        <v>1012</v>
      </c>
      <c r="S156" s="1050" t="str">
        <f t="shared" si="31"/>
        <v>Tier3</v>
      </c>
      <c r="T156" s="1050" t="str">
        <f t="shared" si="32"/>
        <v>Interior</v>
      </c>
      <c r="U156" s="1050" t="str">
        <f t="shared" si="33"/>
        <v>HZ3</v>
      </c>
      <c r="V156" s="1050" t="str">
        <f t="shared" si="34"/>
        <v>Electric Resistance</v>
      </c>
      <c r="W156" s="1050" t="str">
        <f t="shared" si="35"/>
        <v>AnySize</v>
      </c>
      <c r="X156" s="1051">
        <f t="shared" si="25"/>
        <v>4.8708802092292738E-3</v>
      </c>
      <c r="Y156" s="458"/>
      <c r="Z156" s="458"/>
      <c r="AA156" s="458"/>
      <c r="AC156" s="1052"/>
      <c r="AD156" s="1053"/>
      <c r="AE156" s="1053"/>
      <c r="AF156" s="1053"/>
      <c r="AG156" s="1052"/>
      <c r="AH156" s="1053"/>
      <c r="AI156" s="1053"/>
      <c r="AJ156" s="1053"/>
    </row>
    <row r="157" spans="8:36" ht="12.75" customHeight="1" outlineLevel="1">
      <c r="H157" s="1096" t="s">
        <v>1026</v>
      </c>
      <c r="I157" s="1048">
        <v>1593.2774722346658</v>
      </c>
      <c r="J157" s="1048">
        <v>-375.18742962017444</v>
      </c>
      <c r="K157" s="1048">
        <v>51.535600266961318</v>
      </c>
      <c r="L157" s="1048"/>
      <c r="M157" s="1048"/>
      <c r="N157" s="1098" t="s">
        <v>1000</v>
      </c>
      <c r="O157" s="1049" t="s">
        <v>1006</v>
      </c>
      <c r="P157" s="1049" t="s">
        <v>1004</v>
      </c>
      <c r="Q157" s="1049" t="s">
        <v>1009</v>
      </c>
      <c r="R157" s="1049" t="s">
        <v>1012</v>
      </c>
      <c r="S157" s="1050" t="str">
        <f t="shared" si="31"/>
        <v>Tier3</v>
      </c>
      <c r="T157" s="1050" t="str">
        <f t="shared" si="32"/>
        <v>Interior</v>
      </c>
      <c r="U157" s="1050" t="str">
        <f t="shared" si="33"/>
        <v>HZ3</v>
      </c>
      <c r="V157" s="1050" t="str">
        <f t="shared" si="34"/>
        <v>Heat Pump HSPF 8.5</v>
      </c>
      <c r="W157" s="1050" t="str">
        <f t="shared" si="35"/>
        <v>AnySize</v>
      </c>
      <c r="X157" s="1051">
        <f t="shared" si="25"/>
        <v>3.112121174161138E-3</v>
      </c>
      <c r="Y157" s="458"/>
      <c r="Z157" s="458"/>
      <c r="AA157" s="458"/>
      <c r="AC157" s="1052"/>
      <c r="AD157" s="1053"/>
      <c r="AE157" s="1053"/>
      <c r="AF157" s="1053"/>
      <c r="AG157" s="1052"/>
      <c r="AH157" s="1053"/>
      <c r="AI157" s="1053"/>
      <c r="AJ157" s="1053"/>
    </row>
    <row r="158" spans="8:36" ht="12.75" customHeight="1" outlineLevel="1">
      <c r="H158" s="1096" t="s">
        <v>1027</v>
      </c>
      <c r="I158" s="1048">
        <v>1551.2190128591114</v>
      </c>
      <c r="J158" s="1048">
        <v>-20.466498610272048</v>
      </c>
      <c r="K158" s="1048">
        <v>-6.7010825683982578</v>
      </c>
      <c r="L158" s="1048"/>
      <c r="M158" s="1048"/>
      <c r="N158" s="1098" t="s">
        <v>1000</v>
      </c>
      <c r="O158" s="1049" t="s">
        <v>1010</v>
      </c>
      <c r="P158" s="1049" t="s">
        <v>1002</v>
      </c>
      <c r="Q158" s="1049" t="s">
        <v>1007</v>
      </c>
      <c r="R158" s="1049" t="s">
        <v>1012</v>
      </c>
      <c r="S158" s="1050" t="str">
        <f t="shared" si="31"/>
        <v>Tier3</v>
      </c>
      <c r="T158" s="1050" t="str">
        <f t="shared" si="32"/>
        <v>Interior - Exhaust Ducted</v>
      </c>
      <c r="U158" s="1050" t="str">
        <f t="shared" si="33"/>
        <v>HZ1</v>
      </c>
      <c r="V158" s="1050" t="str">
        <f t="shared" si="34"/>
        <v>gas</v>
      </c>
      <c r="W158" s="1050" t="str">
        <f t="shared" si="35"/>
        <v>AnySize</v>
      </c>
      <c r="X158" s="1051">
        <f t="shared" si="25"/>
        <v>7.0743324033351873E-3</v>
      </c>
      <c r="Y158" s="458"/>
      <c r="Z158" s="458"/>
      <c r="AA158" s="458"/>
      <c r="AC158" s="1052"/>
      <c r="AD158" s="1053"/>
      <c r="AE158" s="1053"/>
      <c r="AF158" s="1053"/>
      <c r="AG158" s="1052"/>
      <c r="AH158" s="1053"/>
      <c r="AI158" s="1053"/>
      <c r="AJ158" s="1053"/>
    </row>
    <row r="159" spans="8:36" ht="12.75" customHeight="1" outlineLevel="1">
      <c r="H159" s="1096" t="s">
        <v>1028</v>
      </c>
      <c r="I159" s="1048">
        <v>1553.3961563181335</v>
      </c>
      <c r="J159" s="1048">
        <v>-488.92667247028612</v>
      </c>
      <c r="K159" s="1048">
        <v>0</v>
      </c>
      <c r="L159" s="1048"/>
      <c r="M159" s="1048"/>
      <c r="N159" s="1098" t="s">
        <v>1000</v>
      </c>
      <c r="O159" s="1049" t="s">
        <v>1010</v>
      </c>
      <c r="P159" s="1049" t="s">
        <v>1002</v>
      </c>
      <c r="Q159" s="1049" t="s">
        <v>1008</v>
      </c>
      <c r="R159" s="1049" t="s">
        <v>1012</v>
      </c>
      <c r="S159" s="1050" t="str">
        <f t="shared" si="31"/>
        <v>Tier3</v>
      </c>
      <c r="T159" s="1050" t="str">
        <f t="shared" si="32"/>
        <v>Interior - Exhaust Ducted</v>
      </c>
      <c r="U159" s="1050" t="str">
        <f t="shared" si="33"/>
        <v>HZ1</v>
      </c>
      <c r="V159" s="1050" t="str">
        <f t="shared" si="34"/>
        <v>Electric Resistance</v>
      </c>
      <c r="W159" s="1050" t="str">
        <f t="shared" si="35"/>
        <v>AnySize</v>
      </c>
      <c r="X159" s="1051">
        <f t="shared" si="25"/>
        <v>3.5544322946020903E-3</v>
      </c>
      <c r="Y159" s="458"/>
      <c r="Z159" s="458"/>
      <c r="AA159" s="458"/>
      <c r="AC159" s="1052"/>
      <c r="AD159" s="1053"/>
      <c r="AE159" s="1053"/>
      <c r="AF159" s="1053"/>
      <c r="AG159" s="1052"/>
      <c r="AH159" s="1053"/>
      <c r="AI159" s="1053"/>
      <c r="AJ159" s="1053"/>
    </row>
    <row r="160" spans="8:36" ht="12.75" customHeight="1" outlineLevel="1">
      <c r="H160" s="1096" t="s">
        <v>1029</v>
      </c>
      <c r="I160" s="1048">
        <v>1549.0185015773109</v>
      </c>
      <c r="J160" s="1048">
        <v>-290.24196178652772</v>
      </c>
      <c r="K160" s="1048">
        <v>-13.465394372785985</v>
      </c>
      <c r="L160" s="1048"/>
      <c r="M160" s="1048"/>
      <c r="N160" s="1098" t="s">
        <v>1000</v>
      </c>
      <c r="O160" s="1049" t="s">
        <v>1010</v>
      </c>
      <c r="P160" s="1049" t="s">
        <v>1002</v>
      </c>
      <c r="Q160" s="1049" t="s">
        <v>1009</v>
      </c>
      <c r="R160" s="1049" t="s">
        <v>1012</v>
      </c>
      <c r="S160" s="1050" t="str">
        <f t="shared" si="31"/>
        <v>Tier3</v>
      </c>
      <c r="T160" s="1050" t="str">
        <f t="shared" si="32"/>
        <v>Interior - Exhaust Ducted</v>
      </c>
      <c r="U160" s="1050" t="str">
        <f t="shared" si="33"/>
        <v>HZ1</v>
      </c>
      <c r="V160" s="1050" t="str">
        <f t="shared" si="34"/>
        <v>Heat Pump HSPF 8.5</v>
      </c>
      <c r="W160" s="1050" t="str">
        <f t="shared" si="35"/>
        <v>AnySize</v>
      </c>
      <c r="X160" s="1051">
        <f t="shared" si="25"/>
        <v>2.2710113020627237E-3</v>
      </c>
      <c r="Y160" s="458"/>
      <c r="Z160" s="458"/>
      <c r="AA160" s="458"/>
      <c r="AC160" s="1052"/>
      <c r="AD160" s="1053"/>
      <c r="AE160" s="1053"/>
      <c r="AF160" s="1053"/>
      <c r="AG160" s="1052"/>
      <c r="AH160" s="1053"/>
      <c r="AI160" s="1053"/>
      <c r="AJ160" s="1053"/>
    </row>
    <row r="161" spans="8:36" ht="12.75" customHeight="1" outlineLevel="1">
      <c r="H161" s="1096" t="s">
        <v>1030</v>
      </c>
      <c r="I161" s="1048">
        <v>1580.7164781314743</v>
      </c>
      <c r="J161" s="1048">
        <v>-23.493181795222473</v>
      </c>
      <c r="K161" s="1048">
        <v>-7.021391680314168</v>
      </c>
      <c r="L161" s="1048"/>
      <c r="M161" s="1048"/>
      <c r="N161" s="1098" t="s">
        <v>1000</v>
      </c>
      <c r="O161" s="1049" t="s">
        <v>1010</v>
      </c>
      <c r="P161" s="1049" t="s">
        <v>1003</v>
      </c>
      <c r="Q161" s="1049" t="s">
        <v>1007</v>
      </c>
      <c r="R161" s="1049" t="s">
        <v>1012</v>
      </c>
      <c r="S161" s="1050" t="str">
        <f t="shared" si="31"/>
        <v>Tier3</v>
      </c>
      <c r="T161" s="1050" t="str">
        <f t="shared" si="32"/>
        <v>Interior - Exhaust Ducted</v>
      </c>
      <c r="U161" s="1050" t="str">
        <f t="shared" si="33"/>
        <v>HZ2</v>
      </c>
      <c r="V161" s="1050" t="str">
        <f t="shared" si="34"/>
        <v>gas</v>
      </c>
      <c r="W161" s="1050" t="str">
        <f t="shared" si="35"/>
        <v>AnySize</v>
      </c>
      <c r="X161" s="1051">
        <f t="shared" si="25"/>
        <v>1.5097084922879144E-3</v>
      </c>
      <c r="Y161" s="458"/>
      <c r="Z161" s="458"/>
      <c r="AA161" s="458"/>
      <c r="AC161" s="1052"/>
      <c r="AD161" s="1053"/>
      <c r="AE161" s="1053"/>
      <c r="AF161" s="1053"/>
      <c r="AG161" s="1052"/>
      <c r="AH161" s="1053"/>
      <c r="AI161" s="1053"/>
      <c r="AJ161" s="1053"/>
    </row>
    <row r="162" spans="8:36" ht="12.75" customHeight="1" outlineLevel="1">
      <c r="H162" s="1096" t="s">
        <v>1031</v>
      </c>
      <c r="I162" s="1048">
        <v>1584.6993254802646</v>
      </c>
      <c r="J162" s="1048">
        <v>-551.31114668627697</v>
      </c>
      <c r="K162" s="1048">
        <v>0</v>
      </c>
      <c r="L162" s="1048"/>
      <c r="M162" s="1048"/>
      <c r="N162" s="1098" t="s">
        <v>1000</v>
      </c>
      <c r="O162" s="1049" t="s">
        <v>1010</v>
      </c>
      <c r="P162" s="1049" t="s">
        <v>1003</v>
      </c>
      <c r="Q162" s="1049" t="s">
        <v>1008</v>
      </c>
      <c r="R162" s="1049" t="s">
        <v>1012</v>
      </c>
      <c r="S162" s="1050" t="str">
        <f t="shared" si="31"/>
        <v>Tier3</v>
      </c>
      <c r="T162" s="1050" t="str">
        <f t="shared" si="32"/>
        <v>Interior - Exhaust Ducted</v>
      </c>
      <c r="U162" s="1050" t="str">
        <f t="shared" si="33"/>
        <v>HZ2</v>
      </c>
      <c r="V162" s="1050" t="str">
        <f t="shared" si="34"/>
        <v>Electric Resistance</v>
      </c>
      <c r="W162" s="1050" t="str">
        <f t="shared" si="35"/>
        <v>AnySize</v>
      </c>
      <c r="X162" s="1051">
        <f t="shared" si="25"/>
        <v>7.585389425429493E-4</v>
      </c>
      <c r="Y162" s="458"/>
      <c r="Z162" s="458"/>
      <c r="AA162" s="458"/>
      <c r="AC162" s="1052"/>
      <c r="AD162" s="1053"/>
      <c r="AE162" s="1053"/>
      <c r="AF162" s="1053"/>
      <c r="AG162" s="1052"/>
      <c r="AH162" s="1053"/>
      <c r="AI162" s="1053"/>
      <c r="AJ162" s="1053"/>
    </row>
    <row r="163" spans="8:36" ht="12.75" customHeight="1" outlineLevel="1">
      <c r="H163" s="1096" t="s">
        <v>1032</v>
      </c>
      <c r="I163" s="1048">
        <v>1576.7165928563772</v>
      </c>
      <c r="J163" s="1048">
        <v>-446.14948597365623</v>
      </c>
      <c r="K163" s="1048">
        <v>-14.103120124421469</v>
      </c>
      <c r="L163" s="1048"/>
      <c r="M163" s="1048"/>
      <c r="N163" s="1098" t="s">
        <v>1000</v>
      </c>
      <c r="O163" s="1049" t="s">
        <v>1010</v>
      </c>
      <c r="P163" s="1049" t="s">
        <v>1003</v>
      </c>
      <c r="Q163" s="1049" t="s">
        <v>1009</v>
      </c>
      <c r="R163" s="1049" t="s">
        <v>1012</v>
      </c>
      <c r="S163" s="1050" t="str">
        <f t="shared" si="31"/>
        <v>Tier3</v>
      </c>
      <c r="T163" s="1050" t="str">
        <f t="shared" si="32"/>
        <v>Interior - Exhaust Ducted</v>
      </c>
      <c r="U163" s="1050" t="str">
        <f t="shared" si="33"/>
        <v>HZ2</v>
      </c>
      <c r="V163" s="1050" t="str">
        <f t="shared" si="34"/>
        <v>Heat Pump HSPF 8.5</v>
      </c>
      <c r="W163" s="1050" t="str">
        <f t="shared" si="35"/>
        <v>AnySize</v>
      </c>
      <c r="X163" s="1051">
        <f t="shared" si="25"/>
        <v>4.8464856516913655E-4</v>
      </c>
      <c r="Y163" s="458"/>
      <c r="Z163" s="458"/>
      <c r="AA163" s="458"/>
      <c r="AC163" s="1052"/>
      <c r="AD163" s="1053"/>
      <c r="AE163" s="1053"/>
      <c r="AF163" s="1053"/>
      <c r="AG163" s="1052"/>
      <c r="AH163" s="1053"/>
      <c r="AI163" s="1053"/>
      <c r="AJ163" s="1053"/>
    </row>
    <row r="164" spans="8:36" ht="12.75" customHeight="1" outlineLevel="1">
      <c r="H164" s="1096" t="s">
        <v>1033</v>
      </c>
      <c r="I164" s="1048">
        <v>1597.5029537724954</v>
      </c>
      <c r="J164" s="1048">
        <v>-24.584421682104075</v>
      </c>
      <c r="K164" s="1048">
        <v>-7.0999949055997638</v>
      </c>
      <c r="L164" s="1048"/>
      <c r="M164" s="1048"/>
      <c r="N164" s="1098" t="s">
        <v>1000</v>
      </c>
      <c r="O164" s="1049" t="s">
        <v>1010</v>
      </c>
      <c r="P164" s="1049" t="s">
        <v>1004</v>
      </c>
      <c r="Q164" s="1049" t="s">
        <v>1007</v>
      </c>
      <c r="R164" s="1049" t="s">
        <v>1012</v>
      </c>
      <c r="S164" s="1050" t="str">
        <f t="shared" si="31"/>
        <v>Tier3</v>
      </c>
      <c r="T164" s="1050" t="str">
        <f t="shared" si="32"/>
        <v>Interior - Exhaust Ducted</v>
      </c>
      <c r="U164" s="1050" t="str">
        <f t="shared" si="33"/>
        <v>HZ3</v>
      </c>
      <c r="V164" s="1050" t="str">
        <f t="shared" si="34"/>
        <v>gas</v>
      </c>
      <c r="W164" s="1050" t="str">
        <f t="shared" si="35"/>
        <v>AnySize</v>
      </c>
      <c r="X164" s="1051">
        <f t="shared" si="25"/>
        <v>4.0393494235873288E-4</v>
      </c>
      <c r="Y164" s="458"/>
      <c r="Z164" s="458"/>
      <c r="AA164" s="458"/>
      <c r="AC164" s="1052"/>
      <c r="AD164" s="1053"/>
      <c r="AE164" s="1053"/>
      <c r="AF164" s="1053"/>
      <c r="AG164" s="1052"/>
      <c r="AH164" s="1053"/>
      <c r="AI164" s="1053"/>
      <c r="AJ164" s="1053"/>
    </row>
    <row r="165" spans="8:36" ht="12.75" customHeight="1" outlineLevel="1">
      <c r="H165" s="1096" t="s">
        <v>1034</v>
      </c>
      <c r="I165" s="1048">
        <v>1599.672085334299</v>
      </c>
      <c r="J165" s="1048">
        <v>-575.59928776217737</v>
      </c>
      <c r="K165" s="1048">
        <v>0</v>
      </c>
      <c r="L165" s="1048"/>
      <c r="M165" s="1048"/>
      <c r="N165" s="1098" t="s">
        <v>1000</v>
      </c>
      <c r="O165" s="1049" t="s">
        <v>1010</v>
      </c>
      <c r="P165" s="1049" t="s">
        <v>1004</v>
      </c>
      <c r="Q165" s="1049" t="s">
        <v>1008</v>
      </c>
      <c r="R165" s="1049" t="s">
        <v>1012</v>
      </c>
      <c r="S165" s="1050" t="str">
        <f t="shared" si="31"/>
        <v>Tier3</v>
      </c>
      <c r="T165" s="1050" t="str">
        <f t="shared" si="32"/>
        <v>Interior - Exhaust Ducted</v>
      </c>
      <c r="U165" s="1050" t="str">
        <f t="shared" si="33"/>
        <v>HZ3</v>
      </c>
      <c r="V165" s="1050" t="str">
        <f t="shared" si="34"/>
        <v>Electric Resistance</v>
      </c>
      <c r="W165" s="1050" t="str">
        <f t="shared" si="35"/>
        <v>AnySize</v>
      </c>
      <c r="X165" s="1051">
        <f t="shared" si="25"/>
        <v>2.0295334205121978E-4</v>
      </c>
      <c r="Y165" s="458"/>
      <c r="Z165" s="458"/>
      <c r="AA165" s="458"/>
      <c r="AC165" s="1052"/>
      <c r="AD165" s="1053"/>
      <c r="AE165" s="1053"/>
      <c r="AF165" s="1053"/>
      <c r="AG165" s="1052"/>
      <c r="AH165" s="1053"/>
      <c r="AI165" s="1053"/>
      <c r="AJ165" s="1053"/>
    </row>
    <row r="166" spans="8:36" ht="12.75" customHeight="1" outlineLevel="1">
      <c r="H166" s="1096" t="s">
        <v>1035</v>
      </c>
      <c r="I166" s="1048">
        <v>1595.325401894778</v>
      </c>
      <c r="J166" s="1048">
        <v>-537.06605586490207</v>
      </c>
      <c r="K166" s="1048">
        <v>-14.257933664953578</v>
      </c>
      <c r="L166" s="1048"/>
      <c r="M166" s="1048"/>
      <c r="N166" s="1098" t="s">
        <v>1000</v>
      </c>
      <c r="O166" s="1049" t="s">
        <v>1010</v>
      </c>
      <c r="P166" s="1049" t="s">
        <v>1004</v>
      </c>
      <c r="Q166" s="1049" t="s">
        <v>1009</v>
      </c>
      <c r="R166" s="1049" t="s">
        <v>1012</v>
      </c>
      <c r="S166" s="1050" t="str">
        <f t="shared" si="31"/>
        <v>Tier3</v>
      </c>
      <c r="T166" s="1050" t="str">
        <f t="shared" si="32"/>
        <v>Interior - Exhaust Ducted</v>
      </c>
      <c r="U166" s="1050" t="str">
        <f t="shared" si="33"/>
        <v>HZ3</v>
      </c>
      <c r="V166" s="1050" t="str">
        <f t="shared" si="34"/>
        <v>Heat Pump HSPF 8.5</v>
      </c>
      <c r="W166" s="1050" t="str">
        <f t="shared" si="35"/>
        <v>AnySize</v>
      </c>
      <c r="X166" s="1051">
        <f t="shared" si="25"/>
        <v>1.2967171559004741E-4</v>
      </c>
      <c r="Y166" s="458"/>
      <c r="Z166" s="458"/>
      <c r="AA166" s="458"/>
      <c r="AC166" s="1052"/>
      <c r="AD166" s="1053"/>
      <c r="AE166" s="1053"/>
      <c r="AF166" s="1053"/>
      <c r="AG166" s="1052"/>
      <c r="AH166" s="1053"/>
      <c r="AI166" s="1053"/>
      <c r="AJ166" s="1053"/>
    </row>
    <row r="167" spans="8:36" ht="12.75" customHeight="1" outlineLevel="1">
      <c r="H167" s="1096"/>
      <c r="I167" s="1048"/>
      <c r="J167" s="1048"/>
      <c r="K167" s="1048"/>
      <c r="L167" s="1048"/>
      <c r="M167" s="1048"/>
      <c r="N167" s="1098"/>
      <c r="O167" s="1049"/>
      <c r="P167" s="1049"/>
      <c r="Q167" s="1049"/>
      <c r="R167" s="1049"/>
      <c r="S167" s="1050"/>
      <c r="T167" s="1050"/>
      <c r="U167" s="1050"/>
      <c r="V167" s="1050"/>
      <c r="W167" s="1050"/>
      <c r="X167" s="1051"/>
      <c r="Y167" s="458"/>
      <c r="Z167" s="458"/>
      <c r="AA167" s="458"/>
      <c r="AC167" s="1052"/>
      <c r="AD167" s="1053"/>
      <c r="AE167" s="1053"/>
      <c r="AF167" s="1053"/>
      <c r="AG167" s="1052"/>
      <c r="AH167" s="1053"/>
      <c r="AI167" s="1053"/>
      <c r="AJ167" s="1053"/>
    </row>
    <row r="168" spans="8:36" ht="12.75" customHeight="1" outlineLevel="1">
      <c r="H168" s="1096"/>
      <c r="I168" s="1048"/>
      <c r="J168" s="1048"/>
      <c r="K168" s="1048"/>
      <c r="L168" s="1048"/>
      <c r="M168" s="1048"/>
      <c r="N168" s="1098"/>
      <c r="O168" s="1049"/>
      <c r="P168" s="1049"/>
      <c r="Q168" s="1049"/>
      <c r="R168" s="1049"/>
      <c r="S168" s="1050"/>
      <c r="T168" s="1050"/>
      <c r="U168" s="1050"/>
      <c r="V168" s="1050"/>
      <c r="W168" s="1050"/>
      <c r="X168" s="1051"/>
      <c r="Y168" s="458"/>
      <c r="Z168" s="458"/>
      <c r="AA168" s="458"/>
      <c r="AC168" s="1052"/>
      <c r="AD168" s="1053"/>
      <c r="AE168" s="1053"/>
      <c r="AF168" s="1053"/>
      <c r="AG168" s="1052"/>
      <c r="AH168" s="1053"/>
      <c r="AI168" s="1053"/>
      <c r="AJ168" s="1053"/>
    </row>
    <row r="169" spans="8:36" ht="12.75" customHeight="1" outlineLevel="1">
      <c r="H169" s="1096"/>
      <c r="I169" s="1048"/>
      <c r="J169" s="1048"/>
      <c r="K169" s="1048"/>
      <c r="L169" s="1048"/>
      <c r="M169" s="1048"/>
      <c r="N169" s="1098"/>
      <c r="O169" s="1049"/>
      <c r="P169" s="1049"/>
      <c r="Q169" s="1049"/>
      <c r="R169" s="1049"/>
      <c r="S169" s="1050"/>
      <c r="T169" s="1050"/>
      <c r="U169" s="1050"/>
      <c r="V169" s="1050"/>
      <c r="W169" s="1050"/>
      <c r="X169" s="1051"/>
      <c r="Y169" s="458"/>
      <c r="Z169" s="458"/>
      <c r="AA169" s="458"/>
      <c r="AC169" s="1052"/>
      <c r="AD169" s="1053"/>
      <c r="AE169" s="1053"/>
      <c r="AF169" s="1053"/>
      <c r="AG169" s="1052"/>
      <c r="AH169" s="1053"/>
      <c r="AI169" s="1053"/>
      <c r="AJ169" s="1053"/>
    </row>
    <row r="170" spans="8:36" ht="12.75" customHeight="1" outlineLevel="1">
      <c r="H170" s="1096"/>
      <c r="I170" s="1048"/>
      <c r="J170" s="1048"/>
      <c r="K170" s="1048"/>
      <c r="L170" s="1048"/>
      <c r="M170" s="1048"/>
      <c r="N170" s="1098"/>
      <c r="O170" s="1049"/>
      <c r="P170" s="1049"/>
      <c r="Q170" s="1049"/>
      <c r="R170" s="1049"/>
      <c r="S170" s="1050"/>
      <c r="T170" s="1050"/>
      <c r="U170" s="1050"/>
      <c r="V170" s="1050"/>
      <c r="W170" s="1050"/>
      <c r="X170" s="1051"/>
      <c r="Y170" s="458"/>
      <c r="Z170" s="458"/>
      <c r="AA170" s="458"/>
      <c r="AC170" s="1052"/>
      <c r="AD170" s="1053"/>
      <c r="AE170" s="1053"/>
      <c r="AF170" s="1053"/>
      <c r="AG170" s="1052"/>
      <c r="AH170" s="1053"/>
      <c r="AI170" s="1053"/>
      <c r="AJ170" s="1053"/>
    </row>
    <row r="171" spans="8:36" ht="12.75" customHeight="1" outlineLevel="1">
      <c r="Y171" s="458"/>
      <c r="Z171" s="458"/>
      <c r="AA171" s="458"/>
    </row>
    <row r="172" spans="8:36" ht="12.75" customHeight="1" outlineLevel="1">
      <c r="H172" s="466" t="s">
        <v>1061</v>
      </c>
      <c r="Y172" s="458"/>
      <c r="Z172" s="458"/>
      <c r="AA172" s="458"/>
    </row>
    <row r="173" spans="8:36" ht="12.75" customHeight="1" outlineLevel="1"/>
    <row r="174" spans="8:36" ht="12.75" customHeight="1" outlineLevel="1">
      <c r="I174" s="1054" t="s">
        <v>1040</v>
      </c>
      <c r="M174" s="462"/>
      <c r="N174" s="462"/>
      <c r="O174" s="462"/>
      <c r="P174" s="462"/>
      <c r="Q174" s="458"/>
      <c r="R174" s="458"/>
      <c r="S174" s="458"/>
      <c r="T174" s="458"/>
    </row>
    <row r="175" spans="8:36" ht="12.75" customHeight="1" outlineLevel="1">
      <c r="J175" s="456" t="s">
        <v>1041</v>
      </c>
      <c r="K175" s="456" t="s">
        <v>1042</v>
      </c>
      <c r="L175" s="456" t="s">
        <v>1043</v>
      </c>
      <c r="M175" s="456" t="s">
        <v>1044</v>
      </c>
      <c r="N175" s="462"/>
      <c r="O175" s="462"/>
      <c r="P175" s="462"/>
    </row>
    <row r="176" spans="8:36" ht="12.75" customHeight="1" outlineLevel="1" thickBot="1">
      <c r="I176" s="462" t="s">
        <v>1045</v>
      </c>
      <c r="J176" s="1055"/>
      <c r="K176" s="1055"/>
      <c r="L176" s="1055"/>
      <c r="M176" s="1055"/>
      <c r="N176" s="462"/>
      <c r="O176" s="462"/>
      <c r="P176" s="462"/>
    </row>
    <row r="177" spans="9:17" ht="12.75" customHeight="1" outlineLevel="1" thickTop="1" thickBot="1">
      <c r="I177" s="462" t="s">
        <v>1002</v>
      </c>
      <c r="J177" s="1055">
        <v>0.76060000000000005</v>
      </c>
      <c r="K177" s="1055">
        <v>0.42399999999999999</v>
      </c>
      <c r="L177" s="1055">
        <v>0.23400000000000001</v>
      </c>
      <c r="M177" s="1055">
        <v>0.34200000000000003</v>
      </c>
      <c r="N177" s="462"/>
      <c r="O177" s="462"/>
      <c r="P177" s="462"/>
    </row>
    <row r="178" spans="9:17" ht="12.75" customHeight="1" outlineLevel="1" thickTop="1" thickBot="1">
      <c r="I178" s="462" t="s">
        <v>1003</v>
      </c>
      <c r="J178" s="1055">
        <v>0.17119999999999999</v>
      </c>
      <c r="K178" s="1055">
        <v>0.40200000000000002</v>
      </c>
      <c r="L178" s="1055">
        <v>7.3999999999999996E-2</v>
      </c>
      <c r="M178" s="1055">
        <v>0.52400000000000002</v>
      </c>
      <c r="N178" s="462"/>
      <c r="O178" s="462"/>
      <c r="P178" s="462"/>
    </row>
    <row r="179" spans="9:17" ht="12.75" customHeight="1" outlineLevel="1" thickTop="1" thickBot="1">
      <c r="I179" s="462" t="s">
        <v>1004</v>
      </c>
      <c r="J179" s="1055">
        <v>6.8199999999999997E-2</v>
      </c>
      <c r="K179" s="1055">
        <v>0.27</v>
      </c>
      <c r="L179" s="1055">
        <v>0.04</v>
      </c>
      <c r="M179" s="1055">
        <v>0.69</v>
      </c>
      <c r="N179" s="462"/>
      <c r="O179" s="462"/>
      <c r="P179" s="462"/>
    </row>
    <row r="180" spans="9:17" ht="12.75" customHeight="1" outlineLevel="1" thickTop="1">
      <c r="I180" s="462" t="s">
        <v>914</v>
      </c>
      <c r="J180" s="238" t="s">
        <v>1046</v>
      </c>
      <c r="K180" s="235"/>
      <c r="L180" s="235"/>
      <c r="M180" s="236"/>
      <c r="N180" s="462"/>
      <c r="O180" s="462"/>
      <c r="P180" s="462"/>
    </row>
    <row r="181" spans="9:17" ht="12.75" customHeight="1" outlineLevel="1">
      <c r="I181" s="458"/>
      <c r="J181" s="458"/>
      <c r="K181" s="458"/>
      <c r="L181" s="458"/>
      <c r="M181" s="458"/>
      <c r="N181" s="462"/>
      <c r="O181" s="462"/>
      <c r="P181" s="462"/>
    </row>
    <row r="182" spans="9:17" ht="12.75" customHeight="1" outlineLevel="1">
      <c r="I182" s="1054" t="s">
        <v>1047</v>
      </c>
      <c r="J182" s="458"/>
      <c r="K182" s="458"/>
      <c r="L182" s="458"/>
      <c r="M182" s="462"/>
      <c r="N182" s="462"/>
      <c r="O182" s="462"/>
      <c r="P182" s="462"/>
    </row>
    <row r="183" spans="9:17" ht="12.75" customHeight="1" outlineLevel="1" thickBot="1">
      <c r="I183" s="462" t="s">
        <v>1048</v>
      </c>
      <c r="J183" s="458"/>
      <c r="K183" s="462" t="s">
        <v>1056</v>
      </c>
      <c r="M183" s="462"/>
      <c r="N183" s="458"/>
      <c r="O183" s="462"/>
      <c r="P183" s="462"/>
    </row>
    <row r="184" spans="9:17" ht="12.75" customHeight="1" outlineLevel="1" thickBot="1">
      <c r="I184" s="1056" t="s">
        <v>1049</v>
      </c>
      <c r="J184" s="1057">
        <v>0.54840738345651796</v>
      </c>
      <c r="K184" s="228" t="s">
        <v>1053</v>
      </c>
      <c r="L184" s="229"/>
      <c r="M184" s="462"/>
    </row>
    <row r="185" spans="9:17" ht="12.75" customHeight="1" outlineLevel="1" thickBot="1">
      <c r="I185" s="1058" t="s">
        <v>1050</v>
      </c>
      <c r="J185" s="1059">
        <v>0.27554217178671087</v>
      </c>
      <c r="K185" s="228" t="s">
        <v>1053</v>
      </c>
      <c r="L185" s="229"/>
      <c r="M185" s="462"/>
    </row>
    <row r="186" spans="9:17" ht="12.75" customHeight="1" outlineLevel="1" thickBot="1">
      <c r="I186" s="1060" t="s">
        <v>1051</v>
      </c>
      <c r="J186" s="1061">
        <v>0.17605044475677123</v>
      </c>
      <c r="K186" s="228" t="s">
        <v>1053</v>
      </c>
      <c r="L186" s="229"/>
      <c r="M186" s="462"/>
    </row>
    <row r="187" spans="9:17" ht="12.75" customHeight="1" outlineLevel="1">
      <c r="I187" s="458"/>
      <c r="J187" s="458"/>
      <c r="K187" s="458"/>
      <c r="M187" s="462"/>
    </row>
    <row r="188" spans="9:17" ht="12.75" customHeight="1" outlineLevel="1" thickBot="1">
      <c r="I188" s="458"/>
      <c r="J188" s="458"/>
      <c r="K188" s="458"/>
      <c r="M188" s="462"/>
    </row>
    <row r="189" spans="9:17" ht="12.75" customHeight="1" outlineLevel="1" thickBot="1">
      <c r="I189" s="1062"/>
      <c r="J189" s="1063"/>
      <c r="M189" s="462"/>
      <c r="Q189" s="944"/>
    </row>
    <row r="190" spans="9:17" ht="12.75" customHeight="1" outlineLevel="1" thickBot="1">
      <c r="I190" s="1026" t="s">
        <v>1042</v>
      </c>
      <c r="J190" s="1064">
        <f>1-J191</f>
        <v>0.96</v>
      </c>
      <c r="K190" s="264" t="s">
        <v>1094</v>
      </c>
      <c r="L190" s="237"/>
      <c r="M190" s="458"/>
    </row>
    <row r="191" spans="9:17" ht="12.75" customHeight="1" outlineLevel="1" thickBot="1">
      <c r="I191" s="1026" t="s">
        <v>1052</v>
      </c>
      <c r="J191" s="1064">
        <v>0.04</v>
      </c>
      <c r="K191" s="264" t="s">
        <v>1094</v>
      </c>
      <c r="L191" s="237"/>
      <c r="M191" s="458"/>
      <c r="N191" s="462"/>
      <c r="O191" s="462"/>
      <c r="P191" s="462"/>
    </row>
    <row r="192" spans="9:17" ht="12.75" customHeight="1" outlineLevel="1" thickBot="1">
      <c r="I192" s="1026"/>
      <c r="J192" s="1065"/>
      <c r="M192" s="458"/>
      <c r="N192" s="462"/>
      <c r="O192" s="462"/>
      <c r="P192" s="462"/>
    </row>
    <row r="193" spans="8:22" ht="12.75" customHeight="1" outlineLevel="1" thickBot="1">
      <c r="I193" s="1026" t="s">
        <v>1054</v>
      </c>
      <c r="J193" s="1064">
        <v>0.48291742717100261</v>
      </c>
      <c r="K193" s="228" t="s">
        <v>1053</v>
      </c>
      <c r="L193" s="229"/>
      <c r="M193" s="462"/>
    </row>
    <row r="194" spans="8:22" ht="12.75" customHeight="1" outlineLevel="1" thickBot="1">
      <c r="I194" s="1066" t="s">
        <v>1055</v>
      </c>
      <c r="J194" s="1064">
        <v>0.51708257282899739</v>
      </c>
      <c r="K194" s="228" t="s">
        <v>1053</v>
      </c>
      <c r="L194" s="229"/>
      <c r="M194" s="462"/>
    </row>
    <row r="195" spans="8:22" ht="12.75" customHeight="1" outlineLevel="1" thickBot="1">
      <c r="I195" s="965"/>
      <c r="J195" s="1067"/>
      <c r="M195" s="462"/>
    </row>
    <row r="196" spans="8:22" ht="12.75" customHeight="1" outlineLevel="1">
      <c r="M196" s="462"/>
    </row>
    <row r="197" spans="8:22" ht="12.75" customHeight="1" outlineLevel="1">
      <c r="M197" s="462"/>
    </row>
    <row r="198" spans="8:22" ht="12.75" customHeight="1" outlineLevel="1">
      <c r="M198" s="462"/>
    </row>
    <row r="199" spans="8:22" ht="12.75" customHeight="1" outlineLevel="1" thickBot="1">
      <c r="I199" s="1054" t="s">
        <v>2042</v>
      </c>
      <c r="J199" s="458"/>
      <c r="K199" s="458"/>
      <c r="L199" s="458"/>
      <c r="M199" s="458"/>
      <c r="N199" s="462"/>
      <c r="O199" s="462"/>
      <c r="P199" s="462"/>
      <c r="Q199" s="1054" t="s">
        <v>2043</v>
      </c>
      <c r="R199" s="458"/>
      <c r="S199" s="458"/>
      <c r="T199" s="458"/>
      <c r="U199" s="458"/>
      <c r="V199" s="462"/>
    </row>
    <row r="200" spans="8:22" ht="12.75" customHeight="1" outlineLevel="1">
      <c r="I200" s="1099" t="s">
        <v>901</v>
      </c>
      <c r="J200" s="1100"/>
      <c r="K200" s="1100"/>
      <c r="L200" s="724" t="s">
        <v>1002</v>
      </c>
      <c r="M200" s="724" t="s">
        <v>1003</v>
      </c>
      <c r="N200" s="1063" t="s">
        <v>1004</v>
      </c>
      <c r="O200" s="462"/>
      <c r="P200" s="462"/>
      <c r="Q200" s="1099" t="s">
        <v>901</v>
      </c>
      <c r="R200" s="1100"/>
      <c r="S200" s="1100"/>
      <c r="T200" s="724" t="s">
        <v>1002</v>
      </c>
      <c r="U200" s="724" t="s">
        <v>1003</v>
      </c>
      <c r="V200" s="1063" t="s">
        <v>1004</v>
      </c>
    </row>
    <row r="201" spans="8:22" ht="12.75" customHeight="1" outlineLevel="1" thickBot="1">
      <c r="I201" s="1101" t="s">
        <v>1057</v>
      </c>
      <c r="J201" s="1102" t="s">
        <v>1058</v>
      </c>
      <c r="K201" s="1102" t="s">
        <v>1059</v>
      </c>
      <c r="L201" s="482"/>
      <c r="M201" s="482"/>
      <c r="N201" s="1103"/>
      <c r="O201" s="462"/>
      <c r="P201" s="462"/>
      <c r="Q201" s="1101" t="s">
        <v>1057</v>
      </c>
      <c r="R201" s="1102" t="s">
        <v>1058</v>
      </c>
      <c r="S201" s="1102" t="s">
        <v>1059</v>
      </c>
      <c r="T201" s="482"/>
      <c r="U201" s="482"/>
      <c r="V201" s="1103"/>
    </row>
    <row r="202" spans="8:22" ht="12.75" customHeight="1" outlineLevel="1" thickBot="1">
      <c r="H202" s="1068" t="s">
        <v>1042</v>
      </c>
      <c r="I202" s="1056" t="s">
        <v>1042</v>
      </c>
      <c r="J202" s="1069" t="s">
        <v>1049</v>
      </c>
      <c r="K202" s="1056" t="str">
        <f>I202&amp;J202</f>
        <v>InteriorGas</v>
      </c>
      <c r="L202" s="1070">
        <f t="shared" ref="L202:N204" si="36">INDEX($J$177:$J$179,MATCH(T$200,$I$177:$I$179,0))*INDEX($K$177:$M$179,MATCH(T$200,$I$177:$I$179,0),MATCH($P202,$K$175:$M$175,0))*INDEX($J$184:$J$186,MATCH($R202,$I$184:$I$186,0))</f>
        <v>0.17685831008337968</v>
      </c>
      <c r="M202" s="1070">
        <f t="shared" si="36"/>
        <v>3.7742712307197862E-2</v>
      </c>
      <c r="N202" s="1070">
        <f t="shared" si="36"/>
        <v>1.0098373558968322E-2</v>
      </c>
      <c r="O202" s="462"/>
      <c r="P202" s="1068" t="s">
        <v>1042</v>
      </c>
      <c r="Q202" s="1056" t="s">
        <v>1042</v>
      </c>
      <c r="R202" s="1069" t="s">
        <v>1049</v>
      </c>
      <c r="S202" s="1056" t="str">
        <f t="shared" ref="S202:S209" si="37">Q202&amp;R202</f>
        <v>InteriorGas</v>
      </c>
      <c r="T202" s="1071">
        <f t="shared" ref="T202:V207" si="38">INDEX($J$177:$J$179,MATCH(T$200,$I$177:$I$179,0))*INDEX($K$177:$M$179,MATCH(T$200,$I$177:$I$179,0),MATCH($P202,$K$175:$M$175,0))*INDEX($J$184:$J$186,MATCH($R202,$I$184:$I$186,0))*INDEX($J$190:$J$191,MATCH($Q202,$I$190:$I$191,0))</f>
        <v>0.1697839776800445</v>
      </c>
      <c r="U202" s="1071">
        <f t="shared" si="38"/>
        <v>3.6233003814909945E-2</v>
      </c>
      <c r="V202" s="1071">
        <f t="shared" si="38"/>
        <v>9.6944386166095894E-3</v>
      </c>
    </row>
    <row r="203" spans="8:22" ht="12.75" customHeight="1" outlineLevel="1" thickBot="1">
      <c r="H203" s="1068" t="s">
        <v>1042</v>
      </c>
      <c r="I203" s="1058" t="s">
        <v>1042</v>
      </c>
      <c r="J203" s="1072" t="s">
        <v>1050</v>
      </c>
      <c r="K203" s="1058" t="str">
        <f>I203&amp;J203</f>
        <v>InteriorElectric Resistance</v>
      </c>
      <c r="L203" s="1070">
        <f t="shared" si="36"/>
        <v>8.8860807365052252E-2</v>
      </c>
      <c r="M203" s="1070">
        <f t="shared" si="36"/>
        <v>1.8963473563573731E-2</v>
      </c>
      <c r="N203" s="1070">
        <f t="shared" si="36"/>
        <v>5.0738335512804942E-3</v>
      </c>
      <c r="O203" s="462"/>
      <c r="P203" s="1068" t="s">
        <v>1042</v>
      </c>
      <c r="Q203" s="1058" t="s">
        <v>1042</v>
      </c>
      <c r="R203" s="1072" t="s">
        <v>1050</v>
      </c>
      <c r="S203" s="1058" t="str">
        <f t="shared" si="37"/>
        <v>InteriorElectric Resistance</v>
      </c>
      <c r="T203" s="1071">
        <f t="shared" si="38"/>
        <v>8.5306375070450163E-2</v>
      </c>
      <c r="U203" s="1071">
        <f t="shared" si="38"/>
        <v>1.8204934621030781E-2</v>
      </c>
      <c r="V203" s="1071">
        <f t="shared" si="38"/>
        <v>4.8708802092292738E-3</v>
      </c>
    </row>
    <row r="204" spans="8:22" ht="12.75" customHeight="1" outlineLevel="1" thickBot="1">
      <c r="H204" s="1068" t="s">
        <v>1042</v>
      </c>
      <c r="I204" s="1058" t="s">
        <v>1042</v>
      </c>
      <c r="J204" s="1072" t="s">
        <v>1051</v>
      </c>
      <c r="K204" s="1058" t="str">
        <f>I204&amp;J204</f>
        <v>InteriorHeat Pump HSPF 8.5</v>
      </c>
      <c r="L204" s="1070">
        <f t="shared" si="36"/>
        <v>5.6775282551568086E-2</v>
      </c>
      <c r="M204" s="1070">
        <f t="shared" si="36"/>
        <v>1.2116214129228413E-2</v>
      </c>
      <c r="N204" s="1070">
        <f t="shared" si="36"/>
        <v>3.2417928897511853E-3</v>
      </c>
      <c r="O204" s="462"/>
      <c r="P204" s="1068" t="s">
        <v>1042</v>
      </c>
      <c r="Q204" s="1058" t="s">
        <v>1042</v>
      </c>
      <c r="R204" s="1072" t="s">
        <v>1051</v>
      </c>
      <c r="S204" s="1058" t="str">
        <f t="shared" si="37"/>
        <v>InteriorHeat Pump HSPF 8.5</v>
      </c>
      <c r="T204" s="1071">
        <f t="shared" si="38"/>
        <v>5.4504271249505361E-2</v>
      </c>
      <c r="U204" s="1071">
        <f t="shared" si="38"/>
        <v>1.1631565564059277E-2</v>
      </c>
      <c r="V204" s="1071">
        <f t="shared" si="38"/>
        <v>3.112121174161138E-3</v>
      </c>
    </row>
    <row r="205" spans="8:22" ht="12.75" customHeight="1" outlineLevel="1" thickBot="1">
      <c r="I205" s="1073" t="s">
        <v>1043</v>
      </c>
      <c r="J205" s="1074" t="s">
        <v>1060</v>
      </c>
      <c r="K205" s="1073" t="str">
        <f>I205&amp;J205</f>
        <v>GarageAny</v>
      </c>
      <c r="L205" s="1070">
        <f>INDEX($J$177:$J$179,MATCH(L$200,$I$177:$I$179,0))*INDEX($K$177:$M$179,MATCH(L$200,$I$177:$I$179,0),MATCH($I205,$K$175:$M$175,0))</f>
        <v>0.17798040000000001</v>
      </c>
      <c r="M205" s="1070">
        <f t="shared" ref="M205:N206" si="39">INDEX($J$177:$J$179,MATCH(M$200,$I$177:$I$179,0))*INDEX($K$177:$M$179,MATCH(M$200,$I$177:$I$179,0),MATCH($I205,$K$175:$M$175,0))</f>
        <v>1.2668799999999999E-2</v>
      </c>
      <c r="N205" s="1070">
        <f t="shared" si="39"/>
        <v>2.728E-3</v>
      </c>
      <c r="O205" s="462"/>
      <c r="P205" s="1068" t="s">
        <v>1042</v>
      </c>
      <c r="Q205" s="1058" t="s">
        <v>1052</v>
      </c>
      <c r="R205" s="1072" t="s">
        <v>1049</v>
      </c>
      <c r="S205" s="1058" t="str">
        <f t="shared" si="37"/>
        <v>Interior - Exhaust DuctedGas</v>
      </c>
      <c r="T205" s="1071">
        <f t="shared" si="38"/>
        <v>7.0743324033351873E-3</v>
      </c>
      <c r="U205" s="1071">
        <f t="shared" si="38"/>
        <v>1.5097084922879144E-3</v>
      </c>
      <c r="V205" s="1071">
        <f t="shared" si="38"/>
        <v>4.0393494235873288E-4</v>
      </c>
    </row>
    <row r="206" spans="8:22" ht="12.75" customHeight="1" outlineLevel="1" thickBot="1">
      <c r="I206" s="1075" t="s">
        <v>1044</v>
      </c>
      <c r="J206" s="1076" t="s">
        <v>1060</v>
      </c>
      <c r="K206" s="1075" t="str">
        <f>I206&amp;J206</f>
        <v>Unheated BasementAny</v>
      </c>
      <c r="L206" s="1070">
        <f>INDEX($J$177:$J$179,MATCH(L$200,$I$177:$I$179,0))*INDEX($K$177:$M$179,MATCH(L$200,$I$177:$I$179,0),MATCH($I206,$K$175:$M$175,0))</f>
        <v>0.26012520000000006</v>
      </c>
      <c r="M206" s="1070">
        <f t="shared" si="39"/>
        <v>8.9708800000000005E-2</v>
      </c>
      <c r="N206" s="1070">
        <f t="shared" si="39"/>
        <v>4.7057999999999996E-2</v>
      </c>
      <c r="O206" s="462"/>
      <c r="P206" s="1068" t="s">
        <v>1042</v>
      </c>
      <c r="Q206" s="1058" t="s">
        <v>1052</v>
      </c>
      <c r="R206" s="1072" t="s">
        <v>1050</v>
      </c>
      <c r="S206" s="1058" t="str">
        <f t="shared" si="37"/>
        <v>Interior - Exhaust DuctedElectric Resistance</v>
      </c>
      <c r="T206" s="1071">
        <f t="shared" si="38"/>
        <v>3.5544322946020903E-3</v>
      </c>
      <c r="U206" s="1071">
        <f t="shared" si="38"/>
        <v>7.585389425429493E-4</v>
      </c>
      <c r="V206" s="1071">
        <f t="shared" si="38"/>
        <v>2.0295334205121978E-4</v>
      </c>
    </row>
    <row r="207" spans="8:22" ht="12.75" customHeight="1" outlineLevel="1" thickBot="1">
      <c r="M207" s="462"/>
      <c r="N207" s="1077">
        <f>SUM(L202:N206)</f>
        <v>1.0000000000000002</v>
      </c>
      <c r="O207" s="462"/>
      <c r="P207" s="1068" t="s">
        <v>1042</v>
      </c>
      <c r="Q207" s="1058" t="s">
        <v>1052</v>
      </c>
      <c r="R207" s="1072" t="s">
        <v>1051</v>
      </c>
      <c r="S207" s="1058" t="str">
        <f t="shared" si="37"/>
        <v>Interior - Exhaust DuctedHeat Pump HSPF 8.5</v>
      </c>
      <c r="T207" s="1071">
        <f t="shared" si="38"/>
        <v>2.2710113020627237E-3</v>
      </c>
      <c r="U207" s="1071">
        <f t="shared" si="38"/>
        <v>4.8464856516913655E-4</v>
      </c>
      <c r="V207" s="1071">
        <f t="shared" si="38"/>
        <v>1.2967171559004741E-4</v>
      </c>
    </row>
    <row r="208" spans="8:22" ht="12.75" customHeight="1" outlineLevel="1" thickBot="1">
      <c r="M208" s="462"/>
      <c r="N208" s="462"/>
      <c r="O208" s="462"/>
      <c r="P208" s="462"/>
      <c r="Q208" s="1073" t="s">
        <v>1043</v>
      </c>
      <c r="R208" s="1074" t="s">
        <v>1060</v>
      </c>
      <c r="S208" s="1073" t="str">
        <f t="shared" si="37"/>
        <v>GarageAny</v>
      </c>
      <c r="T208" s="1071">
        <f t="shared" ref="T208:V209" si="40">INDEX($J$177:$J$179,MATCH(T$200,$I$177:$I$179,0))*INDEX($K$177:$M$179,MATCH(T$200,$I$177:$I$179,0),MATCH($Q208,$K$175:$M$175,0))</f>
        <v>0.17798040000000001</v>
      </c>
      <c r="U208" s="1071">
        <f t="shared" si="40"/>
        <v>1.2668799999999999E-2</v>
      </c>
      <c r="V208" s="1071">
        <f t="shared" si="40"/>
        <v>2.728E-3</v>
      </c>
    </row>
    <row r="209" spans="1:22" ht="12.75" customHeight="1" outlineLevel="1" thickBot="1">
      <c r="M209" s="462"/>
      <c r="N209" s="462"/>
      <c r="O209" s="462"/>
      <c r="P209" s="462"/>
      <c r="Q209" s="1075" t="s">
        <v>1044</v>
      </c>
      <c r="R209" s="1076" t="s">
        <v>1060</v>
      </c>
      <c r="S209" s="1075" t="str">
        <f t="shared" si="37"/>
        <v>Unheated BasementAny</v>
      </c>
      <c r="T209" s="1071">
        <f t="shared" si="40"/>
        <v>0.26012520000000006</v>
      </c>
      <c r="U209" s="1071">
        <f t="shared" si="40"/>
        <v>8.9708800000000005E-2</v>
      </c>
      <c r="V209" s="1071">
        <f t="shared" si="40"/>
        <v>4.7057999999999996E-2</v>
      </c>
    </row>
    <row r="210" spans="1:22" ht="12.75" customHeight="1" outlineLevel="1">
      <c r="M210" s="462"/>
    </row>
    <row r="211" spans="1:22" ht="12.75" customHeight="1" outlineLevel="1"/>
    <row r="212" spans="1:22" ht="12.75" customHeight="1" outlineLevel="1"/>
    <row r="213" spans="1:22" ht="12.75" customHeight="1" outlineLevel="1">
      <c r="H213" s="466" t="s">
        <v>1790</v>
      </c>
      <c r="N213" s="458"/>
      <c r="O213" s="458"/>
    </row>
    <row r="214" spans="1:22" ht="12.75" customHeight="1" outlineLevel="1">
      <c r="I214" s="995" t="s">
        <v>1789</v>
      </c>
      <c r="N214" s="458"/>
      <c r="O214" s="458"/>
    </row>
    <row r="215" spans="1:22" s="931" customFormat="1" ht="28.2" outlineLevel="1" thickBot="1">
      <c r="A215" s="928"/>
      <c r="B215" s="928"/>
      <c r="C215" s="929"/>
      <c r="D215" s="929"/>
      <c r="E215" s="929"/>
      <c r="F215" s="929"/>
      <c r="G215" s="928"/>
      <c r="I215" s="1104" t="s">
        <v>6</v>
      </c>
      <c r="J215" s="1105" t="s">
        <v>15</v>
      </c>
      <c r="K215" s="1106" t="s">
        <v>1036</v>
      </c>
      <c r="L215" s="1107" t="s">
        <v>1037</v>
      </c>
      <c r="M215" s="1108" t="s">
        <v>1038</v>
      </c>
      <c r="N215" s="458"/>
      <c r="O215" s="458"/>
      <c r="P215" s="1109"/>
      <c r="Q215" s="1108" t="s">
        <v>2045</v>
      </c>
      <c r="R215" s="1110" t="s">
        <v>1063</v>
      </c>
      <c r="S215" s="1111" t="s">
        <v>1064</v>
      </c>
      <c r="V215" s="1078"/>
    </row>
    <row r="216" spans="1:22" s="931" customFormat="1" ht="15" outlineLevel="1" thickTop="1" thickBot="1">
      <c r="A216" s="928"/>
      <c r="B216" s="928"/>
      <c r="C216" s="929"/>
      <c r="D216" s="929"/>
      <c r="E216" s="929"/>
      <c r="F216" s="929"/>
      <c r="G216" s="928"/>
      <c r="I216" s="1079" t="s">
        <v>997</v>
      </c>
      <c r="J216" s="1080" t="s">
        <v>1065</v>
      </c>
      <c r="K216" s="1081">
        <f>SUMPRODUCT(I$104:I$118,$X$104:$X$118)</f>
        <v>991.68618286452886</v>
      </c>
      <c r="L216" s="1081">
        <f>SUMPRODUCT(J$104:J$118,$X$104:$X$118)</f>
        <v>-62.701584435791233</v>
      </c>
      <c r="M216" s="1081">
        <f>SUMPRODUCT(K$104:K$118,$X$104:$X$118)</f>
        <v>5.9311570365231816</v>
      </c>
      <c r="N216" s="458"/>
      <c r="O216" s="458"/>
      <c r="P216" s="1082" t="s">
        <v>1791</v>
      </c>
      <c r="Q216" s="1083">
        <f>SUM(K216:M216)</f>
        <v>934.91575546526076</v>
      </c>
      <c r="R216" s="1084">
        <f>SUMPRODUCT(O$1338:O$1430,$U$1338:$U$1430)</f>
        <v>0</v>
      </c>
      <c r="S216" s="1085">
        <f>SUMPRODUCT(P$1338:P$1430,$U$1338:$U$1430)</f>
        <v>0</v>
      </c>
      <c r="V216" s="1078"/>
    </row>
    <row r="217" spans="1:22" s="931" customFormat="1" ht="14.4" outlineLevel="1" thickBot="1">
      <c r="A217" s="928"/>
      <c r="B217" s="928"/>
      <c r="C217" s="929"/>
      <c r="D217" s="929"/>
      <c r="E217" s="929"/>
      <c r="F217" s="929"/>
      <c r="G217" s="928"/>
      <c r="I217" s="1079" t="s">
        <v>998</v>
      </c>
      <c r="J217" s="1080" t="s">
        <v>1065</v>
      </c>
      <c r="K217" s="1081">
        <f>SUMPRODUCT(I$119:I$142,$X$119:$X$142)</f>
        <v>1296.7604909715219</v>
      </c>
      <c r="L217" s="1081">
        <f>SUMPRODUCT(J$119:J$142,$X$119:$X$142)</f>
        <v>-98.220723697468657</v>
      </c>
      <c r="M217" s="1081">
        <f>SUMPRODUCT(K$119:K$142,$X$119:$X$142)</f>
        <v>7.313816236099556</v>
      </c>
      <c r="N217" s="458"/>
      <c r="O217" s="458"/>
      <c r="P217" s="1082" t="s">
        <v>1792</v>
      </c>
      <c r="Q217" s="1086">
        <f>SUM(K217:M217)</f>
        <v>1205.8535835101527</v>
      </c>
      <c r="R217" s="1084">
        <f>SUMPRODUCT(O$1338:O$1430,$U$1338:$U$1430)</f>
        <v>0</v>
      </c>
      <c r="S217" s="1085">
        <f>SUMPRODUCT(P$1338:P$1430,$U$1338:$U$1430)</f>
        <v>0</v>
      </c>
      <c r="V217" s="1078"/>
    </row>
    <row r="218" spans="1:22" s="931" customFormat="1" ht="14.4" outlineLevel="1" thickBot="1">
      <c r="A218" s="928"/>
      <c r="B218" s="928"/>
      <c r="C218" s="929"/>
      <c r="D218" s="929"/>
      <c r="E218" s="929"/>
      <c r="F218" s="929"/>
      <c r="G218" s="928"/>
      <c r="I218" s="1079" t="s">
        <v>998</v>
      </c>
      <c r="J218" s="1087" t="s">
        <v>1794</v>
      </c>
      <c r="K218" s="1088"/>
      <c r="L218" s="1088"/>
      <c r="M218" s="1088"/>
      <c r="N218" s="458"/>
      <c r="O218" s="458"/>
      <c r="P218" s="1089" t="s">
        <v>1793</v>
      </c>
      <c r="Q218" s="1083">
        <f>Q217-Q216</f>
        <v>270.93782804489194</v>
      </c>
      <c r="R218" s="1090">
        <f>SUMPRODUCT(O$1338:O$1430,$V$1338:$V$1430)</f>
        <v>0</v>
      </c>
      <c r="S218" s="1091">
        <f>SUMPRODUCT(P$1338:P$1430,$V$1338:$V$1430)</f>
        <v>0</v>
      </c>
      <c r="V218" s="1078"/>
    </row>
    <row r="219" spans="1:22" ht="12.75" customHeight="1" outlineLevel="1">
      <c r="I219" s="1079" t="s">
        <v>999</v>
      </c>
      <c r="J219" s="1080" t="s">
        <v>1065</v>
      </c>
      <c r="K219" s="1081">
        <f>SUMPRODUCT(I$143:I$166,$X$143:$X$166)</f>
        <v>1462.0221578823732</v>
      </c>
      <c r="L219" s="1081">
        <f>SUMPRODUCT(J$143:J$166,$X$143:$X$166)</f>
        <v>-98.220723697468657</v>
      </c>
      <c r="M219" s="1081">
        <f>SUMPRODUCT(K$143:K$166,$X$143:$X$166)</f>
        <v>7.313816236099556</v>
      </c>
      <c r="N219" s="458"/>
      <c r="O219" s="458"/>
      <c r="P219" s="1082" t="s">
        <v>1302</v>
      </c>
      <c r="Q219" s="1086">
        <f>SUM(K219:M219)</f>
        <v>1371.115250421004</v>
      </c>
      <c r="R219" s="1084">
        <f>SUMPRODUCT(O$1338:O$1430,$U$1338:$U$1430)</f>
        <v>0</v>
      </c>
      <c r="S219" s="1085">
        <f>SUMPRODUCT(P$1338:P$1430,$U$1338:$U$1430)</f>
        <v>0</v>
      </c>
    </row>
    <row r="220" spans="1:22" ht="12.75" customHeight="1" outlineLevel="1">
      <c r="I220" s="1092" t="s">
        <v>999</v>
      </c>
      <c r="J220" s="1087" t="s">
        <v>1066</v>
      </c>
      <c r="K220" s="1088"/>
      <c r="L220" s="1088"/>
      <c r="M220" s="1088"/>
      <c r="N220" s="458"/>
      <c r="O220" s="458"/>
      <c r="P220" s="1089" t="s">
        <v>1303</v>
      </c>
      <c r="Q220" s="1083">
        <f>Q219-Q217</f>
        <v>165.26166691085132</v>
      </c>
      <c r="R220" s="1090">
        <f>SUMPRODUCT(O$1338:O$1430,$V$1338:$V$1430)</f>
        <v>0</v>
      </c>
      <c r="S220" s="1091">
        <f>SUMPRODUCT(P$1338:P$1430,$V$1338:$V$1430)</f>
        <v>0</v>
      </c>
    </row>
    <row r="221" spans="1:22" s="458" customFormat="1" ht="12.75" customHeight="1" outlineLevel="1">
      <c r="H221" s="462"/>
    </row>
    <row r="222" spans="1:22" s="458" customFormat="1" ht="12.75" customHeight="1" outlineLevel="1">
      <c r="H222" s="462"/>
    </row>
    <row r="223" spans="1:22" s="458" customFormat="1" ht="12.75" customHeight="1" outlineLevel="1">
      <c r="H223" s="462"/>
    </row>
    <row r="224" spans="1:22" s="458" customFormat="1" ht="12.75" customHeight="1" outlineLevel="1">
      <c r="H224" s="462"/>
    </row>
    <row r="225" spans="6:28" ht="27" customHeight="1" outlineLevel="1" thickBot="1">
      <c r="F225" s="499"/>
      <c r="H225" s="941" t="s">
        <v>1588</v>
      </c>
      <c r="I225" s="941"/>
      <c r="J225" s="941"/>
      <c r="K225" s="941"/>
      <c r="L225" s="941"/>
      <c r="M225" s="941"/>
      <c r="N225" s="941"/>
      <c r="O225" s="941"/>
      <c r="P225" s="941"/>
      <c r="Q225" s="941"/>
      <c r="R225" s="941"/>
      <c r="S225" s="941"/>
      <c r="T225" s="941"/>
      <c r="U225" s="941"/>
      <c r="V225" s="941"/>
      <c r="W225" s="941"/>
    </row>
    <row r="226" spans="6:28" ht="12.75" customHeight="1" outlineLevel="1" thickTop="1">
      <c r="M226" s="462"/>
      <c r="Q226" s="463"/>
    </row>
    <row r="227" spans="6:28" ht="69" customHeight="1" outlineLevel="1">
      <c r="H227" s="2942" t="s">
        <v>2044</v>
      </c>
      <c r="I227" s="2942"/>
      <c r="J227" s="2942"/>
      <c r="K227" s="2942"/>
      <c r="L227" s="2942"/>
      <c r="M227" s="2942"/>
      <c r="N227" s="2942"/>
      <c r="O227" s="2942"/>
      <c r="P227" s="2942"/>
      <c r="Z227" s="1045"/>
      <c r="AA227" s="1045"/>
      <c r="AB227" s="1045"/>
    </row>
    <row r="228" spans="6:28" ht="13.8" outlineLevel="1">
      <c r="H228" s="1093"/>
      <c r="I228" s="1093"/>
      <c r="J228" s="1093"/>
      <c r="K228" s="1093"/>
      <c r="L228" s="1093"/>
      <c r="M228" s="1093"/>
      <c r="N228" s="1093"/>
      <c r="O228" s="1093"/>
      <c r="P228" s="1093"/>
      <c r="Z228" s="1045"/>
      <c r="AA228" s="1045"/>
      <c r="AB228" s="1045"/>
    </row>
    <row r="229" spans="6:28" ht="12.75" customHeight="1" outlineLevel="1" thickBot="1">
      <c r="M229" s="462"/>
      <c r="Q229" s="463"/>
    </row>
    <row r="230" spans="6:28" ht="12.75" customHeight="1" outlineLevel="1" thickTop="1" thickBot="1">
      <c r="H230" s="458" t="s">
        <v>914</v>
      </c>
      <c r="I230" s="949" t="s">
        <v>2448</v>
      </c>
      <c r="J230" s="462" t="s">
        <v>2449</v>
      </c>
      <c r="M230" s="462"/>
      <c r="Q230" s="463"/>
    </row>
    <row r="231" spans="6:28" ht="12.75" customHeight="1" outlineLevel="1" thickTop="1">
      <c r="M231" s="462"/>
      <c r="Q231" s="463"/>
    </row>
    <row r="232" spans="6:28" ht="12.75" customHeight="1" outlineLevel="1">
      <c r="M232" s="462"/>
      <c r="Q232" s="463"/>
    </row>
    <row r="233" spans="6:28" ht="12.75" customHeight="1" outlineLevel="1">
      <c r="M233" s="462"/>
      <c r="Q233" s="463"/>
    </row>
    <row r="234" spans="6:28" ht="12.75" customHeight="1" outlineLevel="1">
      <c r="M234" s="462"/>
      <c r="Q234" s="463"/>
    </row>
    <row r="235" spans="6:28" ht="12.75" customHeight="1" outlineLevel="1">
      <c r="I235" s="453" t="s">
        <v>273</v>
      </c>
      <c r="J235" s="453" t="s">
        <v>274</v>
      </c>
      <c r="K235" s="453" t="s">
        <v>275</v>
      </c>
      <c r="L235" s="458"/>
      <c r="M235" s="458"/>
      <c r="N235" s="458"/>
      <c r="O235" s="458"/>
      <c r="P235" s="458"/>
      <c r="Q235" s="463"/>
    </row>
    <row r="236" spans="6:28" ht="12.75" customHeight="1" outlineLevel="1">
      <c r="I236" s="454" t="s">
        <v>1795</v>
      </c>
      <c r="J236" s="454" t="s">
        <v>1036</v>
      </c>
      <c r="K236" s="455">
        <v>1779</v>
      </c>
      <c r="L236" s="458"/>
      <c r="M236" s="458"/>
      <c r="N236" s="458"/>
      <c r="O236" s="458"/>
      <c r="P236" s="458"/>
    </row>
    <row r="237" spans="6:28" ht="12.75" customHeight="1" outlineLevel="1">
      <c r="I237" s="454" t="s">
        <v>1796</v>
      </c>
      <c r="J237" s="454" t="s">
        <v>1036</v>
      </c>
      <c r="K237" s="455">
        <v>1831</v>
      </c>
      <c r="L237" s="458"/>
      <c r="M237" s="458"/>
      <c r="N237" s="458"/>
      <c r="O237" s="458"/>
      <c r="P237" s="458"/>
    </row>
    <row r="238" spans="6:28" ht="12.75" customHeight="1" outlineLevel="1">
      <c r="I238" s="454" t="s">
        <v>1797</v>
      </c>
      <c r="J238" s="454" t="s">
        <v>1036</v>
      </c>
      <c r="K238" s="455">
        <v>1877</v>
      </c>
      <c r="L238" s="458"/>
      <c r="M238" s="458"/>
      <c r="N238" s="458"/>
      <c r="O238" s="458"/>
      <c r="P238" s="458"/>
    </row>
    <row r="239" spans="6:28" ht="12.75" customHeight="1" outlineLevel="1"/>
    <row r="240" spans="6:28" ht="12.75" customHeight="1" outlineLevel="1"/>
    <row r="241" spans="10:11" ht="12.75" customHeight="1" outlineLevel="1">
      <c r="J241" s="1054" t="s">
        <v>1040</v>
      </c>
    </row>
    <row r="242" spans="10:11" ht="12.75" customHeight="1" outlineLevel="1">
      <c r="K242" s="456" t="s">
        <v>1041</v>
      </c>
    </row>
    <row r="243" spans="10:11" ht="12.75" customHeight="1" outlineLevel="1">
      <c r="J243" s="462" t="s">
        <v>1045</v>
      </c>
      <c r="K243" s="1094"/>
    </row>
    <row r="244" spans="10:11" ht="12.75" customHeight="1" outlineLevel="1">
      <c r="J244" s="462" t="s">
        <v>1002</v>
      </c>
      <c r="K244" s="1094">
        <v>0.76060000000000005</v>
      </c>
    </row>
    <row r="245" spans="10:11" ht="12.75" customHeight="1" outlineLevel="1">
      <c r="J245" s="462" t="s">
        <v>1003</v>
      </c>
      <c r="K245" s="1094">
        <v>0.17119999999999999</v>
      </c>
    </row>
    <row r="246" spans="10:11" ht="12.75" customHeight="1" outlineLevel="1">
      <c r="J246" s="462" t="s">
        <v>1004</v>
      </c>
      <c r="K246" s="1094">
        <v>6.8199999999999997E-2</v>
      </c>
    </row>
    <row r="247" spans="10:11" ht="12.75" customHeight="1" outlineLevel="1">
      <c r="J247" s="462" t="s">
        <v>914</v>
      </c>
    </row>
    <row r="248" spans="10:11" ht="12.75" customHeight="1" outlineLevel="1">
      <c r="J248" s="459" t="s">
        <v>1046</v>
      </c>
    </row>
    <row r="249" spans="10:11" ht="12.75" customHeight="1" outlineLevel="1"/>
    <row r="250" spans="10:11" ht="12.75" customHeight="1" outlineLevel="1">
      <c r="J250" s="995" t="s">
        <v>1589</v>
      </c>
    </row>
    <row r="251" spans="10:11" ht="12.75" customHeight="1" outlineLevel="1">
      <c r="J251" s="462" t="s">
        <v>1270</v>
      </c>
      <c r="K251" s="970">
        <f>SUMPRODUCT(K236:K238,K244:K246)</f>
        <v>1794.5860000000002</v>
      </c>
    </row>
    <row r="252" spans="10:11" ht="12.75" customHeight="1" outlineLevel="1">
      <c r="J252" s="462" t="s">
        <v>1271</v>
      </c>
      <c r="K252" s="1095">
        <f>K251-Q219</f>
        <v>423.47074957899622</v>
      </c>
    </row>
    <row r="253" spans="10:11" ht="12.75" customHeight="1" outlineLevel="1"/>
    <row r="254" spans="10:11" ht="12.75" customHeight="1" outlineLevel="1"/>
    <row r="255" spans="10:11" ht="12.75" customHeight="1" outlineLevel="1"/>
    <row r="256" spans="10:11" ht="12.75" customHeight="1" outlineLevel="1"/>
    <row r="257" spans="6:24" ht="27" customHeight="1" outlineLevel="1" thickBot="1">
      <c r="F257" s="499"/>
      <c r="H257" s="941" t="s">
        <v>1590</v>
      </c>
      <c r="I257" s="941"/>
      <c r="J257" s="941"/>
      <c r="K257" s="941"/>
      <c r="L257" s="941"/>
      <c r="M257" s="941"/>
      <c r="N257" s="941"/>
      <c r="O257" s="941"/>
      <c r="P257" s="941"/>
      <c r="Q257" s="941"/>
      <c r="R257" s="941"/>
      <c r="S257" s="941"/>
      <c r="T257" s="941"/>
      <c r="U257" s="941"/>
      <c r="V257" s="941"/>
      <c r="W257" s="941"/>
    </row>
    <row r="258" spans="6:24" ht="12.75" customHeight="1" outlineLevel="1" thickTop="1" thickBot="1"/>
    <row r="259" spans="6:24" ht="12.75" customHeight="1" outlineLevel="1" thickTop="1" thickBot="1">
      <c r="H259" s="458" t="s">
        <v>1576</v>
      </c>
      <c r="I259" s="2858" t="s">
        <v>1577</v>
      </c>
      <c r="J259" s="2859"/>
    </row>
    <row r="260" spans="6:24" ht="12.75" customHeight="1" outlineLevel="1" thickTop="1"/>
    <row r="261" spans="6:24" ht="42.6" customHeight="1" outlineLevel="1">
      <c r="J261" s="2894" t="s">
        <v>1591</v>
      </c>
      <c r="K261" s="2894"/>
      <c r="L261" s="2894"/>
      <c r="M261" s="2894"/>
      <c r="N261" s="2894"/>
      <c r="O261" s="2894"/>
      <c r="P261" s="2894"/>
      <c r="Q261" s="2894"/>
      <c r="R261" s="2894"/>
      <c r="S261" s="2894"/>
      <c r="T261" s="2894"/>
      <c r="U261" s="2894"/>
    </row>
    <row r="262" spans="6:24" ht="13.8" outlineLevel="1">
      <c r="J262" s="465"/>
      <c r="K262" s="465"/>
      <c r="L262" s="465"/>
      <c r="M262" s="465"/>
      <c r="N262" s="465"/>
      <c r="O262" s="465"/>
      <c r="P262" s="465"/>
      <c r="Q262" s="465"/>
      <c r="R262" s="465"/>
      <c r="S262" s="465"/>
      <c r="T262" s="465"/>
      <c r="U262" s="465"/>
    </row>
    <row r="263" spans="6:24" ht="75" customHeight="1" outlineLevel="1">
      <c r="J263" s="2789" t="s">
        <v>1578</v>
      </c>
      <c r="K263" s="2789"/>
      <c r="L263" s="2789"/>
      <c r="M263" s="2789"/>
      <c r="N263" s="2789"/>
      <c r="O263" s="2789"/>
      <c r="P263" s="2789"/>
      <c r="Q263" s="2789"/>
      <c r="R263" s="2789"/>
      <c r="S263" s="2789"/>
      <c r="T263" s="2789"/>
      <c r="U263" s="2789"/>
    </row>
    <row r="264" spans="6:24" ht="12.75" customHeight="1" outlineLevel="1">
      <c r="T264" s="995" t="s">
        <v>1592</v>
      </c>
    </row>
    <row r="265" spans="6:24" ht="109.5" customHeight="1" outlineLevel="1">
      <c r="J265" s="466"/>
      <c r="K265" s="868" t="s">
        <v>1272</v>
      </c>
      <c r="L265" s="869" t="s">
        <v>1273</v>
      </c>
      <c r="M265" s="870" t="s">
        <v>1274</v>
      </c>
      <c r="N265" s="871" t="s">
        <v>1275</v>
      </c>
      <c r="O265" s="469" t="s">
        <v>1276</v>
      </c>
      <c r="P265" s="468" t="s">
        <v>1277</v>
      </c>
      <c r="Q265" s="467" t="s">
        <v>1278</v>
      </c>
      <c r="R265" s="470" t="s">
        <v>1279</v>
      </c>
      <c r="S265" s="465"/>
      <c r="T265" s="467" t="s">
        <v>1280</v>
      </c>
      <c r="U265" s="470" t="s">
        <v>1281</v>
      </c>
    </row>
    <row r="266" spans="6:24" ht="12.75" customHeight="1" outlineLevel="1">
      <c r="J266" s="466">
        <v>2018</v>
      </c>
      <c r="K266" s="471">
        <f t="shared" ref="K266:N269" si="41">SUMIFS($M$6:$M$69,$J$6:$J$69,K$272,$L$6:$L$69,$J266,$K$6:$K$69,"Tier 1")</f>
        <v>3776</v>
      </c>
      <c r="L266" s="472">
        <f t="shared" si="41"/>
        <v>1697</v>
      </c>
      <c r="M266" s="472">
        <f t="shared" si="41"/>
        <v>4293</v>
      </c>
      <c r="N266" s="473">
        <f t="shared" si="41"/>
        <v>1929</v>
      </c>
      <c r="O266" s="458">
        <v>739</v>
      </c>
      <c r="P266" s="458">
        <v>880</v>
      </c>
      <c r="Q266" s="474">
        <f>M266-O266</f>
        <v>3554</v>
      </c>
      <c r="R266" s="475">
        <f>N266-P266</f>
        <v>1049</v>
      </c>
      <c r="T266" s="524">
        <f>1-O266/M266-(Q266*$M287/M266)</f>
        <v>0.56891799365782858</v>
      </c>
      <c r="U266" s="525">
        <f>1-P266/N266-(R266*$M287/N266)</f>
        <v>0.3737114423551175</v>
      </c>
      <c r="W266" s="1569"/>
      <c r="X266" s="1569"/>
    </row>
    <row r="267" spans="6:24" ht="12.75" customHeight="1" outlineLevel="1">
      <c r="J267" s="466">
        <v>2019</v>
      </c>
      <c r="K267" s="476">
        <f t="shared" si="41"/>
        <v>4550</v>
      </c>
      <c r="L267" s="477">
        <f t="shared" si="41"/>
        <v>2410</v>
      </c>
      <c r="M267" s="477">
        <f t="shared" si="41"/>
        <v>4180</v>
      </c>
      <c r="N267" s="478">
        <f t="shared" si="41"/>
        <v>2213</v>
      </c>
      <c r="O267" s="458">
        <v>739</v>
      </c>
      <c r="P267" s="458">
        <v>880</v>
      </c>
      <c r="Q267" s="479">
        <f>M267-O267</f>
        <v>3441</v>
      </c>
      <c r="R267" s="480">
        <f>N267-P267</f>
        <v>1333</v>
      </c>
      <c r="T267" s="526">
        <f>1-O267/M267-(Q267*$M288/M267)</f>
        <v>0.51906278379285387</v>
      </c>
      <c r="U267" s="527">
        <f>1-P267/N267-(R267*$M288/N267)</f>
        <v>0.3798046138458151</v>
      </c>
      <c r="W267" s="1569"/>
      <c r="X267" s="1569"/>
    </row>
    <row r="268" spans="6:24" ht="12.75" customHeight="1" outlineLevel="1">
      <c r="J268" s="466">
        <v>2020</v>
      </c>
      <c r="K268" s="476">
        <f t="shared" si="41"/>
        <v>5924</v>
      </c>
      <c r="L268" s="477">
        <f t="shared" si="41"/>
        <v>3137</v>
      </c>
      <c r="M268" s="477">
        <f t="shared" si="41"/>
        <v>4486</v>
      </c>
      <c r="N268" s="478">
        <f t="shared" si="41"/>
        <v>2376</v>
      </c>
      <c r="O268" s="458">
        <v>739</v>
      </c>
      <c r="P268" s="458">
        <v>880</v>
      </c>
      <c r="Q268" s="479">
        <f t="shared" ref="Q268:Q269" si="42">M268-O268</f>
        <v>3747</v>
      </c>
      <c r="R268" s="480">
        <f t="shared" ref="R268:R269" si="43">N268-P268</f>
        <v>1496</v>
      </c>
      <c r="T268" s="526">
        <f t="shared" ref="T268:U268" si="44">1-O268/M268-(Q268*$M289/M268)</f>
        <v>0.52820352932250447</v>
      </c>
      <c r="U268" s="527">
        <f t="shared" si="44"/>
        <v>0.39816403792854366</v>
      </c>
      <c r="W268" s="1569"/>
      <c r="X268" s="1569"/>
    </row>
    <row r="269" spans="6:24" ht="12.75" customHeight="1" outlineLevel="1">
      <c r="J269" s="466">
        <v>2021</v>
      </c>
      <c r="K269" s="476">
        <f t="shared" si="41"/>
        <v>8494</v>
      </c>
      <c r="L269" s="477">
        <f t="shared" si="41"/>
        <v>3641</v>
      </c>
      <c r="M269" s="477">
        <f t="shared" si="41"/>
        <v>5382</v>
      </c>
      <c r="N269" s="478">
        <f t="shared" si="41"/>
        <v>2306</v>
      </c>
      <c r="O269" s="458">
        <v>739</v>
      </c>
      <c r="P269" s="458">
        <v>880</v>
      </c>
      <c r="Q269" s="479">
        <f t="shared" si="42"/>
        <v>4643</v>
      </c>
      <c r="R269" s="480">
        <f t="shared" si="43"/>
        <v>1426</v>
      </c>
      <c r="T269" s="526">
        <f t="shared" ref="T269:U269" si="45">1-O269/M269-(Q269*$M290/M269)</f>
        <v>0.54427154943738132</v>
      </c>
      <c r="U269" s="527">
        <f t="shared" si="45"/>
        <v>0.3901403466069423</v>
      </c>
      <c r="W269" s="1569"/>
      <c r="X269" s="1569"/>
    </row>
    <row r="270" spans="6:24" ht="12.75" customHeight="1" outlineLevel="1">
      <c r="K270" s="594"/>
      <c r="L270" s="595"/>
      <c r="M270" s="596"/>
      <c r="N270" s="872"/>
      <c r="O270" s="483"/>
      <c r="P270" s="484"/>
      <c r="Q270" s="481"/>
      <c r="R270" s="485"/>
      <c r="T270" s="486" t="s">
        <v>1284</v>
      </c>
      <c r="U270" s="487" t="s">
        <v>1285</v>
      </c>
      <c r="V270" s="488"/>
    </row>
    <row r="271" spans="6:24" ht="77.099999999999994" customHeight="1" outlineLevel="1">
      <c r="J271" s="489" t="s">
        <v>1309</v>
      </c>
      <c r="K271" s="2895" t="s">
        <v>1293</v>
      </c>
      <c r="L271" s="2895"/>
      <c r="M271" s="2895"/>
      <c r="N271" s="2895"/>
      <c r="O271" s="2896" t="s">
        <v>1579</v>
      </c>
      <c r="P271" s="2896"/>
      <c r="Q271" s="2895" t="s">
        <v>1294</v>
      </c>
      <c r="R271" s="2895"/>
      <c r="S271" s="490"/>
      <c r="T271" s="2897" t="s">
        <v>1295</v>
      </c>
      <c r="U271" s="2897"/>
      <c r="W271" s="458"/>
      <c r="X271" s="458"/>
    </row>
    <row r="272" spans="6:24" ht="12.75" customHeight="1" outlineLevel="1">
      <c r="K272" s="491" t="s">
        <v>1282</v>
      </c>
      <c r="L272" s="491" t="s">
        <v>1283</v>
      </c>
      <c r="M272" s="491" t="s">
        <v>1284</v>
      </c>
      <c r="N272" s="491" t="s">
        <v>1285</v>
      </c>
    </row>
    <row r="273" spans="10:22" ht="12.75" customHeight="1" outlineLevel="1"/>
    <row r="274" spans="10:22" ht="12.75" customHeight="1" outlineLevel="1"/>
    <row r="275" spans="10:22" ht="12.75" customHeight="1" outlineLevel="1">
      <c r="M275" s="462"/>
      <c r="N275" s="462"/>
      <c r="O275" s="462"/>
    </row>
    <row r="276" spans="10:22" ht="34.950000000000003" customHeight="1" outlineLevel="1">
      <c r="J276" s="2789" t="s">
        <v>1580</v>
      </c>
      <c r="K276" s="2789"/>
      <c r="L276" s="2789"/>
      <c r="M276" s="2789"/>
      <c r="N276" s="2789"/>
      <c r="O276" s="2789"/>
      <c r="P276" s="2789"/>
      <c r="Q276" s="2789"/>
      <c r="R276" s="2789"/>
      <c r="S276" s="2789"/>
      <c r="T276" s="2789"/>
      <c r="U276" s="2789"/>
    </row>
    <row r="277" spans="10:22" ht="12.75" customHeight="1" outlineLevel="1">
      <c r="K277" s="282"/>
      <c r="L277" s="282"/>
      <c r="M277" s="282"/>
      <c r="N277" s="282"/>
      <c r="O277" s="282"/>
    </row>
    <row r="278" spans="10:22" ht="12.75" customHeight="1" outlineLevel="1" thickBot="1">
      <c r="K278" s="282"/>
      <c r="L278" s="282"/>
      <c r="M278" s="282"/>
      <c r="N278" s="282"/>
      <c r="O278" s="282"/>
    </row>
    <row r="279" spans="10:22" ht="12.75" customHeight="1" outlineLevel="1">
      <c r="K279" s="282"/>
      <c r="L279" s="282"/>
      <c r="M279" s="282"/>
      <c r="N279" s="2886" t="s">
        <v>1289</v>
      </c>
      <c r="O279" s="2887"/>
    </row>
    <row r="280" spans="10:22" ht="12.75" customHeight="1" outlineLevel="1">
      <c r="K280" s="282"/>
      <c r="L280" s="282"/>
      <c r="M280" s="282"/>
      <c r="N280" s="2888"/>
      <c r="O280" s="2889"/>
    </row>
    <row r="281" spans="10:22" ht="12.75" customHeight="1" outlineLevel="1">
      <c r="K281" s="282"/>
      <c r="L281" s="282"/>
      <c r="M281" s="282"/>
      <c r="N281" s="2888"/>
      <c r="O281" s="2889"/>
    </row>
    <row r="282" spans="10:22" ht="12.75" customHeight="1" outlineLevel="1">
      <c r="K282" s="282"/>
      <c r="L282" s="282"/>
      <c r="M282" s="282"/>
      <c r="N282" s="2888"/>
      <c r="O282" s="2889"/>
    </row>
    <row r="283" spans="10:22" ht="12.75" customHeight="1" outlineLevel="1">
      <c r="K283" s="282"/>
      <c r="L283" s="282"/>
      <c r="M283" s="282"/>
      <c r="N283" s="2888"/>
      <c r="O283" s="2889"/>
    </row>
    <row r="284" spans="10:22" ht="12.75" customHeight="1" outlineLevel="1" thickBot="1">
      <c r="K284" s="282"/>
      <c r="L284" s="282"/>
      <c r="M284" s="282"/>
      <c r="N284" s="2888"/>
      <c r="O284" s="2889"/>
    </row>
    <row r="285" spans="10:22" ht="58.5" customHeight="1" outlineLevel="1" thickBot="1">
      <c r="K285" s="280"/>
      <c r="L285" s="280" t="s">
        <v>1286</v>
      </c>
      <c r="M285" s="280" t="s">
        <v>1287</v>
      </c>
      <c r="N285" s="288" t="s">
        <v>458</v>
      </c>
      <c r="O285" s="289" t="s">
        <v>477</v>
      </c>
      <c r="Q285" s="2890" t="s">
        <v>1292</v>
      </c>
      <c r="R285" s="2891"/>
      <c r="S285" s="2891"/>
      <c r="T285" s="2892"/>
      <c r="V285" s="492"/>
    </row>
    <row r="286" spans="10:22" ht="12.75" customHeight="1" outlineLevel="1" thickTop="1" thickBot="1">
      <c r="K286" s="281"/>
      <c r="L286" s="281"/>
      <c r="M286" s="281"/>
      <c r="N286" s="493" t="s">
        <v>1288</v>
      </c>
      <c r="O286" s="494" t="s">
        <v>538</v>
      </c>
      <c r="Q286" s="292" t="s">
        <v>1290</v>
      </c>
      <c r="R286" s="482"/>
      <c r="S286" s="483"/>
      <c r="T286" s="293">
        <v>914</v>
      </c>
      <c r="V286" s="495"/>
    </row>
    <row r="287" spans="10:22" ht="12.75" customHeight="1" outlineLevel="1" thickTop="1" thickBot="1">
      <c r="K287" s="283">
        <v>2018</v>
      </c>
      <c r="L287" s="282">
        <f>SUM(N287:O287)</f>
        <v>26920</v>
      </c>
      <c r="M287" s="284">
        <f>N287*$T$286/$T$288/L287+O287*$T$287/$T$288/L287</f>
        <v>0.31278420180836841</v>
      </c>
      <c r="N287" s="290">
        <v>4142</v>
      </c>
      <c r="O287" s="291">
        <v>22778</v>
      </c>
      <c r="Q287" s="292" t="s">
        <v>1291</v>
      </c>
      <c r="R287" s="482"/>
      <c r="S287" s="483"/>
      <c r="T287" s="293">
        <v>294.27999999999997</v>
      </c>
      <c r="V287" s="495"/>
    </row>
    <row r="288" spans="10:22" ht="12.75" customHeight="1" outlineLevel="1" thickTop="1" thickBot="1">
      <c r="K288" s="283">
        <v>2019</v>
      </c>
      <c r="L288" s="282">
        <f>SUM(N288:O288)</f>
        <v>29441</v>
      </c>
      <c r="M288" s="284">
        <f>N288*$T$286/$T$288/L288+O288*$T$287/$T$288/L288</f>
        <v>0.36946165758380445</v>
      </c>
      <c r="N288" s="290">
        <v>7884</v>
      </c>
      <c r="O288" s="291">
        <v>21557</v>
      </c>
      <c r="Q288" s="294" t="s">
        <v>1546</v>
      </c>
      <c r="R288" s="496"/>
      <c r="S288" s="497"/>
      <c r="T288" s="295">
        <v>1245.6900354768065</v>
      </c>
      <c r="V288" s="495"/>
    </row>
    <row r="289" spans="1:28" ht="12.75" customHeight="1" outlineLevel="1">
      <c r="K289" s="283">
        <v>2020</v>
      </c>
      <c r="L289" s="282">
        <f t="shared" ref="L289:L290" si="46">SUM(N289:O289)</f>
        <v>27339</v>
      </c>
      <c r="M289" s="284">
        <f>N289*$T$286/$T$288/L289+O289*$T$287/$T$288/L289</f>
        <v>0.36762182211348948</v>
      </c>
      <c r="N289" s="873">
        <v>7220</v>
      </c>
      <c r="O289" s="874">
        <v>20119</v>
      </c>
      <c r="V289" s="495"/>
    </row>
    <row r="290" spans="1:28" ht="14.4" outlineLevel="1" thickBot="1">
      <c r="K290" s="283">
        <v>2021</v>
      </c>
      <c r="L290" s="282">
        <f t="shared" si="46"/>
        <v>29304</v>
      </c>
      <c r="M290" s="284">
        <f>N290*$T$286/$T$288/L290+O290*$T$287/$T$288/L290</f>
        <v>0.36909983220504272</v>
      </c>
      <c r="N290" s="875">
        <v>7826</v>
      </c>
      <c r="O290" s="876">
        <v>21478</v>
      </c>
    </row>
    <row r="291" spans="1:28" ht="12.75" customHeight="1" outlineLevel="1"/>
    <row r="292" spans="1:28" ht="12.75" customHeight="1" outlineLevel="1"/>
    <row r="293" spans="1:28" ht="12.75" customHeight="1">
      <c r="H293" s="995" t="s">
        <v>2088</v>
      </c>
    </row>
    <row r="294" spans="1:28" ht="12.75" hidden="1" customHeight="1" outlineLevel="1">
      <c r="L294" s="458"/>
    </row>
    <row r="295" spans="1:28" s="806" customFormat="1" ht="12.75" hidden="1" customHeight="1" outlineLevel="1">
      <c r="A295" s="8"/>
      <c r="B295" s="8"/>
      <c r="C295" s="10"/>
      <c r="D295" s="10"/>
      <c r="E295" s="10"/>
      <c r="F295" s="9"/>
      <c r="G295" s="8"/>
      <c r="H295" s="2919" t="s">
        <v>2047</v>
      </c>
      <c r="I295" s="2920"/>
      <c r="J295" s="2920"/>
      <c r="K295" s="2920"/>
      <c r="L295" s="2920"/>
      <c r="M295" s="2920"/>
      <c r="N295" s="2920"/>
      <c r="O295" s="2920"/>
      <c r="P295" s="2920"/>
      <c r="Q295" s="2920"/>
      <c r="R295" s="2920"/>
      <c r="S295" s="2920"/>
      <c r="T295" s="2920"/>
      <c r="U295" s="2920"/>
      <c r="V295" s="2921"/>
      <c r="AA295" s="804"/>
      <c r="AB295" s="804"/>
    </row>
    <row r="296" spans="1:28" s="806" customFormat="1" ht="35.25" hidden="1" customHeight="1" outlineLevel="1">
      <c r="A296" s="8"/>
      <c r="B296" s="8"/>
      <c r="C296" s="10"/>
      <c r="D296" s="10"/>
      <c r="E296" s="10"/>
      <c r="F296" s="9"/>
      <c r="G296" s="8"/>
      <c r="H296" s="2922"/>
      <c r="I296" s="2923"/>
      <c r="J296" s="2923"/>
      <c r="K296" s="2923"/>
      <c r="L296" s="2923"/>
      <c r="M296" s="2923"/>
      <c r="N296" s="2923"/>
      <c r="O296" s="2923"/>
      <c r="P296" s="2923"/>
      <c r="Q296" s="2923"/>
      <c r="R296" s="2923"/>
      <c r="S296" s="2923"/>
      <c r="T296" s="2923"/>
      <c r="U296" s="2923"/>
      <c r="V296" s="2924"/>
    </row>
    <row r="297" spans="1:28" s="806" customFormat="1" ht="12.75" hidden="1" customHeight="1" outlineLevel="1">
      <c r="A297" s="8"/>
      <c r="B297" s="8"/>
      <c r="C297" s="10"/>
      <c r="D297" s="10"/>
      <c r="E297" s="10"/>
      <c r="F297" s="9"/>
      <c r="G297" s="8"/>
      <c r="H297" s="209"/>
      <c r="I297" s="805"/>
      <c r="J297" s="286"/>
      <c r="M297" s="2"/>
      <c r="N297" s="2"/>
      <c r="O297" s="2"/>
      <c r="P297" s="2"/>
      <c r="V297" s="3"/>
    </row>
    <row r="298" spans="1:28" s="806" customFormat="1" ht="12.75" hidden="1" customHeight="1" outlineLevel="1">
      <c r="A298" s="8"/>
      <c r="B298" s="8"/>
      <c r="C298" s="10"/>
      <c r="D298" s="10"/>
      <c r="E298" s="10"/>
      <c r="F298" s="9"/>
      <c r="G298" s="8"/>
      <c r="H298" s="2925" t="s">
        <v>1575</v>
      </c>
      <c r="I298" s="2925"/>
      <c r="J298" s="2925"/>
      <c r="K298" s="2925"/>
      <c r="L298" s="2925"/>
      <c r="M298" s="2925"/>
      <c r="N298" s="2925"/>
      <c r="O298" s="2925"/>
      <c r="P298" s="2"/>
      <c r="V298" s="3"/>
    </row>
    <row r="299" spans="1:28" s="804" customFormat="1" ht="12.75" hidden="1" customHeight="1" outlineLevel="1"/>
    <row r="300" spans="1:28" s="806" customFormat="1" ht="12.75" hidden="1" customHeight="1" outlineLevel="1">
      <c r="A300" s="8"/>
      <c r="B300" s="8"/>
      <c r="C300" s="10"/>
      <c r="D300" s="10"/>
      <c r="E300" s="10"/>
      <c r="F300" s="9"/>
      <c r="G300" s="8"/>
      <c r="H300" s="2926" t="s">
        <v>1584</v>
      </c>
      <c r="I300" s="2926" t="s">
        <v>1149</v>
      </c>
      <c r="J300" s="2926" t="s">
        <v>1152</v>
      </c>
      <c r="K300" s="2927" t="s">
        <v>1547</v>
      </c>
      <c r="L300" s="2926">
        <v>2018</v>
      </c>
      <c r="M300" s="2926"/>
      <c r="N300" s="2926">
        <v>2019</v>
      </c>
      <c r="O300" s="2926"/>
      <c r="P300" s="2893">
        <v>2020</v>
      </c>
      <c r="Q300" s="2893"/>
      <c r="R300" s="2893">
        <v>2021</v>
      </c>
      <c r="S300" s="2893"/>
      <c r="V300" s="3"/>
      <c r="AA300" s="804"/>
      <c r="AB300" s="804"/>
    </row>
    <row r="301" spans="1:28" s="806" customFormat="1" ht="12.75" hidden="1" customHeight="1" outlineLevel="1">
      <c r="A301" s="8"/>
      <c r="B301" s="8"/>
      <c r="C301" s="10"/>
      <c r="D301" s="10"/>
      <c r="E301" s="10"/>
      <c r="F301" s="9"/>
      <c r="G301" s="8"/>
      <c r="H301" s="2926" t="s">
        <v>1587</v>
      </c>
      <c r="I301" s="2926" t="s">
        <v>1149</v>
      </c>
      <c r="J301" s="2926"/>
      <c r="K301" s="2927"/>
      <c r="L301" s="431" t="s">
        <v>1548</v>
      </c>
      <c r="M301" s="431" t="s">
        <v>1549</v>
      </c>
      <c r="N301" s="431" t="s">
        <v>1548</v>
      </c>
      <c r="O301" s="431" t="s">
        <v>1549</v>
      </c>
      <c r="P301" s="1037" t="s">
        <v>1548</v>
      </c>
      <c r="Q301" s="1037" t="s">
        <v>1549</v>
      </c>
      <c r="R301" s="1037" t="s">
        <v>1548</v>
      </c>
      <c r="S301" s="1037" t="s">
        <v>1549</v>
      </c>
      <c r="V301" s="3"/>
      <c r="AA301" s="804"/>
      <c r="AB301" s="804"/>
    </row>
    <row r="302" spans="1:28" s="806" customFormat="1" ht="12.75" hidden="1" customHeight="1" outlineLevel="1">
      <c r="A302" s="8"/>
      <c r="B302" s="8"/>
      <c r="C302" s="10"/>
      <c r="D302" s="10"/>
      <c r="E302" s="10"/>
      <c r="F302" s="9"/>
      <c r="G302" s="8"/>
      <c r="H302" s="285" t="s">
        <v>1544</v>
      </c>
      <c r="I302" s="435" t="s">
        <v>158</v>
      </c>
      <c r="J302" s="2908" t="s">
        <v>2048</v>
      </c>
      <c r="K302" s="432">
        <f>P331</f>
        <v>1083.3729312379701</v>
      </c>
      <c r="L302" s="432"/>
      <c r="M302" s="432"/>
      <c r="N302" s="432"/>
      <c r="O302" s="432"/>
      <c r="P302" s="1040"/>
      <c r="Q302" s="1040"/>
      <c r="R302" s="1040"/>
      <c r="S302" s="1040"/>
      <c r="V302" s="3"/>
      <c r="AA302" s="804"/>
      <c r="AB302" s="804"/>
    </row>
    <row r="303" spans="1:28" s="806" customFormat="1" ht="12.75" hidden="1" customHeight="1" outlineLevel="1">
      <c r="A303" s="8"/>
      <c r="B303" s="8"/>
      <c r="C303" s="10"/>
      <c r="D303" s="10"/>
      <c r="E303" s="10"/>
      <c r="F303" s="9"/>
      <c r="G303" s="8"/>
      <c r="H303" s="285" t="s">
        <v>1544</v>
      </c>
      <c r="I303" s="435" t="s">
        <v>160</v>
      </c>
      <c r="J303" s="2909"/>
      <c r="K303" s="432">
        <f>Q331</f>
        <v>148.20997969157074</v>
      </c>
      <c r="L303" s="432"/>
      <c r="M303" s="432"/>
      <c r="N303" s="432"/>
      <c r="O303" s="432"/>
      <c r="P303" s="1040"/>
      <c r="Q303" s="1040"/>
      <c r="R303" s="1040"/>
      <c r="S303" s="1040"/>
      <c r="V303" s="3"/>
      <c r="AA303" s="804"/>
      <c r="AB303" s="804"/>
    </row>
    <row r="304" spans="1:28" s="806" customFormat="1" ht="12.75" hidden="1" customHeight="1" outlineLevel="1">
      <c r="A304" s="8"/>
      <c r="B304" s="8"/>
      <c r="C304" s="10"/>
      <c r="D304" s="10"/>
      <c r="E304" s="10"/>
      <c r="F304" s="9"/>
      <c r="G304" s="8"/>
      <c r="H304" s="285" t="s">
        <v>1544</v>
      </c>
      <c r="I304" s="435" t="s">
        <v>1296</v>
      </c>
      <c r="J304" s="2910" t="s">
        <v>1298</v>
      </c>
      <c r="K304" s="433">
        <f>Q422</f>
        <v>379.88393716425071</v>
      </c>
      <c r="L304" s="433"/>
      <c r="M304" s="433"/>
      <c r="N304" s="433"/>
      <c r="O304" s="433"/>
      <c r="P304" s="1041"/>
      <c r="Q304" s="1041"/>
      <c r="R304" s="1041"/>
      <c r="S304" s="1041"/>
      <c r="V304" s="3"/>
    </row>
    <row r="305" spans="1:23" s="806" customFormat="1" ht="12.75" hidden="1" customHeight="1" outlineLevel="1">
      <c r="A305" s="8"/>
      <c r="B305" s="8"/>
      <c r="C305" s="10"/>
      <c r="D305" s="10"/>
      <c r="E305" s="10"/>
      <c r="F305" s="9"/>
      <c r="G305" s="8"/>
      <c r="H305" s="285" t="s">
        <v>1544</v>
      </c>
      <c r="I305" s="435" t="s">
        <v>1297</v>
      </c>
      <c r="J305" s="2911"/>
      <c r="K305" s="433">
        <f>K452</f>
        <v>328.48030307679528</v>
      </c>
      <c r="L305" s="433"/>
      <c r="M305" s="433"/>
      <c r="N305" s="433"/>
      <c r="O305" s="433"/>
      <c r="P305" s="1041"/>
      <c r="Q305" s="1041"/>
      <c r="R305" s="1041"/>
      <c r="S305" s="1041"/>
      <c r="V305" s="3"/>
    </row>
    <row r="306" spans="1:23" s="806" customFormat="1" ht="12.75" hidden="1" customHeight="1" outlineLevel="1">
      <c r="A306" s="8"/>
      <c r="B306" s="8"/>
      <c r="C306" s="10"/>
      <c r="D306" s="10"/>
      <c r="E306" s="10"/>
      <c r="F306" s="9"/>
      <c r="G306" s="8"/>
      <c r="H306" s="285" t="s">
        <v>1545</v>
      </c>
      <c r="I306" s="435" t="s">
        <v>158</v>
      </c>
      <c r="J306" s="2912" t="s">
        <v>1574</v>
      </c>
      <c r="K306" s="434">
        <f>P335</f>
        <v>0</v>
      </c>
      <c r="L306" s="434">
        <f>$K302*T$466</f>
        <v>616.35035442310664</v>
      </c>
      <c r="M306" s="434">
        <f>$K302*U$466</f>
        <v>404.86886074143331</v>
      </c>
      <c r="N306" s="434">
        <f>$K302*T$467</f>
        <v>562.33856957420483</v>
      </c>
      <c r="O306" s="434">
        <f>$K302*U$467</f>
        <v>411.47003779984601</v>
      </c>
      <c r="P306" s="1042">
        <f>$K302*T$468</f>
        <v>572.24140585236273</v>
      </c>
      <c r="Q306" s="1042">
        <f>$K302*U$468</f>
        <v>431.36014088419262</v>
      </c>
      <c r="R306" s="1042">
        <f>$K302*T$469</f>
        <v>589.64906390340752</v>
      </c>
      <c r="S306" s="1042">
        <f>$K302*U$469</f>
        <v>422.66749089776073</v>
      </c>
      <c r="V306" s="3"/>
    </row>
    <row r="307" spans="1:23" s="806" customFormat="1" ht="12.75" hidden="1" customHeight="1" outlineLevel="1">
      <c r="A307" s="8"/>
      <c r="B307" s="8"/>
      <c r="C307" s="10"/>
      <c r="D307" s="10"/>
      <c r="E307" s="10"/>
      <c r="F307" s="9"/>
      <c r="G307" s="8"/>
      <c r="H307" s="285" t="s">
        <v>1545</v>
      </c>
      <c r="I307" s="435" t="s">
        <v>160</v>
      </c>
      <c r="J307" s="2913"/>
      <c r="K307" s="434">
        <f>Q335</f>
        <v>0</v>
      </c>
      <c r="L307" s="434">
        <f t="shared" ref="L307:M309" si="47">$K303*T$466</f>
        <v>84.31932428619595</v>
      </c>
      <c r="M307" s="434">
        <f t="shared" si="47"/>
        <v>55.387765281959574</v>
      </c>
      <c r="N307" s="434">
        <f t="shared" ref="N307:O309" si="48">$K303*T$467</f>
        <v>76.930284644589051</v>
      </c>
      <c r="O307" s="434">
        <f t="shared" si="48"/>
        <v>56.290834104853118</v>
      </c>
      <c r="P307" s="1042">
        <f t="shared" ref="P307:Q309" si="49">$K303*T$468</f>
        <v>78.285034353904379</v>
      </c>
      <c r="Q307" s="1042">
        <f t="shared" si="49"/>
        <v>59.011883975303256</v>
      </c>
      <c r="R307" s="1042">
        <f t="shared" ref="R307:S309" si="50">$K303*T$469</f>
        <v>80.666475288814027</v>
      </c>
      <c r="S307" s="1042">
        <f t="shared" si="50"/>
        <v>57.822692847477285</v>
      </c>
      <c r="V307" s="3"/>
    </row>
    <row r="308" spans="1:23" s="806" customFormat="1" ht="12.75" hidden="1" customHeight="1" outlineLevel="1">
      <c r="A308" s="8"/>
      <c r="B308" s="8"/>
      <c r="C308" s="10"/>
      <c r="D308" s="10"/>
      <c r="E308" s="10"/>
      <c r="F308" s="9"/>
      <c r="G308" s="8"/>
      <c r="H308" s="285" t="s">
        <v>1545</v>
      </c>
      <c r="I308" s="435" t="s">
        <v>1296</v>
      </c>
      <c r="J308" s="2913"/>
      <c r="K308" s="434">
        <f>Q426</f>
        <v>0</v>
      </c>
      <c r="L308" s="434">
        <f t="shared" si="47"/>
        <v>216.12280735432213</v>
      </c>
      <c r="M308" s="434">
        <f t="shared" si="47"/>
        <v>141.96697408519296</v>
      </c>
      <c r="N308" s="434">
        <f t="shared" si="48"/>
        <v>197.18361394266554</v>
      </c>
      <c r="O308" s="434">
        <f t="shared" si="48"/>
        <v>144.28167206089614</v>
      </c>
      <c r="P308" s="1042">
        <f t="shared" si="49"/>
        <v>200.65603634308576</v>
      </c>
      <c r="Q308" s="1042">
        <f t="shared" si="49"/>
        <v>151.2561223655112</v>
      </c>
      <c r="R308" s="1042">
        <f t="shared" si="50"/>
        <v>206.76001908675954</v>
      </c>
      <c r="S308" s="1042">
        <f t="shared" si="50"/>
        <v>148.20805091567067</v>
      </c>
      <c r="V308" s="3"/>
    </row>
    <row r="309" spans="1:23" s="806" customFormat="1" ht="12.75" hidden="1" customHeight="1" outlineLevel="1">
      <c r="A309" s="8"/>
      <c r="B309" s="8"/>
      <c r="C309" s="10"/>
      <c r="D309" s="10"/>
      <c r="E309" s="10"/>
      <c r="F309" s="9"/>
      <c r="G309" s="8"/>
      <c r="H309" s="285" t="s">
        <v>1545</v>
      </c>
      <c r="I309" s="435" t="s">
        <v>1297</v>
      </c>
      <c r="J309" s="2914"/>
      <c r="K309" s="434">
        <f>K456</f>
        <v>0</v>
      </c>
      <c r="L309" s="434">
        <f t="shared" si="47"/>
        <v>186.87835498256584</v>
      </c>
      <c r="M309" s="434">
        <f t="shared" si="47"/>
        <v>122.75684784807531</v>
      </c>
      <c r="N309" s="434">
        <f t="shared" si="48"/>
        <v>170.50190053616171</v>
      </c>
      <c r="O309" s="434">
        <f t="shared" si="48"/>
        <v>124.75833466603854</v>
      </c>
      <c r="P309" s="1042">
        <f t="shared" si="49"/>
        <v>173.50445539808919</v>
      </c>
      <c r="Q309" s="1042">
        <f t="shared" si="49"/>
        <v>130.78904385304864</v>
      </c>
      <c r="R309" s="1042">
        <f t="shared" si="50"/>
        <v>178.78248351526798</v>
      </c>
      <c r="S309" s="1042">
        <f t="shared" si="50"/>
        <v>128.15341929593436</v>
      </c>
      <c r="V309" s="3"/>
    </row>
    <row r="310" spans="1:23" s="806" customFormat="1" ht="12" hidden="1" customHeight="1" outlineLevel="1">
      <c r="A310" s="8"/>
      <c r="B310" s="8"/>
      <c r="C310" s="10"/>
      <c r="D310" s="10"/>
      <c r="E310" s="10"/>
      <c r="F310" s="9"/>
      <c r="G310" s="8"/>
      <c r="L310" s="429" t="str">
        <f>"HPWH (&lt;=55 gallons) New Construction"&amp;L300</f>
        <v>HPWH (&lt;=55 gallons) New Construction2018</v>
      </c>
      <c r="M310" s="429" t="str">
        <f>"HPWH (&gt;55 gallons) New Construction"&amp;L300</f>
        <v>HPWH (&gt;55 gallons) New Construction2018</v>
      </c>
      <c r="N310" s="429" t="str">
        <f>"HPWH (&lt;=55 gallons) New Construction"&amp;N300</f>
        <v>HPWH (&lt;=55 gallons) New Construction2019</v>
      </c>
      <c r="O310" s="429" t="str">
        <f>"HPWH (&gt;55 gallons) New Construction"&amp;N300</f>
        <v>HPWH (&gt;55 gallons) New Construction2019</v>
      </c>
      <c r="P310" s="1043" t="str">
        <f>"HPWH (&lt;=55 gallons) New Construction"&amp;P300</f>
        <v>HPWH (&lt;=55 gallons) New Construction2020</v>
      </c>
      <c r="Q310" s="1043" t="str">
        <f>"HPWH (&gt;55 gallons) New Construction"&amp;P300</f>
        <v>HPWH (&gt;55 gallons) New Construction2020</v>
      </c>
      <c r="R310" s="1043" t="str">
        <f>"HPWH (&lt;=55 gallons) New Construction"&amp;R300</f>
        <v>HPWH (&lt;=55 gallons) New Construction2021</v>
      </c>
      <c r="S310" s="1043" t="str">
        <f>"HPWH (&gt;55 gallons) New Construction"&amp;R300</f>
        <v>HPWH (&gt;55 gallons) New Construction2021</v>
      </c>
      <c r="V310" s="3"/>
    </row>
    <row r="311" spans="1:23" s="806" customFormat="1" ht="12" hidden="1" customHeight="1" outlineLevel="1">
      <c r="A311" s="8"/>
      <c r="B311" s="8"/>
      <c r="C311" s="10"/>
      <c r="D311" s="10"/>
      <c r="E311" s="10"/>
      <c r="F311" s="9"/>
      <c r="G311" s="8"/>
      <c r="H311" s="2915" t="s">
        <v>1593</v>
      </c>
      <c r="I311" s="2915"/>
      <c r="J311" s="2915"/>
      <c r="K311" s="2915"/>
      <c r="L311" s="2915"/>
      <c r="M311" s="2915"/>
      <c r="N311" s="2915"/>
      <c r="O311" s="2915"/>
      <c r="P311" s="2"/>
      <c r="V311" s="3"/>
    </row>
    <row r="312" spans="1:23" s="806" customFormat="1" ht="53.25" hidden="1" customHeight="1" outlineLevel="1">
      <c r="A312" s="8"/>
      <c r="B312" s="8"/>
      <c r="C312" s="10"/>
      <c r="D312" s="10"/>
      <c r="E312" s="10"/>
      <c r="F312" s="9"/>
      <c r="G312" s="8"/>
      <c r="H312" s="2915"/>
      <c r="I312" s="2915"/>
      <c r="J312" s="2915"/>
      <c r="K312" s="2915"/>
      <c r="L312" s="2915"/>
      <c r="M312" s="2915"/>
      <c r="N312" s="2915"/>
      <c r="O312" s="2915"/>
      <c r="P312" s="2"/>
      <c r="V312" s="3"/>
    </row>
    <row r="313" spans="1:23" s="806" customFormat="1" ht="12" hidden="1" customHeight="1" outlineLevel="1">
      <c r="A313" s="8"/>
      <c r="B313" s="8"/>
      <c r="C313" s="10"/>
      <c r="D313" s="10"/>
      <c r="E313" s="10"/>
      <c r="F313" s="9"/>
      <c r="G313" s="8"/>
      <c r="H313" s="239" t="s">
        <v>1594</v>
      </c>
      <c r="L313" s="429"/>
      <c r="M313" s="429"/>
      <c r="N313" s="429"/>
      <c r="O313" s="429"/>
      <c r="P313" s="2"/>
      <c r="V313" s="3"/>
    </row>
    <row r="314" spans="1:23" s="806" customFormat="1" ht="12" hidden="1" customHeight="1" outlineLevel="1">
      <c r="A314" s="8"/>
      <c r="B314" s="8"/>
      <c r="C314" s="10"/>
      <c r="D314" s="10"/>
      <c r="E314" s="10"/>
      <c r="F314" s="9"/>
      <c r="G314" s="8"/>
      <c r="L314" s="429"/>
      <c r="M314" s="429"/>
      <c r="N314" s="429"/>
      <c r="O314" s="429"/>
      <c r="P314" s="2"/>
      <c r="V314" s="3"/>
    </row>
    <row r="315" spans="1:23" s="806" customFormat="1" ht="12.75" hidden="1" customHeight="1" outlineLevel="1">
      <c r="A315" s="8"/>
      <c r="B315" s="8"/>
      <c r="C315" s="10"/>
      <c r="D315" s="10"/>
      <c r="E315" s="10"/>
      <c r="F315" s="9"/>
      <c r="G315" s="8"/>
      <c r="M315" s="2"/>
      <c r="N315" s="2"/>
      <c r="O315" s="2"/>
      <c r="P315" s="2"/>
      <c r="V315" s="3"/>
    </row>
    <row r="316" spans="1:23" s="806" customFormat="1" ht="27" hidden="1" customHeight="1" outlineLevel="1" thickBot="1">
      <c r="A316" s="8"/>
      <c r="B316" s="8"/>
      <c r="C316" s="10"/>
      <c r="D316" s="10"/>
      <c r="E316" s="10"/>
      <c r="F316" s="9"/>
      <c r="G316" s="8"/>
      <c r="H316" s="68" t="s">
        <v>2049</v>
      </c>
      <c r="I316" s="68"/>
      <c r="J316" s="68"/>
      <c r="K316" s="68"/>
      <c r="L316" s="68"/>
      <c r="M316" s="68"/>
      <c r="N316" s="68"/>
      <c r="O316" s="68"/>
      <c r="P316" s="68"/>
      <c r="Q316" s="68"/>
      <c r="R316" s="68"/>
      <c r="S316" s="68"/>
      <c r="T316" s="68"/>
      <c r="U316" s="68"/>
      <c r="V316" s="68"/>
      <c r="W316" s="68"/>
    </row>
    <row r="317" spans="1:23" s="806" customFormat="1" ht="12.75" hidden="1" customHeight="1" outlineLevel="1" thickTop="1" thickBot="1">
      <c r="A317" s="8"/>
      <c r="B317" s="8"/>
      <c r="C317" s="10"/>
      <c r="D317" s="10"/>
      <c r="E317" s="10"/>
      <c r="F317" s="9"/>
      <c r="G317" s="8"/>
      <c r="H317" s="72"/>
      <c r="I317" s="1120"/>
      <c r="J317" s="1120"/>
      <c r="K317" s="1120"/>
      <c r="L317" s="1120"/>
      <c r="M317" s="1120"/>
      <c r="N317" s="2"/>
      <c r="O317" s="2"/>
      <c r="P317" s="2"/>
      <c r="V317" s="3"/>
    </row>
    <row r="318" spans="1:23" s="806" customFormat="1" ht="12.75" hidden="1" customHeight="1" outlineLevel="1" thickTop="1" thickBot="1">
      <c r="A318" s="8"/>
      <c r="B318" s="8"/>
      <c r="C318" s="10"/>
      <c r="D318" s="10"/>
      <c r="E318" s="10"/>
      <c r="F318" s="9"/>
      <c r="G318" s="8"/>
      <c r="H318" s="804" t="s">
        <v>914</v>
      </c>
      <c r="I318" s="69" t="s">
        <v>2050</v>
      </c>
      <c r="J318" s="805"/>
      <c r="K318" s="805"/>
      <c r="L318" s="805"/>
      <c r="M318" s="805"/>
      <c r="N318" s="2"/>
      <c r="O318" s="2"/>
      <c r="P318" s="2"/>
      <c r="V318" s="3"/>
    </row>
    <row r="319" spans="1:23" s="806" customFormat="1" ht="12.75" hidden="1" customHeight="1" outlineLevel="1" thickTop="1">
      <c r="A319" s="8"/>
      <c r="B319" s="8"/>
      <c r="C319" s="10"/>
      <c r="D319" s="10"/>
      <c r="E319" s="10"/>
      <c r="F319" s="9"/>
      <c r="G319" s="8"/>
      <c r="H319" s="804"/>
      <c r="I319" s="804"/>
      <c r="J319" s="805"/>
      <c r="K319" s="805"/>
      <c r="L319" s="805"/>
      <c r="M319" s="805"/>
      <c r="N319" s="2"/>
      <c r="O319" s="2"/>
      <c r="P319" s="2"/>
      <c r="V319" s="3"/>
    </row>
    <row r="320" spans="1:23" s="806" customFormat="1" ht="12.75" hidden="1" customHeight="1" outlineLevel="1">
      <c r="A320" s="8"/>
      <c r="B320" s="8"/>
      <c r="C320" s="10"/>
      <c r="D320" s="10"/>
      <c r="E320" s="10"/>
      <c r="F320" s="9"/>
      <c r="G320" s="8"/>
      <c r="H320" s="804"/>
      <c r="I320" s="804"/>
      <c r="J320" s="805"/>
      <c r="K320" s="805"/>
      <c r="L320" s="805"/>
      <c r="M320" s="805"/>
      <c r="N320" s="2"/>
      <c r="O320" s="2"/>
      <c r="P320" s="2"/>
      <c r="V320" s="3"/>
    </row>
    <row r="321" spans="1:24" s="806" customFormat="1" ht="13.5" hidden="1" customHeight="1" outlineLevel="1">
      <c r="A321" s="8"/>
      <c r="B321" s="8"/>
      <c r="C321" s="10"/>
      <c r="D321" s="10"/>
      <c r="E321" s="10"/>
      <c r="F321" s="10"/>
      <c r="G321" s="8"/>
      <c r="H321" s="1121" t="s">
        <v>2051</v>
      </c>
      <c r="I321" s="805"/>
      <c r="J321" s="805"/>
      <c r="K321" s="805"/>
      <c r="L321" s="805"/>
      <c r="M321" s="805"/>
    </row>
    <row r="322" spans="1:24" s="806" customFormat="1" ht="19.5" hidden="1" customHeight="1" outlineLevel="1">
      <c r="A322" s="8"/>
      <c r="B322" s="8"/>
      <c r="C322" s="10"/>
      <c r="D322" s="10"/>
      <c r="E322" s="10"/>
      <c r="F322" s="10"/>
      <c r="G322" s="8"/>
      <c r="H322" s="377" t="s">
        <v>2052</v>
      </c>
      <c r="M322" s="2"/>
      <c r="N322" s="2"/>
      <c r="O322" s="2"/>
      <c r="P322" s="2"/>
      <c r="V322" s="3"/>
    </row>
    <row r="323" spans="1:24" s="806" customFormat="1" ht="12.75" hidden="1" customHeight="1" outlineLevel="1">
      <c r="A323" s="8"/>
      <c r="B323" s="8"/>
      <c r="C323" s="10"/>
      <c r="D323" s="10"/>
      <c r="E323" s="10"/>
      <c r="F323" s="10"/>
      <c r="G323" s="8"/>
      <c r="H323" s="2916" t="s">
        <v>298</v>
      </c>
      <c r="I323" s="2917"/>
      <c r="J323" s="1122" t="s">
        <v>1812</v>
      </c>
      <c r="K323" s="1122" t="s">
        <v>299</v>
      </c>
      <c r="L323" s="1122" t="s">
        <v>2053</v>
      </c>
      <c r="M323" s="378"/>
      <c r="N323" s="2918" t="s">
        <v>2054</v>
      </c>
      <c r="O323" s="2918"/>
      <c r="P323" s="2918"/>
      <c r="Q323" s="2918"/>
      <c r="S323" s="1123"/>
      <c r="T323" s="804"/>
      <c r="U323" s="804"/>
      <c r="V323" s="804"/>
      <c r="W323" s="804"/>
      <c r="X323" s="1124"/>
    </row>
    <row r="324" spans="1:24" s="806" customFormat="1" ht="12.75" hidden="1" customHeight="1" outlineLevel="1">
      <c r="A324" s="8"/>
      <c r="B324" s="8"/>
      <c r="C324" s="10"/>
      <c r="D324" s="10"/>
      <c r="E324" s="10"/>
      <c r="F324" s="10"/>
      <c r="G324" s="8"/>
      <c r="H324" s="1125" t="s">
        <v>2055</v>
      </c>
      <c r="I324" s="1125"/>
      <c r="J324" s="1126">
        <v>13.000000000000002</v>
      </c>
      <c r="K324" s="1126">
        <v>1044.455461088565</v>
      </c>
      <c r="L324" s="1127" t="str">
        <f>IFERROR(INDEX($O$335:$P$339,MATCH(RIGHT(H324,4),$N$335:$N$339,0),MATCH(LEFT(H324,4),$O$340:$P$340,0)),"")</f>
        <v/>
      </c>
      <c r="M324" s="378"/>
      <c r="N324" s="378"/>
      <c r="O324" s="378"/>
      <c r="P324" s="378"/>
      <c r="Q324" s="378"/>
      <c r="S324" s="1123"/>
      <c r="T324" s="804"/>
      <c r="U324" s="804"/>
      <c r="V324" s="804"/>
      <c r="W324" s="804"/>
      <c r="X324" s="1124"/>
    </row>
    <row r="325" spans="1:24" s="806" customFormat="1" ht="12.75" hidden="1" customHeight="1" outlineLevel="1">
      <c r="A325" s="8"/>
      <c r="B325" s="8"/>
      <c r="C325" s="10"/>
      <c r="D325" s="10"/>
      <c r="E325" s="10"/>
      <c r="F325" s="10"/>
      <c r="G325" s="8"/>
      <c r="H325" s="1125" t="s">
        <v>2056</v>
      </c>
      <c r="I325" s="1125"/>
      <c r="J325" s="1126">
        <v>13.000000000000002</v>
      </c>
      <c r="K325" s="1126">
        <v>919.54650466888472</v>
      </c>
      <c r="L325" s="1127">
        <f t="shared" ref="L325:L335" si="51">IFERROR(INDEX($O$335:$P$339,MATCH(RIGHT(H325,4),$N$335:$N$339,0),MATCH(LEFT(H325,4),$O$340:$P$340,0)),"")</f>
        <v>5.9888429585079297E-2</v>
      </c>
      <c r="M325" s="378"/>
      <c r="N325" s="378"/>
      <c r="O325" s="378"/>
      <c r="P325" s="378"/>
      <c r="Q325" s="378"/>
      <c r="S325" s="1123"/>
      <c r="T325" s="804"/>
      <c r="U325" s="804"/>
      <c r="V325" s="804"/>
      <c r="W325" s="804"/>
      <c r="X325" s="1124"/>
    </row>
    <row r="326" spans="1:24" s="806" customFormat="1" ht="12.75" hidden="1" customHeight="1" outlineLevel="1" thickBot="1">
      <c r="A326" s="8"/>
      <c r="B326" s="8"/>
      <c r="C326" s="10"/>
      <c r="D326" s="10"/>
      <c r="E326" s="10"/>
      <c r="F326" s="10"/>
      <c r="G326" s="8"/>
      <c r="H326" s="1125" t="s">
        <v>2057</v>
      </c>
      <c r="I326" s="1125"/>
      <c r="J326" s="1126">
        <v>12.999999999999998</v>
      </c>
      <c r="K326" s="1126">
        <v>1265.4748925129541</v>
      </c>
      <c r="L326" s="1127">
        <f t="shared" si="51"/>
        <v>0.23579548738314077</v>
      </c>
      <c r="M326" s="378"/>
      <c r="N326" s="1128" t="s">
        <v>272</v>
      </c>
      <c r="O326" s="1128"/>
      <c r="P326" s="792"/>
      <c r="Q326" s="792"/>
      <c r="S326" s="1123"/>
      <c r="T326" s="804"/>
      <c r="U326" s="804"/>
      <c r="V326" s="804"/>
      <c r="W326" s="804"/>
      <c r="X326" s="1124"/>
    </row>
    <row r="327" spans="1:24" s="806" customFormat="1" ht="12.75" hidden="1" customHeight="1" outlineLevel="1">
      <c r="A327" s="8"/>
      <c r="B327" s="8"/>
      <c r="C327" s="10"/>
      <c r="D327" s="10"/>
      <c r="E327" s="10"/>
      <c r="F327" s="10"/>
      <c r="G327" s="8"/>
      <c r="H327" s="1125" t="s">
        <v>2058</v>
      </c>
      <c r="I327" s="1125"/>
      <c r="J327" s="1126">
        <v>13</v>
      </c>
      <c r="K327" s="1126">
        <v>1249.9938106672405</v>
      </c>
      <c r="L327" s="1127">
        <f t="shared" si="51"/>
        <v>0.3847189530988086</v>
      </c>
      <c r="M327" s="378"/>
      <c r="N327" s="1129" t="s">
        <v>2059</v>
      </c>
      <c r="O327" s="1130"/>
      <c r="P327" s="1131" t="s">
        <v>158</v>
      </c>
      <c r="Q327" s="1132" t="s">
        <v>160</v>
      </c>
      <c r="S327" s="1123"/>
      <c r="T327" s="804"/>
      <c r="U327" s="804"/>
      <c r="V327" s="804"/>
      <c r="W327" s="804"/>
      <c r="X327" s="1124"/>
    </row>
    <row r="328" spans="1:24" s="806" customFormat="1" ht="12.75" hidden="1" customHeight="1" outlineLevel="1">
      <c r="A328" s="8"/>
      <c r="B328" s="8"/>
      <c r="C328" s="10"/>
      <c r="D328" s="10"/>
      <c r="E328" s="10"/>
      <c r="F328" s="10"/>
      <c r="G328" s="8"/>
      <c r="H328" s="1125" t="s">
        <v>2060</v>
      </c>
      <c r="I328" s="1125"/>
      <c r="J328" s="1126">
        <v>12.999999999999998</v>
      </c>
      <c r="K328" s="1126">
        <v>1097.3426466445078</v>
      </c>
      <c r="L328" s="1127">
        <f t="shared" si="51"/>
        <v>0.15830495514052295</v>
      </c>
      <c r="M328" s="378"/>
      <c r="N328" s="1133" t="s">
        <v>2061</v>
      </c>
      <c r="O328" s="1134">
        <v>0.33</v>
      </c>
      <c r="P328" s="1135">
        <f>SUMPRODUCT(K325:K329,L325:L329)</f>
        <v>1162.387188814035</v>
      </c>
      <c r="Q328" s="1136">
        <f>SUMPRODUCT(K331:K335,L331:L335)</f>
        <v>63.544349567913919</v>
      </c>
      <c r="S328" s="1123"/>
      <c r="T328" s="804"/>
      <c r="U328" s="804"/>
      <c r="V328" s="804"/>
      <c r="W328" s="804"/>
      <c r="X328" s="1124"/>
    </row>
    <row r="329" spans="1:24" s="806" customFormat="1" ht="12.75" hidden="1" customHeight="1" outlineLevel="1" thickBot="1">
      <c r="A329" s="8"/>
      <c r="B329" s="8"/>
      <c r="C329" s="10"/>
      <c r="D329" s="10"/>
      <c r="E329" s="10"/>
      <c r="F329" s="10"/>
      <c r="G329" s="8"/>
      <c r="H329" s="1125" t="s">
        <v>2062</v>
      </c>
      <c r="I329" s="1125"/>
      <c r="J329" s="1126">
        <v>13</v>
      </c>
      <c r="K329" s="1126">
        <v>956.72735019900813</v>
      </c>
      <c r="L329" s="1127">
        <f t="shared" si="51"/>
        <v>0.1612921747924484</v>
      </c>
      <c r="M329" s="378"/>
      <c r="N329" s="1137" t="s">
        <v>2063</v>
      </c>
      <c r="O329" s="1138">
        <v>0.67</v>
      </c>
      <c r="P329" s="1139">
        <f>K324</f>
        <v>1044.455461088565</v>
      </c>
      <c r="Q329" s="1140">
        <f>K330</f>
        <v>189.91096169277483</v>
      </c>
      <c r="R329" s="804"/>
      <c r="S329" s="804"/>
      <c r="T329" s="804"/>
      <c r="U329" s="804"/>
      <c r="V329" s="804"/>
      <c r="W329" s="804"/>
      <c r="X329" s="1124"/>
    </row>
    <row r="330" spans="1:24" s="806" customFormat="1" ht="12.75" hidden="1" customHeight="1" outlineLevel="1">
      <c r="A330" s="8"/>
      <c r="B330" s="8"/>
      <c r="C330" s="10"/>
      <c r="D330" s="10"/>
      <c r="E330" s="10"/>
      <c r="F330" s="10"/>
      <c r="G330" s="8"/>
      <c r="H330" s="1125" t="s">
        <v>2064</v>
      </c>
      <c r="I330" s="1125"/>
      <c r="J330" s="1126">
        <v>12.999999999999998</v>
      </c>
      <c r="K330" s="1126">
        <v>189.91096169277483</v>
      </c>
      <c r="L330" s="1127" t="str">
        <f t="shared" si="51"/>
        <v/>
      </c>
      <c r="M330" s="378"/>
      <c r="N330" s="379"/>
      <c r="O330" s="379"/>
      <c r="P330" s="379"/>
      <c r="Q330" s="378"/>
      <c r="R330" s="804"/>
      <c r="S330" s="804"/>
      <c r="T330" s="804"/>
      <c r="U330" s="804"/>
      <c r="V330" s="804"/>
      <c r="W330" s="804"/>
      <c r="X330" s="1124"/>
    </row>
    <row r="331" spans="1:24" s="806" customFormat="1" ht="12.75" hidden="1" customHeight="1" outlineLevel="1">
      <c r="A331" s="8"/>
      <c r="B331" s="8"/>
      <c r="C331" s="10"/>
      <c r="D331" s="10"/>
      <c r="E331" s="10"/>
      <c r="F331" s="10"/>
      <c r="G331" s="8"/>
      <c r="H331" s="1125" t="s">
        <v>2065</v>
      </c>
      <c r="I331" s="1125"/>
      <c r="J331" s="1126">
        <v>13</v>
      </c>
      <c r="K331" s="1126">
        <v>22.944215635323612</v>
      </c>
      <c r="L331" s="1127">
        <f t="shared" si="51"/>
        <v>5.9888429585079297E-2</v>
      </c>
      <c r="M331" s="378"/>
      <c r="N331" s="378" t="s">
        <v>1270</v>
      </c>
      <c r="O331" s="378"/>
      <c r="P331" s="522">
        <f>SUMPRODUCT(O328:O329,P328:P329)</f>
        <v>1083.3729312379701</v>
      </c>
      <c r="Q331" s="522">
        <f>SUMPRODUCT(O328:O329,Q328:Q329)</f>
        <v>148.20997969157074</v>
      </c>
      <c r="R331" s="804"/>
      <c r="S331" s="804"/>
      <c r="T331" s="804"/>
      <c r="U331" s="804"/>
      <c r="V331" s="804"/>
      <c r="W331" s="804"/>
      <c r="X331" s="1124"/>
    </row>
    <row r="332" spans="1:24" s="806" customFormat="1" ht="12.75" hidden="1" customHeight="1" outlineLevel="1">
      <c r="A332" s="8"/>
      <c r="B332" s="8"/>
      <c r="C332" s="10"/>
      <c r="D332" s="10"/>
      <c r="E332" s="10"/>
      <c r="F332" s="10"/>
      <c r="G332" s="8"/>
      <c r="H332" s="1125" t="s">
        <v>2066</v>
      </c>
      <c r="I332" s="1125"/>
      <c r="J332" s="1126">
        <v>13.000000000000002</v>
      </c>
      <c r="K332" s="1126">
        <v>80.763929818030846</v>
      </c>
      <c r="L332" s="1127">
        <f t="shared" si="51"/>
        <v>0.23579548738314077</v>
      </c>
      <c r="M332" s="378"/>
      <c r="N332" s="378"/>
      <c r="O332" s="378"/>
      <c r="P332" s="378"/>
      <c r="Q332" s="378"/>
      <c r="S332" s="1123"/>
      <c r="T332" s="804"/>
      <c r="U332" s="804"/>
      <c r="V332" s="804"/>
      <c r="W332" s="804"/>
      <c r="X332" s="1124"/>
    </row>
    <row r="333" spans="1:24" s="806" customFormat="1" ht="12.75" hidden="1" customHeight="1" outlineLevel="1">
      <c r="A333" s="8"/>
      <c r="B333" s="8"/>
      <c r="C333" s="10"/>
      <c r="D333" s="10"/>
      <c r="E333" s="10"/>
      <c r="F333" s="10"/>
      <c r="G333" s="8"/>
      <c r="H333" s="1125" t="s">
        <v>2067</v>
      </c>
      <c r="I333" s="1125"/>
      <c r="J333" s="1126">
        <v>12.999999999999996</v>
      </c>
      <c r="K333" s="1126">
        <v>80.514844431711921</v>
      </c>
      <c r="L333" s="1127">
        <f t="shared" si="51"/>
        <v>0.3847189530988086</v>
      </c>
      <c r="M333" s="378"/>
      <c r="N333" s="378" t="s">
        <v>2068</v>
      </c>
      <c r="O333" s="378"/>
      <c r="P333" s="378"/>
      <c r="Q333" s="378"/>
      <c r="S333" s="1123"/>
      <c r="T333" s="804"/>
      <c r="U333" s="804"/>
      <c r="V333" s="804"/>
      <c r="W333" s="804"/>
      <c r="X333" s="1124"/>
    </row>
    <row r="334" spans="1:24" s="806" customFormat="1" ht="12.75" hidden="1" customHeight="1" outlineLevel="1">
      <c r="A334" s="8"/>
      <c r="B334" s="8"/>
      <c r="C334" s="10"/>
      <c r="D334" s="10"/>
      <c r="E334" s="10"/>
      <c r="F334" s="10"/>
      <c r="G334" s="8"/>
      <c r="H334" s="1125" t="s">
        <v>2069</v>
      </c>
      <c r="I334" s="1125"/>
      <c r="J334" s="1126">
        <v>13.000000000000002</v>
      </c>
      <c r="K334" s="1126">
        <v>46.525537208810604</v>
      </c>
      <c r="L334" s="1127">
        <f t="shared" si="51"/>
        <v>0.15830495514052295</v>
      </c>
      <c r="M334" s="378"/>
      <c r="N334" s="397"/>
      <c r="O334" s="397" t="s">
        <v>394</v>
      </c>
      <c r="P334" s="397"/>
      <c r="Q334" s="378"/>
      <c r="S334" s="1123"/>
      <c r="X334" s="1124"/>
    </row>
    <row r="335" spans="1:24" s="806" customFormat="1" ht="12.75" hidden="1" customHeight="1" outlineLevel="1">
      <c r="A335" s="8"/>
      <c r="B335" s="8"/>
      <c r="C335" s="10"/>
      <c r="D335" s="10"/>
      <c r="E335" s="10"/>
      <c r="F335" s="10"/>
      <c r="G335" s="8"/>
      <c r="H335" s="1125" t="s">
        <v>2070</v>
      </c>
      <c r="I335" s="1125"/>
      <c r="J335" s="1126">
        <v>13.000000000000005</v>
      </c>
      <c r="K335" s="1126">
        <v>29.670854136474393</v>
      </c>
      <c r="L335" s="1127">
        <f t="shared" si="51"/>
        <v>0.1612921747924484</v>
      </c>
      <c r="M335" s="378"/>
      <c r="N335" s="1141" t="s">
        <v>2071</v>
      </c>
      <c r="O335" s="1142">
        <v>5.9888429585079297E-2</v>
      </c>
      <c r="P335" s="1143"/>
      <c r="Q335" s="378"/>
      <c r="V335" s="3"/>
    </row>
    <row r="336" spans="1:24" s="806" customFormat="1" ht="12.75" hidden="1" customHeight="1" outlineLevel="1">
      <c r="A336" s="8"/>
      <c r="B336" s="8"/>
      <c r="C336" s="10"/>
      <c r="D336" s="10"/>
      <c r="E336" s="10"/>
      <c r="F336" s="10"/>
      <c r="G336" s="8"/>
      <c r="H336" s="378"/>
      <c r="I336" s="378"/>
      <c r="J336" s="378"/>
      <c r="K336" s="378"/>
      <c r="L336" s="378"/>
      <c r="M336" s="379"/>
      <c r="N336" s="1141" t="s">
        <v>2072</v>
      </c>
      <c r="O336" s="1142">
        <v>0.15830495514052295</v>
      </c>
      <c r="P336" s="1143"/>
      <c r="Q336" s="378"/>
      <c r="V336" s="3"/>
    </row>
    <row r="337" spans="1:47" s="806" customFormat="1" ht="12.75" hidden="1" customHeight="1" outlineLevel="1">
      <c r="A337" s="8"/>
      <c r="B337" s="8"/>
      <c r="C337" s="10"/>
      <c r="D337" s="10"/>
      <c r="E337" s="10"/>
      <c r="F337" s="10"/>
      <c r="G337" s="8"/>
      <c r="H337" s="378"/>
      <c r="I337" s="378"/>
      <c r="J337" s="378"/>
      <c r="K337" s="378"/>
      <c r="L337" s="378"/>
      <c r="M337" s="379"/>
      <c r="N337" s="1141" t="s">
        <v>2073</v>
      </c>
      <c r="O337" s="1142">
        <v>0.1612921747924484</v>
      </c>
      <c r="P337" s="1143"/>
      <c r="Q337" s="378"/>
      <c r="V337" s="3"/>
    </row>
    <row r="338" spans="1:47" s="806" customFormat="1" ht="12.75" hidden="1" customHeight="1" outlineLevel="1">
      <c r="A338" s="8"/>
      <c r="B338" s="8"/>
      <c r="C338" s="10"/>
      <c r="D338" s="10"/>
      <c r="E338" s="10"/>
      <c r="F338" s="10"/>
      <c r="G338" s="8"/>
      <c r="H338" s="378"/>
      <c r="I338" s="378"/>
      <c r="J338" s="378"/>
      <c r="K338" s="378"/>
      <c r="L338" s="378"/>
      <c r="M338" s="379"/>
      <c r="N338" s="1141" t="s">
        <v>2074</v>
      </c>
      <c r="O338" s="1144">
        <v>0.23579548738314077</v>
      </c>
      <c r="P338" s="1145"/>
      <c r="Q338" s="378"/>
      <c r="V338" s="3"/>
    </row>
    <row r="339" spans="1:47" s="806" customFormat="1" ht="12.75" hidden="1" customHeight="1" outlineLevel="1">
      <c r="A339" s="8"/>
      <c r="B339" s="8"/>
      <c r="C339" s="10"/>
      <c r="D339" s="10"/>
      <c r="E339" s="10"/>
      <c r="F339" s="10"/>
      <c r="G339" s="8"/>
      <c r="H339" s="378"/>
      <c r="I339" s="378"/>
      <c r="J339" s="378"/>
      <c r="K339" s="378"/>
      <c r="L339" s="378"/>
      <c r="M339" s="379"/>
      <c r="N339" s="1141" t="s">
        <v>2075</v>
      </c>
      <c r="O339" s="1144">
        <v>0.3847189530988086</v>
      </c>
      <c r="P339" s="1145"/>
      <c r="Q339" s="378"/>
      <c r="V339" s="3"/>
    </row>
    <row r="340" spans="1:47" s="806" customFormat="1" ht="12.75" hidden="1" customHeight="1" outlineLevel="1">
      <c r="A340" s="8"/>
      <c r="B340" s="8"/>
      <c r="C340" s="10"/>
      <c r="D340" s="10"/>
      <c r="E340" s="10"/>
      <c r="F340" s="10"/>
      <c r="G340" s="8"/>
      <c r="M340" s="2"/>
      <c r="O340" s="865" t="s">
        <v>2076</v>
      </c>
      <c r="V340" s="3"/>
    </row>
    <row r="341" spans="1:47" s="806" customFormat="1" ht="12.75" hidden="1" customHeight="1" outlineLevel="1">
      <c r="A341" s="8"/>
      <c r="B341" s="8"/>
      <c r="C341" s="10"/>
      <c r="D341" s="10"/>
      <c r="E341" s="10"/>
      <c r="F341" s="10"/>
      <c r="G341" s="8"/>
      <c r="M341" s="2"/>
      <c r="V341" s="3"/>
    </row>
    <row r="342" spans="1:47" s="806" customFormat="1" ht="12.75" hidden="1" customHeight="1" outlineLevel="1">
      <c r="A342" s="8"/>
      <c r="B342" s="8"/>
      <c r="C342" s="10"/>
      <c r="D342" s="10"/>
      <c r="E342" s="10"/>
      <c r="F342" s="10"/>
      <c r="G342" s="8"/>
      <c r="M342" s="2"/>
      <c r="V342" s="3"/>
      <c r="Z342" s="922"/>
      <c r="AA342" s="922"/>
      <c r="AB342" s="922"/>
    </row>
    <row r="343" spans="1:47" s="806" customFormat="1" ht="12.75" hidden="1" customHeight="1" outlineLevel="1">
      <c r="A343" s="8"/>
      <c r="B343" s="8"/>
      <c r="C343" s="10"/>
      <c r="D343" s="10"/>
      <c r="E343" s="10"/>
      <c r="F343" s="10"/>
      <c r="G343" s="8"/>
      <c r="M343" s="2"/>
      <c r="V343" s="3"/>
      <c r="Z343" s="922"/>
      <c r="AA343" s="922"/>
      <c r="AB343" s="922"/>
    </row>
    <row r="344" spans="1:47" s="806" customFormat="1" ht="27" hidden="1" customHeight="1" outlineLevel="1" thickBot="1">
      <c r="A344" s="8"/>
      <c r="B344" s="8"/>
      <c r="C344" s="10"/>
      <c r="D344" s="10"/>
      <c r="E344" s="10"/>
      <c r="F344" s="9"/>
      <c r="G344" s="8"/>
      <c r="H344" s="68" t="s">
        <v>2077</v>
      </c>
      <c r="I344" s="68"/>
      <c r="J344" s="68"/>
      <c r="K344" s="68"/>
      <c r="L344" s="68"/>
      <c r="M344" s="68"/>
      <c r="N344" s="68"/>
      <c r="O344" s="68"/>
      <c r="P344" s="68"/>
      <c r="Q344" s="68"/>
      <c r="R344" s="68"/>
      <c r="S344" s="68"/>
      <c r="T344" s="68"/>
      <c r="U344" s="68"/>
      <c r="V344" s="68"/>
      <c r="W344" s="68"/>
    </row>
    <row r="345" spans="1:47" s="806" customFormat="1" ht="12.75" hidden="1" customHeight="1" outlineLevel="1" thickTop="1" thickBot="1">
      <c r="A345" s="8"/>
      <c r="B345" s="8"/>
      <c r="C345" s="10"/>
      <c r="D345" s="10"/>
      <c r="E345" s="10"/>
      <c r="F345" s="10"/>
      <c r="G345" s="8"/>
      <c r="M345" s="2"/>
      <c r="V345" s="3"/>
      <c r="Z345" s="922"/>
      <c r="AA345" s="922"/>
      <c r="AB345" s="922"/>
    </row>
    <row r="346" spans="1:47" s="806" customFormat="1" ht="12.75" hidden="1" customHeight="1" outlineLevel="1" thickTop="1" thickBot="1">
      <c r="A346" s="8"/>
      <c r="B346" s="8"/>
      <c r="C346" s="10"/>
      <c r="D346" s="10"/>
      <c r="E346" s="10"/>
      <c r="F346" s="10"/>
      <c r="G346" s="8"/>
      <c r="H346" s="804" t="s">
        <v>914</v>
      </c>
      <c r="I346" s="69" t="s">
        <v>2078</v>
      </c>
      <c r="J346" s="806" t="s">
        <v>2079</v>
      </c>
      <c r="M346" s="2"/>
      <c r="V346" s="3"/>
      <c r="Y346" s="804"/>
      <c r="Z346" s="804"/>
      <c r="AA346" s="804"/>
      <c r="AB346" s="922"/>
    </row>
    <row r="347" spans="1:47" s="806" customFormat="1" ht="12.75" hidden="1" customHeight="1" outlineLevel="1" thickTop="1" thickBot="1">
      <c r="A347" s="8"/>
      <c r="B347" s="8"/>
      <c r="C347" s="10"/>
      <c r="D347" s="10"/>
      <c r="E347" s="10"/>
      <c r="F347" s="10"/>
      <c r="G347" s="8"/>
      <c r="M347" s="2"/>
      <c r="V347" s="3"/>
      <c r="Y347" s="804"/>
      <c r="Z347" s="804"/>
      <c r="AA347" s="804"/>
      <c r="AB347" s="922"/>
    </row>
    <row r="348" spans="1:47" s="806" customFormat="1" ht="12.75" hidden="1" customHeight="1" outlineLevel="1" thickBot="1">
      <c r="A348" s="8"/>
      <c r="B348" s="8"/>
      <c r="C348" s="10"/>
      <c r="D348" s="10"/>
      <c r="E348" s="10"/>
      <c r="F348" s="10"/>
      <c r="G348" s="8"/>
      <c r="H348" s="2898" t="s">
        <v>1039</v>
      </c>
      <c r="I348" s="2899"/>
      <c r="J348" s="2899"/>
      <c r="K348" s="2900"/>
      <c r="L348" s="216"/>
      <c r="N348" s="804"/>
      <c r="O348" s="804"/>
      <c r="P348" s="804"/>
      <c r="Q348" s="804"/>
      <c r="R348" s="804"/>
      <c r="S348" s="804"/>
      <c r="T348" s="804"/>
      <c r="U348" s="804"/>
      <c r="V348" s="804"/>
      <c r="W348" s="804"/>
      <c r="X348" s="804"/>
      <c r="Y348" s="804"/>
      <c r="Z348" s="804"/>
      <c r="AA348" s="804"/>
      <c r="AB348" s="804"/>
      <c r="AC348" s="804"/>
      <c r="AD348" s="804"/>
      <c r="AE348" s="804"/>
      <c r="AF348" s="804"/>
      <c r="AG348" s="804"/>
      <c r="AH348" s="804"/>
      <c r="AI348" s="804"/>
      <c r="AJ348" s="804"/>
      <c r="AK348" s="804"/>
      <c r="AL348" s="804"/>
      <c r="AM348" s="804"/>
      <c r="AN348" s="804"/>
      <c r="AO348" s="804"/>
      <c r="AP348" s="804"/>
      <c r="AQ348" s="804"/>
      <c r="AR348" s="804"/>
      <c r="AS348" s="804"/>
      <c r="AT348" s="804"/>
      <c r="AU348" s="804"/>
    </row>
    <row r="349" spans="1:47" s="806" customFormat="1" ht="12.75" hidden="1" customHeight="1" outlineLevel="1">
      <c r="A349" s="8"/>
      <c r="B349" s="8"/>
      <c r="C349" s="10"/>
      <c r="D349" s="10"/>
      <c r="E349" s="10"/>
      <c r="F349" s="10"/>
      <c r="G349" s="8"/>
      <c r="N349" s="804"/>
      <c r="O349" s="804"/>
      <c r="P349" s="804"/>
      <c r="Q349" s="804"/>
      <c r="R349" s="804"/>
      <c r="S349" s="804"/>
      <c r="T349" s="804"/>
      <c r="U349" s="804"/>
      <c r="V349" s="804"/>
      <c r="W349" s="804"/>
      <c r="X349" s="169"/>
      <c r="Y349" s="804"/>
      <c r="Z349" s="804"/>
      <c r="AA349" s="804"/>
      <c r="AC349" s="804"/>
      <c r="AD349" s="804"/>
      <c r="AE349" s="804"/>
      <c r="AF349" s="804"/>
      <c r="AG349" s="804"/>
      <c r="AH349" s="804"/>
      <c r="AI349" s="804"/>
      <c r="AJ349" s="804"/>
    </row>
    <row r="350" spans="1:47" s="806" customFormat="1" ht="12.75" hidden="1" customHeight="1" outlineLevel="1">
      <c r="A350" s="8"/>
      <c r="B350" s="8"/>
      <c r="C350" s="10"/>
      <c r="D350" s="10"/>
      <c r="E350" s="10"/>
      <c r="F350" s="10"/>
      <c r="G350" s="8"/>
      <c r="H350" s="806" t="s">
        <v>1305</v>
      </c>
      <c r="I350" s="2901" t="s">
        <v>1306</v>
      </c>
      <c r="J350" s="2901"/>
      <c r="K350" s="2901"/>
      <c r="N350" s="804"/>
      <c r="O350" s="804"/>
      <c r="P350" s="804"/>
      <c r="Q350" s="804"/>
      <c r="R350" s="804"/>
      <c r="S350" s="804"/>
      <c r="T350" s="804"/>
      <c r="U350" s="804"/>
      <c r="V350" s="804"/>
      <c r="W350" s="804"/>
      <c r="X350" s="804"/>
      <c r="Y350" s="804"/>
      <c r="Z350" s="804"/>
      <c r="AA350" s="804"/>
      <c r="AC350" s="804"/>
      <c r="AD350" s="804"/>
      <c r="AE350" s="804"/>
      <c r="AF350" s="804"/>
      <c r="AG350" s="804"/>
      <c r="AH350" s="804"/>
      <c r="AI350" s="804"/>
      <c r="AJ350" s="804"/>
    </row>
    <row r="351" spans="1:47" s="806" customFormat="1" ht="12.75" hidden="1" customHeight="1" outlineLevel="1">
      <c r="A351" s="8"/>
      <c r="B351" s="8"/>
      <c r="C351" s="10"/>
      <c r="D351" s="10"/>
      <c r="E351" s="10"/>
      <c r="F351" s="10"/>
      <c r="G351" s="8"/>
      <c r="I351" s="210" t="s">
        <v>1036</v>
      </c>
      <c r="J351" s="210" t="s">
        <v>1037</v>
      </c>
      <c r="K351" s="210" t="s">
        <v>1038</v>
      </c>
      <c r="N351" s="2902" t="s">
        <v>1307</v>
      </c>
      <c r="O351" s="2903"/>
      <c r="P351" s="2903"/>
      <c r="Q351" s="2903"/>
      <c r="R351" s="2904"/>
      <c r="S351" s="2905" t="s">
        <v>1308</v>
      </c>
      <c r="T351" s="2906"/>
      <c r="U351" s="2906"/>
      <c r="V351" s="2906"/>
      <c r="W351" s="2907"/>
      <c r="X351" s="217" t="s">
        <v>1304</v>
      </c>
      <c r="Y351" s="804"/>
      <c r="Z351" s="804"/>
      <c r="AA351" s="804"/>
      <c r="AD351" s="169"/>
      <c r="AE351" s="169"/>
      <c r="AF351" s="169"/>
      <c r="AH351" s="169"/>
      <c r="AI351" s="169"/>
      <c r="AJ351" s="169"/>
    </row>
    <row r="352" spans="1:47" s="806" customFormat="1" ht="12.75" hidden="1" customHeight="1" outlineLevel="1">
      <c r="A352" s="8"/>
      <c r="B352" s="8"/>
      <c r="C352" s="10"/>
      <c r="D352" s="10"/>
      <c r="E352" s="10"/>
      <c r="F352" s="10"/>
      <c r="G352" s="8"/>
      <c r="H352" s="210" t="s">
        <v>1011</v>
      </c>
      <c r="I352" s="230">
        <v>1601.9509972295846</v>
      </c>
      <c r="J352" s="230">
        <v>0</v>
      </c>
      <c r="K352" s="230">
        <v>0</v>
      </c>
      <c r="L352" s="230"/>
      <c r="M352" s="230"/>
      <c r="N352" s="211" t="s">
        <v>1000</v>
      </c>
      <c r="O352" s="212" t="s">
        <v>1001</v>
      </c>
      <c r="P352" s="212" t="s">
        <v>1002</v>
      </c>
      <c r="Q352" s="212" t="s">
        <v>1012</v>
      </c>
      <c r="R352" s="212"/>
      <c r="S352" s="213" t="str">
        <f t="shared" ref="S352:S375" si="52">N352</f>
        <v>Tier3</v>
      </c>
      <c r="T352" s="213" t="str">
        <f t="shared" ref="T352:T375" si="53">IF(O352="basmnt","Unheated Basement",IF(O352="indor2","Interior",IF(O352="ducted","Interior - Exhaust Ducted",O352)))</f>
        <v>garage</v>
      </c>
      <c r="U352" s="213" t="str">
        <f t="shared" ref="U352:U375" si="54">P352</f>
        <v>HZ1</v>
      </c>
      <c r="V352" s="213" t="str">
        <f t="shared" ref="V352:V375" si="55">IF(OR(R352="0-55gallons",R352="&gt;55gallons",R352="AnySize"),IF(Q352="resistheat","Electric Resistance",IF(Q352="hp85","Heat Pump HSPF 8.5",Q352)),"Any")</f>
        <v>Any</v>
      </c>
      <c r="W352" s="213" t="str">
        <f t="shared" ref="W352:W375" si="56">IF(V352="Any",Q352,R352)</f>
        <v>AnySize</v>
      </c>
      <c r="X352" s="214">
        <f>IFERROR(INDEX($M$407:$O$414,MATCH(T352&amp;V352,$L$407:$L$414,0),MATCH(U352,$M$405:$O$405,0)),"")</f>
        <v>0.17798040000000001</v>
      </c>
      <c r="Y352" s="804"/>
      <c r="Z352" s="804"/>
      <c r="AA352" s="804"/>
      <c r="AC352" s="97"/>
      <c r="AD352" s="215"/>
      <c r="AE352" s="215"/>
      <c r="AF352" s="215"/>
      <c r="AG352" s="97"/>
      <c r="AH352" s="215"/>
      <c r="AI352" s="215"/>
      <c r="AJ352" s="215"/>
    </row>
    <row r="353" spans="1:36" s="806" customFormat="1" ht="12.75" hidden="1" customHeight="1" outlineLevel="1">
      <c r="A353" s="8"/>
      <c r="B353" s="8"/>
      <c r="C353" s="10"/>
      <c r="D353" s="10"/>
      <c r="E353" s="10"/>
      <c r="F353" s="10"/>
      <c r="G353" s="8"/>
      <c r="H353" s="210" t="s">
        <v>1013</v>
      </c>
      <c r="I353" s="230">
        <v>1606.9097432438361</v>
      </c>
      <c r="J353" s="230">
        <v>0</v>
      </c>
      <c r="K353" s="230">
        <v>0</v>
      </c>
      <c r="L353" s="230"/>
      <c r="M353" s="230"/>
      <c r="N353" s="211" t="s">
        <v>1000</v>
      </c>
      <c r="O353" s="212" t="s">
        <v>1001</v>
      </c>
      <c r="P353" s="212" t="s">
        <v>1003</v>
      </c>
      <c r="Q353" s="212" t="s">
        <v>1012</v>
      </c>
      <c r="R353" s="212"/>
      <c r="S353" s="213" t="str">
        <f t="shared" si="52"/>
        <v>Tier3</v>
      </c>
      <c r="T353" s="213" t="str">
        <f t="shared" si="53"/>
        <v>garage</v>
      </c>
      <c r="U353" s="213" t="str">
        <f t="shared" si="54"/>
        <v>HZ2</v>
      </c>
      <c r="V353" s="213" t="str">
        <f t="shared" si="55"/>
        <v>Any</v>
      </c>
      <c r="W353" s="213" t="str">
        <f t="shared" si="56"/>
        <v>AnySize</v>
      </c>
      <c r="X353" s="214">
        <f t="shared" ref="X353:X375" si="57">IFERROR(INDEX($M$407:$O$414,MATCH(T353&amp;V353,$L$407:$L$414,0),MATCH(U353,$M$405:$O$405,0)),"")</f>
        <v>1.2668799999999999E-2</v>
      </c>
      <c r="Y353" s="804"/>
      <c r="Z353" s="804"/>
      <c r="AA353" s="804"/>
      <c r="AC353" s="97"/>
      <c r="AD353" s="215"/>
      <c r="AE353" s="215"/>
      <c r="AF353" s="215"/>
      <c r="AG353" s="97"/>
      <c r="AH353" s="215"/>
      <c r="AI353" s="215"/>
      <c r="AJ353" s="215"/>
    </row>
    <row r="354" spans="1:36" s="806" customFormat="1" ht="12.75" hidden="1" customHeight="1" outlineLevel="1">
      <c r="A354" s="8"/>
      <c r="B354" s="8"/>
      <c r="C354" s="10"/>
      <c r="D354" s="10"/>
      <c r="E354" s="10"/>
      <c r="F354" s="10"/>
      <c r="G354" s="8"/>
      <c r="H354" s="210" t="s">
        <v>1014</v>
      </c>
      <c r="I354" s="230">
        <v>1560.9839888015331</v>
      </c>
      <c r="J354" s="230">
        <v>0</v>
      </c>
      <c r="K354" s="230">
        <v>0</v>
      </c>
      <c r="L354" s="230"/>
      <c r="M354" s="230"/>
      <c r="N354" s="211" t="s">
        <v>1000</v>
      </c>
      <c r="O354" s="212" t="s">
        <v>1001</v>
      </c>
      <c r="P354" s="212" t="s">
        <v>1004</v>
      </c>
      <c r="Q354" s="212" t="s">
        <v>1012</v>
      </c>
      <c r="R354" s="212"/>
      <c r="S354" s="213" t="str">
        <f t="shared" si="52"/>
        <v>Tier3</v>
      </c>
      <c r="T354" s="213" t="str">
        <f t="shared" si="53"/>
        <v>garage</v>
      </c>
      <c r="U354" s="213" t="str">
        <f t="shared" si="54"/>
        <v>HZ3</v>
      </c>
      <c r="V354" s="213" t="str">
        <f t="shared" si="55"/>
        <v>Any</v>
      </c>
      <c r="W354" s="213" t="str">
        <f t="shared" si="56"/>
        <v>AnySize</v>
      </c>
      <c r="X354" s="214">
        <f t="shared" si="57"/>
        <v>2.728E-3</v>
      </c>
      <c r="Y354" s="804"/>
      <c r="Z354" s="804"/>
      <c r="AA354" s="804"/>
      <c r="AC354" s="97"/>
      <c r="AD354" s="215"/>
      <c r="AE354" s="215"/>
      <c r="AF354" s="215"/>
      <c r="AG354" s="97"/>
      <c r="AH354" s="215"/>
      <c r="AI354" s="215"/>
      <c r="AJ354" s="215"/>
    </row>
    <row r="355" spans="1:36" s="806" customFormat="1" ht="12.75" hidden="1" customHeight="1" outlineLevel="1">
      <c r="A355" s="8"/>
      <c r="B355" s="8"/>
      <c r="C355" s="10"/>
      <c r="D355" s="10"/>
      <c r="E355" s="10"/>
      <c r="F355" s="10"/>
      <c r="G355" s="8"/>
      <c r="H355" s="210" t="s">
        <v>1015</v>
      </c>
      <c r="I355" s="230">
        <v>1623.6076975624205</v>
      </c>
      <c r="J355" s="230">
        <v>0</v>
      </c>
      <c r="K355" s="230">
        <v>0</v>
      </c>
      <c r="L355" s="230"/>
      <c r="M355" s="230"/>
      <c r="N355" s="211" t="s">
        <v>1000</v>
      </c>
      <c r="O355" s="212" t="s">
        <v>1005</v>
      </c>
      <c r="P355" s="212" t="s">
        <v>1002</v>
      </c>
      <c r="Q355" s="212" t="s">
        <v>1012</v>
      </c>
      <c r="R355" s="212"/>
      <c r="S355" s="213" t="str">
        <f t="shared" si="52"/>
        <v>Tier3</v>
      </c>
      <c r="T355" s="213" t="str">
        <f t="shared" si="53"/>
        <v>Unheated Basement</v>
      </c>
      <c r="U355" s="213" t="str">
        <f t="shared" si="54"/>
        <v>HZ1</v>
      </c>
      <c r="V355" s="213" t="str">
        <f t="shared" si="55"/>
        <v>Any</v>
      </c>
      <c r="W355" s="213" t="str">
        <f t="shared" si="56"/>
        <v>AnySize</v>
      </c>
      <c r="X355" s="214">
        <f t="shared" si="57"/>
        <v>0.26012520000000006</v>
      </c>
      <c r="Y355" s="804"/>
      <c r="Z355" s="804"/>
      <c r="AA355" s="804"/>
      <c r="AC355" s="97"/>
      <c r="AD355" s="215"/>
      <c r="AE355" s="215"/>
      <c r="AF355" s="215"/>
      <c r="AG355" s="97"/>
      <c r="AH355" s="215"/>
      <c r="AI355" s="215"/>
      <c r="AJ355" s="215"/>
    </row>
    <row r="356" spans="1:36" s="806" customFormat="1" ht="12.75" hidden="1" customHeight="1" outlineLevel="1">
      <c r="A356" s="8"/>
      <c r="B356" s="8"/>
      <c r="C356" s="10"/>
      <c r="D356" s="10"/>
      <c r="E356" s="10"/>
      <c r="F356" s="10"/>
      <c r="G356" s="8"/>
      <c r="H356" s="210" t="s">
        <v>1016</v>
      </c>
      <c r="I356" s="230">
        <v>1685.5237473638078</v>
      </c>
      <c r="J356" s="230">
        <v>0</v>
      </c>
      <c r="K356" s="230">
        <v>0</v>
      </c>
      <c r="L356" s="230"/>
      <c r="M356" s="230"/>
      <c r="N356" s="211" t="s">
        <v>1000</v>
      </c>
      <c r="O356" s="212" t="s">
        <v>1005</v>
      </c>
      <c r="P356" s="212" t="s">
        <v>1003</v>
      </c>
      <c r="Q356" s="212" t="s">
        <v>1012</v>
      </c>
      <c r="R356" s="212"/>
      <c r="S356" s="213" t="str">
        <f t="shared" si="52"/>
        <v>Tier3</v>
      </c>
      <c r="T356" s="213" t="str">
        <f t="shared" si="53"/>
        <v>Unheated Basement</v>
      </c>
      <c r="U356" s="213" t="str">
        <f t="shared" si="54"/>
        <v>HZ2</v>
      </c>
      <c r="V356" s="213" t="str">
        <f t="shared" si="55"/>
        <v>Any</v>
      </c>
      <c r="W356" s="213" t="str">
        <f t="shared" si="56"/>
        <v>AnySize</v>
      </c>
      <c r="X356" s="214">
        <f t="shared" si="57"/>
        <v>8.9708800000000005E-2</v>
      </c>
      <c r="Y356" s="804"/>
      <c r="Z356" s="804"/>
      <c r="AA356" s="804"/>
      <c r="AC356" s="97"/>
      <c r="AD356" s="215"/>
      <c r="AE356" s="215"/>
      <c r="AF356" s="215"/>
      <c r="AG356" s="97"/>
      <c r="AH356" s="215"/>
      <c r="AI356" s="215"/>
      <c r="AJ356" s="215"/>
    </row>
    <row r="357" spans="1:36" s="806" customFormat="1" ht="12.75" hidden="1" customHeight="1" outlineLevel="1">
      <c r="A357" s="8"/>
      <c r="B357" s="8"/>
      <c r="C357" s="10"/>
      <c r="D357" s="10"/>
      <c r="E357" s="10"/>
      <c r="F357" s="10"/>
      <c r="G357" s="8"/>
      <c r="H357" s="210" t="s">
        <v>1017</v>
      </c>
      <c r="I357" s="230">
        <v>1749.3252195985626</v>
      </c>
      <c r="J357" s="230">
        <v>0</v>
      </c>
      <c r="K357" s="230">
        <v>0</v>
      </c>
      <c r="L357" s="230"/>
      <c r="M357" s="230"/>
      <c r="N357" s="211" t="s">
        <v>1000</v>
      </c>
      <c r="O357" s="212" t="s">
        <v>1005</v>
      </c>
      <c r="P357" s="212" t="s">
        <v>1004</v>
      </c>
      <c r="Q357" s="212" t="s">
        <v>1012</v>
      </c>
      <c r="R357" s="212"/>
      <c r="S357" s="213" t="str">
        <f t="shared" si="52"/>
        <v>Tier3</v>
      </c>
      <c r="T357" s="213" t="str">
        <f t="shared" si="53"/>
        <v>Unheated Basement</v>
      </c>
      <c r="U357" s="213" t="str">
        <f t="shared" si="54"/>
        <v>HZ3</v>
      </c>
      <c r="V357" s="213" t="str">
        <f t="shared" si="55"/>
        <v>Any</v>
      </c>
      <c r="W357" s="213" t="str">
        <f t="shared" si="56"/>
        <v>AnySize</v>
      </c>
      <c r="X357" s="214">
        <f t="shared" si="57"/>
        <v>4.7057999999999996E-2</v>
      </c>
      <c r="Y357" s="804"/>
      <c r="Z357" s="804"/>
      <c r="AA357" s="804"/>
      <c r="AC357" s="97"/>
      <c r="AD357" s="215"/>
      <c r="AE357" s="215"/>
      <c r="AF357" s="215"/>
      <c r="AG357" s="97"/>
      <c r="AH357" s="215"/>
      <c r="AI357" s="215"/>
      <c r="AJ357" s="215"/>
    </row>
    <row r="358" spans="1:36" s="806" customFormat="1" ht="12.75" hidden="1" customHeight="1" outlineLevel="1">
      <c r="A358" s="8"/>
      <c r="B358" s="8"/>
      <c r="C358" s="10"/>
      <c r="D358" s="10"/>
      <c r="E358" s="10"/>
      <c r="F358" s="10"/>
      <c r="G358" s="8"/>
      <c r="H358" s="210" t="s">
        <v>1018</v>
      </c>
      <c r="I358" s="230">
        <v>1696.6624547203273</v>
      </c>
      <c r="J358" s="230">
        <v>-19.746465899765312</v>
      </c>
      <c r="K358" s="230">
        <v>17.676887617016153</v>
      </c>
      <c r="L358" s="230"/>
      <c r="M358" s="230"/>
      <c r="N358" s="211" t="s">
        <v>1000</v>
      </c>
      <c r="O358" s="212" t="s">
        <v>1006</v>
      </c>
      <c r="P358" s="212" t="s">
        <v>1002</v>
      </c>
      <c r="Q358" s="212" t="s">
        <v>1007</v>
      </c>
      <c r="R358" s="212" t="s">
        <v>1012</v>
      </c>
      <c r="S358" s="213" t="str">
        <f t="shared" si="52"/>
        <v>Tier3</v>
      </c>
      <c r="T358" s="213" t="str">
        <f t="shared" si="53"/>
        <v>Interior</v>
      </c>
      <c r="U358" s="213" t="str">
        <f t="shared" si="54"/>
        <v>HZ1</v>
      </c>
      <c r="V358" s="213" t="str">
        <f t="shared" si="55"/>
        <v>gas</v>
      </c>
      <c r="W358" s="213" t="str">
        <f t="shared" si="56"/>
        <v>AnySize</v>
      </c>
      <c r="X358" s="214">
        <f t="shared" si="57"/>
        <v>0.1697839776800445</v>
      </c>
      <c r="Y358" s="804"/>
      <c r="Z358" s="804"/>
      <c r="AA358" s="804"/>
      <c r="AC358" s="97"/>
      <c r="AD358" s="215"/>
      <c r="AE358" s="215"/>
      <c r="AF358" s="215"/>
      <c r="AG358" s="97"/>
      <c r="AH358" s="215"/>
      <c r="AI358" s="215"/>
      <c r="AJ358" s="215"/>
    </row>
    <row r="359" spans="1:36" s="806" customFormat="1" ht="12.75" hidden="1" customHeight="1" outlineLevel="1">
      <c r="A359" s="8"/>
      <c r="B359" s="8"/>
      <c r="C359" s="10"/>
      <c r="D359" s="10"/>
      <c r="E359" s="10"/>
      <c r="F359" s="10"/>
      <c r="G359" s="8"/>
      <c r="H359" s="210" t="s">
        <v>1019</v>
      </c>
      <c r="I359" s="230">
        <v>1699.9727485837168</v>
      </c>
      <c r="J359" s="230">
        <v>-476.17932084661356</v>
      </c>
      <c r="K359" s="230">
        <v>0</v>
      </c>
      <c r="L359" s="230"/>
      <c r="M359" s="230"/>
      <c r="N359" s="211" t="s">
        <v>1000</v>
      </c>
      <c r="O359" s="212" t="s">
        <v>1006</v>
      </c>
      <c r="P359" s="212" t="s">
        <v>1002</v>
      </c>
      <c r="Q359" s="212" t="s">
        <v>1008</v>
      </c>
      <c r="R359" s="212" t="s">
        <v>1012</v>
      </c>
      <c r="S359" s="213" t="str">
        <f t="shared" si="52"/>
        <v>Tier3</v>
      </c>
      <c r="T359" s="213" t="str">
        <f t="shared" si="53"/>
        <v>Interior</v>
      </c>
      <c r="U359" s="213" t="str">
        <f t="shared" si="54"/>
        <v>HZ1</v>
      </c>
      <c r="V359" s="213" t="str">
        <f t="shared" si="55"/>
        <v>Electric Resistance</v>
      </c>
      <c r="W359" s="213" t="str">
        <f t="shared" si="56"/>
        <v>AnySize</v>
      </c>
      <c r="X359" s="214">
        <f t="shared" si="57"/>
        <v>8.5306375070450163E-2</v>
      </c>
      <c r="Y359" s="804"/>
      <c r="Z359" s="804"/>
      <c r="AA359" s="804"/>
      <c r="AC359" s="97"/>
      <c r="AD359" s="215"/>
      <c r="AE359" s="215"/>
      <c r="AF359" s="215"/>
      <c r="AG359" s="97"/>
      <c r="AH359" s="215"/>
      <c r="AI359" s="215"/>
      <c r="AJ359" s="215"/>
    </row>
    <row r="360" spans="1:36" s="806" customFormat="1" ht="12.75" hidden="1" customHeight="1" outlineLevel="1">
      <c r="A360" s="8"/>
      <c r="B360" s="8"/>
      <c r="C360" s="10"/>
      <c r="D360" s="10"/>
      <c r="E360" s="10"/>
      <c r="F360" s="10"/>
      <c r="G360" s="8"/>
      <c r="H360" s="210" t="s">
        <v>1020</v>
      </c>
      <c r="I360" s="230">
        <v>1693.3417302714256</v>
      </c>
      <c r="J360" s="230">
        <v>-245.01712861336009</v>
      </c>
      <c r="K360" s="230">
        <v>35.576301529528905</v>
      </c>
      <c r="L360" s="230"/>
      <c r="M360" s="230"/>
      <c r="N360" s="211" t="s">
        <v>1000</v>
      </c>
      <c r="O360" s="212" t="s">
        <v>1006</v>
      </c>
      <c r="P360" s="212" t="s">
        <v>1002</v>
      </c>
      <c r="Q360" s="212" t="s">
        <v>1009</v>
      </c>
      <c r="R360" s="212" t="s">
        <v>1012</v>
      </c>
      <c r="S360" s="213" t="str">
        <f t="shared" si="52"/>
        <v>Tier3</v>
      </c>
      <c r="T360" s="213" t="str">
        <f t="shared" si="53"/>
        <v>Interior</v>
      </c>
      <c r="U360" s="213" t="str">
        <f t="shared" si="54"/>
        <v>HZ1</v>
      </c>
      <c r="V360" s="213" t="str">
        <f t="shared" si="55"/>
        <v>Heat Pump HSPF 8.5</v>
      </c>
      <c r="W360" s="213" t="str">
        <f t="shared" si="56"/>
        <v>AnySize</v>
      </c>
      <c r="X360" s="214">
        <f t="shared" si="57"/>
        <v>5.4504271249505361E-2</v>
      </c>
      <c r="Y360" s="804"/>
      <c r="Z360" s="804"/>
      <c r="AA360" s="804"/>
      <c r="AC360" s="97"/>
      <c r="AD360" s="215"/>
      <c r="AE360" s="215"/>
      <c r="AF360" s="215"/>
      <c r="AG360" s="97"/>
      <c r="AH360" s="215"/>
      <c r="AI360" s="215"/>
      <c r="AJ360" s="215"/>
    </row>
    <row r="361" spans="1:36" s="806" customFormat="1" ht="12.75" hidden="1" customHeight="1" outlineLevel="1">
      <c r="A361" s="8"/>
      <c r="B361" s="8"/>
      <c r="C361" s="10"/>
      <c r="D361" s="10"/>
      <c r="E361" s="10"/>
      <c r="F361" s="10"/>
      <c r="G361" s="8"/>
      <c r="H361" s="210" t="s">
        <v>1021</v>
      </c>
      <c r="I361" s="230">
        <v>1773.1586644581755</v>
      </c>
      <c r="J361" s="230">
        <v>-18.755447542807087</v>
      </c>
      <c r="K361" s="230">
        <v>21.162720005428366</v>
      </c>
      <c r="L361" s="230"/>
      <c r="M361" s="230"/>
      <c r="N361" s="211" t="s">
        <v>1000</v>
      </c>
      <c r="O361" s="212" t="s">
        <v>1006</v>
      </c>
      <c r="P361" s="212" t="s">
        <v>1003</v>
      </c>
      <c r="Q361" s="212" t="s">
        <v>1007</v>
      </c>
      <c r="R361" s="212" t="s">
        <v>1012</v>
      </c>
      <c r="S361" s="213" t="str">
        <f t="shared" si="52"/>
        <v>Tier3</v>
      </c>
      <c r="T361" s="213" t="str">
        <f t="shared" si="53"/>
        <v>Interior</v>
      </c>
      <c r="U361" s="213" t="str">
        <f t="shared" si="54"/>
        <v>HZ2</v>
      </c>
      <c r="V361" s="213" t="str">
        <f t="shared" si="55"/>
        <v>gas</v>
      </c>
      <c r="W361" s="213" t="str">
        <f t="shared" si="56"/>
        <v>AnySize</v>
      </c>
      <c r="X361" s="214">
        <f t="shared" si="57"/>
        <v>3.6233003814909945E-2</v>
      </c>
      <c r="Y361" s="804"/>
      <c r="Z361" s="804"/>
      <c r="AA361" s="804"/>
      <c r="AC361" s="97"/>
      <c r="AD361" s="215"/>
      <c r="AE361" s="215"/>
      <c r="AF361" s="215"/>
      <c r="AG361" s="97"/>
      <c r="AH361" s="215"/>
      <c r="AI361" s="215"/>
      <c r="AJ361" s="215"/>
    </row>
    <row r="362" spans="1:36" s="806" customFormat="1" ht="12.75" hidden="1" customHeight="1" outlineLevel="1">
      <c r="A362" s="8"/>
      <c r="B362" s="8"/>
      <c r="C362" s="10"/>
      <c r="D362" s="10"/>
      <c r="E362" s="10"/>
      <c r="F362" s="10"/>
      <c r="G362" s="8"/>
      <c r="H362" s="210" t="s">
        <v>1022</v>
      </c>
      <c r="I362" s="230">
        <v>1777.7758665345079</v>
      </c>
      <c r="J362" s="230">
        <v>-441.13833656268304</v>
      </c>
      <c r="K362" s="230">
        <v>0</v>
      </c>
      <c r="L362" s="230"/>
      <c r="M362" s="230"/>
      <c r="N362" s="211" t="s">
        <v>1000</v>
      </c>
      <c r="O362" s="212" t="s">
        <v>1006</v>
      </c>
      <c r="P362" s="212" t="s">
        <v>1003</v>
      </c>
      <c r="Q362" s="212" t="s">
        <v>1008</v>
      </c>
      <c r="R362" s="212" t="s">
        <v>1012</v>
      </c>
      <c r="S362" s="213" t="str">
        <f t="shared" si="52"/>
        <v>Tier3</v>
      </c>
      <c r="T362" s="213" t="str">
        <f t="shared" si="53"/>
        <v>Interior</v>
      </c>
      <c r="U362" s="213" t="str">
        <f t="shared" si="54"/>
        <v>HZ2</v>
      </c>
      <c r="V362" s="213" t="str">
        <f t="shared" si="55"/>
        <v>Electric Resistance</v>
      </c>
      <c r="W362" s="213" t="str">
        <f t="shared" si="56"/>
        <v>AnySize</v>
      </c>
      <c r="X362" s="214">
        <f t="shared" si="57"/>
        <v>1.8204934621030781E-2</v>
      </c>
      <c r="Y362" s="804"/>
      <c r="Z362" s="804"/>
      <c r="AA362" s="804"/>
      <c r="AC362" s="97"/>
      <c r="AD362" s="215"/>
      <c r="AE362" s="215"/>
      <c r="AF362" s="215"/>
      <c r="AG362" s="97"/>
      <c r="AH362" s="215"/>
      <c r="AI362" s="215"/>
      <c r="AJ362" s="215"/>
    </row>
    <row r="363" spans="1:36" s="806" customFormat="1" ht="12.75" hidden="1" customHeight="1" outlineLevel="1">
      <c r="A363" s="8"/>
      <c r="B363" s="8"/>
      <c r="C363" s="10"/>
      <c r="D363" s="10"/>
      <c r="E363" s="10"/>
      <c r="F363" s="10"/>
      <c r="G363" s="8"/>
      <c r="H363" s="210" t="s">
        <v>1023</v>
      </c>
      <c r="I363" s="230">
        <v>1768.5156313225589</v>
      </c>
      <c r="J363" s="230">
        <v>-295.71973796197096</v>
      </c>
      <c r="K363" s="230">
        <v>42.58321797994747</v>
      </c>
      <c r="L363" s="230"/>
      <c r="M363" s="230"/>
      <c r="N363" s="211" t="s">
        <v>1000</v>
      </c>
      <c r="O363" s="212" t="s">
        <v>1006</v>
      </c>
      <c r="P363" s="212" t="s">
        <v>1003</v>
      </c>
      <c r="Q363" s="212" t="s">
        <v>1009</v>
      </c>
      <c r="R363" s="212" t="s">
        <v>1012</v>
      </c>
      <c r="S363" s="213" t="str">
        <f t="shared" si="52"/>
        <v>Tier3</v>
      </c>
      <c r="T363" s="213" t="str">
        <f t="shared" si="53"/>
        <v>Interior</v>
      </c>
      <c r="U363" s="213" t="str">
        <f t="shared" si="54"/>
        <v>HZ2</v>
      </c>
      <c r="V363" s="213" t="str">
        <f t="shared" si="55"/>
        <v>Heat Pump HSPF 8.5</v>
      </c>
      <c r="W363" s="213" t="str">
        <f t="shared" si="56"/>
        <v>AnySize</v>
      </c>
      <c r="X363" s="214">
        <f t="shared" si="57"/>
        <v>1.1631565564059277E-2</v>
      </c>
      <c r="Y363" s="804"/>
      <c r="Z363" s="804"/>
      <c r="AA363" s="804"/>
      <c r="AC363" s="97"/>
      <c r="AD363" s="215"/>
      <c r="AE363" s="215"/>
      <c r="AF363" s="215"/>
      <c r="AG363" s="97"/>
      <c r="AH363" s="215"/>
      <c r="AI363" s="215"/>
      <c r="AJ363" s="215"/>
    </row>
    <row r="364" spans="1:36" s="806" customFormat="1" ht="12.75" hidden="1" customHeight="1" outlineLevel="1">
      <c r="A364" s="8"/>
      <c r="B364" s="8"/>
      <c r="C364" s="10"/>
      <c r="D364" s="10"/>
      <c r="E364" s="10"/>
      <c r="F364" s="10"/>
      <c r="G364" s="8"/>
      <c r="H364" s="210" t="s">
        <v>1024</v>
      </c>
      <c r="I364" s="230">
        <v>1859.7911745624881</v>
      </c>
      <c r="J364" s="230">
        <v>-17.677486018589541</v>
      </c>
      <c r="K364" s="230">
        <v>23.139676946000389</v>
      </c>
      <c r="L364" s="230"/>
      <c r="M364" s="230"/>
      <c r="N364" s="211" t="s">
        <v>1000</v>
      </c>
      <c r="O364" s="212" t="s">
        <v>1006</v>
      </c>
      <c r="P364" s="212" t="s">
        <v>1004</v>
      </c>
      <c r="Q364" s="212" t="s">
        <v>1007</v>
      </c>
      <c r="R364" s="212" t="s">
        <v>1012</v>
      </c>
      <c r="S364" s="213" t="str">
        <f t="shared" si="52"/>
        <v>Tier3</v>
      </c>
      <c r="T364" s="213" t="str">
        <f t="shared" si="53"/>
        <v>Interior</v>
      </c>
      <c r="U364" s="213" t="str">
        <f t="shared" si="54"/>
        <v>HZ3</v>
      </c>
      <c r="V364" s="213" t="str">
        <f t="shared" si="55"/>
        <v>gas</v>
      </c>
      <c r="W364" s="213" t="str">
        <f t="shared" si="56"/>
        <v>AnySize</v>
      </c>
      <c r="X364" s="214">
        <f t="shared" si="57"/>
        <v>9.6944386166095894E-3</v>
      </c>
      <c r="Y364" s="804"/>
      <c r="Z364" s="804"/>
      <c r="AA364" s="804"/>
      <c r="AC364" s="97"/>
      <c r="AD364" s="215"/>
      <c r="AE364" s="215"/>
      <c r="AF364" s="215"/>
      <c r="AG364" s="97"/>
      <c r="AH364" s="215"/>
      <c r="AI364" s="215"/>
      <c r="AJ364" s="215"/>
    </row>
    <row r="365" spans="1:36" s="806" customFormat="1" ht="12.75" hidden="1" customHeight="1" outlineLevel="1">
      <c r="A365" s="8"/>
      <c r="B365" s="8"/>
      <c r="C365" s="10"/>
      <c r="D365" s="10"/>
      <c r="E365" s="10"/>
      <c r="F365" s="10"/>
      <c r="G365" s="8"/>
      <c r="H365" s="210" t="s">
        <v>1025</v>
      </c>
      <c r="I365" s="230">
        <v>1863.0553434682429</v>
      </c>
      <c r="J365" s="230">
        <v>-410.73637430640485</v>
      </c>
      <c r="K365" s="230">
        <v>0</v>
      </c>
      <c r="L365" s="230"/>
      <c r="M365" s="230"/>
      <c r="N365" s="211" t="s">
        <v>1000</v>
      </c>
      <c r="O365" s="212" t="s">
        <v>1006</v>
      </c>
      <c r="P365" s="212" t="s">
        <v>1004</v>
      </c>
      <c r="Q365" s="212" t="s">
        <v>1008</v>
      </c>
      <c r="R365" s="212" t="s">
        <v>1012</v>
      </c>
      <c r="S365" s="213" t="str">
        <f t="shared" si="52"/>
        <v>Tier3</v>
      </c>
      <c r="T365" s="213" t="str">
        <f t="shared" si="53"/>
        <v>Interior</v>
      </c>
      <c r="U365" s="213" t="str">
        <f t="shared" si="54"/>
        <v>HZ3</v>
      </c>
      <c r="V365" s="213" t="str">
        <f t="shared" si="55"/>
        <v>Electric Resistance</v>
      </c>
      <c r="W365" s="213" t="str">
        <f t="shared" si="56"/>
        <v>AnySize</v>
      </c>
      <c r="X365" s="214">
        <f t="shared" si="57"/>
        <v>4.8708802092292738E-3</v>
      </c>
      <c r="Y365" s="804"/>
      <c r="Z365" s="804"/>
      <c r="AA365" s="804"/>
      <c r="AC365" s="97"/>
      <c r="AD365" s="215"/>
      <c r="AE365" s="215"/>
      <c r="AF365" s="215"/>
      <c r="AG365" s="97"/>
      <c r="AH365" s="215"/>
      <c r="AI365" s="215"/>
      <c r="AJ365" s="215"/>
    </row>
    <row r="366" spans="1:36" s="806" customFormat="1" ht="12.75" hidden="1" customHeight="1" outlineLevel="1">
      <c r="A366" s="8"/>
      <c r="B366" s="8"/>
      <c r="C366" s="10"/>
      <c r="D366" s="10"/>
      <c r="E366" s="10"/>
      <c r="F366" s="10"/>
      <c r="G366" s="8"/>
      <c r="H366" s="210" t="s">
        <v>1026</v>
      </c>
      <c r="I366" s="230">
        <v>1856.4879430037349</v>
      </c>
      <c r="J366" s="230">
        <v>-317.02302937731355</v>
      </c>
      <c r="K366" s="230">
        <v>46.558015792653492</v>
      </c>
      <c r="L366" s="230"/>
      <c r="M366" s="230"/>
      <c r="N366" s="211" t="s">
        <v>1000</v>
      </c>
      <c r="O366" s="212" t="s">
        <v>1006</v>
      </c>
      <c r="P366" s="212" t="s">
        <v>1004</v>
      </c>
      <c r="Q366" s="212" t="s">
        <v>1009</v>
      </c>
      <c r="R366" s="212" t="s">
        <v>1012</v>
      </c>
      <c r="S366" s="213" t="str">
        <f t="shared" si="52"/>
        <v>Tier3</v>
      </c>
      <c r="T366" s="213" t="str">
        <f t="shared" si="53"/>
        <v>Interior</v>
      </c>
      <c r="U366" s="213" t="str">
        <f t="shared" si="54"/>
        <v>HZ3</v>
      </c>
      <c r="V366" s="213" t="str">
        <f t="shared" si="55"/>
        <v>Heat Pump HSPF 8.5</v>
      </c>
      <c r="W366" s="213" t="str">
        <f t="shared" si="56"/>
        <v>AnySize</v>
      </c>
      <c r="X366" s="214">
        <f t="shared" si="57"/>
        <v>3.112121174161138E-3</v>
      </c>
      <c r="Y366" s="804"/>
      <c r="Z366" s="804"/>
      <c r="AA366" s="804"/>
      <c r="AC366" s="97"/>
      <c r="AD366" s="215"/>
      <c r="AE366" s="215"/>
      <c r="AF366" s="215"/>
      <c r="AG366" s="97"/>
      <c r="AH366" s="215"/>
      <c r="AI366" s="215"/>
      <c r="AJ366" s="215"/>
    </row>
    <row r="367" spans="1:36" s="806" customFormat="1" ht="12.75" hidden="1" customHeight="1" outlineLevel="1">
      <c r="A367" s="8"/>
      <c r="B367" s="8"/>
      <c r="C367" s="10"/>
      <c r="D367" s="10"/>
      <c r="E367" s="10"/>
      <c r="F367" s="10"/>
      <c r="G367" s="8"/>
      <c r="H367" s="210" t="s">
        <v>1027</v>
      </c>
      <c r="I367" s="230">
        <v>1640.2951029237661</v>
      </c>
      <c r="J367" s="230">
        <v>-18.859851437570924</v>
      </c>
      <c r="K367" s="230">
        <v>0.66466163333826844</v>
      </c>
      <c r="L367" s="230"/>
      <c r="M367" s="230"/>
      <c r="N367" s="211" t="s">
        <v>1000</v>
      </c>
      <c r="O367" s="212" t="s">
        <v>1010</v>
      </c>
      <c r="P367" s="212" t="s">
        <v>1002</v>
      </c>
      <c r="Q367" s="212" t="s">
        <v>1007</v>
      </c>
      <c r="R367" s="212" t="s">
        <v>1012</v>
      </c>
      <c r="S367" s="213" t="str">
        <f t="shared" si="52"/>
        <v>Tier3</v>
      </c>
      <c r="T367" s="213" t="str">
        <f t="shared" si="53"/>
        <v>Interior - Exhaust Ducted</v>
      </c>
      <c r="U367" s="213" t="str">
        <f t="shared" si="54"/>
        <v>HZ1</v>
      </c>
      <c r="V367" s="213" t="str">
        <f t="shared" si="55"/>
        <v>gas</v>
      </c>
      <c r="W367" s="213" t="str">
        <f t="shared" si="56"/>
        <v>AnySize</v>
      </c>
      <c r="X367" s="214">
        <f t="shared" si="57"/>
        <v>7.0743324033351873E-3</v>
      </c>
      <c r="Y367" s="804"/>
      <c r="Z367" s="804"/>
      <c r="AA367" s="804"/>
      <c r="AC367" s="97"/>
      <c r="AD367" s="215"/>
      <c r="AE367" s="215"/>
      <c r="AF367" s="215"/>
      <c r="AG367" s="97"/>
      <c r="AH367" s="215"/>
      <c r="AI367" s="215"/>
      <c r="AJ367" s="215"/>
    </row>
    <row r="368" spans="1:36" s="806" customFormat="1" ht="12.75" hidden="1" customHeight="1" outlineLevel="1">
      <c r="A368" s="8"/>
      <c r="B368" s="8"/>
      <c r="C368" s="10"/>
      <c r="D368" s="10"/>
      <c r="E368" s="10"/>
      <c r="F368" s="10"/>
      <c r="G368" s="8"/>
      <c r="H368" s="210" t="s">
        <v>1028</v>
      </c>
      <c r="I368" s="230">
        <v>1644.130418437134</v>
      </c>
      <c r="J368" s="230">
        <v>-493.25328704852814</v>
      </c>
      <c r="K368" s="230">
        <v>0</v>
      </c>
      <c r="L368" s="230"/>
      <c r="M368" s="230"/>
      <c r="N368" s="211" t="s">
        <v>1000</v>
      </c>
      <c r="O368" s="212" t="s">
        <v>1010</v>
      </c>
      <c r="P368" s="212" t="s">
        <v>1002</v>
      </c>
      <c r="Q368" s="212" t="s">
        <v>1008</v>
      </c>
      <c r="R368" s="212" t="s">
        <v>1012</v>
      </c>
      <c r="S368" s="213" t="str">
        <f t="shared" si="52"/>
        <v>Tier3</v>
      </c>
      <c r="T368" s="213" t="str">
        <f t="shared" si="53"/>
        <v>Interior - Exhaust Ducted</v>
      </c>
      <c r="U368" s="213" t="str">
        <f t="shared" si="54"/>
        <v>HZ1</v>
      </c>
      <c r="V368" s="213" t="str">
        <f t="shared" si="55"/>
        <v>Electric Resistance</v>
      </c>
      <c r="W368" s="213" t="str">
        <f t="shared" si="56"/>
        <v>AnySize</v>
      </c>
      <c r="X368" s="214">
        <f t="shared" si="57"/>
        <v>3.5544322946020903E-3</v>
      </c>
      <c r="Y368" s="804"/>
      <c r="Z368" s="804"/>
      <c r="AA368" s="804"/>
      <c r="AC368" s="97"/>
      <c r="AD368" s="215"/>
      <c r="AE368" s="215"/>
      <c r="AF368" s="215"/>
      <c r="AG368" s="97"/>
      <c r="AH368" s="215"/>
      <c r="AI368" s="215"/>
      <c r="AJ368" s="215"/>
    </row>
    <row r="369" spans="1:36" s="806" customFormat="1" ht="12.75" hidden="1" customHeight="1" outlineLevel="1">
      <c r="A369" s="8"/>
      <c r="B369" s="8"/>
      <c r="C369" s="10"/>
      <c r="D369" s="10"/>
      <c r="E369" s="10"/>
      <c r="F369" s="10"/>
      <c r="G369" s="8"/>
      <c r="H369" s="210" t="s">
        <v>1029</v>
      </c>
      <c r="I369" s="230">
        <v>1636.42633149991</v>
      </c>
      <c r="J369" s="230">
        <v>-196.68407227831634</v>
      </c>
      <c r="K369" s="230">
        <v>1.3642223258261894</v>
      </c>
      <c r="L369" s="230"/>
      <c r="M369" s="230"/>
      <c r="N369" s="211" t="s">
        <v>1000</v>
      </c>
      <c r="O369" s="212" t="s">
        <v>1010</v>
      </c>
      <c r="P369" s="212" t="s">
        <v>1002</v>
      </c>
      <c r="Q369" s="212" t="s">
        <v>1009</v>
      </c>
      <c r="R369" s="212" t="s">
        <v>1012</v>
      </c>
      <c r="S369" s="213" t="str">
        <f t="shared" si="52"/>
        <v>Tier3</v>
      </c>
      <c r="T369" s="213" t="str">
        <f t="shared" si="53"/>
        <v>Interior - Exhaust Ducted</v>
      </c>
      <c r="U369" s="213" t="str">
        <f t="shared" si="54"/>
        <v>HZ1</v>
      </c>
      <c r="V369" s="213" t="str">
        <f t="shared" si="55"/>
        <v>Heat Pump HSPF 8.5</v>
      </c>
      <c r="W369" s="213" t="str">
        <f t="shared" si="56"/>
        <v>AnySize</v>
      </c>
      <c r="X369" s="214">
        <f t="shared" si="57"/>
        <v>2.2710113020627237E-3</v>
      </c>
      <c r="Y369" s="804"/>
      <c r="Z369" s="804"/>
      <c r="AA369" s="804"/>
      <c r="AC369" s="97"/>
      <c r="AD369" s="215"/>
      <c r="AE369" s="215"/>
      <c r="AF369" s="215"/>
      <c r="AG369" s="97"/>
      <c r="AH369" s="215"/>
      <c r="AI369" s="215"/>
      <c r="AJ369" s="215"/>
    </row>
    <row r="370" spans="1:36" s="806" customFormat="1" ht="12.75" hidden="1" customHeight="1" outlineLevel="1">
      <c r="A370" s="8"/>
      <c r="B370" s="8"/>
      <c r="C370" s="10"/>
      <c r="D370" s="10"/>
      <c r="E370" s="10"/>
      <c r="F370" s="10"/>
      <c r="G370" s="8"/>
      <c r="H370" s="210" t="s">
        <v>1030</v>
      </c>
      <c r="I370" s="230">
        <v>1711.1134117643828</v>
      </c>
      <c r="J370" s="230">
        <v>-20.038957212942652</v>
      </c>
      <c r="K370" s="230">
        <v>0.74464345617959471</v>
      </c>
      <c r="L370" s="230"/>
      <c r="M370" s="230"/>
      <c r="N370" s="211" t="s">
        <v>1000</v>
      </c>
      <c r="O370" s="212" t="s">
        <v>1010</v>
      </c>
      <c r="P370" s="212" t="s">
        <v>1003</v>
      </c>
      <c r="Q370" s="212" t="s">
        <v>1007</v>
      </c>
      <c r="R370" s="212" t="s">
        <v>1012</v>
      </c>
      <c r="S370" s="213" t="str">
        <f t="shared" si="52"/>
        <v>Tier3</v>
      </c>
      <c r="T370" s="213" t="str">
        <f t="shared" si="53"/>
        <v>Interior - Exhaust Ducted</v>
      </c>
      <c r="U370" s="213" t="str">
        <f t="shared" si="54"/>
        <v>HZ2</v>
      </c>
      <c r="V370" s="213" t="str">
        <f t="shared" si="55"/>
        <v>gas</v>
      </c>
      <c r="W370" s="213" t="str">
        <f t="shared" si="56"/>
        <v>AnySize</v>
      </c>
      <c r="X370" s="214">
        <f t="shared" si="57"/>
        <v>1.5097084922879144E-3</v>
      </c>
      <c r="Y370" s="804"/>
      <c r="Z370" s="804"/>
      <c r="AA370" s="804"/>
      <c r="AC370" s="97"/>
      <c r="AD370" s="215"/>
      <c r="AE370" s="215"/>
      <c r="AF370" s="215"/>
      <c r="AG370" s="97"/>
      <c r="AH370" s="215"/>
      <c r="AI370" s="215"/>
      <c r="AJ370" s="215"/>
    </row>
    <row r="371" spans="1:36" s="806" customFormat="1" ht="12.75" hidden="1" customHeight="1" outlineLevel="1">
      <c r="A371" s="8"/>
      <c r="B371" s="8"/>
      <c r="C371" s="10"/>
      <c r="D371" s="10"/>
      <c r="E371" s="10"/>
      <c r="F371" s="10"/>
      <c r="G371" s="8"/>
      <c r="H371" s="210" t="s">
        <v>1031</v>
      </c>
      <c r="I371" s="230">
        <v>1716.2639451706643</v>
      </c>
      <c r="J371" s="230">
        <v>-524.61260712163346</v>
      </c>
      <c r="K371" s="230">
        <v>0</v>
      </c>
      <c r="L371" s="230"/>
      <c r="M371" s="230"/>
      <c r="N371" s="211" t="s">
        <v>1000</v>
      </c>
      <c r="O371" s="212" t="s">
        <v>1010</v>
      </c>
      <c r="P371" s="212" t="s">
        <v>1003</v>
      </c>
      <c r="Q371" s="212" t="s">
        <v>1008</v>
      </c>
      <c r="R371" s="212" t="s">
        <v>1012</v>
      </c>
      <c r="S371" s="213" t="str">
        <f t="shared" si="52"/>
        <v>Tier3</v>
      </c>
      <c r="T371" s="213" t="str">
        <f t="shared" si="53"/>
        <v>Interior - Exhaust Ducted</v>
      </c>
      <c r="U371" s="213" t="str">
        <f t="shared" si="54"/>
        <v>HZ2</v>
      </c>
      <c r="V371" s="213" t="str">
        <f t="shared" si="55"/>
        <v>Electric Resistance</v>
      </c>
      <c r="W371" s="213" t="str">
        <f t="shared" si="56"/>
        <v>AnySize</v>
      </c>
      <c r="X371" s="214">
        <f t="shared" si="57"/>
        <v>7.585389425429493E-4</v>
      </c>
      <c r="Y371" s="804"/>
      <c r="Z371" s="804"/>
      <c r="AA371" s="804"/>
      <c r="AC371" s="97"/>
      <c r="AD371" s="215"/>
      <c r="AE371" s="215"/>
      <c r="AF371" s="215"/>
      <c r="AG371" s="97"/>
      <c r="AH371" s="215"/>
      <c r="AI371" s="215"/>
      <c r="AJ371" s="215"/>
    </row>
    <row r="372" spans="1:36" s="806" customFormat="1" ht="12.75" hidden="1" customHeight="1" outlineLevel="1">
      <c r="A372" s="8"/>
      <c r="B372" s="8"/>
      <c r="C372" s="10"/>
      <c r="D372" s="10"/>
      <c r="E372" s="10"/>
      <c r="F372" s="10"/>
      <c r="G372" s="8"/>
      <c r="H372" s="210" t="s">
        <v>1032</v>
      </c>
      <c r="I372" s="230">
        <v>1705.9436463442883</v>
      </c>
      <c r="J372" s="230">
        <v>-259.54767046539126</v>
      </c>
      <c r="K372" s="230">
        <v>1.5282822841739772</v>
      </c>
      <c r="L372" s="230"/>
      <c r="M372" s="230"/>
      <c r="N372" s="211" t="s">
        <v>1000</v>
      </c>
      <c r="O372" s="212" t="s">
        <v>1010</v>
      </c>
      <c r="P372" s="212" t="s">
        <v>1003</v>
      </c>
      <c r="Q372" s="212" t="s">
        <v>1009</v>
      </c>
      <c r="R372" s="212" t="s">
        <v>1012</v>
      </c>
      <c r="S372" s="213" t="str">
        <f t="shared" si="52"/>
        <v>Tier3</v>
      </c>
      <c r="T372" s="213" t="str">
        <f t="shared" si="53"/>
        <v>Interior - Exhaust Ducted</v>
      </c>
      <c r="U372" s="213" t="str">
        <f t="shared" si="54"/>
        <v>HZ2</v>
      </c>
      <c r="V372" s="213" t="str">
        <f t="shared" si="55"/>
        <v>Heat Pump HSPF 8.5</v>
      </c>
      <c r="W372" s="213" t="str">
        <f t="shared" si="56"/>
        <v>AnySize</v>
      </c>
      <c r="X372" s="214">
        <f t="shared" si="57"/>
        <v>4.8464856516913655E-4</v>
      </c>
      <c r="Y372" s="804"/>
      <c r="Z372" s="804"/>
      <c r="AA372" s="804"/>
      <c r="AC372" s="97"/>
      <c r="AD372" s="215"/>
      <c r="AE372" s="215"/>
      <c r="AF372" s="215"/>
      <c r="AG372" s="97"/>
      <c r="AH372" s="215"/>
      <c r="AI372" s="215"/>
      <c r="AJ372" s="215"/>
    </row>
    <row r="373" spans="1:36" s="806" customFormat="1" ht="12.75" hidden="1" customHeight="1" outlineLevel="1">
      <c r="A373" s="8"/>
      <c r="B373" s="8"/>
      <c r="C373" s="10"/>
      <c r="D373" s="10"/>
      <c r="E373" s="10"/>
      <c r="F373" s="10"/>
      <c r="G373" s="8"/>
      <c r="H373" s="210" t="s">
        <v>1033</v>
      </c>
      <c r="I373" s="230">
        <v>1790.5882015887189</v>
      </c>
      <c r="J373" s="230">
        <v>-20.2529541634099</v>
      </c>
      <c r="K373" s="230">
        <v>1.05167641391847</v>
      </c>
      <c r="L373" s="230"/>
      <c r="M373" s="230"/>
      <c r="N373" s="211" t="s">
        <v>1000</v>
      </c>
      <c r="O373" s="212" t="s">
        <v>1010</v>
      </c>
      <c r="P373" s="212" t="s">
        <v>1004</v>
      </c>
      <c r="Q373" s="212" t="s">
        <v>1007</v>
      </c>
      <c r="R373" s="212" t="s">
        <v>1012</v>
      </c>
      <c r="S373" s="213" t="str">
        <f t="shared" si="52"/>
        <v>Tier3</v>
      </c>
      <c r="T373" s="213" t="str">
        <f t="shared" si="53"/>
        <v>Interior - Exhaust Ducted</v>
      </c>
      <c r="U373" s="213" t="str">
        <f t="shared" si="54"/>
        <v>HZ3</v>
      </c>
      <c r="V373" s="213" t="str">
        <f t="shared" si="55"/>
        <v>gas</v>
      </c>
      <c r="W373" s="213" t="str">
        <f t="shared" si="56"/>
        <v>AnySize</v>
      </c>
      <c r="X373" s="214">
        <f t="shared" si="57"/>
        <v>4.0393494235873288E-4</v>
      </c>
      <c r="Y373" s="804"/>
      <c r="Z373" s="804"/>
      <c r="AA373" s="804"/>
      <c r="AC373" s="97"/>
      <c r="AD373" s="215"/>
      <c r="AE373" s="215"/>
      <c r="AF373" s="215"/>
      <c r="AG373" s="97"/>
      <c r="AH373" s="215"/>
      <c r="AI373" s="215"/>
      <c r="AJ373" s="215"/>
    </row>
    <row r="374" spans="1:36" s="806" customFormat="1" ht="12.75" hidden="1" customHeight="1" outlineLevel="1">
      <c r="A374" s="8"/>
      <c r="B374" s="8"/>
      <c r="C374" s="10"/>
      <c r="D374" s="10"/>
      <c r="E374" s="10"/>
      <c r="F374" s="10"/>
      <c r="G374" s="8"/>
      <c r="H374" s="210" t="s">
        <v>1034</v>
      </c>
      <c r="I374" s="230">
        <v>1794.6668195918285</v>
      </c>
      <c r="J374" s="230">
        <v>-533.74407036207924</v>
      </c>
      <c r="K374" s="230">
        <v>0</v>
      </c>
      <c r="L374" s="230"/>
      <c r="M374" s="230"/>
      <c r="N374" s="211" t="s">
        <v>1000</v>
      </c>
      <c r="O374" s="212" t="s">
        <v>1010</v>
      </c>
      <c r="P374" s="212" t="s">
        <v>1004</v>
      </c>
      <c r="Q374" s="212" t="s">
        <v>1008</v>
      </c>
      <c r="R374" s="212" t="s">
        <v>1012</v>
      </c>
      <c r="S374" s="213" t="str">
        <f t="shared" si="52"/>
        <v>Tier3</v>
      </c>
      <c r="T374" s="213" t="str">
        <f t="shared" si="53"/>
        <v>Interior - Exhaust Ducted</v>
      </c>
      <c r="U374" s="213" t="str">
        <f t="shared" si="54"/>
        <v>HZ3</v>
      </c>
      <c r="V374" s="213" t="str">
        <f t="shared" si="55"/>
        <v>Electric Resistance</v>
      </c>
      <c r="W374" s="213" t="str">
        <f t="shared" si="56"/>
        <v>AnySize</v>
      </c>
      <c r="X374" s="214">
        <f t="shared" si="57"/>
        <v>2.0295334205121978E-4</v>
      </c>
      <c r="Y374" s="804"/>
      <c r="Z374" s="804"/>
      <c r="AA374" s="804"/>
      <c r="AC374" s="97"/>
      <c r="AD374" s="215"/>
      <c r="AE374" s="215"/>
      <c r="AF374" s="215"/>
      <c r="AG374" s="97"/>
      <c r="AH374" s="215"/>
      <c r="AI374" s="215"/>
      <c r="AJ374" s="215"/>
    </row>
    <row r="375" spans="1:36" s="806" customFormat="1" ht="12.75" hidden="1" customHeight="1" outlineLevel="1">
      <c r="A375" s="8"/>
      <c r="B375" s="8"/>
      <c r="C375" s="10"/>
      <c r="D375" s="10"/>
      <c r="E375" s="10"/>
      <c r="F375" s="10"/>
      <c r="G375" s="8"/>
      <c r="H375" s="210" t="s">
        <v>1035</v>
      </c>
      <c r="I375" s="230">
        <v>1786.5004847389102</v>
      </c>
      <c r="J375" s="230">
        <v>-309.44814764868659</v>
      </c>
      <c r="K375" s="230">
        <v>2.1469085249086244</v>
      </c>
      <c r="L375" s="230"/>
      <c r="M375" s="230"/>
      <c r="N375" s="211" t="s">
        <v>1000</v>
      </c>
      <c r="O375" s="212" t="s">
        <v>1010</v>
      </c>
      <c r="P375" s="212" t="s">
        <v>1004</v>
      </c>
      <c r="Q375" s="212" t="s">
        <v>1009</v>
      </c>
      <c r="R375" s="212" t="s">
        <v>1012</v>
      </c>
      <c r="S375" s="213" t="str">
        <f t="shared" si="52"/>
        <v>Tier3</v>
      </c>
      <c r="T375" s="213" t="str">
        <f t="shared" si="53"/>
        <v>Interior - Exhaust Ducted</v>
      </c>
      <c r="U375" s="213" t="str">
        <f t="shared" si="54"/>
        <v>HZ3</v>
      </c>
      <c r="V375" s="213" t="str">
        <f t="shared" si="55"/>
        <v>Heat Pump HSPF 8.5</v>
      </c>
      <c r="W375" s="213" t="str">
        <f t="shared" si="56"/>
        <v>AnySize</v>
      </c>
      <c r="X375" s="214">
        <f t="shared" si="57"/>
        <v>1.2967171559004741E-4</v>
      </c>
      <c r="Y375" s="804"/>
      <c r="Z375" s="804"/>
      <c r="AA375" s="804"/>
      <c r="AC375" s="97"/>
      <c r="AD375" s="215"/>
      <c r="AE375" s="215"/>
      <c r="AF375" s="215"/>
      <c r="AG375" s="97"/>
      <c r="AH375" s="215"/>
      <c r="AI375" s="215"/>
      <c r="AJ375" s="215"/>
    </row>
    <row r="376" spans="1:36" s="806" customFormat="1" ht="12.75" hidden="1" customHeight="1" outlineLevel="1">
      <c r="A376" s="8"/>
      <c r="B376" s="8"/>
      <c r="C376" s="10"/>
      <c r="D376" s="10"/>
      <c r="E376" s="10"/>
      <c r="F376" s="10"/>
      <c r="G376" s="8"/>
      <c r="M376" s="2"/>
      <c r="N376" s="2"/>
      <c r="O376" s="2"/>
      <c r="P376" s="2"/>
      <c r="V376" s="3"/>
      <c r="Y376" s="804"/>
      <c r="Z376" s="804"/>
      <c r="AA376" s="804"/>
    </row>
    <row r="377" spans="1:36" s="806" customFormat="1" ht="12.75" hidden="1" customHeight="1" outlineLevel="1">
      <c r="A377" s="8"/>
      <c r="B377" s="8"/>
      <c r="C377" s="10"/>
      <c r="D377" s="10"/>
      <c r="E377" s="10"/>
      <c r="F377" s="10"/>
      <c r="G377" s="8"/>
      <c r="H377" s="72" t="s">
        <v>1061</v>
      </c>
      <c r="M377" s="2"/>
      <c r="N377" s="2"/>
      <c r="O377" s="2"/>
      <c r="P377" s="2"/>
      <c r="V377" s="3"/>
      <c r="Y377" s="804"/>
      <c r="Z377" s="804"/>
      <c r="AA377" s="804"/>
    </row>
    <row r="378" spans="1:36" s="806" customFormat="1" ht="12.75" hidden="1" customHeight="1" outlineLevel="1">
      <c r="A378" s="8"/>
      <c r="B378" s="8"/>
      <c r="C378" s="10"/>
      <c r="D378" s="10"/>
      <c r="E378" s="10"/>
      <c r="F378" s="10"/>
      <c r="G378" s="8"/>
      <c r="M378" s="2"/>
      <c r="N378" s="2"/>
      <c r="O378" s="2"/>
      <c r="P378" s="2"/>
      <c r="V378" s="3"/>
    </row>
    <row r="379" spans="1:36" s="806" customFormat="1" ht="12.75" hidden="1" customHeight="1" outlineLevel="1">
      <c r="A379" s="8"/>
      <c r="B379" s="8"/>
      <c r="C379" s="10"/>
      <c r="D379" s="10"/>
      <c r="E379" s="10"/>
      <c r="F379" s="10"/>
      <c r="G379" s="8"/>
      <c r="I379" s="218" t="s">
        <v>1040</v>
      </c>
      <c r="Q379" s="804"/>
      <c r="R379" s="804"/>
      <c r="S379" s="804"/>
      <c r="T379" s="804"/>
      <c r="V379" s="3"/>
    </row>
    <row r="380" spans="1:36" s="806" customFormat="1" ht="12.75" hidden="1" customHeight="1" outlineLevel="1">
      <c r="A380" s="8"/>
      <c r="B380" s="8"/>
      <c r="C380" s="10"/>
      <c r="D380" s="10"/>
      <c r="E380" s="10"/>
      <c r="F380" s="10"/>
      <c r="G380" s="8"/>
      <c r="J380" s="219" t="s">
        <v>1041</v>
      </c>
      <c r="K380" s="219" t="s">
        <v>1042</v>
      </c>
      <c r="L380" s="219" t="s">
        <v>1043</v>
      </c>
      <c r="M380" s="219" t="s">
        <v>1044</v>
      </c>
      <c r="V380" s="3"/>
    </row>
    <row r="381" spans="1:36" s="806" customFormat="1" ht="12.75" hidden="1" customHeight="1" outlineLevel="1" thickBot="1">
      <c r="A381" s="8"/>
      <c r="B381" s="8"/>
      <c r="C381" s="10"/>
      <c r="D381" s="10"/>
      <c r="E381" s="10"/>
      <c r="F381" s="10"/>
      <c r="G381" s="8"/>
      <c r="I381" s="806" t="s">
        <v>1045</v>
      </c>
      <c r="J381" s="220"/>
      <c r="K381" s="220"/>
      <c r="L381" s="220"/>
      <c r="M381" s="220"/>
      <c r="V381" s="3"/>
    </row>
    <row r="382" spans="1:36" s="806" customFormat="1" ht="12.75" hidden="1" customHeight="1" outlineLevel="1" thickTop="1" thickBot="1">
      <c r="A382" s="8"/>
      <c r="B382" s="8"/>
      <c r="C382" s="10"/>
      <c r="D382" s="10"/>
      <c r="E382" s="10"/>
      <c r="F382" s="10"/>
      <c r="G382" s="8"/>
      <c r="I382" s="806" t="s">
        <v>1002</v>
      </c>
      <c r="J382" s="220">
        <v>0.76060000000000005</v>
      </c>
      <c r="K382" s="220">
        <v>0.42399999999999999</v>
      </c>
      <c r="L382" s="220">
        <v>0.23400000000000001</v>
      </c>
      <c r="M382" s="220">
        <v>0.34200000000000003</v>
      </c>
      <c r="V382" s="3"/>
    </row>
    <row r="383" spans="1:36" s="806" customFormat="1" ht="12.75" hidden="1" customHeight="1" outlineLevel="1" thickTop="1" thickBot="1">
      <c r="A383" s="8"/>
      <c r="B383" s="8"/>
      <c r="C383" s="10"/>
      <c r="D383" s="10"/>
      <c r="E383" s="10"/>
      <c r="F383" s="10"/>
      <c r="G383" s="8"/>
      <c r="I383" s="806" t="s">
        <v>1003</v>
      </c>
      <c r="J383" s="220">
        <v>0.17119999999999999</v>
      </c>
      <c r="K383" s="220">
        <v>0.40200000000000002</v>
      </c>
      <c r="L383" s="220">
        <v>7.3999999999999996E-2</v>
      </c>
      <c r="M383" s="220">
        <v>0.52400000000000002</v>
      </c>
      <c r="V383" s="3"/>
    </row>
    <row r="384" spans="1:36" s="806" customFormat="1" ht="12.75" hidden="1" customHeight="1" outlineLevel="1" thickTop="1" thickBot="1">
      <c r="A384" s="8"/>
      <c r="B384" s="8"/>
      <c r="C384" s="10"/>
      <c r="D384" s="10"/>
      <c r="E384" s="10"/>
      <c r="F384" s="10"/>
      <c r="G384" s="8"/>
      <c r="I384" s="806" t="s">
        <v>1004</v>
      </c>
      <c r="J384" s="220">
        <v>6.8199999999999997E-2</v>
      </c>
      <c r="K384" s="220">
        <v>0.27</v>
      </c>
      <c r="L384" s="220">
        <v>0.04</v>
      </c>
      <c r="M384" s="220">
        <v>0.69</v>
      </c>
      <c r="V384" s="3"/>
    </row>
    <row r="385" spans="1:22" s="806" customFormat="1" ht="12.75" hidden="1" customHeight="1" outlineLevel="1" thickTop="1">
      <c r="A385" s="8"/>
      <c r="B385" s="8"/>
      <c r="C385" s="10"/>
      <c r="D385" s="10"/>
      <c r="E385" s="10"/>
      <c r="F385" s="10"/>
      <c r="G385" s="8"/>
      <c r="I385" s="806" t="s">
        <v>914</v>
      </c>
      <c r="J385" s="238" t="s">
        <v>1046</v>
      </c>
      <c r="K385" s="235"/>
      <c r="L385" s="235"/>
      <c r="M385" s="236"/>
      <c r="V385" s="3"/>
    </row>
    <row r="386" spans="1:22" s="806" customFormat="1" ht="12.75" hidden="1" customHeight="1" outlineLevel="1">
      <c r="A386" s="8"/>
      <c r="B386" s="8"/>
      <c r="C386" s="10"/>
      <c r="D386" s="10"/>
      <c r="E386" s="10"/>
      <c r="F386" s="10"/>
      <c r="G386" s="8"/>
      <c r="I386" s="804"/>
      <c r="J386" s="804"/>
      <c r="K386" s="804"/>
      <c r="L386" s="804"/>
      <c r="M386" s="804"/>
      <c r="V386" s="3"/>
    </row>
    <row r="387" spans="1:22" s="806" customFormat="1" ht="12.75" hidden="1" customHeight="1" outlineLevel="1">
      <c r="A387" s="8"/>
      <c r="B387" s="8"/>
      <c r="C387" s="10"/>
      <c r="D387" s="10"/>
      <c r="E387" s="10"/>
      <c r="F387" s="10"/>
      <c r="G387" s="8"/>
      <c r="I387" s="218" t="s">
        <v>1047</v>
      </c>
      <c r="J387" s="804"/>
      <c r="K387" s="804"/>
      <c r="L387" s="804"/>
      <c r="V387" s="3"/>
    </row>
    <row r="388" spans="1:22" s="806" customFormat="1" ht="12.75" hidden="1" customHeight="1" outlineLevel="1">
      <c r="A388" s="8"/>
      <c r="B388" s="8"/>
      <c r="C388" s="10"/>
      <c r="D388" s="10"/>
      <c r="E388" s="10"/>
      <c r="F388" s="10"/>
      <c r="G388" s="8"/>
      <c r="I388" s="806" t="s">
        <v>1048</v>
      </c>
      <c r="J388" s="804"/>
      <c r="K388" s="806" t="s">
        <v>1056</v>
      </c>
      <c r="N388" s="804"/>
      <c r="V388" s="3"/>
    </row>
    <row r="389" spans="1:22" s="806" customFormat="1" ht="12.75" hidden="1" customHeight="1" outlineLevel="1">
      <c r="A389" s="8"/>
      <c r="B389" s="8"/>
      <c r="C389" s="10"/>
      <c r="D389" s="10"/>
      <c r="E389" s="10"/>
      <c r="F389" s="10"/>
      <c r="G389" s="8"/>
      <c r="I389" s="1155" t="s">
        <v>1049</v>
      </c>
      <c r="J389" s="1157">
        <v>0.54840738345651796</v>
      </c>
      <c r="K389" s="1158" t="s">
        <v>1053</v>
      </c>
      <c r="L389" s="1158"/>
      <c r="N389" s="2"/>
      <c r="O389" s="2"/>
      <c r="P389" s="2"/>
      <c r="V389" s="3"/>
    </row>
    <row r="390" spans="1:22" s="806" customFormat="1" ht="12.75" hidden="1" customHeight="1" outlineLevel="1">
      <c r="A390" s="8"/>
      <c r="B390" s="8"/>
      <c r="C390" s="10"/>
      <c r="D390" s="10"/>
      <c r="E390" s="10"/>
      <c r="F390" s="10"/>
      <c r="G390" s="8"/>
      <c r="I390" s="1155" t="s">
        <v>1050</v>
      </c>
      <c r="J390" s="1157">
        <v>0.27554217178671087</v>
      </c>
      <c r="K390" s="1158" t="s">
        <v>1053</v>
      </c>
      <c r="L390" s="1158"/>
      <c r="N390" s="2"/>
      <c r="O390" s="2"/>
      <c r="P390" s="2"/>
      <c r="V390" s="3"/>
    </row>
    <row r="391" spans="1:22" s="806" customFormat="1" ht="12.75" hidden="1" customHeight="1" outlineLevel="1">
      <c r="A391" s="8"/>
      <c r="B391" s="8"/>
      <c r="C391" s="10"/>
      <c r="D391" s="10"/>
      <c r="E391" s="10"/>
      <c r="F391" s="10"/>
      <c r="G391" s="8"/>
      <c r="I391" s="1155" t="s">
        <v>1051</v>
      </c>
      <c r="J391" s="1157">
        <v>0.17605044475677123</v>
      </c>
      <c r="K391" s="1158" t="s">
        <v>1053</v>
      </c>
      <c r="L391" s="1158"/>
      <c r="N391" s="2"/>
      <c r="O391" s="2"/>
      <c r="P391" s="2"/>
      <c r="V391" s="3"/>
    </row>
    <row r="392" spans="1:22" s="806" customFormat="1" ht="12.75" hidden="1" customHeight="1" outlineLevel="1">
      <c r="A392" s="8"/>
      <c r="B392" s="8"/>
      <c r="C392" s="10"/>
      <c r="D392" s="10"/>
      <c r="E392" s="10"/>
      <c r="F392" s="10"/>
      <c r="G392" s="8"/>
      <c r="I392" s="804"/>
      <c r="J392" s="804"/>
      <c r="K392" s="804"/>
      <c r="N392" s="2"/>
      <c r="O392" s="2"/>
      <c r="P392" s="2"/>
      <c r="V392" s="3"/>
    </row>
    <row r="393" spans="1:22" s="806" customFormat="1" ht="12.75" hidden="1" customHeight="1" outlineLevel="1" thickBot="1">
      <c r="A393" s="8"/>
      <c r="B393" s="8"/>
      <c r="C393" s="10"/>
      <c r="D393" s="10"/>
      <c r="E393" s="10"/>
      <c r="F393" s="10"/>
      <c r="G393" s="8"/>
      <c r="I393" s="804"/>
      <c r="J393" s="804"/>
      <c r="K393" s="804"/>
      <c r="N393" s="2"/>
      <c r="O393" s="2"/>
      <c r="P393" s="2"/>
      <c r="V393" s="3"/>
    </row>
    <row r="394" spans="1:22" s="806" customFormat="1" ht="12.75" hidden="1" customHeight="1" outlineLevel="1" thickBot="1">
      <c r="A394" s="8"/>
      <c r="B394" s="8"/>
      <c r="C394" s="10"/>
      <c r="D394" s="10"/>
      <c r="E394" s="10"/>
      <c r="F394" s="10"/>
      <c r="G394" s="8"/>
      <c r="I394" s="221"/>
      <c r="J394" s="222"/>
      <c r="N394" s="2"/>
      <c r="O394" s="2"/>
      <c r="P394" s="2"/>
      <c r="Q394" s="208"/>
      <c r="V394" s="3"/>
    </row>
    <row r="395" spans="1:22" s="806" customFormat="1" ht="12.75" hidden="1" customHeight="1" outlineLevel="1" thickBot="1">
      <c r="A395" s="8"/>
      <c r="B395" s="8"/>
      <c r="C395" s="10"/>
      <c r="D395" s="10"/>
      <c r="E395" s="10"/>
      <c r="F395" s="10"/>
      <c r="G395" s="8"/>
      <c r="I395" s="223" t="s">
        <v>1042</v>
      </c>
      <c r="J395" s="224">
        <f>1-J396</f>
        <v>0.96</v>
      </c>
      <c r="K395" s="264" t="s">
        <v>1094</v>
      </c>
      <c r="L395" s="237"/>
      <c r="M395" s="804"/>
      <c r="N395" s="2"/>
      <c r="O395" s="2"/>
      <c r="P395" s="2"/>
      <c r="V395" s="3"/>
    </row>
    <row r="396" spans="1:22" s="806" customFormat="1" ht="12.75" hidden="1" customHeight="1" outlineLevel="1" thickBot="1">
      <c r="A396" s="8"/>
      <c r="B396" s="8"/>
      <c r="C396" s="10"/>
      <c r="D396" s="10"/>
      <c r="E396" s="10"/>
      <c r="F396" s="10"/>
      <c r="G396" s="8"/>
      <c r="I396" s="223" t="s">
        <v>1052</v>
      </c>
      <c r="J396" s="224">
        <v>0.04</v>
      </c>
      <c r="K396" s="264" t="s">
        <v>1094</v>
      </c>
      <c r="L396" s="237"/>
      <c r="M396" s="804"/>
      <c r="V396" s="3"/>
    </row>
    <row r="397" spans="1:22" s="806" customFormat="1" ht="12.75" hidden="1" customHeight="1" outlineLevel="1" thickBot="1">
      <c r="A397" s="8"/>
      <c r="B397" s="8"/>
      <c r="C397" s="10"/>
      <c r="D397" s="10"/>
      <c r="E397" s="10"/>
      <c r="F397" s="10"/>
      <c r="G397" s="8"/>
      <c r="I397" s="223"/>
      <c r="J397" s="225"/>
      <c r="M397" s="804"/>
      <c r="V397" s="3"/>
    </row>
    <row r="398" spans="1:22" s="806" customFormat="1" ht="12.75" hidden="1" customHeight="1" outlineLevel="1" thickBot="1">
      <c r="A398" s="8"/>
      <c r="B398" s="8"/>
      <c r="C398" s="10"/>
      <c r="D398" s="10"/>
      <c r="E398" s="10"/>
      <c r="F398" s="10"/>
      <c r="G398" s="8"/>
      <c r="I398" s="223" t="s">
        <v>1054</v>
      </c>
      <c r="J398" s="224">
        <v>0.48291742717100261</v>
      </c>
      <c r="K398" s="228" t="s">
        <v>1053</v>
      </c>
      <c r="L398" s="229"/>
      <c r="N398" s="2"/>
      <c r="O398" s="2"/>
      <c r="P398" s="2"/>
      <c r="V398" s="3"/>
    </row>
    <row r="399" spans="1:22" s="806" customFormat="1" ht="12.75" hidden="1" customHeight="1" outlineLevel="1" thickBot="1">
      <c r="A399" s="8"/>
      <c r="B399" s="8"/>
      <c r="C399" s="10"/>
      <c r="D399" s="10"/>
      <c r="E399" s="10"/>
      <c r="F399" s="10"/>
      <c r="G399" s="8"/>
      <c r="I399" s="226" t="s">
        <v>1055</v>
      </c>
      <c r="J399" s="224">
        <v>0.51708257282899739</v>
      </c>
      <c r="K399" s="228" t="s">
        <v>1053</v>
      </c>
      <c r="L399" s="229"/>
      <c r="N399" s="2"/>
      <c r="O399" s="2"/>
      <c r="P399" s="2"/>
      <c r="V399" s="3"/>
    </row>
    <row r="400" spans="1:22" s="806" customFormat="1" ht="12.75" hidden="1" customHeight="1" outlineLevel="1" thickBot="1">
      <c r="A400" s="8"/>
      <c r="B400" s="8"/>
      <c r="C400" s="10"/>
      <c r="D400" s="10"/>
      <c r="E400" s="10"/>
      <c r="F400" s="10"/>
      <c r="G400" s="8"/>
      <c r="I400" s="168"/>
      <c r="J400" s="227"/>
      <c r="N400" s="2"/>
      <c r="O400" s="2"/>
      <c r="P400" s="2"/>
      <c r="V400" s="3"/>
    </row>
    <row r="401" spans="1:22" s="806" customFormat="1" ht="12.75" hidden="1" customHeight="1" outlineLevel="1">
      <c r="A401" s="8"/>
      <c r="B401" s="8"/>
      <c r="C401" s="10"/>
      <c r="D401" s="10"/>
      <c r="E401" s="10"/>
      <c r="F401" s="10"/>
      <c r="G401" s="8"/>
      <c r="N401" s="2"/>
      <c r="O401" s="2"/>
      <c r="P401" s="2"/>
      <c r="V401" s="3"/>
    </row>
    <row r="402" spans="1:22" s="806" customFormat="1" ht="12.75" hidden="1" customHeight="1" outlineLevel="1">
      <c r="A402" s="8"/>
      <c r="B402" s="8"/>
      <c r="C402" s="10"/>
      <c r="D402" s="10"/>
      <c r="E402" s="10"/>
      <c r="F402" s="10"/>
      <c r="G402" s="8"/>
      <c r="N402" s="2"/>
      <c r="O402" s="2"/>
      <c r="P402" s="2"/>
      <c r="V402" s="3"/>
    </row>
    <row r="403" spans="1:22" s="806" customFormat="1" ht="12.75" hidden="1" customHeight="1" outlineLevel="1">
      <c r="A403" s="8"/>
      <c r="B403" s="8"/>
      <c r="C403" s="10"/>
      <c r="D403" s="10"/>
      <c r="E403" s="10"/>
      <c r="F403" s="10"/>
      <c r="G403" s="8"/>
      <c r="N403" s="2"/>
      <c r="O403" s="2"/>
      <c r="P403" s="2"/>
      <c r="V403" s="3"/>
    </row>
    <row r="404" spans="1:22" s="806" customFormat="1" ht="12.75" hidden="1" customHeight="1" outlineLevel="1">
      <c r="A404" s="8"/>
      <c r="B404" s="8"/>
      <c r="C404" s="10"/>
      <c r="D404" s="10"/>
      <c r="E404" s="10"/>
      <c r="F404" s="10"/>
      <c r="G404" s="8"/>
      <c r="J404" s="218" t="s">
        <v>2080</v>
      </c>
      <c r="K404" s="804"/>
      <c r="L404" s="804"/>
      <c r="M404" s="804"/>
      <c r="N404" s="804"/>
      <c r="V404" s="3"/>
    </row>
    <row r="405" spans="1:22" s="806" customFormat="1" ht="12.75" hidden="1" customHeight="1" outlineLevel="1">
      <c r="A405" s="8"/>
      <c r="B405" s="8"/>
      <c r="C405" s="10"/>
      <c r="D405" s="10"/>
      <c r="E405" s="10"/>
      <c r="F405" s="10"/>
      <c r="G405" s="8"/>
      <c r="J405" s="1153" t="s">
        <v>901</v>
      </c>
      <c r="K405" s="1153"/>
      <c r="L405" s="1153"/>
      <c r="M405" s="1154" t="s">
        <v>1002</v>
      </c>
      <c r="N405" s="1154" t="s">
        <v>1003</v>
      </c>
      <c r="O405" s="1154" t="s">
        <v>1004</v>
      </c>
      <c r="V405" s="3"/>
    </row>
    <row r="406" spans="1:22" s="806" customFormat="1" ht="12.75" hidden="1" customHeight="1" outlineLevel="1">
      <c r="A406" s="8"/>
      <c r="B406" s="8"/>
      <c r="C406" s="10"/>
      <c r="D406" s="10"/>
      <c r="E406" s="10"/>
      <c r="F406" s="10"/>
      <c r="G406" s="8"/>
      <c r="J406" s="1153" t="s">
        <v>1057</v>
      </c>
      <c r="K406" s="1153" t="s">
        <v>1058</v>
      </c>
      <c r="L406" s="1153" t="s">
        <v>1059</v>
      </c>
      <c r="M406" s="1154"/>
      <c r="N406" s="1154"/>
      <c r="O406" s="1154"/>
      <c r="V406" s="3"/>
    </row>
    <row r="407" spans="1:22" s="806" customFormat="1" ht="12.75" hidden="1" customHeight="1" outlineLevel="1">
      <c r="A407" s="8"/>
      <c r="B407" s="8"/>
      <c r="C407" s="10"/>
      <c r="D407" s="10"/>
      <c r="E407" s="10"/>
      <c r="F407" s="10"/>
      <c r="G407" s="8"/>
      <c r="I407" s="806" t="s">
        <v>1042</v>
      </c>
      <c r="J407" s="1155" t="s">
        <v>1042</v>
      </c>
      <c r="K407" s="1155" t="s">
        <v>1049</v>
      </c>
      <c r="L407" s="1155" t="str">
        <f t="shared" ref="L407:L414" si="58">J407&amp;K407</f>
        <v>InteriorGas</v>
      </c>
      <c r="M407" s="1159">
        <f>T202</f>
        <v>0.1697839776800445</v>
      </c>
      <c r="N407" s="1159">
        <f t="shared" ref="N407:O407" si="59">U202</f>
        <v>3.6233003814909945E-2</v>
      </c>
      <c r="O407" s="1159">
        <f t="shared" si="59"/>
        <v>9.6944386166095894E-3</v>
      </c>
      <c r="P407" s="1146"/>
      <c r="V407" s="3"/>
    </row>
    <row r="408" spans="1:22" s="806" customFormat="1" ht="12.75" hidden="1" customHeight="1" outlineLevel="1">
      <c r="A408" s="8"/>
      <c r="B408" s="8"/>
      <c r="C408" s="10"/>
      <c r="D408" s="10"/>
      <c r="E408" s="10"/>
      <c r="F408" s="10"/>
      <c r="G408" s="8"/>
      <c r="I408" s="806" t="s">
        <v>1042</v>
      </c>
      <c r="J408" s="1155" t="s">
        <v>1042</v>
      </c>
      <c r="K408" s="1155" t="s">
        <v>1050</v>
      </c>
      <c r="L408" s="1155" t="str">
        <f t="shared" si="58"/>
        <v>InteriorElectric Resistance</v>
      </c>
      <c r="M408" s="1159">
        <f t="shared" ref="M408:M414" si="60">T203</f>
        <v>8.5306375070450163E-2</v>
      </c>
      <c r="N408" s="1159">
        <f t="shared" ref="N408:N414" si="61">U203</f>
        <v>1.8204934621030781E-2</v>
      </c>
      <c r="O408" s="1159">
        <f t="shared" ref="O408:O414" si="62">V203</f>
        <v>4.8708802092292738E-3</v>
      </c>
      <c r="P408" s="1146"/>
      <c r="V408" s="3"/>
    </row>
    <row r="409" spans="1:22" s="806" customFormat="1" ht="12.75" hidden="1" customHeight="1" outlineLevel="1">
      <c r="A409" s="8"/>
      <c r="B409" s="8"/>
      <c r="C409" s="10"/>
      <c r="D409" s="10"/>
      <c r="E409" s="10"/>
      <c r="F409" s="10"/>
      <c r="G409" s="8"/>
      <c r="I409" s="806" t="s">
        <v>1042</v>
      </c>
      <c r="J409" s="1155" t="s">
        <v>1042</v>
      </c>
      <c r="K409" s="1155" t="s">
        <v>1051</v>
      </c>
      <c r="L409" s="1155" t="str">
        <f t="shared" si="58"/>
        <v>InteriorHeat Pump HSPF 8.5</v>
      </c>
      <c r="M409" s="1159">
        <f t="shared" si="60"/>
        <v>5.4504271249505361E-2</v>
      </c>
      <c r="N409" s="1159">
        <f t="shared" si="61"/>
        <v>1.1631565564059277E-2</v>
      </c>
      <c r="O409" s="1159">
        <f t="shared" si="62"/>
        <v>3.112121174161138E-3</v>
      </c>
      <c r="P409" s="1146"/>
      <c r="V409" s="3"/>
    </row>
    <row r="410" spans="1:22" s="806" customFormat="1" ht="12.75" hidden="1" customHeight="1" outlineLevel="1">
      <c r="A410" s="8"/>
      <c r="B410" s="8"/>
      <c r="C410" s="10"/>
      <c r="D410" s="10"/>
      <c r="E410" s="10"/>
      <c r="F410" s="10"/>
      <c r="G410" s="8"/>
      <c r="I410" s="806" t="s">
        <v>1042</v>
      </c>
      <c r="J410" s="1155" t="s">
        <v>1052</v>
      </c>
      <c r="K410" s="1155" t="s">
        <v>1049</v>
      </c>
      <c r="L410" s="1155" t="str">
        <f t="shared" si="58"/>
        <v>Interior - Exhaust DuctedGas</v>
      </c>
      <c r="M410" s="1159">
        <f t="shared" si="60"/>
        <v>7.0743324033351873E-3</v>
      </c>
      <c r="N410" s="1159">
        <f t="shared" si="61"/>
        <v>1.5097084922879144E-3</v>
      </c>
      <c r="O410" s="1159">
        <f t="shared" si="62"/>
        <v>4.0393494235873288E-4</v>
      </c>
      <c r="P410" s="1146"/>
      <c r="V410" s="3"/>
    </row>
    <row r="411" spans="1:22" s="806" customFormat="1" ht="12.75" hidden="1" customHeight="1" outlineLevel="1">
      <c r="A411" s="8"/>
      <c r="B411" s="8"/>
      <c r="C411" s="10"/>
      <c r="D411" s="10"/>
      <c r="E411" s="10"/>
      <c r="F411" s="10"/>
      <c r="G411" s="8"/>
      <c r="I411" s="806" t="s">
        <v>1042</v>
      </c>
      <c r="J411" s="1155" t="s">
        <v>1052</v>
      </c>
      <c r="K411" s="1155" t="s">
        <v>1050</v>
      </c>
      <c r="L411" s="1155" t="str">
        <f t="shared" si="58"/>
        <v>Interior - Exhaust DuctedElectric Resistance</v>
      </c>
      <c r="M411" s="1159">
        <f t="shared" si="60"/>
        <v>3.5544322946020903E-3</v>
      </c>
      <c r="N411" s="1159">
        <f t="shared" si="61"/>
        <v>7.585389425429493E-4</v>
      </c>
      <c r="O411" s="1159">
        <f t="shared" si="62"/>
        <v>2.0295334205121978E-4</v>
      </c>
      <c r="P411" s="1146"/>
      <c r="V411" s="3"/>
    </row>
    <row r="412" spans="1:22" s="806" customFormat="1" ht="12.75" hidden="1" customHeight="1" outlineLevel="1">
      <c r="A412" s="8"/>
      <c r="B412" s="8"/>
      <c r="C412" s="10"/>
      <c r="D412" s="10"/>
      <c r="E412" s="10"/>
      <c r="F412" s="10"/>
      <c r="G412" s="8"/>
      <c r="I412" s="806" t="s">
        <v>1042</v>
      </c>
      <c r="J412" s="1155" t="s">
        <v>1052</v>
      </c>
      <c r="K412" s="1155" t="s">
        <v>1051</v>
      </c>
      <c r="L412" s="1155" t="str">
        <f t="shared" si="58"/>
        <v>Interior - Exhaust DuctedHeat Pump HSPF 8.5</v>
      </c>
      <c r="M412" s="1159">
        <f t="shared" si="60"/>
        <v>2.2710113020627237E-3</v>
      </c>
      <c r="N412" s="1159">
        <f t="shared" si="61"/>
        <v>4.8464856516913655E-4</v>
      </c>
      <c r="O412" s="1159">
        <f t="shared" si="62"/>
        <v>1.2967171559004741E-4</v>
      </c>
      <c r="P412" s="1146"/>
      <c r="V412" s="3"/>
    </row>
    <row r="413" spans="1:22" s="806" customFormat="1" ht="12.75" hidden="1" customHeight="1" outlineLevel="1">
      <c r="A413" s="8"/>
      <c r="B413" s="8"/>
      <c r="C413" s="10"/>
      <c r="D413" s="10"/>
      <c r="E413" s="10"/>
      <c r="F413" s="10"/>
      <c r="G413" s="8"/>
      <c r="J413" s="1156" t="s">
        <v>1043</v>
      </c>
      <c r="K413" s="1156" t="s">
        <v>1060</v>
      </c>
      <c r="L413" s="1156" t="str">
        <f t="shared" si="58"/>
        <v>GarageAny</v>
      </c>
      <c r="M413" s="1159">
        <f t="shared" si="60"/>
        <v>0.17798040000000001</v>
      </c>
      <c r="N413" s="1159">
        <f t="shared" si="61"/>
        <v>1.2668799999999999E-2</v>
      </c>
      <c r="O413" s="1159">
        <f t="shared" si="62"/>
        <v>2.728E-3</v>
      </c>
      <c r="P413" s="1146"/>
      <c r="V413" s="3"/>
    </row>
    <row r="414" spans="1:22" s="806" customFormat="1" ht="12.75" hidden="1" customHeight="1" outlineLevel="1">
      <c r="A414" s="8"/>
      <c r="B414" s="8"/>
      <c r="C414" s="10"/>
      <c r="D414" s="10"/>
      <c r="E414" s="10"/>
      <c r="F414" s="10"/>
      <c r="G414" s="8"/>
      <c r="J414" s="1156" t="s">
        <v>1044</v>
      </c>
      <c r="K414" s="1156" t="s">
        <v>1060</v>
      </c>
      <c r="L414" s="1156" t="str">
        <f t="shared" si="58"/>
        <v>Unheated BasementAny</v>
      </c>
      <c r="M414" s="1159">
        <f t="shared" si="60"/>
        <v>0.26012520000000006</v>
      </c>
      <c r="N414" s="1159">
        <f t="shared" si="61"/>
        <v>8.9708800000000005E-2</v>
      </c>
      <c r="O414" s="1159">
        <f t="shared" si="62"/>
        <v>4.7057999999999996E-2</v>
      </c>
      <c r="P414" s="1146"/>
      <c r="V414" s="3"/>
    </row>
    <row r="415" spans="1:22" s="806" customFormat="1" ht="12.75" hidden="1" customHeight="1" outlineLevel="1">
      <c r="A415" s="8"/>
      <c r="B415" s="8"/>
      <c r="C415" s="10"/>
      <c r="D415" s="10"/>
      <c r="E415" s="10"/>
      <c r="F415" s="10"/>
      <c r="G415" s="8"/>
      <c r="N415" s="2"/>
      <c r="O415" s="2"/>
      <c r="P415" s="2"/>
      <c r="V415" s="3"/>
    </row>
    <row r="416" spans="1:22" s="806" customFormat="1" ht="12.75" hidden="1" customHeight="1" outlineLevel="1">
      <c r="A416" s="8"/>
      <c r="B416" s="8"/>
      <c r="C416" s="10"/>
      <c r="D416" s="10"/>
      <c r="E416" s="10"/>
      <c r="F416" s="10"/>
      <c r="G416" s="8"/>
      <c r="M416" s="2"/>
      <c r="N416" s="2"/>
      <c r="O416" s="2"/>
      <c r="P416" s="2"/>
      <c r="V416" s="3"/>
    </row>
    <row r="417" spans="1:23" s="806" customFormat="1" ht="12.75" hidden="1" customHeight="1" outlineLevel="1">
      <c r="A417" s="8"/>
      <c r="B417" s="8"/>
      <c r="C417" s="10"/>
      <c r="D417" s="10"/>
      <c r="E417" s="10"/>
      <c r="F417" s="10"/>
      <c r="G417" s="8"/>
      <c r="M417" s="2"/>
      <c r="N417" s="2"/>
      <c r="O417" s="2"/>
      <c r="P417" s="2"/>
      <c r="V417" s="3"/>
    </row>
    <row r="418" spans="1:23" s="806" customFormat="1" ht="12.75" hidden="1" customHeight="1" outlineLevel="1">
      <c r="A418" s="8"/>
      <c r="B418" s="8"/>
      <c r="C418" s="10"/>
      <c r="D418" s="10"/>
      <c r="E418" s="10"/>
      <c r="F418" s="10"/>
      <c r="G418" s="8"/>
      <c r="H418" s="72" t="s">
        <v>2081</v>
      </c>
      <c r="M418" s="2"/>
      <c r="N418" s="2"/>
      <c r="O418" s="2"/>
      <c r="P418" s="2"/>
      <c r="V418" s="3"/>
    </row>
    <row r="419" spans="1:23" s="806" customFormat="1" ht="12.75" hidden="1" customHeight="1" outlineLevel="1">
      <c r="A419" s="8"/>
      <c r="B419" s="8"/>
      <c r="C419" s="10"/>
      <c r="D419" s="10"/>
      <c r="E419" s="10"/>
      <c r="F419" s="10"/>
      <c r="G419" s="8"/>
      <c r="I419" s="377" t="s">
        <v>2082</v>
      </c>
      <c r="M419" s="2"/>
      <c r="N419" s="2"/>
      <c r="O419" s="2"/>
      <c r="P419" s="2"/>
      <c r="V419" s="3"/>
    </row>
    <row r="420" spans="1:23" s="4" customFormat="1" ht="31.8" hidden="1" outlineLevel="1" thickBot="1">
      <c r="A420" s="6"/>
      <c r="B420" s="6"/>
      <c r="C420" s="7"/>
      <c r="D420" s="7"/>
      <c r="E420" s="7"/>
      <c r="F420" s="7"/>
      <c r="G420" s="6"/>
      <c r="I420" s="436" t="s">
        <v>6</v>
      </c>
      <c r="J420" s="437" t="s">
        <v>15</v>
      </c>
      <c r="K420" s="438" t="s">
        <v>1036</v>
      </c>
      <c r="L420" s="439" t="s">
        <v>1037</v>
      </c>
      <c r="M420" s="440" t="s">
        <v>1038</v>
      </c>
      <c r="N420" s="1147" t="s">
        <v>2083</v>
      </c>
      <c r="O420" s="1147" t="s">
        <v>2084</v>
      </c>
      <c r="P420" s="441"/>
      <c r="Q420" s="440" t="s">
        <v>1062</v>
      </c>
      <c r="R420" s="442" t="s">
        <v>1063</v>
      </c>
      <c r="S420" s="443" t="s">
        <v>1064</v>
      </c>
      <c r="V420" s="93"/>
    </row>
    <row r="421" spans="1:23" s="806" customFormat="1" ht="12.75" hidden="1" customHeight="1" outlineLevel="1" thickTop="1">
      <c r="A421" s="8"/>
      <c r="B421" s="8"/>
      <c r="C421" s="10"/>
      <c r="D421" s="10"/>
      <c r="E421" s="10"/>
      <c r="F421" s="10"/>
      <c r="G421" s="8"/>
      <c r="I421" s="444" t="s">
        <v>999</v>
      </c>
      <c r="J421" s="231" t="s">
        <v>1065</v>
      </c>
      <c r="K421" s="232">
        <f>SUMPRODUCT($I$352:$I$375,$X$352:$X$375)</f>
        <v>1668.2372754930595</v>
      </c>
      <c r="L421" s="232">
        <f>SUMPRODUCT(J$98:J$121,$X$98:$X$121)</f>
        <v>-62.701584435791233</v>
      </c>
      <c r="M421" s="232">
        <f t="shared" ref="M421" si="63">SUMPRODUCT(K$98:K$121,$X$98:$X$121)</f>
        <v>5.9311570365231816</v>
      </c>
      <c r="N421" s="232">
        <f>SUMPRODUCT(R$98:R$228,$AB$98:$AB$228)</f>
        <v>0</v>
      </c>
      <c r="O421" s="1148">
        <f>SUMPRODUCT(S$98:S$228,$AB$98:$AB$228)</f>
        <v>0</v>
      </c>
      <c r="P421" s="287" t="s">
        <v>1302</v>
      </c>
      <c r="Q421" s="233">
        <f>SUM(K421:M421)</f>
        <v>1611.4668480937914</v>
      </c>
      <c r="R421" s="234">
        <f>SUMPRODUCT(O$1282:O$1374,$U$1282:$U$1374)</f>
        <v>0</v>
      </c>
      <c r="S421" s="445">
        <f>SUMPRODUCT(P$1282:P$1374,$U$1282:$U$1374)</f>
        <v>0</v>
      </c>
      <c r="V421" s="3"/>
    </row>
    <row r="422" spans="1:23" s="806" customFormat="1" ht="12.75" hidden="1" customHeight="1" outlineLevel="1">
      <c r="A422" s="8"/>
      <c r="B422" s="8"/>
      <c r="C422" s="10"/>
      <c r="D422" s="10"/>
      <c r="E422" s="10"/>
      <c r="F422" s="10"/>
      <c r="G422" s="8"/>
      <c r="I422" s="446" t="s">
        <v>999</v>
      </c>
      <c r="J422" s="447" t="s">
        <v>1066</v>
      </c>
      <c r="K422" s="448"/>
      <c r="L422" s="448"/>
      <c r="M422" s="448"/>
      <c r="N422" s="448"/>
      <c r="O422" s="448"/>
      <c r="P422" s="449" t="s">
        <v>1303</v>
      </c>
      <c r="Q422" s="523">
        <f>Q421-SUM(P331:Q331)</f>
        <v>379.88393716425071</v>
      </c>
      <c r="R422" s="450">
        <f>SUMPRODUCT(O$1282:O$1374,$V$1282:$V$1374)</f>
        <v>0</v>
      </c>
      <c r="S422" s="451">
        <f>SUMPRODUCT(P$1282:P$1374,$V$1282:$V$1374)</f>
        <v>0</v>
      </c>
      <c r="V422" s="3"/>
    </row>
    <row r="423" spans="1:23" s="804" customFormat="1" ht="12.75" hidden="1" customHeight="1" outlineLevel="1">
      <c r="H423" s="806"/>
    </row>
    <row r="424" spans="1:23" s="804" customFormat="1" ht="12.75" hidden="1" customHeight="1" outlineLevel="1">
      <c r="H424" s="806"/>
    </row>
    <row r="425" spans="1:23" s="804" customFormat="1" ht="12.75" hidden="1" customHeight="1" outlineLevel="1">
      <c r="H425" s="806"/>
    </row>
    <row r="426" spans="1:23" s="804" customFormat="1" ht="12.75" hidden="1" customHeight="1" outlineLevel="1">
      <c r="H426" s="806"/>
    </row>
    <row r="427" spans="1:23" s="806" customFormat="1" ht="27" hidden="1" customHeight="1" outlineLevel="1" thickBot="1">
      <c r="A427" s="8"/>
      <c r="B427" s="8"/>
      <c r="C427" s="10"/>
      <c r="D427" s="10"/>
      <c r="E427" s="10"/>
      <c r="F427" s="9"/>
      <c r="G427" s="8"/>
      <c r="H427" s="68" t="s">
        <v>1588</v>
      </c>
      <c r="I427" s="68"/>
      <c r="J427" s="68"/>
      <c r="K427" s="68"/>
      <c r="L427" s="68"/>
      <c r="M427" s="68"/>
      <c r="N427" s="68"/>
      <c r="O427" s="68"/>
      <c r="P427" s="68"/>
      <c r="Q427" s="68"/>
      <c r="R427" s="68"/>
      <c r="S427" s="68"/>
      <c r="T427" s="68"/>
      <c r="U427" s="68"/>
      <c r="V427" s="68"/>
      <c r="W427" s="68"/>
    </row>
    <row r="428" spans="1:23" s="806" customFormat="1" ht="12.75" hidden="1" customHeight="1" outlineLevel="1" thickTop="1">
      <c r="A428" s="8"/>
      <c r="B428" s="8"/>
      <c r="C428" s="10"/>
      <c r="D428" s="10"/>
      <c r="E428" s="10"/>
      <c r="F428" s="10"/>
      <c r="G428" s="8"/>
      <c r="N428" s="2"/>
      <c r="O428" s="2"/>
      <c r="P428" s="2"/>
      <c r="Q428" s="2"/>
      <c r="V428" s="3"/>
    </row>
    <row r="429" spans="1:23" s="806" customFormat="1" ht="12.75" hidden="1" customHeight="1" outlineLevel="1" thickBot="1">
      <c r="A429" s="8"/>
      <c r="B429" s="8"/>
      <c r="C429" s="10"/>
      <c r="D429" s="10"/>
      <c r="E429" s="10"/>
      <c r="F429" s="10"/>
      <c r="G429" s="8"/>
      <c r="N429" s="2"/>
      <c r="O429" s="2"/>
      <c r="P429" s="2"/>
      <c r="Q429" s="2"/>
      <c r="V429" s="3"/>
    </row>
    <row r="430" spans="1:23" s="806" customFormat="1" ht="12.75" hidden="1" customHeight="1" outlineLevel="1" thickTop="1" thickBot="1">
      <c r="A430" s="8"/>
      <c r="B430" s="8"/>
      <c r="C430" s="10"/>
      <c r="D430" s="10"/>
      <c r="E430" s="10"/>
      <c r="F430" s="10"/>
      <c r="G430" s="8"/>
      <c r="H430" s="804" t="s">
        <v>914</v>
      </c>
      <c r="I430" s="69" t="s">
        <v>2078</v>
      </c>
      <c r="J430" s="806" t="s">
        <v>2079</v>
      </c>
      <c r="N430" s="2"/>
      <c r="O430" s="2"/>
      <c r="P430" s="2"/>
      <c r="Q430" s="2"/>
      <c r="V430" s="3"/>
    </row>
    <row r="431" spans="1:23" s="806" customFormat="1" ht="12.75" hidden="1" customHeight="1" outlineLevel="1" thickTop="1">
      <c r="A431" s="8"/>
      <c r="B431" s="8"/>
      <c r="C431" s="10"/>
      <c r="D431" s="10"/>
      <c r="E431" s="10"/>
      <c r="F431" s="10"/>
      <c r="G431" s="8"/>
      <c r="N431" s="2"/>
      <c r="O431" s="2"/>
      <c r="P431" s="2"/>
      <c r="Q431" s="2"/>
      <c r="V431" s="3"/>
    </row>
    <row r="432" spans="1:23" s="806" customFormat="1" ht="12.75" hidden="1" customHeight="1" outlineLevel="1">
      <c r="A432" s="8"/>
      <c r="B432" s="8"/>
      <c r="C432" s="10"/>
      <c r="D432" s="10"/>
      <c r="E432" s="10"/>
      <c r="F432" s="10"/>
      <c r="G432" s="8"/>
      <c r="N432" s="2"/>
      <c r="O432" s="2"/>
      <c r="P432" s="2"/>
      <c r="Q432" s="2"/>
      <c r="V432" s="3"/>
    </row>
    <row r="433" spans="1:22" s="806" customFormat="1" ht="12.75" hidden="1" customHeight="1" outlineLevel="1">
      <c r="A433" s="8"/>
      <c r="B433" s="8"/>
      <c r="C433" s="10"/>
      <c r="D433" s="10"/>
      <c r="E433" s="10"/>
      <c r="F433" s="10"/>
      <c r="G433" s="8"/>
      <c r="N433" s="2"/>
      <c r="O433" s="2"/>
      <c r="P433" s="2"/>
      <c r="Q433" s="2"/>
      <c r="V433" s="3"/>
    </row>
    <row r="434" spans="1:22" s="806" customFormat="1" ht="12.75" hidden="1" customHeight="1" outlineLevel="1">
      <c r="A434" s="8"/>
      <c r="B434" s="8"/>
      <c r="C434" s="10"/>
      <c r="D434" s="10"/>
      <c r="E434" s="10"/>
      <c r="F434" s="10"/>
      <c r="G434" s="8"/>
      <c r="N434" s="2"/>
      <c r="O434" s="2"/>
      <c r="P434" s="2"/>
      <c r="Q434" s="2"/>
      <c r="V434" s="3"/>
    </row>
    <row r="435" spans="1:22" s="806" customFormat="1" ht="12.75" hidden="1" customHeight="1" outlineLevel="1">
      <c r="A435" s="8"/>
      <c r="B435" s="8"/>
      <c r="C435" s="10"/>
      <c r="D435" s="10"/>
      <c r="E435" s="10"/>
      <c r="F435" s="10"/>
      <c r="G435" s="8"/>
      <c r="I435" s="453" t="s">
        <v>273</v>
      </c>
      <c r="J435" s="453" t="s">
        <v>274</v>
      </c>
      <c r="K435" s="453" t="s">
        <v>275</v>
      </c>
      <c r="L435" s="804"/>
      <c r="M435" s="804"/>
      <c r="N435" s="804"/>
      <c r="O435" s="804"/>
      <c r="P435" s="804"/>
      <c r="Q435" s="2"/>
      <c r="V435" s="3"/>
    </row>
    <row r="436" spans="1:22" s="806" customFormat="1" ht="12.75" hidden="1" customHeight="1" outlineLevel="1">
      <c r="A436" s="8"/>
      <c r="B436" s="8"/>
      <c r="C436" s="10"/>
      <c r="D436" s="10"/>
      <c r="E436" s="10"/>
      <c r="F436" s="10"/>
      <c r="G436" s="8"/>
      <c r="I436" s="454" t="s">
        <v>2085</v>
      </c>
      <c r="J436" s="454" t="s">
        <v>1036</v>
      </c>
      <c r="K436" s="455">
        <v>1920.4572885638295</v>
      </c>
      <c r="L436" s="804"/>
      <c r="M436" s="804"/>
      <c r="N436" s="804"/>
      <c r="O436" s="804"/>
      <c r="P436" s="804"/>
      <c r="V436" s="3"/>
    </row>
    <row r="437" spans="1:22" s="806" customFormat="1" ht="12.75" hidden="1" customHeight="1" outlineLevel="1">
      <c r="A437" s="8"/>
      <c r="B437" s="8"/>
      <c r="C437" s="10"/>
      <c r="D437" s="10"/>
      <c r="E437" s="10"/>
      <c r="F437" s="10"/>
      <c r="G437" s="8"/>
      <c r="I437" s="454" t="s">
        <v>2086</v>
      </c>
      <c r="J437" s="454" t="s">
        <v>1036</v>
      </c>
      <c r="K437" s="455">
        <v>1984.6980171973996</v>
      </c>
      <c r="L437" s="804"/>
      <c r="M437" s="804"/>
      <c r="N437" s="804"/>
      <c r="O437" s="804"/>
      <c r="P437" s="804"/>
      <c r="V437" s="3"/>
    </row>
    <row r="438" spans="1:22" s="806" customFormat="1" ht="12.75" hidden="1" customHeight="1" outlineLevel="1">
      <c r="A438" s="8"/>
      <c r="B438" s="8"/>
      <c r="C438" s="10"/>
      <c r="D438" s="10"/>
      <c r="E438" s="10"/>
      <c r="F438" s="10"/>
      <c r="G438" s="8"/>
      <c r="I438" s="454" t="s">
        <v>2087</v>
      </c>
      <c r="J438" s="454" t="s">
        <v>1036</v>
      </c>
      <c r="K438" s="455">
        <v>2044.9712161985815</v>
      </c>
      <c r="L438" s="804"/>
      <c r="M438" s="804"/>
      <c r="N438" s="804"/>
      <c r="O438" s="804"/>
      <c r="P438" s="804"/>
      <c r="V438" s="3"/>
    </row>
    <row r="439" spans="1:22" s="806" customFormat="1" ht="12.75" hidden="1" customHeight="1" outlineLevel="1">
      <c r="A439" s="8"/>
      <c r="B439" s="8"/>
      <c r="C439" s="10"/>
      <c r="D439" s="10"/>
      <c r="E439" s="10"/>
      <c r="F439" s="10"/>
      <c r="G439" s="8"/>
      <c r="I439" s="209"/>
      <c r="J439" s="209"/>
      <c r="K439" s="209"/>
      <c r="M439" s="2"/>
      <c r="N439" s="2"/>
      <c r="O439" s="2"/>
      <c r="P439" s="2"/>
      <c r="V439" s="3"/>
    </row>
    <row r="440" spans="1:22" s="806" customFormat="1" ht="12.75" hidden="1" customHeight="1" outlineLevel="1">
      <c r="A440" s="8"/>
      <c r="B440" s="8"/>
      <c r="C440" s="10"/>
      <c r="D440" s="10"/>
      <c r="E440" s="10"/>
      <c r="F440" s="10"/>
      <c r="G440" s="8"/>
      <c r="I440" s="209"/>
      <c r="J440" s="209"/>
      <c r="K440" s="209"/>
      <c r="M440" s="2"/>
      <c r="N440" s="2"/>
      <c r="O440" s="2"/>
      <c r="P440" s="2"/>
      <c r="V440" s="3"/>
    </row>
    <row r="441" spans="1:22" s="806" customFormat="1" ht="12.75" hidden="1" customHeight="1" outlineLevel="1">
      <c r="A441" s="8"/>
      <c r="B441" s="8"/>
      <c r="C441" s="10"/>
      <c r="D441" s="10"/>
      <c r="E441" s="10"/>
      <c r="F441" s="10"/>
      <c r="G441" s="8"/>
      <c r="I441" s="209"/>
      <c r="J441" s="218" t="s">
        <v>1040</v>
      </c>
      <c r="K441" s="209"/>
      <c r="M441" s="2"/>
      <c r="N441" s="2"/>
      <c r="O441" s="2"/>
      <c r="P441" s="2"/>
      <c r="V441" s="3"/>
    </row>
    <row r="442" spans="1:22" s="806" customFormat="1" ht="12.75" hidden="1" customHeight="1" outlineLevel="1">
      <c r="A442" s="8"/>
      <c r="B442" s="8"/>
      <c r="C442" s="10"/>
      <c r="D442" s="10"/>
      <c r="E442" s="10"/>
      <c r="F442" s="10"/>
      <c r="G442" s="8"/>
      <c r="I442" s="209"/>
      <c r="J442" s="209"/>
      <c r="K442" s="456" t="s">
        <v>1041</v>
      </c>
      <c r="M442" s="2"/>
      <c r="N442" s="2"/>
      <c r="O442" s="2"/>
      <c r="P442" s="2"/>
      <c r="V442" s="3"/>
    </row>
    <row r="443" spans="1:22" s="806" customFormat="1" ht="12.75" hidden="1" customHeight="1" outlineLevel="1">
      <c r="A443" s="8"/>
      <c r="B443" s="8"/>
      <c r="C443" s="10"/>
      <c r="D443" s="10"/>
      <c r="E443" s="10"/>
      <c r="F443" s="10"/>
      <c r="G443" s="8"/>
      <c r="I443" s="209"/>
      <c r="J443" s="209" t="s">
        <v>1045</v>
      </c>
      <c r="K443" s="457"/>
      <c r="M443" s="2"/>
      <c r="N443" s="2"/>
      <c r="O443" s="2"/>
      <c r="P443" s="2"/>
      <c r="V443" s="3"/>
    </row>
    <row r="444" spans="1:22" s="806" customFormat="1" ht="12.75" hidden="1" customHeight="1" outlineLevel="1">
      <c r="A444" s="8"/>
      <c r="B444" s="8"/>
      <c r="C444" s="10"/>
      <c r="D444" s="10"/>
      <c r="E444" s="10"/>
      <c r="F444" s="10"/>
      <c r="G444" s="8"/>
      <c r="I444" s="209"/>
      <c r="J444" s="209" t="s">
        <v>1002</v>
      </c>
      <c r="K444" s="457">
        <v>0.76060000000000005</v>
      </c>
      <c r="M444" s="2"/>
      <c r="N444" s="2"/>
      <c r="O444" s="2"/>
      <c r="P444" s="2"/>
      <c r="V444" s="3"/>
    </row>
    <row r="445" spans="1:22" s="806" customFormat="1" ht="12.75" hidden="1" customHeight="1" outlineLevel="1">
      <c r="A445" s="8"/>
      <c r="B445" s="8"/>
      <c r="C445" s="10"/>
      <c r="D445" s="10"/>
      <c r="E445" s="10"/>
      <c r="F445" s="10"/>
      <c r="G445" s="8"/>
      <c r="I445" s="209"/>
      <c r="J445" s="209" t="s">
        <v>1003</v>
      </c>
      <c r="K445" s="457">
        <v>0.17119999999999999</v>
      </c>
      <c r="M445" s="2"/>
      <c r="N445" s="2"/>
      <c r="O445" s="2"/>
      <c r="P445" s="2"/>
      <c r="V445" s="3"/>
    </row>
    <row r="446" spans="1:22" s="806" customFormat="1" ht="12.75" hidden="1" customHeight="1" outlineLevel="1">
      <c r="A446" s="8"/>
      <c r="B446" s="8"/>
      <c r="C446" s="10"/>
      <c r="D446" s="10"/>
      <c r="E446" s="10"/>
      <c r="F446" s="10"/>
      <c r="G446" s="8"/>
      <c r="I446" s="209"/>
      <c r="J446" s="209" t="s">
        <v>1004</v>
      </c>
      <c r="K446" s="457">
        <v>6.8199999999999997E-2</v>
      </c>
      <c r="M446" s="2"/>
      <c r="N446" s="2"/>
      <c r="O446" s="2"/>
      <c r="P446" s="2"/>
      <c r="V446" s="3"/>
    </row>
    <row r="447" spans="1:22" s="806" customFormat="1" ht="12.75" hidden="1" customHeight="1" outlineLevel="1">
      <c r="A447" s="8"/>
      <c r="B447" s="8"/>
      <c r="C447" s="10"/>
      <c r="D447" s="10"/>
      <c r="E447" s="10"/>
      <c r="F447" s="10"/>
      <c r="G447" s="8"/>
      <c r="I447" s="209"/>
      <c r="J447" s="209" t="s">
        <v>914</v>
      </c>
      <c r="M447" s="2"/>
      <c r="N447" s="2"/>
      <c r="O447" s="2"/>
      <c r="P447" s="2"/>
      <c r="V447" s="3"/>
    </row>
    <row r="448" spans="1:22" s="806" customFormat="1" ht="12.75" hidden="1" customHeight="1" outlineLevel="1">
      <c r="A448" s="8"/>
      <c r="B448" s="8"/>
      <c r="C448" s="10"/>
      <c r="D448" s="10"/>
      <c r="E448" s="10"/>
      <c r="F448" s="10"/>
      <c r="G448" s="8"/>
      <c r="I448" s="209"/>
      <c r="J448" s="459" t="s">
        <v>1046</v>
      </c>
      <c r="K448" s="209"/>
      <c r="M448" s="2"/>
      <c r="N448" s="2"/>
      <c r="O448" s="2"/>
      <c r="P448" s="2"/>
      <c r="V448" s="3"/>
    </row>
    <row r="449" spans="1:23" s="806" customFormat="1" ht="12.75" hidden="1" customHeight="1" outlineLevel="1">
      <c r="A449" s="8"/>
      <c r="B449" s="8"/>
      <c r="C449" s="10"/>
      <c r="D449" s="10"/>
      <c r="E449" s="10"/>
      <c r="F449" s="10"/>
      <c r="G449" s="8"/>
      <c r="I449" s="209"/>
      <c r="J449" s="209"/>
      <c r="K449" s="209"/>
      <c r="M449" s="2"/>
      <c r="N449" s="2"/>
      <c r="O449" s="2"/>
      <c r="P449" s="2"/>
      <c r="V449" s="3"/>
    </row>
    <row r="450" spans="1:23" s="806" customFormat="1" ht="12.75" hidden="1" customHeight="1" outlineLevel="1">
      <c r="A450" s="8"/>
      <c r="B450" s="8"/>
      <c r="C450" s="10"/>
      <c r="D450" s="10"/>
      <c r="E450" s="10"/>
      <c r="F450" s="10"/>
      <c r="G450" s="8"/>
      <c r="I450" s="209"/>
      <c r="J450" s="377" t="s">
        <v>1589</v>
      </c>
      <c r="K450" s="209"/>
      <c r="M450" s="2"/>
      <c r="N450" s="2"/>
      <c r="O450" s="2"/>
      <c r="P450" s="2"/>
      <c r="V450" s="3"/>
    </row>
    <row r="451" spans="1:23" s="806" customFormat="1" ht="12.75" hidden="1" customHeight="1" outlineLevel="1">
      <c r="A451" s="8"/>
      <c r="B451" s="8"/>
      <c r="C451" s="10"/>
      <c r="D451" s="10"/>
      <c r="E451" s="10"/>
      <c r="F451" s="10"/>
      <c r="G451" s="8"/>
      <c r="I451" s="209"/>
      <c r="J451" s="209" t="s">
        <v>1270</v>
      </c>
      <c r="K451" s="452">
        <f>SUMPRODUCT(K436:K438,K444:K446)</f>
        <v>1939.9471511705867</v>
      </c>
      <c r="M451" s="2"/>
      <c r="N451" s="2"/>
      <c r="O451" s="2"/>
      <c r="P451" s="2"/>
      <c r="V451" s="3"/>
    </row>
    <row r="452" spans="1:23" s="806" customFormat="1" ht="12.75" hidden="1" customHeight="1" outlineLevel="1">
      <c r="A452" s="8"/>
      <c r="B452" s="8"/>
      <c r="C452" s="10"/>
      <c r="D452" s="10"/>
      <c r="E452" s="10"/>
      <c r="F452" s="10"/>
      <c r="G452" s="8"/>
      <c r="I452" s="209"/>
      <c r="J452" s="209" t="s">
        <v>1271</v>
      </c>
      <c r="K452" s="522">
        <f>K451-Q421</f>
        <v>328.48030307679528</v>
      </c>
      <c r="M452" s="2"/>
      <c r="N452" s="2"/>
      <c r="O452" s="2"/>
      <c r="P452" s="2"/>
      <c r="V452" s="3"/>
    </row>
    <row r="453" spans="1:23" s="806" customFormat="1" ht="12.75" hidden="1" customHeight="1" outlineLevel="1">
      <c r="A453" s="8"/>
      <c r="B453" s="8"/>
      <c r="C453" s="10"/>
      <c r="D453" s="10"/>
      <c r="E453" s="10"/>
      <c r="F453" s="10"/>
      <c r="G453" s="8"/>
      <c r="M453" s="2"/>
      <c r="N453" s="2"/>
      <c r="O453" s="2"/>
      <c r="P453" s="2"/>
      <c r="V453" s="3"/>
    </row>
    <row r="454" spans="1:23" s="806" customFormat="1" ht="12.75" hidden="1" customHeight="1" outlineLevel="1">
      <c r="A454" s="8"/>
      <c r="B454" s="8"/>
      <c r="C454" s="10"/>
      <c r="D454" s="10"/>
      <c r="E454" s="10"/>
      <c r="F454" s="10"/>
      <c r="G454" s="8"/>
      <c r="M454" s="2"/>
      <c r="N454" s="2"/>
      <c r="O454" s="2"/>
      <c r="P454" s="2"/>
      <c r="V454" s="3"/>
    </row>
    <row r="455" spans="1:23" s="806" customFormat="1" ht="12.75" hidden="1" customHeight="1" outlineLevel="1">
      <c r="A455" s="8"/>
      <c r="B455" s="8"/>
      <c r="C455" s="10"/>
      <c r="D455" s="10"/>
      <c r="E455" s="10"/>
      <c r="F455" s="10"/>
      <c r="G455" s="8"/>
      <c r="M455" s="2"/>
      <c r="N455" s="2"/>
      <c r="O455" s="2"/>
      <c r="P455" s="2"/>
      <c r="V455" s="3"/>
    </row>
    <row r="456" spans="1:23" s="806" customFormat="1" ht="12.75" hidden="1" customHeight="1" outlineLevel="1">
      <c r="A456" s="8"/>
      <c r="B456" s="8"/>
      <c r="C456" s="10"/>
      <c r="D456" s="10"/>
      <c r="E456" s="10"/>
      <c r="F456" s="10"/>
      <c r="G456" s="8"/>
      <c r="M456" s="2"/>
      <c r="N456" s="2"/>
      <c r="O456" s="2"/>
      <c r="P456" s="2"/>
      <c r="V456" s="3"/>
    </row>
    <row r="457" spans="1:23" s="806" customFormat="1" ht="27" hidden="1" customHeight="1" outlineLevel="1" thickBot="1">
      <c r="A457" s="8"/>
      <c r="B457" s="8"/>
      <c r="C457" s="10"/>
      <c r="D457" s="10"/>
      <c r="E457" s="10"/>
      <c r="F457" s="9"/>
      <c r="G457" s="8"/>
      <c r="H457" s="68" t="s">
        <v>1590</v>
      </c>
      <c r="I457" s="68"/>
      <c r="J457" s="68"/>
      <c r="K457" s="68"/>
      <c r="L457" s="68"/>
      <c r="M457" s="68"/>
      <c r="N457" s="68"/>
      <c r="O457" s="68"/>
      <c r="P457" s="68"/>
      <c r="Q457" s="68"/>
      <c r="R457" s="68"/>
      <c r="S457" s="68"/>
      <c r="T457" s="68"/>
      <c r="U457" s="68"/>
      <c r="V457" s="68"/>
      <c r="W457" s="68"/>
    </row>
    <row r="458" spans="1:23" s="806" customFormat="1" ht="12.75" hidden="1" customHeight="1" outlineLevel="1" thickTop="1" thickBot="1">
      <c r="A458" s="8"/>
      <c r="B458" s="8"/>
      <c r="C458" s="10"/>
      <c r="D458" s="10"/>
      <c r="E458" s="10"/>
      <c r="F458" s="10"/>
      <c r="G458" s="8"/>
      <c r="M458" s="2"/>
      <c r="N458" s="2"/>
      <c r="O458" s="2"/>
      <c r="P458" s="2"/>
      <c r="V458" s="3"/>
    </row>
    <row r="459" spans="1:23" ht="12.75" hidden="1" customHeight="1" outlineLevel="1" thickTop="1" thickBot="1">
      <c r="H459" s="458" t="s">
        <v>1576</v>
      </c>
      <c r="I459" s="2858" t="s">
        <v>1577</v>
      </c>
      <c r="J459" s="2859"/>
    </row>
    <row r="460" spans="1:23" ht="12.75" hidden="1" customHeight="1" outlineLevel="1" thickTop="1"/>
    <row r="461" spans="1:23" ht="42.6" hidden="1" customHeight="1" outlineLevel="1">
      <c r="J461" s="2894" t="s">
        <v>1591</v>
      </c>
      <c r="K461" s="2894"/>
      <c r="L461" s="2894"/>
      <c r="M461" s="2894"/>
      <c r="N461" s="2894"/>
      <c r="O461" s="2894"/>
      <c r="P461" s="2894"/>
      <c r="Q461" s="2894"/>
      <c r="R461" s="2894"/>
      <c r="S461" s="2894"/>
      <c r="T461" s="2894"/>
      <c r="U461" s="2894"/>
    </row>
    <row r="462" spans="1:23" ht="13.8" hidden="1" outlineLevel="1">
      <c r="J462" s="465"/>
      <c r="K462" s="465"/>
      <c r="L462" s="465"/>
      <c r="M462" s="465"/>
      <c r="N462" s="465"/>
      <c r="O462" s="465"/>
      <c r="P462" s="465"/>
      <c r="Q462" s="465"/>
      <c r="R462" s="465"/>
      <c r="S462" s="465"/>
      <c r="T462" s="465"/>
      <c r="U462" s="465"/>
    </row>
    <row r="463" spans="1:23" ht="75" hidden="1" customHeight="1" outlineLevel="1">
      <c r="J463" s="2789" t="s">
        <v>1578</v>
      </c>
      <c r="K463" s="2789"/>
      <c r="L463" s="2789"/>
      <c r="M463" s="2789"/>
      <c r="N463" s="2789"/>
      <c r="O463" s="2789"/>
      <c r="P463" s="2789"/>
      <c r="Q463" s="2789"/>
      <c r="R463" s="2789"/>
      <c r="S463" s="2789"/>
      <c r="T463" s="2789"/>
      <c r="U463" s="2789"/>
    </row>
    <row r="464" spans="1:23" ht="12.75" hidden="1" customHeight="1" outlineLevel="1">
      <c r="T464" s="377" t="s">
        <v>1592</v>
      </c>
    </row>
    <row r="465" spans="10:24" ht="109.5" hidden="1" customHeight="1" outlineLevel="1">
      <c r="J465" s="466"/>
      <c r="K465" s="467" t="s">
        <v>1272</v>
      </c>
      <c r="L465" s="1149" t="s">
        <v>1273</v>
      </c>
      <c r="M465" s="1150" t="s">
        <v>1274</v>
      </c>
      <c r="N465" s="468" t="s">
        <v>1275</v>
      </c>
      <c r="O465" s="469" t="s">
        <v>1276</v>
      </c>
      <c r="P465" s="468" t="s">
        <v>1277</v>
      </c>
      <c r="Q465" s="467" t="s">
        <v>1278</v>
      </c>
      <c r="R465" s="470" t="s">
        <v>1279</v>
      </c>
      <c r="S465" s="465"/>
      <c r="T465" s="868" t="s">
        <v>1280</v>
      </c>
      <c r="U465" s="1570" t="s">
        <v>1281</v>
      </c>
    </row>
    <row r="466" spans="10:24" ht="12.75" hidden="1" customHeight="1" outlineLevel="1">
      <c r="J466" s="466">
        <v>2018</v>
      </c>
      <c r="K466" s="471">
        <f t="shared" ref="K466:N469" si="64">SUMIFS($M$6:$M$69,$J$6:$J$69,K$272,$L$6:$L$69,$J466,$K$6:$K$69,"Tier 1")</f>
        <v>3776</v>
      </c>
      <c r="L466" s="472">
        <f t="shared" si="64"/>
        <v>1697</v>
      </c>
      <c r="M466" s="472">
        <f t="shared" si="64"/>
        <v>4293</v>
      </c>
      <c r="N466" s="473">
        <f t="shared" si="64"/>
        <v>1929</v>
      </c>
      <c r="O466" s="458">
        <v>739</v>
      </c>
      <c r="P466" s="458">
        <v>880</v>
      </c>
      <c r="Q466" s="474">
        <f>M466-O466</f>
        <v>3554</v>
      </c>
      <c r="R466" s="475">
        <f>N466-P466</f>
        <v>1049</v>
      </c>
      <c r="T466" s="524">
        <f>1-O466/M466-(Q466*$M486/M466)</f>
        <v>0.56891799365782858</v>
      </c>
      <c r="U466" s="525">
        <f>1-P466/N466-(R466*$M486/N466)</f>
        <v>0.3737114423551175</v>
      </c>
      <c r="V466" s="1569"/>
      <c r="W466" s="1569"/>
    </row>
    <row r="467" spans="10:24" ht="12.75" hidden="1" customHeight="1" outlineLevel="1">
      <c r="J467" s="466">
        <v>2019</v>
      </c>
      <c r="K467" s="476">
        <f t="shared" si="64"/>
        <v>4550</v>
      </c>
      <c r="L467" s="477">
        <f t="shared" si="64"/>
        <v>2410</v>
      </c>
      <c r="M467" s="477">
        <f t="shared" si="64"/>
        <v>4180</v>
      </c>
      <c r="N467" s="478">
        <f t="shared" si="64"/>
        <v>2213</v>
      </c>
      <c r="O467" s="458">
        <v>739</v>
      </c>
      <c r="P467" s="458">
        <v>880</v>
      </c>
      <c r="Q467" s="479">
        <f>M467-O467</f>
        <v>3441</v>
      </c>
      <c r="R467" s="480">
        <f>N467-P467</f>
        <v>1333</v>
      </c>
      <c r="T467" s="526">
        <f t="shared" ref="T467:T469" si="65">1-O467/M467-(Q467*$M487/M467)</f>
        <v>0.51906278379285387</v>
      </c>
      <c r="U467" s="527">
        <f>1-P467/N467-(R467*$M487/N467)</f>
        <v>0.3798046138458151</v>
      </c>
      <c r="V467" s="1569"/>
      <c r="W467" s="1569"/>
    </row>
    <row r="468" spans="10:24" ht="12.75" hidden="1" customHeight="1" outlineLevel="1">
      <c r="J468" s="466">
        <v>2020</v>
      </c>
      <c r="K468" s="476">
        <f t="shared" si="64"/>
        <v>5924</v>
      </c>
      <c r="L468" s="477">
        <f t="shared" si="64"/>
        <v>3137</v>
      </c>
      <c r="M468" s="477">
        <f t="shared" si="64"/>
        <v>4486</v>
      </c>
      <c r="N468" s="478">
        <f t="shared" si="64"/>
        <v>2376</v>
      </c>
      <c r="O468" s="458">
        <v>739</v>
      </c>
      <c r="P468" s="458">
        <v>880</v>
      </c>
      <c r="Q468" s="479">
        <f t="shared" ref="Q468:Q469" si="66">M468-O468</f>
        <v>3747</v>
      </c>
      <c r="R468" s="480">
        <f t="shared" ref="R468:R469" si="67">N468-P468</f>
        <v>1496</v>
      </c>
      <c r="T468" s="526">
        <f t="shared" si="65"/>
        <v>0.52820352932250447</v>
      </c>
      <c r="U468" s="527">
        <f t="shared" ref="U468" si="68">1-P468/N468-(R468*$M488/N468)</f>
        <v>0.39816403792854366</v>
      </c>
      <c r="V468" s="1569"/>
      <c r="W468" s="1569"/>
    </row>
    <row r="469" spans="10:24" ht="12.75" hidden="1" customHeight="1" outlineLevel="1">
      <c r="J469" s="466">
        <v>2021</v>
      </c>
      <c r="K469" s="476">
        <f t="shared" si="64"/>
        <v>8494</v>
      </c>
      <c r="L469" s="477">
        <f t="shared" si="64"/>
        <v>3641</v>
      </c>
      <c r="M469" s="477">
        <f t="shared" si="64"/>
        <v>5382</v>
      </c>
      <c r="N469" s="478">
        <f t="shared" si="64"/>
        <v>2306</v>
      </c>
      <c r="O469" s="458">
        <v>739</v>
      </c>
      <c r="P469" s="458">
        <v>880</v>
      </c>
      <c r="Q469" s="479">
        <f t="shared" si="66"/>
        <v>4643</v>
      </c>
      <c r="R469" s="480">
        <f t="shared" si="67"/>
        <v>1426</v>
      </c>
      <c r="T469" s="1571">
        <f t="shared" si="65"/>
        <v>0.54427154943738132</v>
      </c>
      <c r="U469" s="1572">
        <f t="shared" ref="U469" si="69">1-P469/N469-(R469*$M489/N469)</f>
        <v>0.3901403466069423</v>
      </c>
      <c r="V469" s="1573"/>
      <c r="W469" s="1569"/>
    </row>
    <row r="470" spans="10:24" ht="77.099999999999994" hidden="1" customHeight="1" outlineLevel="1">
      <c r="J470" s="489" t="s">
        <v>1309</v>
      </c>
      <c r="K470" s="2895" t="s">
        <v>1293</v>
      </c>
      <c r="L470" s="2895"/>
      <c r="M470" s="2895"/>
      <c r="N470" s="2895"/>
      <c r="O470" s="2896" t="s">
        <v>1579</v>
      </c>
      <c r="P470" s="2896"/>
      <c r="Q470" s="2895" t="s">
        <v>1294</v>
      </c>
      <c r="R470" s="2895"/>
      <c r="S470" s="490"/>
      <c r="T470" s="2897" t="s">
        <v>1295</v>
      </c>
      <c r="U470" s="2897"/>
      <c r="W470" s="458"/>
      <c r="X470" s="458"/>
    </row>
    <row r="471" spans="10:24" ht="12.75" hidden="1" customHeight="1" outlineLevel="1">
      <c r="K471" s="491" t="s">
        <v>1282</v>
      </c>
      <c r="L471" s="491" t="s">
        <v>1283</v>
      </c>
      <c r="M471" s="491" t="s">
        <v>1284</v>
      </c>
      <c r="N471" s="491" t="s">
        <v>1285</v>
      </c>
    </row>
    <row r="472" spans="10:24" ht="12.75" hidden="1" customHeight="1" outlineLevel="1"/>
    <row r="473" spans="10:24" ht="12.75" hidden="1" customHeight="1" outlineLevel="1"/>
    <row r="474" spans="10:24" ht="12.75" hidden="1" customHeight="1" outlineLevel="1">
      <c r="M474" s="462"/>
      <c r="N474" s="462"/>
      <c r="O474" s="462"/>
    </row>
    <row r="475" spans="10:24" ht="34.950000000000003" hidden="1" customHeight="1" outlineLevel="1">
      <c r="J475" s="2789" t="s">
        <v>1580</v>
      </c>
      <c r="K475" s="2789"/>
      <c r="L475" s="2789"/>
      <c r="M475" s="2789"/>
      <c r="N475" s="2789"/>
      <c r="O475" s="2789"/>
      <c r="P475" s="2789"/>
      <c r="Q475" s="2789"/>
      <c r="R475" s="2789"/>
      <c r="S475" s="2789"/>
      <c r="T475" s="2789"/>
      <c r="U475" s="2789"/>
    </row>
    <row r="476" spans="10:24" ht="12.75" hidden="1" customHeight="1" outlineLevel="1">
      <c r="K476" s="282"/>
      <c r="L476" s="282"/>
      <c r="M476" s="282"/>
      <c r="N476" s="282"/>
      <c r="O476" s="282"/>
    </row>
    <row r="477" spans="10:24" ht="12.75" hidden="1" customHeight="1" outlineLevel="1" thickBot="1">
      <c r="K477" s="282"/>
      <c r="L477" s="282"/>
      <c r="M477" s="282"/>
      <c r="N477" s="282"/>
      <c r="O477" s="282"/>
    </row>
    <row r="478" spans="10:24" ht="12.75" hidden="1" customHeight="1" outlineLevel="1">
      <c r="K478" s="282"/>
      <c r="L478" s="282"/>
      <c r="M478" s="282"/>
      <c r="N478" s="2886" t="s">
        <v>1289</v>
      </c>
      <c r="O478" s="2887"/>
    </row>
    <row r="479" spans="10:24" ht="12.75" hidden="1" customHeight="1" outlineLevel="1">
      <c r="K479" s="282"/>
      <c r="L479" s="282"/>
      <c r="M479" s="282"/>
      <c r="N479" s="2888"/>
      <c r="O479" s="2889"/>
    </row>
    <row r="480" spans="10:24" ht="12.75" hidden="1" customHeight="1" outlineLevel="1">
      <c r="K480" s="282"/>
      <c r="L480" s="282"/>
      <c r="M480" s="282"/>
      <c r="N480" s="2888"/>
      <c r="O480" s="2889"/>
    </row>
    <row r="481" spans="1:22" ht="12.75" hidden="1" customHeight="1" outlineLevel="1">
      <c r="K481" s="282"/>
      <c r="L481" s="282"/>
      <c r="M481" s="282"/>
      <c r="N481" s="2888"/>
      <c r="O481" s="2889"/>
    </row>
    <row r="482" spans="1:22" ht="12.75" hidden="1" customHeight="1" outlineLevel="1">
      <c r="K482" s="282"/>
      <c r="L482" s="282"/>
      <c r="M482" s="282"/>
      <c r="N482" s="2888"/>
      <c r="O482" s="2889"/>
    </row>
    <row r="483" spans="1:22" ht="12.75" hidden="1" customHeight="1" outlineLevel="1" thickBot="1">
      <c r="K483" s="282"/>
      <c r="L483" s="282"/>
      <c r="M483" s="282"/>
      <c r="N483" s="2888"/>
      <c r="O483" s="2889"/>
    </row>
    <row r="484" spans="1:22" ht="58.5" hidden="1" customHeight="1" outlineLevel="1" thickBot="1">
      <c r="K484" s="280"/>
      <c r="L484" s="280" t="s">
        <v>1286</v>
      </c>
      <c r="M484" s="280" t="s">
        <v>1287</v>
      </c>
      <c r="N484" s="288" t="s">
        <v>458</v>
      </c>
      <c r="O484" s="289" t="s">
        <v>477</v>
      </c>
      <c r="Q484" s="2890" t="s">
        <v>1292</v>
      </c>
      <c r="R484" s="2891"/>
      <c r="S484" s="2891"/>
      <c r="T484" s="2892"/>
      <c r="V484" s="492"/>
    </row>
    <row r="485" spans="1:22" ht="12.75" hidden="1" customHeight="1" outlineLevel="1" thickTop="1" thickBot="1">
      <c r="K485" s="281"/>
      <c r="L485" s="281"/>
      <c r="M485" s="281"/>
      <c r="N485" s="493" t="s">
        <v>1288</v>
      </c>
      <c r="O485" s="494" t="s">
        <v>538</v>
      </c>
      <c r="Q485" s="292" t="s">
        <v>1290</v>
      </c>
      <c r="R485" s="482"/>
      <c r="S485" s="483"/>
      <c r="T485" s="293">
        <v>914</v>
      </c>
      <c r="V485" s="495"/>
    </row>
    <row r="486" spans="1:22" ht="12.75" hidden="1" customHeight="1" outlineLevel="1" thickTop="1" thickBot="1">
      <c r="K486" s="283">
        <v>2018</v>
      </c>
      <c r="L486" s="282">
        <f>SUM(N486:O486)</f>
        <v>26920</v>
      </c>
      <c r="M486" s="284">
        <f>N486*$T$485/$T$487/L486+O486*$T$486/$T$487/L486</f>
        <v>0.31278420180836841</v>
      </c>
      <c r="N486" s="290">
        <v>4142</v>
      </c>
      <c r="O486" s="291">
        <v>22778</v>
      </c>
      <c r="Q486" s="292" t="s">
        <v>1291</v>
      </c>
      <c r="R486" s="482"/>
      <c r="S486" s="483"/>
      <c r="T486" s="293">
        <v>294.27999999999997</v>
      </c>
      <c r="V486" s="495"/>
    </row>
    <row r="487" spans="1:22" ht="12.75" hidden="1" customHeight="1" outlineLevel="1" thickTop="1" thickBot="1">
      <c r="K487" s="283">
        <v>2019</v>
      </c>
      <c r="L487" s="282">
        <f t="shared" ref="L487" si="70">SUM(N487:O487)</f>
        <v>29441</v>
      </c>
      <c r="M487" s="284">
        <f>N487*$T$485/$T$487/L487+O487*$T$486/$T$487/L487</f>
        <v>0.36946165758380445</v>
      </c>
      <c r="N487" s="290">
        <v>7884</v>
      </c>
      <c r="O487" s="291">
        <v>21557</v>
      </c>
      <c r="Q487" s="294" t="s">
        <v>1546</v>
      </c>
      <c r="R487" s="496"/>
      <c r="S487" s="497"/>
      <c r="T487" s="295">
        <v>1245.6900354768065</v>
      </c>
      <c r="V487" s="495"/>
    </row>
    <row r="488" spans="1:22" ht="12.75" hidden="1" customHeight="1" outlineLevel="1">
      <c r="K488" s="283">
        <v>2020</v>
      </c>
      <c r="L488" s="282">
        <f t="shared" ref="L488:L489" si="71">SUM(N488:O488)</f>
        <v>27339</v>
      </c>
      <c r="M488" s="284">
        <f>N488*$T$286/$T$288/L488+O488*$T$287/$T$288/L488</f>
        <v>0.36762182211348948</v>
      </c>
      <c r="N488" s="873">
        <v>7220</v>
      </c>
      <c r="O488" s="874">
        <v>20119</v>
      </c>
      <c r="V488" s="495"/>
    </row>
    <row r="489" spans="1:22" ht="44.4" hidden="1" customHeight="1" outlineLevel="1" thickBot="1">
      <c r="K489" s="283">
        <v>2021</v>
      </c>
      <c r="L489" s="282">
        <f t="shared" si="71"/>
        <v>29304</v>
      </c>
      <c r="M489" s="284">
        <f>N489*$T$286/$T$288/L489+O489*$T$287/$T$288/L489</f>
        <v>0.36909983220504272</v>
      </c>
      <c r="N489" s="875">
        <v>7826</v>
      </c>
      <c r="O489" s="876">
        <v>21478</v>
      </c>
    </row>
    <row r="490" spans="1:22" s="806" customFormat="1" ht="12.75" hidden="1" customHeight="1" outlineLevel="1">
      <c r="A490" s="8"/>
      <c r="B490" s="8"/>
      <c r="C490" s="10"/>
      <c r="D490" s="10"/>
      <c r="E490" s="10"/>
      <c r="F490" s="10"/>
      <c r="G490" s="8"/>
      <c r="M490" s="2"/>
      <c r="N490" s="2"/>
      <c r="O490" s="2"/>
      <c r="P490" s="2"/>
      <c r="V490" s="3"/>
    </row>
    <row r="491" spans="1:22" ht="12.75" hidden="1" customHeight="1" outlineLevel="1"/>
    <row r="492" spans="1:22" ht="12.75" hidden="1" customHeight="1" outlineLevel="1"/>
    <row r="493" spans="1:22" ht="12.75" hidden="1" customHeight="1" outlineLevel="1"/>
    <row r="494" spans="1:22" ht="12.75" hidden="1" customHeight="1" outlineLevel="1"/>
    <row r="495" spans="1:22" ht="12.75" hidden="1" customHeight="1" outlineLevel="1"/>
    <row r="496" spans="1:22" ht="12.75" hidden="1" customHeight="1" outlineLevel="1"/>
    <row r="497" ht="12.75" hidden="1" customHeight="1" outlineLevel="1"/>
    <row r="498" ht="12.75" hidden="1" customHeight="1" outlineLevel="1"/>
    <row r="499" ht="12.75" hidden="1" customHeight="1" outlineLevel="1"/>
    <row r="500" ht="12.75" hidden="1" customHeight="1" outlineLevel="1"/>
    <row r="501" ht="12.75" hidden="1" customHeight="1" outlineLevel="1"/>
    <row r="502" ht="12.75" hidden="1" customHeight="1" outlineLevel="1"/>
    <row r="503" ht="12.75" hidden="1" customHeight="1" outlineLevel="1"/>
    <row r="504" ht="12.75" hidden="1" customHeight="1" outlineLevel="1"/>
    <row r="505" ht="12.75" hidden="1" customHeight="1" outlineLevel="1"/>
    <row r="506" ht="12.75" hidden="1" customHeight="1" outlineLevel="1"/>
    <row r="507" ht="12.75" hidden="1" customHeight="1" outlineLevel="1"/>
    <row r="508" ht="12.75" customHeight="1" collapsed="1"/>
  </sheetData>
  <autoFilter ref="A5:AU69">
    <filterColumn colId="11">
      <filters>
        <filter val="2020"/>
        <filter val="2021"/>
      </filters>
    </filterColumn>
    <sortState ref="A6:AU37">
      <sortCondition descending="1" ref="L5:L37"/>
    </sortState>
  </autoFilter>
  <sortState ref="AA13:AB76">
    <sortCondition ref="AA13:AA76"/>
    <sortCondition ref="AB13:AB76"/>
  </sortState>
  <dataConsolidate/>
  <mergeCells count="64">
    <mergeCell ref="A4:G4"/>
    <mergeCell ref="H4:L4"/>
    <mergeCell ref="M4:Q4"/>
    <mergeCell ref="I102:K102"/>
    <mergeCell ref="H100:K100"/>
    <mergeCell ref="L78:M78"/>
    <mergeCell ref="K78:K79"/>
    <mergeCell ref="H73:V74"/>
    <mergeCell ref="J78:J79"/>
    <mergeCell ref="H78:H79"/>
    <mergeCell ref="I78:I79"/>
    <mergeCell ref="H89:O90"/>
    <mergeCell ref="R4:S4"/>
    <mergeCell ref="T4:V4"/>
    <mergeCell ref="N78:O78"/>
    <mergeCell ref="I2:L2"/>
    <mergeCell ref="J84:J87"/>
    <mergeCell ref="J80:J83"/>
    <mergeCell ref="N279:O284"/>
    <mergeCell ref="N103:R103"/>
    <mergeCell ref="P78:Q78"/>
    <mergeCell ref="R78:S78"/>
    <mergeCell ref="H76:S77"/>
    <mergeCell ref="S103:W103"/>
    <mergeCell ref="I259:J259"/>
    <mergeCell ref="J261:U261"/>
    <mergeCell ref="J263:U263"/>
    <mergeCell ref="H227:P227"/>
    <mergeCell ref="Q285:T285"/>
    <mergeCell ref="O271:P271"/>
    <mergeCell ref="K271:N271"/>
    <mergeCell ref="Q271:R271"/>
    <mergeCell ref="T271:U271"/>
    <mergeCell ref="J276:U276"/>
    <mergeCell ref="H295:V296"/>
    <mergeCell ref="H298:O298"/>
    <mergeCell ref="H300:H301"/>
    <mergeCell ref="I300:I301"/>
    <mergeCell ref="J300:J301"/>
    <mergeCell ref="K300:K301"/>
    <mergeCell ref="L300:M300"/>
    <mergeCell ref="N300:O300"/>
    <mergeCell ref="J302:J303"/>
    <mergeCell ref="J304:J305"/>
    <mergeCell ref="J306:J309"/>
    <mergeCell ref="H311:O312"/>
    <mergeCell ref="H323:I323"/>
    <mergeCell ref="N323:Q323"/>
    <mergeCell ref="J475:U475"/>
    <mergeCell ref="N478:O483"/>
    <mergeCell ref="Q484:T484"/>
    <mergeCell ref="P300:Q300"/>
    <mergeCell ref="R300:S300"/>
    <mergeCell ref="J461:U461"/>
    <mergeCell ref="J463:U463"/>
    <mergeCell ref="K470:N470"/>
    <mergeCell ref="O470:P470"/>
    <mergeCell ref="Q470:R470"/>
    <mergeCell ref="T470:U470"/>
    <mergeCell ref="H348:K348"/>
    <mergeCell ref="I350:K350"/>
    <mergeCell ref="N351:R351"/>
    <mergeCell ref="S351:W351"/>
    <mergeCell ref="I459:J459"/>
  </mergeCells>
  <dataValidations count="1">
    <dataValidation type="list" allowBlank="1" showInputMessage="1" showErrorMessage="1" sqref="S2">
      <formula1>Source_list</formula1>
    </dataValidation>
  </dataValidations>
  <hyperlinks>
    <hyperlink ref="H91" location="Adjustments" display="See below for more details about the new construction adjustments."/>
    <hyperlink ref="J84:J87" location="Adjustments" display="Adjusted from existing construction rate"/>
    <hyperlink ref="J80:J81" location="hpwhrtf" display="RTF Measure Workbook"/>
    <hyperlink ref="H313" location="Adjustments" display="See below for more details about the new construction adjustments."/>
    <hyperlink ref="J302:J303" location="hpwh7thpp" display="7th PP Conservation Supply Workbook"/>
    <hyperlink ref="J304:J305" location="hpwhrtf" display="RTF Measure Workbook"/>
    <hyperlink ref="J306:J309" location="Adjustments" display="Adjusted from existing construction rate"/>
    <hyperlink ref="H1" location="' Summary by Program 2020-21'!H1" display="Summary Page"/>
  </hyperlinks>
  <pageMargins left="0.7" right="0.7" top="0.75" bottom="0.75" header="0.3" footer="0.3"/>
  <pageSetup scale="12"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filterMode="1">
    <tabColor rgb="FF0083CA"/>
    <pageSetUpPr fitToPage="1"/>
  </sheetPr>
  <dimension ref="A1:Z101"/>
  <sheetViews>
    <sheetView showGridLines="0" topLeftCell="H1" workbookViewId="0">
      <selection activeCell="H1" sqref="H1"/>
    </sheetView>
  </sheetViews>
  <sheetFormatPr defaultColWidth="11.88671875" defaultRowHeight="12.75" customHeight="1" outlineLevelCol="1"/>
  <cols>
    <col min="1" max="1" width="14.44140625" style="460" hidden="1" customWidth="1" outlineLevel="1"/>
    <col min="2" max="2" width="10" style="460" hidden="1" customWidth="1" outlineLevel="1"/>
    <col min="3" max="3" width="11.88671875" style="461" hidden="1" customWidth="1" outlineLevel="1"/>
    <col min="4" max="4" width="15.33203125" style="461" hidden="1" customWidth="1" outlineLevel="1"/>
    <col min="5" max="5" width="9.109375" style="461" hidden="1" customWidth="1" outlineLevel="1"/>
    <col min="6" max="6" width="9" style="461" hidden="1" customWidth="1" outlineLevel="1"/>
    <col min="7" max="7" width="13.6640625" style="460" hidden="1" customWidth="1" outlineLevel="1"/>
    <col min="8" max="8" width="11.88671875" style="462" collapsed="1"/>
    <col min="9" max="9" width="31" style="462" customWidth="1"/>
    <col min="10" max="10" width="23" style="462" customWidth="1"/>
    <col min="11" max="11" width="23.6640625" style="462" customWidth="1"/>
    <col min="12" max="12" width="11.88671875" style="462"/>
    <col min="13" max="16" width="11.88671875" style="463"/>
    <col min="17" max="21" width="11.88671875" style="462"/>
    <col min="22" max="22" width="11.88671875" style="464"/>
    <col min="23" max="16384" width="11.88671875" style="462"/>
  </cols>
  <sheetData>
    <row r="1" spans="1:22" ht="12.75" customHeight="1">
      <c r="H1" s="239" t="s">
        <v>1067</v>
      </c>
    </row>
    <row r="2" spans="1:22" ht="51" customHeight="1">
      <c r="H2" s="1164" t="str">
        <f>I6&amp;":"</f>
        <v>Super-Efficient Dryers:</v>
      </c>
      <c r="I2" s="2875" t="str">
        <f>INDEX(Programs!C:C,MATCH(I6,Programs!B:B,0))</f>
        <v>Supporting manufacturer development and US market entry of super-efficient dryers; influencing improved federal test protocols and efficiency standards requiring heat pump technology for residential clothes dryers.</v>
      </c>
      <c r="J2" s="2875"/>
      <c r="K2" s="2875"/>
      <c r="L2" s="2875"/>
      <c r="M2" s="2875"/>
      <c r="N2" s="2875"/>
      <c r="O2" s="2875"/>
      <c r="P2" s="2875"/>
      <c r="Q2" s="2875"/>
      <c r="R2" s="2875"/>
      <c r="V2" s="925" t="s">
        <v>1870</v>
      </c>
    </row>
    <row r="3" spans="1:22" ht="15.75" customHeight="1">
      <c r="H3" s="926"/>
    </row>
    <row r="4" spans="1:22" s="458" customFormat="1" ht="15.75" customHeight="1">
      <c r="A4" s="2876" t="s">
        <v>131</v>
      </c>
      <c r="B4" s="2877"/>
      <c r="C4" s="2877"/>
      <c r="D4" s="2877"/>
      <c r="E4" s="2877"/>
      <c r="F4" s="2877"/>
      <c r="G4" s="2878"/>
      <c r="H4" s="2879" t="s">
        <v>7</v>
      </c>
      <c r="I4" s="2880"/>
      <c r="J4" s="2880"/>
      <c r="K4" s="2880"/>
      <c r="L4" s="2959"/>
      <c r="M4" s="2881" t="s">
        <v>127</v>
      </c>
      <c r="N4" s="2882"/>
      <c r="O4" s="2882"/>
      <c r="P4" s="2882"/>
      <c r="Q4" s="2883"/>
      <c r="R4" s="2884" t="s">
        <v>129</v>
      </c>
      <c r="S4" s="2885"/>
      <c r="T4" s="2872" t="s">
        <v>130</v>
      </c>
      <c r="U4" s="2873"/>
      <c r="V4" s="2874"/>
    </row>
    <row r="5" spans="1:22" s="931" customFormat="1" ht="60" customHeight="1" thickBot="1">
      <c r="A5" s="1580" t="s">
        <v>0</v>
      </c>
      <c r="B5" s="1581" t="s">
        <v>11</v>
      </c>
      <c r="C5" s="1582" t="s">
        <v>1</v>
      </c>
      <c r="D5" s="1582" t="s">
        <v>2</v>
      </c>
      <c r="E5" s="1582" t="s">
        <v>266</v>
      </c>
      <c r="F5" s="1582" t="s">
        <v>306</v>
      </c>
      <c r="G5" s="1583" t="s">
        <v>12</v>
      </c>
      <c r="H5" s="1918" t="s">
        <v>3</v>
      </c>
      <c r="I5" s="1919" t="s">
        <v>4</v>
      </c>
      <c r="J5" s="1919" t="s">
        <v>5</v>
      </c>
      <c r="K5" s="1919" t="s">
        <v>6</v>
      </c>
      <c r="L5" s="1919" t="s">
        <v>8</v>
      </c>
      <c r="M5" s="1918" t="s">
        <v>13</v>
      </c>
      <c r="N5" s="1919" t="s">
        <v>14</v>
      </c>
      <c r="O5" s="1919" t="s">
        <v>123</v>
      </c>
      <c r="P5" s="1919" t="s">
        <v>124</v>
      </c>
      <c r="Q5" s="1920" t="s">
        <v>16</v>
      </c>
      <c r="R5" s="1918" t="s">
        <v>871</v>
      </c>
      <c r="S5" s="1920" t="s">
        <v>125</v>
      </c>
      <c r="T5" s="1918" t="s">
        <v>126</v>
      </c>
      <c r="U5" s="1919" t="s">
        <v>18</v>
      </c>
      <c r="V5" s="1921" t="s">
        <v>17</v>
      </c>
    </row>
    <row r="6" spans="1:22" ht="12.75" hidden="1" customHeight="1" thickTop="1">
      <c r="A6" s="498" t="s">
        <v>54</v>
      </c>
      <c r="B6" s="499" t="str">
        <f t="shared" ref="B6:B17" si="0">LEFT(A6,10)</f>
        <v>RES_201101</v>
      </c>
      <c r="C6" s="499">
        <v>0</v>
      </c>
      <c r="D6" s="499">
        <v>0</v>
      </c>
      <c r="E6" s="499">
        <f t="shared" ref="E6:E29" si="1">COUNTIFS($A:$A,A6,$L:$L,L6)</f>
        <v>1</v>
      </c>
      <c r="F6" s="499">
        <v>1</v>
      </c>
      <c r="G6" s="500" t="b">
        <v>1</v>
      </c>
      <c r="H6" s="1904" t="str">
        <f>IF(LEFT(A6,3)="Res","Residential",IF(LEFT(A6,3)="Ind","industrial",IF(LEFT(A6,3)="Com","Commercial",IF(LEFT(A6,3)="AGR","Agriculture",""))))</f>
        <v>Residential</v>
      </c>
      <c r="I6" s="580" t="s">
        <v>152</v>
      </c>
      <c r="J6" s="580" t="s">
        <v>430</v>
      </c>
      <c r="K6" s="580" t="s">
        <v>487</v>
      </c>
      <c r="L6" s="279">
        <v>2019</v>
      </c>
      <c r="M6" s="581">
        <v>124683.05140287</v>
      </c>
      <c r="N6" s="582">
        <v>24491.379445070001</v>
      </c>
      <c r="O6" s="582">
        <v>0</v>
      </c>
      <c r="P6" s="322" t="s">
        <v>1312</v>
      </c>
      <c r="Q6" s="583">
        <v>0.14199999999999999</v>
      </c>
      <c r="R6" s="1927">
        <f t="shared" ref="R6:R29" si="2">SUMIFS($Q$90:$Q$95,$O$90:$O$95,K6)</f>
        <v>67.565806103717364</v>
      </c>
      <c r="S6" s="369"/>
      <c r="T6" s="585">
        <f>(M6-O6)*Q6*R6/8760000</f>
        <v>0.13655846396368398</v>
      </c>
      <c r="U6" s="586">
        <f t="shared" ref="U6:U17" si="3">IFERROR((N6-O6/M6*N6)*Q6*R6/8760/1000,0)</f>
        <v>2.6824056034399538E-2</v>
      </c>
      <c r="V6" s="587">
        <f t="shared" ref="V6:V17" si="4">T6-U6</f>
        <v>0.10973440792928445</v>
      </c>
    </row>
    <row r="7" spans="1:22" ht="12.75" hidden="1" customHeight="1">
      <c r="A7" s="498" t="s">
        <v>88</v>
      </c>
      <c r="B7" s="499" t="str">
        <f t="shared" si="0"/>
        <v>RES_201101</v>
      </c>
      <c r="C7" s="499">
        <v>0</v>
      </c>
      <c r="D7" s="499">
        <v>0</v>
      </c>
      <c r="E7" s="499">
        <f t="shared" si="1"/>
        <v>1</v>
      </c>
      <c r="F7" s="499">
        <v>1</v>
      </c>
      <c r="G7" s="500" t="b">
        <v>1</v>
      </c>
      <c r="H7" s="501" t="str">
        <f t="shared" ref="H7:H17" si="5">IF(LEFT(A7,3)="Res","Residential",IF(LEFT(A7,3)="Ind","industrial",IF(LEFT(A7,3)="Com","Commercial",IF(LEFT(A7,3)="AGR","Agriculture",""))))</f>
        <v>Residential</v>
      </c>
      <c r="I7" s="502" t="s">
        <v>152</v>
      </c>
      <c r="J7" s="502" t="s">
        <v>430</v>
      </c>
      <c r="K7" s="502" t="s">
        <v>488</v>
      </c>
      <c r="L7" s="24">
        <v>2019</v>
      </c>
      <c r="M7" s="511">
        <v>1201.5827850000001</v>
      </c>
      <c r="N7" s="512">
        <v>600.79139250000003</v>
      </c>
      <c r="O7" s="512">
        <v>0</v>
      </c>
      <c r="P7" s="318" t="s">
        <v>1312</v>
      </c>
      <c r="Q7" s="505">
        <v>0.14199999999999999</v>
      </c>
      <c r="R7" s="1588">
        <f t="shared" si="2"/>
        <v>323.88953563203387</v>
      </c>
      <c r="S7" s="71"/>
      <c r="T7" s="507">
        <f>(M7-O7)*Q7*R7/8760000</f>
        <v>6.3086270338479026E-3</v>
      </c>
      <c r="U7" s="508">
        <f t="shared" si="3"/>
        <v>3.1543135169239513E-3</v>
      </c>
      <c r="V7" s="509">
        <f t="shared" si="4"/>
        <v>3.1543135169239513E-3</v>
      </c>
    </row>
    <row r="8" spans="1:22" ht="12.75" hidden="1" customHeight="1">
      <c r="A8" s="460" t="s">
        <v>89</v>
      </c>
      <c r="B8" s="499" t="str">
        <f t="shared" si="0"/>
        <v>RES_201101</v>
      </c>
      <c r="C8" s="499">
        <v>0</v>
      </c>
      <c r="D8" s="499">
        <v>0</v>
      </c>
      <c r="E8" s="499">
        <f t="shared" si="1"/>
        <v>1</v>
      </c>
      <c r="F8" s="499">
        <v>1</v>
      </c>
      <c r="G8" s="500" t="b">
        <v>1</v>
      </c>
      <c r="H8" s="501" t="str">
        <f t="shared" si="5"/>
        <v>Residential</v>
      </c>
      <c r="I8" s="502" t="s">
        <v>152</v>
      </c>
      <c r="J8" s="502" t="s">
        <v>430</v>
      </c>
      <c r="K8" s="502" t="s">
        <v>489</v>
      </c>
      <c r="L8" s="24">
        <v>2019</v>
      </c>
      <c r="M8" s="511">
        <v>0</v>
      </c>
      <c r="N8" s="512">
        <v>0</v>
      </c>
      <c r="O8" s="512">
        <v>0</v>
      </c>
      <c r="P8" s="318" t="s">
        <v>1312</v>
      </c>
      <c r="Q8" s="505">
        <v>0</v>
      </c>
      <c r="R8" s="1588">
        <f t="shared" si="2"/>
        <v>434.79864307026338</v>
      </c>
      <c r="S8" s="71"/>
      <c r="T8" s="507">
        <f t="shared" ref="T8:T17" si="6">(M8-O8)*Q8*R8/8760000</f>
        <v>0</v>
      </c>
      <c r="U8" s="508">
        <f t="shared" si="3"/>
        <v>0</v>
      </c>
      <c r="V8" s="509">
        <f t="shared" si="4"/>
        <v>0</v>
      </c>
    </row>
    <row r="9" spans="1:22" ht="12.75" hidden="1" customHeight="1">
      <c r="A9" s="460" t="s">
        <v>90</v>
      </c>
      <c r="B9" s="499" t="str">
        <f t="shared" si="0"/>
        <v>RES_201101</v>
      </c>
      <c r="C9" s="499">
        <v>0</v>
      </c>
      <c r="D9" s="499">
        <v>0</v>
      </c>
      <c r="E9" s="499">
        <f t="shared" si="1"/>
        <v>1</v>
      </c>
      <c r="F9" s="499">
        <v>1</v>
      </c>
      <c r="G9" s="500" t="b">
        <v>1</v>
      </c>
      <c r="H9" s="501" t="str">
        <f t="shared" si="5"/>
        <v>Residential</v>
      </c>
      <c r="I9" s="502" t="s">
        <v>152</v>
      </c>
      <c r="J9" s="502" t="s">
        <v>430</v>
      </c>
      <c r="K9" s="502" t="s">
        <v>490</v>
      </c>
      <c r="L9" s="24">
        <v>2019</v>
      </c>
      <c r="M9" s="511">
        <v>0</v>
      </c>
      <c r="N9" s="512">
        <v>0</v>
      </c>
      <c r="O9" s="512">
        <v>0</v>
      </c>
      <c r="P9" s="318" t="s">
        <v>1312</v>
      </c>
      <c r="Q9" s="505">
        <v>0</v>
      </c>
      <c r="R9" s="1588">
        <f t="shared" si="2"/>
        <v>534.14988628424771</v>
      </c>
      <c r="S9" s="71"/>
      <c r="T9" s="507">
        <f t="shared" si="6"/>
        <v>0</v>
      </c>
      <c r="U9" s="508">
        <f t="shared" si="3"/>
        <v>0</v>
      </c>
      <c r="V9" s="509">
        <f t="shared" si="4"/>
        <v>0</v>
      </c>
    </row>
    <row r="10" spans="1:22" ht="12.75" hidden="1" customHeight="1">
      <c r="A10" s="460" t="s">
        <v>91</v>
      </c>
      <c r="B10" s="499" t="str">
        <f t="shared" si="0"/>
        <v>RES_201101</v>
      </c>
      <c r="C10" s="499">
        <v>0</v>
      </c>
      <c r="D10" s="499">
        <v>0</v>
      </c>
      <c r="E10" s="499">
        <f t="shared" si="1"/>
        <v>1</v>
      </c>
      <c r="F10" s="499">
        <v>1</v>
      </c>
      <c r="G10" s="500" t="b">
        <v>1</v>
      </c>
      <c r="H10" s="501" t="str">
        <f t="shared" si="5"/>
        <v>Residential</v>
      </c>
      <c r="I10" s="502" t="s">
        <v>152</v>
      </c>
      <c r="J10" s="502" t="s">
        <v>430</v>
      </c>
      <c r="K10" s="502" t="s">
        <v>491</v>
      </c>
      <c r="L10" s="24">
        <v>2019</v>
      </c>
      <c r="M10" s="511">
        <v>0</v>
      </c>
      <c r="N10" s="512">
        <v>0</v>
      </c>
      <c r="O10" s="512">
        <v>0</v>
      </c>
      <c r="P10" s="318" t="s">
        <v>1312</v>
      </c>
      <c r="Q10" s="505">
        <v>0</v>
      </c>
      <c r="R10" s="1588">
        <f t="shared" si="2"/>
        <v>584.49959083596605</v>
      </c>
      <c r="S10" s="71"/>
      <c r="T10" s="507">
        <f t="shared" si="6"/>
        <v>0</v>
      </c>
      <c r="U10" s="508">
        <f t="shared" si="3"/>
        <v>0</v>
      </c>
      <c r="V10" s="509">
        <f t="shared" si="4"/>
        <v>0</v>
      </c>
    </row>
    <row r="11" spans="1:22" ht="12.75" hidden="1" customHeight="1" thickBot="1">
      <c r="A11" s="460" t="s">
        <v>117</v>
      </c>
      <c r="B11" s="499" t="str">
        <f t="shared" si="0"/>
        <v>RES_201101</v>
      </c>
      <c r="C11" s="499">
        <v>0</v>
      </c>
      <c r="D11" s="499">
        <v>0</v>
      </c>
      <c r="E11" s="499">
        <f t="shared" si="1"/>
        <v>1</v>
      </c>
      <c r="F11" s="499">
        <v>1</v>
      </c>
      <c r="G11" s="500" t="b">
        <v>1</v>
      </c>
      <c r="H11" s="501" t="str">
        <f t="shared" si="5"/>
        <v>Residential</v>
      </c>
      <c r="I11" s="502" t="s">
        <v>152</v>
      </c>
      <c r="J11" s="502" t="s">
        <v>430</v>
      </c>
      <c r="K11" s="502" t="s">
        <v>492</v>
      </c>
      <c r="L11" s="24">
        <v>2019</v>
      </c>
      <c r="M11" s="511">
        <v>282.52</v>
      </c>
      <c r="N11" s="512">
        <v>141.26</v>
      </c>
      <c r="O11" s="512">
        <v>0</v>
      </c>
      <c r="P11" s="318" t="s">
        <v>1312</v>
      </c>
      <c r="Q11" s="505">
        <v>0.14199999999999999</v>
      </c>
      <c r="R11" s="1588">
        <f t="shared" si="2"/>
        <v>623.87140898542452</v>
      </c>
      <c r="S11" s="71"/>
      <c r="T11" s="507">
        <f t="shared" si="6"/>
        <v>2.8571202472890207E-3</v>
      </c>
      <c r="U11" s="508">
        <f t="shared" si="3"/>
        <v>1.4285601236445102E-3</v>
      </c>
      <c r="V11" s="509">
        <f t="shared" si="4"/>
        <v>1.4285601236445106E-3</v>
      </c>
    </row>
    <row r="12" spans="1:22" ht="12.75" hidden="1" customHeight="1">
      <c r="A12" s="460" t="s">
        <v>54</v>
      </c>
      <c r="B12" s="499" t="str">
        <f t="shared" si="0"/>
        <v>RES_201101</v>
      </c>
      <c r="C12" s="499">
        <v>0</v>
      </c>
      <c r="D12" s="499">
        <v>0</v>
      </c>
      <c r="E12" s="499">
        <f t="shared" si="1"/>
        <v>1</v>
      </c>
      <c r="F12" s="499">
        <v>1</v>
      </c>
      <c r="G12" s="500" t="b">
        <v>1</v>
      </c>
      <c r="H12" s="501" t="str">
        <f t="shared" si="5"/>
        <v>Residential</v>
      </c>
      <c r="I12" s="502" t="s">
        <v>152</v>
      </c>
      <c r="J12" s="502" t="s">
        <v>430</v>
      </c>
      <c r="K12" s="502" t="s">
        <v>487</v>
      </c>
      <c r="L12" s="24">
        <v>2018</v>
      </c>
      <c r="M12" s="511">
        <v>122170.30979408001</v>
      </c>
      <c r="N12" s="512">
        <v>4625</v>
      </c>
      <c r="O12" s="512">
        <v>0</v>
      </c>
      <c r="P12" s="318" t="s">
        <v>1312</v>
      </c>
      <c r="Q12" s="505">
        <v>0.14199999999999999</v>
      </c>
      <c r="R12" s="1588">
        <f t="shared" si="2"/>
        <v>67.565806103717364</v>
      </c>
      <c r="S12" s="71"/>
      <c r="T12" s="507">
        <f>(M12-O12)*Q12*R12/8760000</f>
        <v>0.13380639677754119</v>
      </c>
      <c r="U12" s="508">
        <f t="shared" si="3"/>
        <v>5.0655072098877135E-3</v>
      </c>
      <c r="V12" s="509">
        <f t="shared" si="4"/>
        <v>0.12874088956765348</v>
      </c>
    </row>
    <row r="13" spans="1:22" ht="12.75" hidden="1" customHeight="1">
      <c r="A13" s="460" t="s">
        <v>88</v>
      </c>
      <c r="B13" s="499" t="str">
        <f t="shared" si="0"/>
        <v>RES_201101</v>
      </c>
      <c r="C13" s="499">
        <v>0</v>
      </c>
      <c r="D13" s="499">
        <v>0</v>
      </c>
      <c r="E13" s="499">
        <f t="shared" si="1"/>
        <v>1</v>
      </c>
      <c r="F13" s="499">
        <v>1</v>
      </c>
      <c r="G13" s="500" t="b">
        <v>1</v>
      </c>
      <c r="H13" s="501" t="str">
        <f t="shared" si="5"/>
        <v>Residential</v>
      </c>
      <c r="I13" s="502" t="s">
        <v>152</v>
      </c>
      <c r="J13" s="502" t="s">
        <v>430</v>
      </c>
      <c r="K13" s="502" t="s">
        <v>488</v>
      </c>
      <c r="L13" s="24">
        <v>2018</v>
      </c>
      <c r="M13" s="511">
        <v>472.45081628999998</v>
      </c>
      <c r="N13" s="512">
        <v>92</v>
      </c>
      <c r="O13" s="512">
        <v>0</v>
      </c>
      <c r="P13" s="318" t="s">
        <v>1312</v>
      </c>
      <c r="Q13" s="505">
        <v>0.14199999999999999</v>
      </c>
      <c r="R13" s="1588">
        <f t="shared" si="2"/>
        <v>323.88953563203387</v>
      </c>
      <c r="S13" s="71"/>
      <c r="T13" s="507">
        <f t="shared" si="6"/>
        <v>2.4804915891089457E-3</v>
      </c>
      <c r="U13" s="508">
        <f t="shared" si="3"/>
        <v>4.8302430291060386E-4</v>
      </c>
      <c r="V13" s="509">
        <f t="shared" si="4"/>
        <v>1.9974672861983417E-3</v>
      </c>
    </row>
    <row r="14" spans="1:22" ht="12.75" hidden="1" customHeight="1">
      <c r="A14" s="460" t="s">
        <v>89</v>
      </c>
      <c r="B14" s="499" t="str">
        <f t="shared" si="0"/>
        <v>RES_201101</v>
      </c>
      <c r="C14" s="499">
        <v>0</v>
      </c>
      <c r="D14" s="499">
        <v>0</v>
      </c>
      <c r="E14" s="499">
        <f t="shared" si="1"/>
        <v>1</v>
      </c>
      <c r="F14" s="499">
        <v>1</v>
      </c>
      <c r="G14" s="500" t="b">
        <v>1</v>
      </c>
      <c r="H14" s="501" t="str">
        <f t="shared" si="5"/>
        <v>Residential</v>
      </c>
      <c r="I14" s="502" t="s">
        <v>152</v>
      </c>
      <c r="J14" s="502" t="s">
        <v>430</v>
      </c>
      <c r="K14" s="502" t="s">
        <v>489</v>
      </c>
      <c r="L14" s="24">
        <v>2018</v>
      </c>
      <c r="M14" s="511">
        <v>99</v>
      </c>
      <c r="N14" s="512">
        <v>99</v>
      </c>
      <c r="O14" s="512">
        <v>0</v>
      </c>
      <c r="P14" s="318" t="s">
        <v>1312</v>
      </c>
      <c r="Q14" s="505">
        <v>0.14199999999999999</v>
      </c>
      <c r="R14" s="1588">
        <f t="shared" si="2"/>
        <v>434.79864307026338</v>
      </c>
      <c r="S14" s="71"/>
      <c r="T14" s="507">
        <f t="shared" si="6"/>
        <v>6.9776247994084032E-4</v>
      </c>
      <c r="U14" s="508">
        <f t="shared" si="3"/>
        <v>6.9776247994084043E-4</v>
      </c>
      <c r="V14" s="509">
        <f t="shared" si="4"/>
        <v>0</v>
      </c>
    </row>
    <row r="15" spans="1:22" ht="12.75" hidden="1" customHeight="1">
      <c r="A15" s="460" t="s">
        <v>90</v>
      </c>
      <c r="B15" s="499" t="str">
        <f t="shared" si="0"/>
        <v>RES_201101</v>
      </c>
      <c r="C15" s="499">
        <v>0</v>
      </c>
      <c r="D15" s="499">
        <v>0</v>
      </c>
      <c r="E15" s="499">
        <f t="shared" si="1"/>
        <v>1</v>
      </c>
      <c r="F15" s="499">
        <v>1</v>
      </c>
      <c r="G15" s="500" t="b">
        <v>1</v>
      </c>
      <c r="H15" s="501" t="str">
        <f t="shared" si="5"/>
        <v>Residential</v>
      </c>
      <c r="I15" s="502" t="s">
        <v>152</v>
      </c>
      <c r="J15" s="502" t="s">
        <v>430</v>
      </c>
      <c r="K15" s="502" t="s">
        <v>490</v>
      </c>
      <c r="L15" s="24">
        <v>2018</v>
      </c>
      <c r="M15" s="511">
        <v>0</v>
      </c>
      <c r="N15" s="512">
        <v>0</v>
      </c>
      <c r="O15" s="512">
        <v>0</v>
      </c>
      <c r="P15" s="318" t="s">
        <v>1312</v>
      </c>
      <c r="Q15" s="505">
        <v>0</v>
      </c>
      <c r="R15" s="1588">
        <f t="shared" si="2"/>
        <v>534.14988628424771</v>
      </c>
      <c r="S15" s="71"/>
      <c r="T15" s="507">
        <f t="shared" si="6"/>
        <v>0</v>
      </c>
      <c r="U15" s="508">
        <f t="shared" si="3"/>
        <v>0</v>
      </c>
      <c r="V15" s="509">
        <f t="shared" si="4"/>
        <v>0</v>
      </c>
    </row>
    <row r="16" spans="1:22" ht="12.75" hidden="1" customHeight="1">
      <c r="A16" s="460" t="s">
        <v>91</v>
      </c>
      <c r="B16" s="499" t="str">
        <f t="shared" si="0"/>
        <v>RES_201101</v>
      </c>
      <c r="C16" s="499">
        <v>0</v>
      </c>
      <c r="D16" s="499">
        <v>0</v>
      </c>
      <c r="E16" s="499">
        <f t="shared" si="1"/>
        <v>1</v>
      </c>
      <c r="F16" s="499">
        <v>1</v>
      </c>
      <c r="G16" s="500" t="b">
        <v>1</v>
      </c>
      <c r="H16" s="501" t="str">
        <f t="shared" si="5"/>
        <v>Residential</v>
      </c>
      <c r="I16" s="502" t="s">
        <v>152</v>
      </c>
      <c r="J16" s="502" t="s">
        <v>430</v>
      </c>
      <c r="K16" s="502" t="s">
        <v>491</v>
      </c>
      <c r="L16" s="24">
        <v>2018</v>
      </c>
      <c r="M16" s="511">
        <v>0</v>
      </c>
      <c r="N16" s="512">
        <v>0</v>
      </c>
      <c r="O16" s="512">
        <v>0</v>
      </c>
      <c r="P16" s="318" t="s">
        <v>1312</v>
      </c>
      <c r="Q16" s="505">
        <v>0</v>
      </c>
      <c r="R16" s="1588">
        <f t="shared" si="2"/>
        <v>584.49959083596605</v>
      </c>
      <c r="S16" s="71"/>
      <c r="T16" s="507">
        <f t="shared" si="6"/>
        <v>0</v>
      </c>
      <c r="U16" s="508">
        <f t="shared" si="3"/>
        <v>0</v>
      </c>
      <c r="V16" s="509">
        <f t="shared" si="4"/>
        <v>0</v>
      </c>
    </row>
    <row r="17" spans="1:23" ht="12.75" hidden="1" customHeight="1" thickBot="1">
      <c r="A17" s="460" t="s">
        <v>117</v>
      </c>
      <c r="B17" s="499" t="str">
        <f t="shared" si="0"/>
        <v>RES_201101</v>
      </c>
      <c r="C17" s="499">
        <v>0</v>
      </c>
      <c r="D17" s="499">
        <v>0</v>
      </c>
      <c r="E17" s="499">
        <f t="shared" si="1"/>
        <v>1</v>
      </c>
      <c r="F17" s="499">
        <v>1</v>
      </c>
      <c r="G17" s="500" t="b">
        <v>1</v>
      </c>
      <c r="H17" s="710" t="str">
        <f t="shared" si="5"/>
        <v>Residential</v>
      </c>
      <c r="I17" s="559" t="s">
        <v>152</v>
      </c>
      <c r="J17" s="559" t="s">
        <v>430</v>
      </c>
      <c r="K17" s="559" t="s">
        <v>492</v>
      </c>
      <c r="L17" s="277">
        <v>2018</v>
      </c>
      <c r="M17" s="560">
        <v>280</v>
      </c>
      <c r="N17" s="561">
        <v>0</v>
      </c>
      <c r="O17" s="561">
        <v>0</v>
      </c>
      <c r="P17" s="319" t="s">
        <v>1312</v>
      </c>
      <c r="Q17" s="562">
        <v>0.14199999999999999</v>
      </c>
      <c r="R17" s="1589">
        <f t="shared" si="2"/>
        <v>623.87140898542452</v>
      </c>
      <c r="S17" s="696"/>
      <c r="T17" s="564">
        <f t="shared" si="6"/>
        <v>2.8316355275411504E-3</v>
      </c>
      <c r="U17" s="565">
        <f t="shared" si="3"/>
        <v>0</v>
      </c>
      <c r="V17" s="566">
        <f t="shared" si="4"/>
        <v>2.8316355275411504E-3</v>
      </c>
    </row>
    <row r="18" spans="1:23" s="724" customFormat="1" ht="12.75" customHeight="1">
      <c r="A18" s="712" t="s">
        <v>54</v>
      </c>
      <c r="B18" s="713" t="str">
        <f t="shared" ref="B18:B29" si="7">LEFT(A18,10)</f>
        <v>RES_201101</v>
      </c>
      <c r="C18" s="713">
        <v>0</v>
      </c>
      <c r="D18" s="713">
        <v>0</v>
      </c>
      <c r="E18" s="713">
        <f t="shared" si="1"/>
        <v>1</v>
      </c>
      <c r="F18" s="713">
        <v>1</v>
      </c>
      <c r="G18" s="714" t="b">
        <v>1</v>
      </c>
      <c r="H18" s="567" t="str">
        <f>IF(LEFT(A18,3)="Res","Residential",IF(LEFT(A18,3)="Ind","industrial",IF(LEFT(A18,3)="Com","Commercial",IF(LEFT(A18,3)="AGR","Agriculture",""))))</f>
        <v>Residential</v>
      </c>
      <c r="I18" s="568" t="s">
        <v>152</v>
      </c>
      <c r="J18" s="568" t="s">
        <v>430</v>
      </c>
      <c r="K18" s="568" t="s">
        <v>487</v>
      </c>
      <c r="L18" s="245">
        <v>2020</v>
      </c>
      <c r="M18" s="569">
        <v>127113.01052207001</v>
      </c>
      <c r="N18" s="570">
        <v>0</v>
      </c>
      <c r="O18" s="570">
        <v>0</v>
      </c>
      <c r="P18" s="1932" t="str">
        <f>IF(V$2="rtf","No RTF Update, 7th PP applies a 0% baseline saturation to units.",IF(V$2="7th PP","7th PP applies a 0% baseline saturation to units",""))</f>
        <v>No RTF Update, 7th PP applies a 0% baseline saturation to units.</v>
      </c>
      <c r="Q18" s="571">
        <v>0.13985600000000001</v>
      </c>
      <c r="R18" s="1922">
        <f t="shared" si="2"/>
        <v>67.565806103717364</v>
      </c>
      <c r="S18" s="1932" t="str">
        <f>IF($V$2="7th PP","Incremental to 7th PP baseline (See Below)",IF($V$2="RTF","Incremental to the RTF's Current Practice Baseline using Q1 2017 data (See Below)",""))</f>
        <v>Incremental to the RTF's Current Practice Baseline using Q1 2017 data (See Below)</v>
      </c>
      <c r="T18" s="1928">
        <f>(M18-O18)*Q18*R18/8760000</f>
        <v>0.13711784019542919</v>
      </c>
      <c r="U18" s="1929">
        <f t="shared" ref="U18:U29" si="8">IFERROR((N18-O18/M18*N18)*Q18*R18/8760/1000,0)</f>
        <v>0</v>
      </c>
      <c r="V18" s="575">
        <f t="shared" ref="V18:V29" si="9">T18-U18</f>
        <v>0.13711784019542919</v>
      </c>
    </row>
    <row r="19" spans="1:23" s="482" customFormat="1" ht="12.75" customHeight="1">
      <c r="A19" s="726" t="s">
        <v>88</v>
      </c>
      <c r="B19" s="499" t="str">
        <f t="shared" si="7"/>
        <v>RES_201101</v>
      </c>
      <c r="C19" s="499">
        <v>0</v>
      </c>
      <c r="D19" s="499">
        <v>0</v>
      </c>
      <c r="E19" s="499">
        <f t="shared" si="1"/>
        <v>1</v>
      </c>
      <c r="F19" s="499">
        <v>1</v>
      </c>
      <c r="G19" s="500" t="b">
        <v>1</v>
      </c>
      <c r="H19" s="555" t="str">
        <f t="shared" ref="H19:H29" si="10">IF(LEFT(A19,3)="Res","Residential",IF(LEFT(A19,3)="Ind","industrial",IF(LEFT(A19,3)="Com","Commercial",IF(LEFT(A19,3)="AGR","Agriculture",""))))</f>
        <v>Residential</v>
      </c>
      <c r="I19" s="502" t="s">
        <v>152</v>
      </c>
      <c r="J19" s="502" t="s">
        <v>430</v>
      </c>
      <c r="K19" s="502" t="s">
        <v>488</v>
      </c>
      <c r="L19" s="24">
        <v>2020</v>
      </c>
      <c r="M19" s="511">
        <v>1961.1268851</v>
      </c>
      <c r="N19" s="512">
        <v>980.56344254999999</v>
      </c>
      <c r="O19" s="512">
        <v>0</v>
      </c>
      <c r="P19" s="1933" t="str">
        <f>IF($V$2="7th PP","7th PP applies a 0% baseline saturation to units, the baseline is handled in the savings rate",IF($V$2="RTF", "RTF Current Practice",""))</f>
        <v>RTF Current Practice</v>
      </c>
      <c r="Q19" s="505">
        <v>0.13985600000000001</v>
      </c>
      <c r="R19" s="1590">
        <f>IF($V$2="RTF",SUMIFS($Q$90:$Q$95,$O$90:$O$95,K19),IF($V$2="7th PP",$U$49,"N/A"))</f>
        <v>323.88953563203387</v>
      </c>
      <c r="S19" s="1933" t="str">
        <f t="shared" ref="S19:S29" si="11">IF($V$2="7th PP","Incremental to 7th PP baseline (See Below)",IF($V$2="RTF","Incremental to the RTF's Current Practice Baseline using Q1 2017 data (See Below)",""))</f>
        <v>Incremental to the RTF's Current Practice Baseline using Q1 2017 data (See Below)</v>
      </c>
      <c r="T19" s="604">
        <f>(M19-O19)*Q19*R19/8760000</f>
        <v>1.0140972547684046E-2</v>
      </c>
      <c r="U19" s="1381">
        <f t="shared" si="8"/>
        <v>5.0704862738420236E-3</v>
      </c>
      <c r="V19" s="509">
        <f t="shared" si="9"/>
        <v>5.0704862738420219E-3</v>
      </c>
    </row>
    <row r="20" spans="1:23" s="482" customFormat="1" ht="12.75" customHeight="1">
      <c r="A20" s="726" t="s">
        <v>89</v>
      </c>
      <c r="B20" s="499" t="str">
        <f t="shared" si="7"/>
        <v>RES_201101</v>
      </c>
      <c r="C20" s="499">
        <v>0</v>
      </c>
      <c r="D20" s="499">
        <v>0</v>
      </c>
      <c r="E20" s="499">
        <f t="shared" si="1"/>
        <v>1</v>
      </c>
      <c r="F20" s="499">
        <v>1</v>
      </c>
      <c r="G20" s="500" t="b">
        <v>1</v>
      </c>
      <c r="H20" s="555" t="str">
        <f t="shared" si="10"/>
        <v>Residential</v>
      </c>
      <c r="I20" s="502" t="s">
        <v>152</v>
      </c>
      <c r="J20" s="502" t="s">
        <v>430</v>
      </c>
      <c r="K20" s="502" t="s">
        <v>489</v>
      </c>
      <c r="L20" s="24">
        <v>2020</v>
      </c>
      <c r="M20" s="511">
        <v>0</v>
      </c>
      <c r="N20" s="512">
        <v>0</v>
      </c>
      <c r="O20" s="512">
        <v>0</v>
      </c>
      <c r="P20" s="1934" t="str">
        <f>IF(V$2="rtf","No RTF Update, 7th PP applies a 0% baseline saturation to units.",IF(V$2="7th PP","7th PP applies a 0% baseline saturation to units",""))</f>
        <v>No RTF Update, 7th PP applies a 0% baseline saturation to units.</v>
      </c>
      <c r="Q20" s="505">
        <v>0</v>
      </c>
      <c r="R20" s="531">
        <f t="shared" si="2"/>
        <v>434.79864307026338</v>
      </c>
      <c r="S20" s="1934" t="str">
        <f t="shared" si="11"/>
        <v>Incremental to the RTF's Current Practice Baseline using Q1 2017 data (See Below)</v>
      </c>
      <c r="T20" s="604">
        <f t="shared" ref="T20:T23" si="12">(M20-O20)*Q20*R20/8760000</f>
        <v>0</v>
      </c>
      <c r="U20" s="1381">
        <f t="shared" si="8"/>
        <v>0</v>
      </c>
      <c r="V20" s="509">
        <f t="shared" si="9"/>
        <v>0</v>
      </c>
    </row>
    <row r="21" spans="1:23" s="482" customFormat="1" ht="12.75" customHeight="1">
      <c r="A21" s="726" t="s">
        <v>90</v>
      </c>
      <c r="B21" s="499" t="str">
        <f t="shared" si="7"/>
        <v>RES_201101</v>
      </c>
      <c r="C21" s="499">
        <v>0</v>
      </c>
      <c r="D21" s="499">
        <v>0</v>
      </c>
      <c r="E21" s="499">
        <f t="shared" si="1"/>
        <v>1</v>
      </c>
      <c r="F21" s="499">
        <v>1</v>
      </c>
      <c r="G21" s="500" t="b">
        <v>1</v>
      </c>
      <c r="H21" s="555" t="str">
        <f t="shared" si="10"/>
        <v>Residential</v>
      </c>
      <c r="I21" s="502" t="s">
        <v>152</v>
      </c>
      <c r="J21" s="502" t="s">
        <v>430</v>
      </c>
      <c r="K21" s="502" t="s">
        <v>490</v>
      </c>
      <c r="L21" s="24">
        <v>2020</v>
      </c>
      <c r="M21" s="511">
        <v>0</v>
      </c>
      <c r="N21" s="512">
        <v>0</v>
      </c>
      <c r="O21" s="512">
        <v>0</v>
      </c>
      <c r="P21" s="1934" t="str">
        <f>IF(V$2="rtf","No RTF Update, 7th PP applies a 0% baseline saturation to units.",IF(V$2="7th PP","7th PP applies a 0% baseline saturation to units",""))</f>
        <v>No RTF Update, 7th PP applies a 0% baseline saturation to units.</v>
      </c>
      <c r="Q21" s="505">
        <v>0</v>
      </c>
      <c r="R21" s="531">
        <f t="shared" si="2"/>
        <v>534.14988628424771</v>
      </c>
      <c r="S21" s="1934" t="str">
        <f t="shared" si="11"/>
        <v>Incremental to the RTF's Current Practice Baseline using Q1 2017 data (See Below)</v>
      </c>
      <c r="T21" s="604">
        <f t="shared" si="12"/>
        <v>0</v>
      </c>
      <c r="U21" s="1381">
        <f t="shared" si="8"/>
        <v>0</v>
      </c>
      <c r="V21" s="509">
        <f t="shared" si="9"/>
        <v>0</v>
      </c>
    </row>
    <row r="22" spans="1:23" s="482" customFormat="1" ht="12.75" customHeight="1">
      <c r="A22" s="726" t="s">
        <v>91</v>
      </c>
      <c r="B22" s="499" t="str">
        <f t="shared" si="7"/>
        <v>RES_201101</v>
      </c>
      <c r="C22" s="499">
        <v>0</v>
      </c>
      <c r="D22" s="499">
        <v>0</v>
      </c>
      <c r="E22" s="499">
        <f t="shared" si="1"/>
        <v>1</v>
      </c>
      <c r="F22" s="499">
        <v>1</v>
      </c>
      <c r="G22" s="500" t="b">
        <v>1</v>
      </c>
      <c r="H22" s="555" t="str">
        <f t="shared" si="10"/>
        <v>Residential</v>
      </c>
      <c r="I22" s="502" t="s">
        <v>152</v>
      </c>
      <c r="J22" s="502" t="s">
        <v>430</v>
      </c>
      <c r="K22" s="502" t="s">
        <v>491</v>
      </c>
      <c r="L22" s="24">
        <v>2020</v>
      </c>
      <c r="M22" s="511">
        <v>0</v>
      </c>
      <c r="N22" s="512">
        <v>0</v>
      </c>
      <c r="O22" s="512">
        <v>0</v>
      </c>
      <c r="P22" s="1934" t="str">
        <f>IF(V$2="rtf","No RTF Update, 7th PP applies a 0% baseline saturation to units.",IF(V$2="7th PP","7th PP applies a 0% baseline saturation to units",""))</f>
        <v>No RTF Update, 7th PP applies a 0% baseline saturation to units.</v>
      </c>
      <c r="Q22" s="505">
        <v>0</v>
      </c>
      <c r="R22" s="531">
        <f t="shared" si="2"/>
        <v>584.49959083596605</v>
      </c>
      <c r="S22" s="1934" t="str">
        <f t="shared" si="11"/>
        <v>Incremental to the RTF's Current Practice Baseline using Q1 2017 data (See Below)</v>
      </c>
      <c r="T22" s="604">
        <f t="shared" si="12"/>
        <v>0</v>
      </c>
      <c r="U22" s="1381">
        <f t="shared" si="8"/>
        <v>0</v>
      </c>
      <c r="V22" s="509">
        <f t="shared" si="9"/>
        <v>0</v>
      </c>
    </row>
    <row r="23" spans="1:23" s="482" customFormat="1" ht="12.75" customHeight="1">
      <c r="A23" s="726" t="s">
        <v>117</v>
      </c>
      <c r="B23" s="499" t="str">
        <f t="shared" si="7"/>
        <v>RES_201101</v>
      </c>
      <c r="C23" s="499">
        <v>0</v>
      </c>
      <c r="D23" s="499">
        <v>0</v>
      </c>
      <c r="E23" s="499">
        <f t="shared" si="1"/>
        <v>1</v>
      </c>
      <c r="F23" s="499">
        <v>1</v>
      </c>
      <c r="G23" s="500" t="b">
        <v>1</v>
      </c>
      <c r="H23" s="555" t="str">
        <f t="shared" si="10"/>
        <v>Residential</v>
      </c>
      <c r="I23" s="502" t="s">
        <v>152</v>
      </c>
      <c r="J23" s="502" t="s">
        <v>430</v>
      </c>
      <c r="K23" s="502" t="s">
        <v>492</v>
      </c>
      <c r="L23" s="24">
        <v>2020</v>
      </c>
      <c r="M23" s="511">
        <v>285.06268</v>
      </c>
      <c r="N23" s="512">
        <v>142.53134</v>
      </c>
      <c r="O23" s="512">
        <v>0</v>
      </c>
      <c r="P23" s="1934" t="str">
        <f>IF(V$2="rtf","No RTF Update, 7th PP applies a 0% baseline saturation to units.",IF(V$2="7th PP","7th PP applies a 0% baseline saturation to units",""))</f>
        <v>No RTF Update, 7th PP applies a 0% baseline saturation to units.</v>
      </c>
      <c r="Q23" s="505">
        <v>0.13985600000000001</v>
      </c>
      <c r="R23" s="531">
        <f t="shared" si="2"/>
        <v>623.87140898542452</v>
      </c>
      <c r="S23" s="1934" t="str">
        <f t="shared" si="11"/>
        <v>Incremental to the RTF's Current Practice Baseline using Q1 2017 data (See Below)</v>
      </c>
      <c r="T23" s="604">
        <f t="shared" si="12"/>
        <v>2.8393075914689933E-3</v>
      </c>
      <c r="U23" s="1381">
        <f t="shared" si="8"/>
        <v>1.4196537957344968E-3</v>
      </c>
      <c r="V23" s="509">
        <f t="shared" si="9"/>
        <v>1.4196537957344964E-3</v>
      </c>
    </row>
    <row r="24" spans="1:23" s="482" customFormat="1" ht="12.75" customHeight="1">
      <c r="A24" s="726" t="s">
        <v>54</v>
      </c>
      <c r="B24" s="499" t="str">
        <f t="shared" si="7"/>
        <v>RES_201101</v>
      </c>
      <c r="C24" s="499">
        <v>0</v>
      </c>
      <c r="D24" s="499">
        <v>0</v>
      </c>
      <c r="E24" s="499">
        <f t="shared" si="1"/>
        <v>1</v>
      </c>
      <c r="F24" s="499">
        <v>1</v>
      </c>
      <c r="G24" s="500" t="b">
        <v>1</v>
      </c>
      <c r="H24" s="555" t="str">
        <f t="shared" si="10"/>
        <v>Residential</v>
      </c>
      <c r="I24" s="502" t="s">
        <v>152</v>
      </c>
      <c r="J24" s="502" t="s">
        <v>430</v>
      </c>
      <c r="K24" s="502" t="s">
        <v>487</v>
      </c>
      <c r="L24" s="24">
        <v>2021</v>
      </c>
      <c r="M24" s="511">
        <v>125709.94570831</v>
      </c>
      <c r="N24" s="512">
        <v>0</v>
      </c>
      <c r="O24" s="512">
        <v>0</v>
      </c>
      <c r="P24" s="1934" t="str">
        <f>IF(V$2="rtf","No RTF Update, 7th PP applies a 0% baseline saturation to units.",IF(V$2="7th PP","7th PP applies a 0% baseline saturation to units",""))</f>
        <v>No RTF Update, 7th PP applies a 0% baseline saturation to units.</v>
      </c>
      <c r="Q24" s="505">
        <v>0.13985600000000001</v>
      </c>
      <c r="R24" s="531">
        <f t="shared" si="2"/>
        <v>67.565806103717364</v>
      </c>
      <c r="S24" s="1934" t="str">
        <f t="shared" si="11"/>
        <v>Incremental to the RTF's Current Practice Baseline using Q1 2017 data (See Below)</v>
      </c>
      <c r="T24" s="604">
        <f>(M24-O24)*Q24*R24/8760000</f>
        <v>0.13560434274833999</v>
      </c>
      <c r="U24" s="1381">
        <f t="shared" si="8"/>
        <v>0</v>
      </c>
      <c r="V24" s="509">
        <f t="shared" si="9"/>
        <v>0.13560434274833999</v>
      </c>
    </row>
    <row r="25" spans="1:23" s="482" customFormat="1" ht="12.75" customHeight="1">
      <c r="A25" s="726" t="s">
        <v>88</v>
      </c>
      <c r="B25" s="499" t="str">
        <f t="shared" si="7"/>
        <v>RES_201101</v>
      </c>
      <c r="C25" s="499">
        <v>0</v>
      </c>
      <c r="D25" s="499">
        <v>0</v>
      </c>
      <c r="E25" s="499">
        <f t="shared" si="1"/>
        <v>1</v>
      </c>
      <c r="F25" s="499">
        <v>1</v>
      </c>
      <c r="G25" s="500" t="b">
        <v>1</v>
      </c>
      <c r="H25" s="555" t="str">
        <f t="shared" si="10"/>
        <v>Residential</v>
      </c>
      <c r="I25" s="502" t="s">
        <v>152</v>
      </c>
      <c r="J25" s="502" t="s">
        <v>430</v>
      </c>
      <c r="K25" s="502" t="s">
        <v>488</v>
      </c>
      <c r="L25" s="24">
        <v>2021</v>
      </c>
      <c r="M25" s="511">
        <v>2432.0580813000001</v>
      </c>
      <c r="N25" s="512">
        <v>1216.0290406500001</v>
      </c>
      <c r="O25" s="512">
        <v>0</v>
      </c>
      <c r="P25" s="1933" t="str">
        <f>IF($V$2="7th PP","7th PP applies a 0% baseline saturation to units, the baseline is handled in the savings rate",IF($V$2="RTF", "RTF Current Practice",""))</f>
        <v>RTF Current Practice</v>
      </c>
      <c r="Q25" s="505">
        <v>0.13985600000000001</v>
      </c>
      <c r="R25" s="1590">
        <f>IF($V$2="RTF",SUMIFS($Q$90:$Q$95,$O$90:$O$95,K25),IF($V$2="7th PP",$U$49,"N/A"))</f>
        <v>323.88953563203387</v>
      </c>
      <c r="S25" s="1933" t="str">
        <f t="shared" si="11"/>
        <v>Incremental to the RTF's Current Practice Baseline using Q1 2017 data (See Below)</v>
      </c>
      <c r="T25" s="604">
        <f t="shared" ref="T25:T29" si="13">(M25-O25)*Q25*R25/8760000</f>
        <v>1.2576154263256058E-2</v>
      </c>
      <c r="U25" s="1381">
        <f t="shared" si="8"/>
        <v>6.2880771316280292E-3</v>
      </c>
      <c r="V25" s="509">
        <f t="shared" si="9"/>
        <v>6.2880771316280292E-3</v>
      </c>
    </row>
    <row r="26" spans="1:23" s="482" customFormat="1" ht="12.75" customHeight="1">
      <c r="A26" s="726" t="s">
        <v>89</v>
      </c>
      <c r="B26" s="499" t="str">
        <f t="shared" si="7"/>
        <v>RES_201101</v>
      </c>
      <c r="C26" s="499">
        <v>0</v>
      </c>
      <c r="D26" s="499">
        <v>0</v>
      </c>
      <c r="E26" s="499">
        <f t="shared" si="1"/>
        <v>1</v>
      </c>
      <c r="F26" s="499">
        <v>1</v>
      </c>
      <c r="G26" s="500" t="b">
        <v>1</v>
      </c>
      <c r="H26" s="555" t="str">
        <f t="shared" si="10"/>
        <v>Residential</v>
      </c>
      <c r="I26" s="502" t="s">
        <v>152</v>
      </c>
      <c r="J26" s="502" t="s">
        <v>430</v>
      </c>
      <c r="K26" s="502" t="s">
        <v>489</v>
      </c>
      <c r="L26" s="24">
        <v>2021</v>
      </c>
      <c r="M26" s="511">
        <v>0</v>
      </c>
      <c r="N26" s="512">
        <v>0</v>
      </c>
      <c r="O26" s="512">
        <v>0</v>
      </c>
      <c r="P26" s="1934" t="str">
        <f>IF(V$2="rtf","No RTF Update, 7th PP applies a 0% baseline saturation to units.",IF(V$2="7th PP","7th PP applies a 0% baseline saturation to units",""))</f>
        <v>No RTF Update, 7th PP applies a 0% baseline saturation to units.</v>
      </c>
      <c r="Q26" s="505">
        <v>0</v>
      </c>
      <c r="R26" s="531">
        <f t="shared" si="2"/>
        <v>434.79864307026338</v>
      </c>
      <c r="S26" s="1934" t="str">
        <f t="shared" si="11"/>
        <v>Incremental to the RTF's Current Practice Baseline using Q1 2017 data (See Below)</v>
      </c>
      <c r="T26" s="604">
        <f t="shared" si="13"/>
        <v>0</v>
      </c>
      <c r="U26" s="1381">
        <f t="shared" si="8"/>
        <v>0</v>
      </c>
      <c r="V26" s="509">
        <f t="shared" si="9"/>
        <v>0</v>
      </c>
    </row>
    <row r="27" spans="1:23" s="482" customFormat="1" ht="12.75" customHeight="1">
      <c r="A27" s="726" t="s">
        <v>90</v>
      </c>
      <c r="B27" s="499" t="str">
        <f t="shared" si="7"/>
        <v>RES_201101</v>
      </c>
      <c r="C27" s="499">
        <v>0</v>
      </c>
      <c r="D27" s="499">
        <v>0</v>
      </c>
      <c r="E27" s="499">
        <f t="shared" si="1"/>
        <v>1</v>
      </c>
      <c r="F27" s="499">
        <v>1</v>
      </c>
      <c r="G27" s="500" t="b">
        <v>1</v>
      </c>
      <c r="H27" s="555" t="str">
        <f t="shared" si="10"/>
        <v>Residential</v>
      </c>
      <c r="I27" s="502" t="s">
        <v>152</v>
      </c>
      <c r="J27" s="502" t="s">
        <v>430</v>
      </c>
      <c r="K27" s="502" t="s">
        <v>490</v>
      </c>
      <c r="L27" s="24">
        <v>2021</v>
      </c>
      <c r="M27" s="511">
        <v>0</v>
      </c>
      <c r="N27" s="512">
        <v>0</v>
      </c>
      <c r="O27" s="512">
        <v>0</v>
      </c>
      <c r="P27" s="1934" t="str">
        <f>IF(V$2="rtf","No RTF Update, 7th PP applies a 0% baseline saturation to units.",IF(V$2="7th PP","7th PP applies a 0% baseline saturation to units",""))</f>
        <v>No RTF Update, 7th PP applies a 0% baseline saturation to units.</v>
      </c>
      <c r="Q27" s="505">
        <v>0</v>
      </c>
      <c r="R27" s="531">
        <f t="shared" si="2"/>
        <v>534.14988628424771</v>
      </c>
      <c r="S27" s="1934" t="str">
        <f t="shared" si="11"/>
        <v>Incremental to the RTF's Current Practice Baseline using Q1 2017 data (See Below)</v>
      </c>
      <c r="T27" s="604">
        <f t="shared" si="13"/>
        <v>0</v>
      </c>
      <c r="U27" s="1381">
        <f t="shared" si="8"/>
        <v>0</v>
      </c>
      <c r="V27" s="509">
        <f t="shared" si="9"/>
        <v>0</v>
      </c>
    </row>
    <row r="28" spans="1:23" s="482" customFormat="1" ht="12.75" customHeight="1">
      <c r="A28" s="726" t="s">
        <v>91</v>
      </c>
      <c r="B28" s="499" t="str">
        <f t="shared" si="7"/>
        <v>RES_201101</v>
      </c>
      <c r="C28" s="499">
        <v>0</v>
      </c>
      <c r="D28" s="499">
        <v>0</v>
      </c>
      <c r="E28" s="499">
        <f t="shared" si="1"/>
        <v>1</v>
      </c>
      <c r="F28" s="499">
        <v>1</v>
      </c>
      <c r="G28" s="500" t="b">
        <v>1</v>
      </c>
      <c r="H28" s="555" t="str">
        <f t="shared" si="10"/>
        <v>Residential</v>
      </c>
      <c r="I28" s="502" t="s">
        <v>152</v>
      </c>
      <c r="J28" s="502" t="s">
        <v>430</v>
      </c>
      <c r="K28" s="502" t="s">
        <v>491</v>
      </c>
      <c r="L28" s="24">
        <v>2021</v>
      </c>
      <c r="M28" s="511">
        <v>0</v>
      </c>
      <c r="N28" s="512">
        <v>0</v>
      </c>
      <c r="O28" s="512">
        <v>0</v>
      </c>
      <c r="P28" s="1934" t="str">
        <f>IF(V$2="rtf","No RTF Update, 7th PP applies a 0% baseline saturation to units.",IF(V$2="7th PP","7th PP applies a 0% baseline saturation to units",""))</f>
        <v>No RTF Update, 7th PP applies a 0% baseline saturation to units.</v>
      </c>
      <c r="Q28" s="505">
        <v>0</v>
      </c>
      <c r="R28" s="531">
        <f t="shared" si="2"/>
        <v>584.49959083596605</v>
      </c>
      <c r="S28" s="1934" t="str">
        <f t="shared" si="11"/>
        <v>Incremental to the RTF's Current Practice Baseline using Q1 2017 data (See Below)</v>
      </c>
      <c r="T28" s="604">
        <f t="shared" si="13"/>
        <v>0</v>
      </c>
      <c r="U28" s="1381">
        <f t="shared" si="8"/>
        <v>0</v>
      </c>
      <c r="V28" s="509">
        <f t="shared" si="9"/>
        <v>0</v>
      </c>
    </row>
    <row r="29" spans="1:23" s="496" customFormat="1" ht="12.75" customHeight="1" thickBot="1">
      <c r="A29" s="730" t="s">
        <v>117</v>
      </c>
      <c r="B29" s="731" t="str">
        <f t="shared" si="7"/>
        <v>RES_201101</v>
      </c>
      <c r="C29" s="731">
        <v>0</v>
      </c>
      <c r="D29" s="731">
        <v>0</v>
      </c>
      <c r="E29" s="731">
        <f t="shared" si="1"/>
        <v>1</v>
      </c>
      <c r="F29" s="731">
        <v>1</v>
      </c>
      <c r="G29" s="732" t="b">
        <v>1</v>
      </c>
      <c r="H29" s="576" t="str">
        <f t="shared" si="10"/>
        <v>Residential</v>
      </c>
      <c r="I29" s="577" t="s">
        <v>152</v>
      </c>
      <c r="J29" s="577" t="s">
        <v>430</v>
      </c>
      <c r="K29" s="577" t="s">
        <v>492</v>
      </c>
      <c r="L29" s="243">
        <v>2021</v>
      </c>
      <c r="M29" s="519">
        <v>287.62824411999998</v>
      </c>
      <c r="N29" s="520">
        <v>143.81412205999999</v>
      </c>
      <c r="O29" s="520">
        <v>0</v>
      </c>
      <c r="P29" s="1935" t="str">
        <f>IF(V$2="rtf","No RTF Update, 7th PP applies a 0% baseline saturation to units.",IF(V$2="7th PP","7th PP applies a 0% baseline saturation to units",""))</f>
        <v>No RTF Update, 7th PP applies a 0% baseline saturation to units.</v>
      </c>
      <c r="Q29" s="521">
        <v>0.13985600000000001</v>
      </c>
      <c r="R29" s="1924">
        <f t="shared" si="2"/>
        <v>623.87140898542452</v>
      </c>
      <c r="S29" s="1935" t="str">
        <f t="shared" si="11"/>
        <v>Incremental to the RTF's Current Practice Baseline using Q1 2017 data (See Below)</v>
      </c>
      <c r="T29" s="1930">
        <f t="shared" si="13"/>
        <v>2.864861359792214E-3</v>
      </c>
      <c r="U29" s="1931">
        <f t="shared" si="8"/>
        <v>1.4324306798961068E-3</v>
      </c>
      <c r="V29" s="530">
        <f t="shared" si="9"/>
        <v>1.4324306798961072E-3</v>
      </c>
    </row>
    <row r="30" spans="1:23" ht="12" customHeight="1">
      <c r="B30" s="499"/>
      <c r="C30" s="499"/>
      <c r="D30" s="499"/>
      <c r="E30" s="499"/>
      <c r="F30" s="499"/>
      <c r="G30" s="499"/>
      <c r="H30" s="458"/>
      <c r="I30" s="458"/>
      <c r="J30" s="458"/>
      <c r="K30" s="458"/>
      <c r="L30" s="458"/>
      <c r="M30" s="458"/>
      <c r="N30" s="458"/>
      <c r="O30" s="458"/>
      <c r="P30" s="458"/>
      <c r="Q30" s="458"/>
      <c r="R30" s="458"/>
      <c r="S30" s="458"/>
      <c r="T30" s="458"/>
      <c r="U30" s="458"/>
      <c r="V30" s="458"/>
      <c r="W30" s="458"/>
    </row>
    <row r="31" spans="1:23" ht="12.75" customHeight="1">
      <c r="B31" s="499"/>
      <c r="C31" s="499"/>
      <c r="D31" s="499"/>
      <c r="E31" s="499"/>
      <c r="F31" s="499"/>
      <c r="G31" s="499"/>
      <c r="H31" s="458"/>
      <c r="I31" s="458"/>
      <c r="J31" s="458"/>
      <c r="K31" s="458"/>
      <c r="L31" s="458"/>
      <c r="M31" s="458"/>
      <c r="N31" s="458"/>
      <c r="O31" s="458"/>
      <c r="P31" s="458"/>
      <c r="Q31" s="458"/>
      <c r="R31" s="458"/>
      <c r="S31" s="458"/>
      <c r="T31" s="458"/>
      <c r="U31" s="458"/>
      <c r="V31" s="458"/>
      <c r="W31" s="458"/>
    </row>
    <row r="32" spans="1:23" ht="12.75" customHeight="1">
      <c r="B32" s="499"/>
      <c r="C32" s="499"/>
      <c r="D32" s="499"/>
      <c r="E32" s="499"/>
      <c r="F32" s="499"/>
      <c r="G32" s="499"/>
      <c r="H32" s="458"/>
      <c r="I32" s="458"/>
      <c r="J32" s="458"/>
      <c r="K32" s="458"/>
      <c r="L32" s="458"/>
      <c r="M32" s="458"/>
      <c r="N32" s="458"/>
      <c r="O32" s="458"/>
      <c r="P32" s="458"/>
      <c r="Q32" s="458"/>
      <c r="R32" s="458"/>
      <c r="S32" s="458"/>
      <c r="T32" s="458"/>
      <c r="U32" s="458"/>
      <c r="V32" s="458"/>
      <c r="W32" s="458"/>
    </row>
    <row r="33" spans="1:26" ht="12.75" customHeight="1">
      <c r="F33" s="499"/>
      <c r="H33" s="939" t="s">
        <v>1355</v>
      </c>
      <c r="I33" s="940"/>
      <c r="J33" s="940"/>
      <c r="K33" s="940"/>
      <c r="L33" s="96"/>
    </row>
    <row r="34" spans="1:26" ht="126" customHeight="1">
      <c r="F34" s="499"/>
      <c r="H34" s="2956" t="s">
        <v>1605</v>
      </c>
      <c r="I34" s="2957"/>
      <c r="J34" s="2957"/>
      <c r="K34" s="2957"/>
      <c r="L34" s="2957"/>
      <c r="M34" s="2958"/>
    </row>
    <row r="35" spans="1:26" ht="12.75" customHeight="1">
      <c r="B35" s="499"/>
      <c r="C35" s="499"/>
      <c r="D35" s="499"/>
      <c r="E35" s="499"/>
      <c r="F35" s="499"/>
      <c r="G35" s="499"/>
      <c r="H35" s="458"/>
      <c r="I35" s="458"/>
      <c r="J35" s="458"/>
      <c r="K35" s="458"/>
      <c r="L35" s="458"/>
      <c r="M35" s="458"/>
      <c r="N35" s="458"/>
      <c r="O35" s="458"/>
      <c r="P35" s="458"/>
      <c r="Q35" s="458"/>
      <c r="R35" s="458"/>
      <c r="S35" s="458"/>
      <c r="T35" s="458"/>
      <c r="U35" s="458"/>
      <c r="V35" s="458"/>
      <c r="W35" s="458"/>
    </row>
    <row r="36" spans="1:26" ht="12.75" customHeight="1">
      <c r="B36" s="499"/>
      <c r="C36" s="499"/>
      <c r="D36" s="499"/>
      <c r="E36" s="499"/>
      <c r="F36" s="499"/>
      <c r="G36" s="499"/>
      <c r="H36" s="458"/>
      <c r="I36" s="458"/>
      <c r="J36" s="458"/>
      <c r="K36" s="458"/>
      <c r="L36" s="458"/>
      <c r="M36" s="458"/>
      <c r="N36" s="458"/>
      <c r="O36" s="458"/>
      <c r="P36" s="458"/>
      <c r="Q36" s="458"/>
      <c r="R36" s="458"/>
      <c r="S36" s="458"/>
      <c r="T36" s="458"/>
      <c r="U36" s="458"/>
      <c r="V36" s="458"/>
      <c r="W36" s="458"/>
    </row>
    <row r="37" spans="1:26" s="458" customFormat="1" ht="27" customHeight="1">
      <c r="A37" s="460"/>
      <c r="B37" s="460"/>
      <c r="C37" s="461"/>
      <c r="D37" s="461"/>
      <c r="E37" s="461"/>
      <c r="F37" s="499"/>
      <c r="G37" s="460"/>
      <c r="H37" s="891" t="s">
        <v>10</v>
      </c>
    </row>
    <row r="39" spans="1:26" ht="12.75" customHeight="1">
      <c r="H39" s="2963" t="s">
        <v>1996</v>
      </c>
      <c r="I39" s="2963"/>
      <c r="J39" s="2963"/>
      <c r="K39" s="2963"/>
      <c r="L39" s="2963"/>
      <c r="M39" s="2963"/>
      <c r="N39" s="2963"/>
      <c r="O39" s="2963"/>
      <c r="P39" s="2963"/>
      <c r="R39" s="2963" t="s">
        <v>2006</v>
      </c>
      <c r="S39" s="2963"/>
      <c r="T39" s="2963"/>
      <c r="U39" s="2963"/>
      <c r="V39" s="2963"/>
      <c r="W39" s="2963"/>
      <c r="X39" s="2963"/>
      <c r="Y39" s="2963"/>
      <c r="Z39" s="2963"/>
    </row>
    <row r="40" spans="1:26" ht="12.75" customHeight="1" thickBot="1">
      <c r="V40" s="462"/>
      <c r="W40" s="463"/>
      <c r="X40" s="463"/>
      <c r="Y40" s="463"/>
      <c r="Z40" s="463"/>
    </row>
    <row r="41" spans="1:26" ht="12.75" customHeight="1" thickTop="1" thickBot="1">
      <c r="H41" s="458" t="s">
        <v>914</v>
      </c>
      <c r="I41" s="2858" t="s">
        <v>1807</v>
      </c>
      <c r="J41" s="2871"/>
      <c r="K41" s="2859"/>
      <c r="L41" s="463"/>
      <c r="R41" s="458" t="s">
        <v>914</v>
      </c>
      <c r="S41" s="2858" t="s">
        <v>940</v>
      </c>
      <c r="T41" s="2871"/>
      <c r="U41" s="2859"/>
      <c r="V41" s="463"/>
      <c r="W41" s="463"/>
      <c r="X41" s="463"/>
      <c r="Y41" s="463"/>
      <c r="Z41" s="463"/>
    </row>
    <row r="42" spans="1:26" ht="12.75" customHeight="1" thickTop="1">
      <c r="V42" s="462"/>
      <c r="W42" s="463"/>
      <c r="X42" s="463"/>
      <c r="Y42" s="463"/>
      <c r="Z42" s="463"/>
    </row>
    <row r="43" spans="1:26" ht="12.75" customHeight="1">
      <c r="V43" s="462"/>
      <c r="W43" s="463"/>
      <c r="X43" s="463"/>
      <c r="Y43" s="463"/>
      <c r="Z43" s="463"/>
    </row>
    <row r="44" spans="1:26" ht="62.25" customHeight="1">
      <c r="H44" s="2791" t="s">
        <v>1808</v>
      </c>
      <c r="I44" s="2791"/>
      <c r="J44" s="2791"/>
      <c r="K44" s="2791"/>
      <c r="L44" s="2791"/>
      <c r="M44" s="2791"/>
      <c r="N44" s="2791"/>
      <c r="O44" s="2791"/>
      <c r="P44" s="2791"/>
      <c r="Q44" s="1591"/>
      <c r="R44" s="2791" t="s">
        <v>2008</v>
      </c>
      <c r="S44" s="2791"/>
      <c r="T44" s="2791"/>
      <c r="U44" s="2791"/>
      <c r="V44" s="2791"/>
      <c r="W44" s="2791"/>
      <c r="X44" s="2791"/>
      <c r="Y44" s="2791"/>
      <c r="Z44" s="2791"/>
    </row>
    <row r="45" spans="1:26" ht="12.75" customHeight="1">
      <c r="V45" s="462"/>
      <c r="W45" s="463"/>
      <c r="X45" s="463"/>
      <c r="Y45" s="463"/>
      <c r="Z45" s="463"/>
    </row>
    <row r="46" spans="1:26" ht="12.75" customHeight="1">
      <c r="H46" s="1607"/>
      <c r="I46" s="1607"/>
      <c r="J46" s="1607"/>
      <c r="K46" s="1607"/>
      <c r="L46" s="1607"/>
      <c r="M46" s="1607"/>
      <c r="N46" s="1607"/>
      <c r="O46" s="1607"/>
      <c r="R46" s="1607"/>
      <c r="S46" s="1607"/>
      <c r="T46" s="1607"/>
      <c r="U46" s="1607"/>
      <c r="V46" s="1607"/>
      <c r="W46" s="1607"/>
      <c r="X46" s="1607"/>
      <c r="Y46" s="1607"/>
      <c r="Z46" s="463"/>
    </row>
    <row r="47" spans="1:26" ht="12.75" customHeight="1">
      <c r="H47" s="1608" t="s">
        <v>718</v>
      </c>
      <c r="I47" s="1608"/>
      <c r="J47" s="1609"/>
      <c r="K47" s="1609"/>
      <c r="L47" s="1609"/>
      <c r="M47" s="1609"/>
      <c r="N47" s="1609"/>
      <c r="O47" s="1610"/>
      <c r="P47" s="1611"/>
      <c r="R47" s="2964" t="s">
        <v>718</v>
      </c>
      <c r="S47" s="2965"/>
      <c r="T47" s="2965"/>
      <c r="U47" s="2965"/>
      <c r="V47" s="2965"/>
      <c r="W47" s="2965"/>
      <c r="X47" s="2965"/>
      <c r="Y47" s="2965"/>
      <c r="Z47" s="2966"/>
    </row>
    <row r="48" spans="1:26" ht="12.75" customHeight="1">
      <c r="H48" s="1574" t="s">
        <v>1809</v>
      </c>
      <c r="I48" s="1574"/>
      <c r="J48" s="1574" t="s">
        <v>1810</v>
      </c>
      <c r="K48" s="1574" t="s">
        <v>1811</v>
      </c>
      <c r="L48" s="1574" t="s">
        <v>1812</v>
      </c>
      <c r="M48" s="1574" t="s">
        <v>277</v>
      </c>
      <c r="N48" s="1612" t="s">
        <v>278</v>
      </c>
      <c r="O48" s="1574" t="s">
        <v>279</v>
      </c>
      <c r="P48" s="1613" t="s">
        <v>280</v>
      </c>
      <c r="R48" s="1613" t="s">
        <v>273</v>
      </c>
      <c r="S48" s="1613"/>
      <c r="T48" s="1613" t="s">
        <v>274</v>
      </c>
      <c r="U48" s="1613" t="s">
        <v>275</v>
      </c>
      <c r="V48" s="1613" t="s">
        <v>276</v>
      </c>
      <c r="W48" s="1613" t="s">
        <v>277</v>
      </c>
      <c r="X48" s="1612" t="s">
        <v>278</v>
      </c>
      <c r="Y48" s="1613" t="s">
        <v>279</v>
      </c>
      <c r="Z48" s="1613" t="s">
        <v>280</v>
      </c>
    </row>
    <row r="49" spans="8:26" ht="12.75" customHeight="1">
      <c r="H49" s="1614" t="s">
        <v>1813</v>
      </c>
      <c r="I49" s="1615"/>
      <c r="J49" s="1615" t="s">
        <v>1814</v>
      </c>
      <c r="K49" s="1616">
        <v>67.565806103717364</v>
      </c>
      <c r="L49" s="1617">
        <v>12</v>
      </c>
      <c r="M49" s="1618">
        <v>20.442059292091439</v>
      </c>
      <c r="N49" s="1615">
        <v>0</v>
      </c>
      <c r="O49" s="1619" t="s">
        <v>1815</v>
      </c>
      <c r="P49" s="1618">
        <v>-7.7882142698989743E-2</v>
      </c>
      <c r="R49" s="1614" t="s">
        <v>2007</v>
      </c>
      <c r="S49" s="1615"/>
      <c r="T49" s="1615" t="s">
        <v>2007</v>
      </c>
      <c r="U49" s="1616">
        <v>180</v>
      </c>
      <c r="V49" s="1617">
        <v>16</v>
      </c>
      <c r="W49" s="1618">
        <v>300</v>
      </c>
      <c r="X49" s="1615">
        <v>0</v>
      </c>
      <c r="Y49" s="1619" t="s">
        <v>1815</v>
      </c>
      <c r="Z49" s="1618">
        <v>0</v>
      </c>
    </row>
    <row r="50" spans="8:26" ht="12.75" customHeight="1">
      <c r="H50" s="1614" t="s">
        <v>1816</v>
      </c>
      <c r="I50" s="1615"/>
      <c r="J50" s="1615" t="s">
        <v>1814</v>
      </c>
      <c r="K50" s="1616">
        <v>192.27303404238125</v>
      </c>
      <c r="L50" s="1616">
        <v>12</v>
      </c>
      <c r="M50" s="1618">
        <v>386.44660735822839</v>
      </c>
      <c r="N50" s="1615">
        <v>0</v>
      </c>
      <c r="O50" s="1619" t="s">
        <v>1815</v>
      </c>
      <c r="P50" s="1618">
        <v>-0.23676131383828009</v>
      </c>
    </row>
    <row r="51" spans="8:26" ht="12.75" customHeight="1">
      <c r="H51" s="1614" t="s">
        <v>1817</v>
      </c>
      <c r="I51" s="1615"/>
      <c r="J51" s="1615" t="s">
        <v>1814</v>
      </c>
      <c r="K51" s="1616">
        <v>234.06681213892205</v>
      </c>
      <c r="L51" s="1616">
        <v>12</v>
      </c>
      <c r="M51" s="1618">
        <v>386.44660735822839</v>
      </c>
      <c r="N51" s="1615">
        <v>0</v>
      </c>
      <c r="O51" s="1619" t="s">
        <v>1815</v>
      </c>
      <c r="P51" s="1618">
        <v>-0.23676131383828009</v>
      </c>
    </row>
    <row r="52" spans="8:26" ht="12.75" customHeight="1">
      <c r="H52" s="1614" t="s">
        <v>1818</v>
      </c>
      <c r="I52" s="1615"/>
      <c r="J52" s="1615" t="s">
        <v>1814</v>
      </c>
      <c r="K52" s="1616">
        <v>271.07171982856744</v>
      </c>
      <c r="L52" s="1616">
        <v>12</v>
      </c>
      <c r="M52" s="1618">
        <v>386.44660735822839</v>
      </c>
      <c r="N52" s="1615">
        <v>0</v>
      </c>
      <c r="O52" s="1619" t="s">
        <v>1815</v>
      </c>
      <c r="P52" s="1618">
        <v>-0.23676131383828009</v>
      </c>
    </row>
    <row r="53" spans="8:26" ht="12.75" customHeight="1">
      <c r="H53" s="1614" t="s">
        <v>1819</v>
      </c>
      <c r="I53" s="1615"/>
      <c r="J53" s="1615" t="s">
        <v>1814</v>
      </c>
      <c r="K53" s="1616">
        <v>304.0668077995208</v>
      </c>
      <c r="L53" s="1616">
        <v>12</v>
      </c>
      <c r="M53" s="1618">
        <v>386.44660735822839</v>
      </c>
      <c r="N53" s="1615">
        <v>0</v>
      </c>
      <c r="O53" s="1619" t="s">
        <v>1815</v>
      </c>
      <c r="P53" s="1618">
        <v>-0.23676131383828009</v>
      </c>
    </row>
    <row r="54" spans="8:26" ht="12.75" customHeight="1">
      <c r="H54" s="1614" t="s">
        <v>1820</v>
      </c>
      <c r="I54" s="1615"/>
      <c r="J54" s="1615" t="s">
        <v>1814</v>
      </c>
      <c r="K54" s="1616">
        <v>346.35813087340148</v>
      </c>
      <c r="L54" s="1616">
        <v>12</v>
      </c>
      <c r="M54" s="1618">
        <v>386.44660735822839</v>
      </c>
      <c r="N54" s="1615">
        <v>0</v>
      </c>
      <c r="O54" s="1619" t="s">
        <v>1815</v>
      </c>
      <c r="P54" s="1618">
        <v>-0.23676131383828009</v>
      </c>
    </row>
    <row r="55" spans="8:26" ht="12.75" customHeight="1">
      <c r="H55" s="1614" t="s">
        <v>1821</v>
      </c>
      <c r="I55" s="1615"/>
      <c r="J55" s="1615" t="s">
        <v>1814</v>
      </c>
      <c r="K55" s="1616">
        <v>400.06290171974024</v>
      </c>
      <c r="L55" s="1616">
        <v>12</v>
      </c>
      <c r="M55" s="1618">
        <v>386.44660735822839</v>
      </c>
      <c r="N55" s="1615">
        <v>0</v>
      </c>
      <c r="O55" s="1619" t="s">
        <v>1815</v>
      </c>
      <c r="P55" s="1618">
        <v>-0.23676131383828009</v>
      </c>
    </row>
    <row r="56" spans="8:26" ht="12.75" customHeight="1">
      <c r="H56" s="1614" t="s">
        <v>1822</v>
      </c>
      <c r="I56" s="1615"/>
      <c r="J56" s="1615" t="s">
        <v>1814</v>
      </c>
      <c r="K56" s="1616">
        <v>452.54653421645145</v>
      </c>
      <c r="L56" s="1616">
        <v>12</v>
      </c>
      <c r="M56" s="1618">
        <v>386.44660735822839</v>
      </c>
      <c r="N56" s="1615">
        <v>0</v>
      </c>
      <c r="O56" s="1619" t="s">
        <v>1815</v>
      </c>
      <c r="P56" s="1618">
        <v>-0.25711940688696805</v>
      </c>
    </row>
    <row r="57" spans="8:26" ht="12.75" customHeight="1">
      <c r="H57" s="1614" t="s">
        <v>1823</v>
      </c>
      <c r="I57" s="1615"/>
      <c r="J57" s="1615" t="s">
        <v>1814</v>
      </c>
      <c r="K57" s="1616">
        <v>504.58831580161046</v>
      </c>
      <c r="L57" s="1616">
        <v>12</v>
      </c>
      <c r="M57" s="1618">
        <v>386.44660735822839</v>
      </c>
      <c r="N57" s="1615">
        <v>0</v>
      </c>
      <c r="O57" s="1619" t="s">
        <v>1815</v>
      </c>
      <c r="P57" s="1618">
        <v>-0.25711940688696805</v>
      </c>
    </row>
    <row r="58" spans="8:26" ht="12.75" customHeight="1">
      <c r="H58" s="1614" t="s">
        <v>1824</v>
      </c>
      <c r="I58" s="1615"/>
      <c r="J58" s="1615" t="s">
        <v>1814</v>
      </c>
      <c r="K58" s="1616">
        <v>557.6519570169512</v>
      </c>
      <c r="L58" s="1616">
        <v>12</v>
      </c>
      <c r="M58" s="1618">
        <v>386.44660735822839</v>
      </c>
      <c r="N58" s="1615">
        <v>0</v>
      </c>
      <c r="O58" s="1619" t="s">
        <v>1815</v>
      </c>
      <c r="P58" s="1618">
        <v>-0.25711940688696805</v>
      </c>
    </row>
    <row r="59" spans="8:26" ht="12.75" customHeight="1">
      <c r="H59" s="1614" t="s">
        <v>1825</v>
      </c>
      <c r="I59" s="1615"/>
      <c r="J59" s="1615" t="s">
        <v>1814</v>
      </c>
      <c r="K59" s="1616">
        <v>599.14598465583231</v>
      </c>
      <c r="L59" s="1616">
        <v>12</v>
      </c>
      <c r="M59" s="1618">
        <v>386.44660735822839</v>
      </c>
      <c r="N59" s="1615">
        <v>0</v>
      </c>
      <c r="O59" s="1619" t="s">
        <v>1815</v>
      </c>
      <c r="P59" s="1618">
        <v>-0.25711940688696805</v>
      </c>
    </row>
    <row r="60" spans="8:26" ht="12.75" customHeight="1">
      <c r="H60" s="1614" t="s">
        <v>1826</v>
      </c>
      <c r="I60" s="1615"/>
      <c r="J60" s="1615" t="s">
        <v>1814</v>
      </c>
      <c r="K60" s="1616">
        <v>117.96651990989676</v>
      </c>
      <c r="L60" s="1616">
        <v>12</v>
      </c>
      <c r="M60" s="1618">
        <v>184.88426496480812</v>
      </c>
      <c r="N60" s="1615">
        <v>0</v>
      </c>
      <c r="O60" s="1619" t="s">
        <v>1815</v>
      </c>
      <c r="P60" s="1618">
        <v>4.460946925069095</v>
      </c>
    </row>
    <row r="61" spans="8:26" ht="12.75" customHeight="1">
      <c r="H61" s="1614" t="s">
        <v>1827</v>
      </c>
      <c r="I61" s="1615"/>
      <c r="J61" s="1615" t="s">
        <v>1814</v>
      </c>
      <c r="K61" s="1616">
        <v>237.63617538474239</v>
      </c>
      <c r="L61" s="1616">
        <v>12</v>
      </c>
      <c r="M61" s="1618">
        <v>386.44660735822839</v>
      </c>
      <c r="N61" s="1615">
        <v>0</v>
      </c>
      <c r="O61" s="1619" t="s">
        <v>1815</v>
      </c>
      <c r="P61" s="1618">
        <v>3.9077000246842117</v>
      </c>
    </row>
    <row r="62" spans="8:26" ht="12.75" customHeight="1">
      <c r="H62" s="1614" t="s">
        <v>1828</v>
      </c>
      <c r="I62" s="1615"/>
      <c r="J62" s="1615" t="s">
        <v>1814</v>
      </c>
      <c r="K62" s="1616">
        <v>277.29241327315469</v>
      </c>
      <c r="L62" s="1616">
        <v>12</v>
      </c>
      <c r="M62" s="1618">
        <v>386.44660735822839</v>
      </c>
      <c r="N62" s="1615">
        <v>0</v>
      </c>
      <c r="O62" s="1619" t="s">
        <v>1815</v>
      </c>
      <c r="P62" s="1618">
        <v>3.7243645700475825</v>
      </c>
    </row>
    <row r="63" spans="8:26" ht="12.75" customHeight="1">
      <c r="H63" s="1614" t="s">
        <v>1829</v>
      </c>
      <c r="I63" s="1615"/>
      <c r="J63" s="1615" t="s">
        <v>1814</v>
      </c>
      <c r="K63" s="1616">
        <v>312.40470723685291</v>
      </c>
      <c r="L63" s="1616">
        <v>12</v>
      </c>
      <c r="M63" s="1618">
        <v>386.44660735822839</v>
      </c>
      <c r="N63" s="1615">
        <v>0</v>
      </c>
      <c r="O63" s="1619" t="s">
        <v>1815</v>
      </c>
      <c r="P63" s="1618">
        <v>3.5620363029214008</v>
      </c>
    </row>
    <row r="64" spans="8:26" ht="12.75" customHeight="1">
      <c r="H64" s="1614" t="s">
        <v>1830</v>
      </c>
      <c r="I64" s="1615"/>
      <c r="J64" s="1615" t="s">
        <v>1814</v>
      </c>
      <c r="K64" s="1616">
        <v>343.71226346454694</v>
      </c>
      <c r="L64" s="1616">
        <v>12</v>
      </c>
      <c r="M64" s="1618">
        <v>386.44660735822839</v>
      </c>
      <c r="N64" s="1615">
        <v>0</v>
      </c>
      <c r="O64" s="1619" t="s">
        <v>1815</v>
      </c>
      <c r="P64" s="1618">
        <v>3.4172977861030094</v>
      </c>
    </row>
    <row r="65" spans="8:16" ht="12.75" customHeight="1">
      <c r="H65" s="1614" t="s">
        <v>1831</v>
      </c>
      <c r="I65" s="1615"/>
      <c r="J65" s="1615" t="s">
        <v>1814</v>
      </c>
      <c r="K65" s="1616">
        <v>383.84059942305953</v>
      </c>
      <c r="L65" s="1616">
        <v>12</v>
      </c>
      <c r="M65" s="1618">
        <v>386.44660735822839</v>
      </c>
      <c r="N65" s="1615">
        <v>0</v>
      </c>
      <c r="O65" s="1619" t="s">
        <v>1815</v>
      </c>
      <c r="P65" s="1618">
        <v>3.231779766530229</v>
      </c>
    </row>
    <row r="66" spans="8:16" ht="12.75" customHeight="1">
      <c r="H66" s="1614" t="s">
        <v>1832</v>
      </c>
      <c r="I66" s="1615"/>
      <c r="J66" s="1615" t="s">
        <v>1814</v>
      </c>
      <c r="K66" s="1616">
        <v>434.79864307026338</v>
      </c>
      <c r="L66" s="1616">
        <v>12</v>
      </c>
      <c r="M66" s="1618">
        <v>386.44660735822839</v>
      </c>
      <c r="N66" s="1615">
        <v>0</v>
      </c>
      <c r="O66" s="1619" t="s">
        <v>1815</v>
      </c>
      <c r="P66" s="1618">
        <v>2.9961947338364641</v>
      </c>
    </row>
    <row r="67" spans="8:16" ht="12.75" customHeight="1">
      <c r="H67" s="1614" t="s">
        <v>1833</v>
      </c>
      <c r="I67" s="1615"/>
      <c r="J67" s="1615" t="s">
        <v>1814</v>
      </c>
      <c r="K67" s="1616">
        <v>484.76977841482596</v>
      </c>
      <c r="L67" s="1616">
        <v>12</v>
      </c>
      <c r="M67" s="1618">
        <v>386.44660735822839</v>
      </c>
      <c r="N67" s="1615">
        <v>0</v>
      </c>
      <c r="O67" s="1619" t="s">
        <v>1815</v>
      </c>
      <c r="P67" s="1618">
        <v>2.7651722943684742</v>
      </c>
    </row>
    <row r="68" spans="8:16" ht="12.75" customHeight="1">
      <c r="H68" s="1614" t="s">
        <v>1834</v>
      </c>
      <c r="I68" s="1615"/>
      <c r="J68" s="1615" t="s">
        <v>1814</v>
      </c>
      <c r="K68" s="1616">
        <v>534.14988628424771</v>
      </c>
      <c r="L68" s="1616">
        <v>12</v>
      </c>
      <c r="M68" s="1618">
        <v>386.44660735822839</v>
      </c>
      <c r="N68" s="1615">
        <v>0</v>
      </c>
      <c r="O68" s="1619" t="s">
        <v>1815</v>
      </c>
      <c r="P68" s="1618">
        <v>2.5368822444721482</v>
      </c>
    </row>
    <row r="69" spans="8:16" ht="12.75" customHeight="1">
      <c r="H69" s="1614" t="s">
        <v>1835</v>
      </c>
      <c r="I69" s="1615"/>
      <c r="J69" s="1615" t="s">
        <v>1814</v>
      </c>
      <c r="K69" s="1616">
        <v>584.49959083596605</v>
      </c>
      <c r="L69" s="1616">
        <v>12</v>
      </c>
      <c r="M69" s="1618">
        <v>386.44660735822839</v>
      </c>
      <c r="N69" s="1615">
        <v>0</v>
      </c>
      <c r="O69" s="1619" t="s">
        <v>1815</v>
      </c>
      <c r="P69" s="1618">
        <v>2.3041096350081887</v>
      </c>
    </row>
    <row r="70" spans="8:16" ht="12.75" customHeight="1">
      <c r="H70" s="1614" t="s">
        <v>1836</v>
      </c>
      <c r="I70" s="1615"/>
      <c r="J70" s="1615" t="s">
        <v>1814</v>
      </c>
      <c r="K70" s="1616">
        <v>623.87140898542452</v>
      </c>
      <c r="L70" s="1616">
        <v>12</v>
      </c>
      <c r="M70" s="1618">
        <v>386.44660735822839</v>
      </c>
      <c r="N70" s="1615">
        <v>0</v>
      </c>
      <c r="O70" s="1619" t="s">
        <v>1815</v>
      </c>
      <c r="P70" s="1618">
        <v>2.122089086296207</v>
      </c>
    </row>
    <row r="73" spans="8:16" ht="12.75" customHeight="1">
      <c r="H73" s="2960" t="s">
        <v>1837</v>
      </c>
      <c r="I73" s="2961"/>
      <c r="J73" s="2961"/>
      <c r="K73" s="2961"/>
      <c r="L73" s="2961"/>
      <c r="M73" s="2962"/>
    </row>
    <row r="74" spans="8:16" ht="12.75" customHeight="1">
      <c r="H74" s="1592" t="s">
        <v>1838</v>
      </c>
      <c r="I74" s="1593" t="s">
        <v>997</v>
      </c>
      <c r="J74" s="1620" t="s">
        <v>487</v>
      </c>
      <c r="K74" s="483"/>
      <c r="L74" s="1621"/>
      <c r="M74" s="1594">
        <f>K49</f>
        <v>67.565806103717364</v>
      </c>
    </row>
    <row r="75" spans="8:16" ht="12.75" customHeight="1">
      <c r="H75" s="1592" t="s">
        <v>1838</v>
      </c>
      <c r="I75" s="1593" t="s">
        <v>998</v>
      </c>
      <c r="J75" s="1622" t="s">
        <v>488</v>
      </c>
      <c r="K75" s="483"/>
      <c r="L75" s="1621"/>
      <c r="M75" s="1595">
        <f>K53</f>
        <v>304.0668077995208</v>
      </c>
    </row>
    <row r="76" spans="8:16" ht="12.75" customHeight="1">
      <c r="H76" s="1592" t="s">
        <v>1838</v>
      </c>
      <c r="I76" s="1593" t="s">
        <v>999</v>
      </c>
      <c r="J76" s="1622" t="s">
        <v>489</v>
      </c>
      <c r="K76" s="483"/>
      <c r="L76" s="1621"/>
      <c r="M76" s="1595">
        <f>K55</f>
        <v>400.06290171974024</v>
      </c>
    </row>
    <row r="77" spans="8:16" ht="12.75" customHeight="1">
      <c r="H77" s="1592" t="s">
        <v>1838</v>
      </c>
      <c r="I77" s="1593" t="s">
        <v>1839</v>
      </c>
      <c r="J77" s="1622" t="s">
        <v>490</v>
      </c>
      <c r="K77" s="483"/>
      <c r="L77" s="1621"/>
      <c r="M77" s="1595">
        <f>K57</f>
        <v>504.58831580161046</v>
      </c>
    </row>
    <row r="78" spans="8:16" ht="12.75" customHeight="1">
      <c r="H78" s="1592" t="s">
        <v>1838</v>
      </c>
      <c r="I78" s="1593" t="s">
        <v>1840</v>
      </c>
      <c r="J78" s="1622" t="s">
        <v>491</v>
      </c>
      <c r="K78" s="483"/>
      <c r="L78" s="1621"/>
      <c r="M78" s="1595">
        <f t="shared" ref="M78:M79" si="14">K58</f>
        <v>557.6519570169512</v>
      </c>
    </row>
    <row r="79" spans="8:16" ht="12.75" customHeight="1">
      <c r="H79" s="1592" t="s">
        <v>1838</v>
      </c>
      <c r="I79" s="1593" t="s">
        <v>1841</v>
      </c>
      <c r="J79" s="1622" t="s">
        <v>492</v>
      </c>
      <c r="K79" s="483"/>
      <c r="L79" s="1621"/>
      <c r="M79" s="1595">
        <f t="shared" si="14"/>
        <v>599.14598465583231</v>
      </c>
    </row>
    <row r="80" spans="8:16" ht="12.75" customHeight="1">
      <c r="H80" s="1592" t="s">
        <v>1842</v>
      </c>
      <c r="I80" s="1593" t="s">
        <v>997</v>
      </c>
      <c r="J80" s="1622" t="s">
        <v>487</v>
      </c>
      <c r="K80" s="483"/>
      <c r="L80" s="1621"/>
      <c r="M80" s="1595">
        <f>K60</f>
        <v>117.96651990989676</v>
      </c>
    </row>
    <row r="81" spans="8:19" ht="12.75" customHeight="1">
      <c r="H81" s="1592" t="s">
        <v>1842</v>
      </c>
      <c r="I81" s="1593" t="s">
        <v>998</v>
      </c>
      <c r="J81" s="1622" t="s">
        <v>488</v>
      </c>
      <c r="K81" s="483"/>
      <c r="L81" s="1621"/>
      <c r="M81" s="1595">
        <f>K64</f>
        <v>343.71226346454694</v>
      </c>
    </row>
    <row r="82" spans="8:19" ht="12.75" customHeight="1">
      <c r="H82" s="1592" t="s">
        <v>1842</v>
      </c>
      <c r="I82" s="1593" t="s">
        <v>999</v>
      </c>
      <c r="J82" s="1622" t="s">
        <v>489</v>
      </c>
      <c r="K82" s="483"/>
      <c r="L82" s="1621"/>
      <c r="M82" s="1595">
        <f>K66</f>
        <v>434.79864307026338</v>
      </c>
    </row>
    <row r="83" spans="8:19" ht="12.75" customHeight="1">
      <c r="H83" s="1592" t="s">
        <v>1842</v>
      </c>
      <c r="I83" s="1593" t="s">
        <v>1839</v>
      </c>
      <c r="J83" s="1622" t="s">
        <v>490</v>
      </c>
      <c r="K83" s="483"/>
      <c r="L83" s="1621"/>
      <c r="M83" s="1595">
        <f>K68</f>
        <v>534.14988628424771</v>
      </c>
    </row>
    <row r="84" spans="8:19" ht="12.75" customHeight="1">
      <c r="H84" s="1592" t="s">
        <v>1842</v>
      </c>
      <c r="I84" s="1593" t="s">
        <v>1840</v>
      </c>
      <c r="J84" s="1622" t="s">
        <v>491</v>
      </c>
      <c r="K84" s="483"/>
      <c r="L84" s="1621"/>
      <c r="M84" s="1595">
        <f t="shared" ref="M84:M85" si="15">K69</f>
        <v>584.49959083596605</v>
      </c>
    </row>
    <row r="85" spans="8:19" ht="12.75" customHeight="1">
      <c r="H85" s="1596" t="s">
        <v>1842</v>
      </c>
      <c r="I85" s="1597" t="s">
        <v>1841</v>
      </c>
      <c r="J85" s="1622" t="s">
        <v>492</v>
      </c>
      <c r="K85" s="596"/>
      <c r="L85" s="1623"/>
      <c r="M85" s="1598">
        <f t="shared" si="15"/>
        <v>623.87140898542452</v>
      </c>
    </row>
    <row r="88" spans="8:19" ht="12.75" customHeight="1">
      <c r="H88" s="2960" t="s">
        <v>1843</v>
      </c>
      <c r="I88" s="2961"/>
      <c r="J88" s="2961"/>
      <c r="K88" s="2961"/>
      <c r="L88" s="2961"/>
      <c r="M88" s="2962"/>
      <c r="O88" s="1624"/>
      <c r="P88" s="1599"/>
      <c r="Q88" s="1600" t="s">
        <v>996</v>
      </c>
      <c r="R88" s="1601" t="s">
        <v>1844</v>
      </c>
    </row>
    <row r="89" spans="8:19" ht="12.75" customHeight="1">
      <c r="H89" s="1592" t="s">
        <v>1838</v>
      </c>
      <c r="I89" s="1593" t="s">
        <v>997</v>
      </c>
      <c r="J89" s="1622" t="s">
        <v>487</v>
      </c>
      <c r="K89" s="1602">
        <v>1</v>
      </c>
      <c r="L89" s="1621"/>
      <c r="M89" s="1594">
        <f t="shared" ref="M89:M100" si="16">M74*K89</f>
        <v>67.565806103717364</v>
      </c>
      <c r="N89" s="1603"/>
      <c r="O89" s="1625"/>
      <c r="P89" s="1621"/>
      <c r="Q89" s="1626"/>
      <c r="R89" s="1627"/>
    </row>
    <row r="90" spans="8:19" ht="12.75" customHeight="1">
      <c r="H90" s="1592" t="s">
        <v>1838</v>
      </c>
      <c r="I90" s="1593" t="s">
        <v>998</v>
      </c>
      <c r="J90" s="1622" t="s">
        <v>488</v>
      </c>
      <c r="K90" s="1602">
        <v>0.5</v>
      </c>
      <c r="L90" s="1621"/>
      <c r="M90" s="1595">
        <f t="shared" si="16"/>
        <v>152.0334038997604</v>
      </c>
      <c r="N90" s="1628"/>
      <c r="O90" s="1622" t="s">
        <v>487</v>
      </c>
      <c r="P90" s="1604"/>
      <c r="Q90" s="1605">
        <f>SUMIFS($M$89:$M$100,$J$89:$J$100,O90)</f>
        <v>67.565806103717364</v>
      </c>
      <c r="R90" s="1629">
        <f>Q90-Q89</f>
        <v>67.565806103717364</v>
      </c>
    </row>
    <row r="91" spans="8:19" ht="12.75" customHeight="1">
      <c r="H91" s="1592" t="s">
        <v>1838</v>
      </c>
      <c r="I91" s="1593" t="s">
        <v>999</v>
      </c>
      <c r="J91" s="1622" t="s">
        <v>489</v>
      </c>
      <c r="K91" s="1602">
        <v>0</v>
      </c>
      <c r="L91" s="1621"/>
      <c r="M91" s="1595">
        <f t="shared" si="16"/>
        <v>0</v>
      </c>
      <c r="N91" s="1603"/>
      <c r="O91" s="1622" t="s">
        <v>488</v>
      </c>
      <c r="P91" s="1604"/>
      <c r="Q91" s="1605">
        <f>SUMIFS($M$89:$M$100,$J$89:$J$100,O91)</f>
        <v>323.88953563203387</v>
      </c>
      <c r="R91" s="1629">
        <f>Q91-Q90</f>
        <v>256.32372952831651</v>
      </c>
    </row>
    <row r="92" spans="8:19" ht="12.75" customHeight="1">
      <c r="H92" s="1592" t="s">
        <v>1838</v>
      </c>
      <c r="I92" s="1593" t="s">
        <v>1839</v>
      </c>
      <c r="J92" s="1622" t="s">
        <v>490</v>
      </c>
      <c r="K92" s="1602">
        <v>0</v>
      </c>
      <c r="L92" s="1621"/>
      <c r="M92" s="1595">
        <f t="shared" si="16"/>
        <v>0</v>
      </c>
      <c r="N92" s="1603"/>
      <c r="O92" s="1622" t="s">
        <v>489</v>
      </c>
      <c r="P92" s="1604"/>
      <c r="Q92" s="1605">
        <f t="shared" ref="Q92:Q95" si="17">SUMIFS($M$89:$M$100,$J$89:$J$100,O92)</f>
        <v>434.79864307026338</v>
      </c>
      <c r="R92" s="1629">
        <f t="shared" ref="R92:R95" si="18">Q92-Q91</f>
        <v>110.90910743822951</v>
      </c>
    </row>
    <row r="93" spans="8:19" ht="12.75" customHeight="1">
      <c r="H93" s="1592" t="s">
        <v>1838</v>
      </c>
      <c r="I93" s="1593" t="s">
        <v>1840</v>
      </c>
      <c r="J93" s="1622" t="s">
        <v>491</v>
      </c>
      <c r="K93" s="1602">
        <v>0</v>
      </c>
      <c r="L93" s="1621"/>
      <c r="M93" s="1595">
        <f t="shared" si="16"/>
        <v>0</v>
      </c>
      <c r="N93" s="1603"/>
      <c r="O93" s="1622" t="s">
        <v>490</v>
      </c>
      <c r="P93" s="1604"/>
      <c r="Q93" s="1605">
        <f t="shared" si="17"/>
        <v>534.14988628424771</v>
      </c>
      <c r="R93" s="1629">
        <f t="shared" si="18"/>
        <v>99.351243213984333</v>
      </c>
    </row>
    <row r="94" spans="8:19" ht="12.75" customHeight="1">
      <c r="H94" s="1592" t="s">
        <v>1838</v>
      </c>
      <c r="I94" s="1593" t="s">
        <v>1841</v>
      </c>
      <c r="J94" s="1622" t="s">
        <v>492</v>
      </c>
      <c r="K94" s="1602">
        <v>0</v>
      </c>
      <c r="L94" s="1621"/>
      <c r="M94" s="1595">
        <f t="shared" si="16"/>
        <v>0</v>
      </c>
      <c r="N94" s="1603"/>
      <c r="O94" s="1622" t="s">
        <v>491</v>
      </c>
      <c r="P94" s="1604"/>
      <c r="Q94" s="1605">
        <f t="shared" si="17"/>
        <v>584.49959083596605</v>
      </c>
      <c r="R94" s="1629">
        <f t="shared" si="18"/>
        <v>50.349704551718332</v>
      </c>
    </row>
    <row r="95" spans="8:19" ht="12.75" customHeight="1">
      <c r="H95" s="1592" t="s">
        <v>1842</v>
      </c>
      <c r="I95" s="1593" t="s">
        <v>997</v>
      </c>
      <c r="J95" s="1622" t="s">
        <v>487</v>
      </c>
      <c r="K95" s="1630">
        <v>0</v>
      </c>
      <c r="L95" s="1621"/>
      <c r="M95" s="1595">
        <f t="shared" si="16"/>
        <v>0</v>
      </c>
      <c r="N95" s="1603"/>
      <c r="O95" s="1622" t="s">
        <v>492</v>
      </c>
      <c r="P95" s="1604"/>
      <c r="Q95" s="1605">
        <f t="shared" si="17"/>
        <v>623.87140898542452</v>
      </c>
      <c r="R95" s="1629">
        <f t="shared" si="18"/>
        <v>39.371818149458477</v>
      </c>
    </row>
    <row r="96" spans="8:19" ht="12.75" customHeight="1">
      <c r="H96" s="1592" t="s">
        <v>1842</v>
      </c>
      <c r="I96" s="1593" t="s">
        <v>998</v>
      </c>
      <c r="J96" s="1622" t="s">
        <v>488</v>
      </c>
      <c r="K96" s="1630">
        <v>0.5</v>
      </c>
      <c r="L96" s="1621"/>
      <c r="M96" s="1595">
        <f>M81*K96</f>
        <v>171.85613173227347</v>
      </c>
      <c r="N96" s="1603"/>
      <c r="O96" s="1628"/>
      <c r="P96" s="1628"/>
      <c r="Q96" s="1628"/>
      <c r="R96" s="1628"/>
      <c r="S96" s="1628"/>
    </row>
    <row r="97" spans="8:19" ht="12.75" customHeight="1">
      <c r="H97" s="1592" t="s">
        <v>1842</v>
      </c>
      <c r="I97" s="1593" t="s">
        <v>999</v>
      </c>
      <c r="J97" s="1622" t="s">
        <v>489</v>
      </c>
      <c r="K97" s="1630">
        <v>1</v>
      </c>
      <c r="L97" s="1621"/>
      <c r="M97" s="1595">
        <f t="shared" si="16"/>
        <v>434.79864307026338</v>
      </c>
      <c r="N97" s="1628"/>
      <c r="O97" s="1628"/>
      <c r="P97" s="1628"/>
      <c r="Q97" s="1628"/>
      <c r="R97" s="1628"/>
      <c r="S97" s="1628"/>
    </row>
    <row r="98" spans="8:19" ht="12.75" customHeight="1">
      <c r="H98" s="1592" t="s">
        <v>1842</v>
      </c>
      <c r="I98" s="1593" t="s">
        <v>1839</v>
      </c>
      <c r="J98" s="1622" t="s">
        <v>490</v>
      </c>
      <c r="K98" s="1630">
        <v>1</v>
      </c>
      <c r="L98" s="1621"/>
      <c r="M98" s="1595">
        <f t="shared" si="16"/>
        <v>534.14988628424771</v>
      </c>
      <c r="N98" s="1628"/>
      <c r="O98" s="1628"/>
      <c r="P98" s="1628"/>
      <c r="Q98" s="1628"/>
      <c r="R98" s="1628"/>
      <c r="S98" s="1628"/>
    </row>
    <row r="99" spans="8:19" ht="12.75" customHeight="1">
      <c r="H99" s="1592" t="s">
        <v>1842</v>
      </c>
      <c r="I99" s="1593" t="s">
        <v>1840</v>
      </c>
      <c r="J99" s="1622" t="s">
        <v>491</v>
      </c>
      <c r="K99" s="1630">
        <v>1</v>
      </c>
      <c r="L99" s="1621"/>
      <c r="M99" s="1595">
        <f t="shared" si="16"/>
        <v>584.49959083596605</v>
      </c>
      <c r="N99" s="1628"/>
      <c r="O99" s="1628"/>
      <c r="P99" s="1628"/>
      <c r="Q99" s="1628"/>
      <c r="R99" s="1628"/>
      <c r="S99" s="1628"/>
    </row>
    <row r="100" spans="8:19" ht="12.75" customHeight="1">
      <c r="H100" s="1596" t="s">
        <v>1842</v>
      </c>
      <c r="I100" s="1597" t="s">
        <v>1841</v>
      </c>
      <c r="J100" s="1622" t="s">
        <v>492</v>
      </c>
      <c r="K100" s="1630">
        <v>1</v>
      </c>
      <c r="L100" s="1623"/>
      <c r="M100" s="1598">
        <f t="shared" si="16"/>
        <v>623.87140898542452</v>
      </c>
      <c r="N100" s="1628"/>
      <c r="O100" s="1628"/>
      <c r="P100" s="1628"/>
      <c r="Q100" s="1628"/>
      <c r="R100" s="1628"/>
      <c r="S100" s="1628"/>
    </row>
    <row r="101" spans="8:19" ht="12.75" customHeight="1">
      <c r="H101" s="1628"/>
      <c r="I101" s="1628"/>
      <c r="J101" s="1628"/>
      <c r="K101" s="1606"/>
      <c r="L101" s="1628"/>
      <c r="M101" s="1628"/>
      <c r="N101" s="1628"/>
      <c r="O101" s="1628"/>
      <c r="P101" s="1628"/>
      <c r="Q101" s="1628"/>
      <c r="R101" s="1628"/>
      <c r="S101" s="1628"/>
    </row>
  </sheetData>
  <autoFilter ref="A5:Z29">
    <filterColumn colId="11">
      <filters>
        <filter val="2020"/>
        <filter val="2021"/>
      </filters>
    </filterColumn>
  </autoFilter>
  <dataConsolidate/>
  <mergeCells count="16">
    <mergeCell ref="R39:Z39"/>
    <mergeCell ref="S41:U41"/>
    <mergeCell ref="R44:Z44"/>
    <mergeCell ref="R47:Z47"/>
    <mergeCell ref="I41:K41"/>
    <mergeCell ref="H73:M73"/>
    <mergeCell ref="H88:M88"/>
    <mergeCell ref="M4:Q4"/>
    <mergeCell ref="H44:P44"/>
    <mergeCell ref="H39:P39"/>
    <mergeCell ref="R4:S4"/>
    <mergeCell ref="I2:R2"/>
    <mergeCell ref="T4:V4"/>
    <mergeCell ref="H34:M34"/>
    <mergeCell ref="A4:G4"/>
    <mergeCell ref="H4:L4"/>
  </mergeCells>
  <dataValidations count="1">
    <dataValidation type="list" allowBlank="1" showInputMessage="1" showErrorMessage="1" sqref="V2">
      <formula1>Source_list</formula1>
    </dataValidation>
  </dataValidations>
  <hyperlinks>
    <hyperlink ref="H1" location="' Summary by Program 2020-21'!H1" display="Summary Page"/>
  </hyperlinks>
  <pageMargins left="0.7" right="0.7" top="0.75" bottom="0.75" header="0.3" footer="0.3"/>
  <pageSetup scale="3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filterMode="1">
    <tabColor rgb="FF0083CA"/>
    <pageSetUpPr fitToPage="1"/>
  </sheetPr>
  <dimension ref="A1:XFD110"/>
  <sheetViews>
    <sheetView topLeftCell="H72" workbookViewId="0">
      <selection activeCell="H103" sqref="H103:M110"/>
    </sheetView>
  </sheetViews>
  <sheetFormatPr defaultColWidth="18.6640625" defaultRowHeight="12.75" customHeight="1" outlineLevelCol="1"/>
  <cols>
    <col min="1" max="1" width="20" style="460" hidden="1" customWidth="1" outlineLevel="1"/>
    <col min="2" max="2" width="16.44140625" style="460" hidden="1" customWidth="1" outlineLevel="1"/>
    <col min="3" max="3" width="19" style="461" hidden="1" customWidth="1" outlineLevel="1"/>
    <col min="4" max="4" width="12.109375" style="461" hidden="1" customWidth="1" outlineLevel="1"/>
    <col min="5" max="5" width="17.6640625" style="461" hidden="1" customWidth="1" outlineLevel="1"/>
    <col min="6" max="6" width="11.88671875" style="461" hidden="1" customWidth="1" outlineLevel="1"/>
    <col min="7" max="7" width="18.5546875" style="460" hidden="1" customWidth="1" outlineLevel="1"/>
    <col min="8" max="8" width="16.6640625" style="462" customWidth="1" collapsed="1"/>
    <col min="9" max="9" width="29.33203125" style="462" customWidth="1"/>
    <col min="10" max="10" width="27.44140625" style="462" customWidth="1"/>
    <col min="11" max="11" width="21.88671875" style="462" bestFit="1" customWidth="1"/>
    <col min="12" max="12" width="8" style="462" customWidth="1"/>
    <col min="13" max="13" width="14.88671875" style="463" customWidth="1"/>
    <col min="14" max="14" width="12.109375" style="463" customWidth="1"/>
    <col min="15" max="15" width="10.109375" style="463" customWidth="1"/>
    <col min="16" max="16" width="37.6640625" style="463" customWidth="1"/>
    <col min="17" max="17" width="10.33203125" style="462" customWidth="1"/>
    <col min="18" max="18" width="9.44140625" style="462" customWidth="1"/>
    <col min="19" max="19" width="11.109375" style="462" customWidth="1"/>
    <col min="20" max="20" width="8.5546875" style="462" customWidth="1"/>
    <col min="21" max="21" width="11.44140625" style="462" customWidth="1"/>
    <col min="22" max="22" width="11.44140625" style="464" customWidth="1"/>
    <col min="23" max="16384" width="18.6640625" style="462"/>
  </cols>
  <sheetData>
    <row r="1" spans="1:24" ht="12.75" customHeight="1">
      <c r="H1" s="239" t="s">
        <v>1067</v>
      </c>
    </row>
    <row r="2" spans="1:24" ht="36.75" customHeight="1">
      <c r="H2" s="2231" t="str">
        <f>I7&amp;":"</f>
        <v>Other Codes (Commercial):</v>
      </c>
      <c r="I2" s="2968" t="str">
        <f>INDEX(Programs!C:C,MATCH(Codes!I7,Programs!B:B,0))</f>
        <v>Providing information and technical expertise to create new and more stringent building codes and providing technical support and training after code adoption.</v>
      </c>
      <c r="J2" s="2968"/>
      <c r="K2" s="2968"/>
      <c r="L2" s="2968"/>
    </row>
    <row r="3" spans="1:24" ht="47.25" customHeight="1">
      <c r="H3" s="2231" t="str">
        <f>I17&amp;":"</f>
        <v>Residential New Construction/Next Step Homes:</v>
      </c>
      <c r="I3" s="2968" t="str">
        <f>INDEX(Programs!C:C,MATCH(I17,Programs!B:B,0))</f>
        <v>The Next Step Homes initiative leverages the infrastructure created by prior Efficient Homes programs to develop and increase market adoption of energy efficient advanced building practices for single-family homes, aimed at influencing and accelerating code adoption.</v>
      </c>
      <c r="J3" s="2968"/>
      <c r="K3" s="2968"/>
      <c r="L3" s="2968"/>
      <c r="P3" s="2232"/>
      <c r="S3" s="2233"/>
    </row>
    <row r="4" spans="1:24" ht="50.25" customHeight="1" thickBot="1">
      <c r="H4" s="2241" t="str">
        <f>I15&amp;":"</f>
        <v>Other Codes (Multifamily):</v>
      </c>
      <c r="I4" s="2967" t="str">
        <f>INDEX(Programs!C:C,MATCH(I15,Programs!B:B,0))</f>
        <v>Providing information and technical expertise to create new and more stringent building codes and providing technical support and training after code adoption.</v>
      </c>
      <c r="J4" s="2967"/>
      <c r="K4" s="2967"/>
      <c r="L4" s="2967"/>
      <c r="S4" s="932"/>
    </row>
    <row r="5" spans="1:24" s="458" customFormat="1" ht="15.75" customHeight="1">
      <c r="A5" s="2876" t="s">
        <v>131</v>
      </c>
      <c r="B5" s="2877"/>
      <c r="C5" s="2877"/>
      <c r="D5" s="2877"/>
      <c r="E5" s="2877"/>
      <c r="F5" s="2877"/>
      <c r="G5" s="2984"/>
      <c r="H5" s="2985" t="s">
        <v>7</v>
      </c>
      <c r="I5" s="2986"/>
      <c r="J5" s="2986"/>
      <c r="K5" s="2986"/>
      <c r="L5" s="2986"/>
      <c r="M5" s="2987" t="s">
        <v>127</v>
      </c>
      <c r="N5" s="2988"/>
      <c r="O5" s="2988"/>
      <c r="P5" s="2988"/>
      <c r="Q5" s="2989"/>
      <c r="R5" s="2996" t="s">
        <v>129</v>
      </c>
      <c r="S5" s="2997"/>
      <c r="T5" s="2993" t="s">
        <v>130</v>
      </c>
      <c r="U5" s="2994"/>
      <c r="V5" s="2995"/>
    </row>
    <row r="6" spans="1:24" s="931" customFormat="1" ht="43.5" customHeight="1">
      <c r="A6" s="927" t="s">
        <v>0</v>
      </c>
      <c r="B6" s="928" t="s">
        <v>11</v>
      </c>
      <c r="C6" s="929" t="s">
        <v>1</v>
      </c>
      <c r="D6" s="929" t="s">
        <v>2</v>
      </c>
      <c r="E6" s="929" t="s">
        <v>266</v>
      </c>
      <c r="F6" s="929" t="s">
        <v>306</v>
      </c>
      <c r="G6" s="928" t="s">
        <v>12</v>
      </c>
      <c r="H6" s="2542" t="s">
        <v>3</v>
      </c>
      <c r="I6" s="2529" t="s">
        <v>4</v>
      </c>
      <c r="J6" s="2529" t="s">
        <v>5</v>
      </c>
      <c r="K6" s="2529" t="s">
        <v>6</v>
      </c>
      <c r="L6" s="2529" t="s">
        <v>8</v>
      </c>
      <c r="M6" s="2530" t="s">
        <v>13</v>
      </c>
      <c r="N6" s="2529" t="s">
        <v>14</v>
      </c>
      <c r="O6" s="2529" t="s">
        <v>123</v>
      </c>
      <c r="P6" s="2529" t="s">
        <v>124</v>
      </c>
      <c r="Q6" s="2531" t="s">
        <v>16</v>
      </c>
      <c r="R6" s="2530" t="s">
        <v>870</v>
      </c>
      <c r="S6" s="2531" t="s">
        <v>125</v>
      </c>
      <c r="T6" s="2530" t="s">
        <v>126</v>
      </c>
      <c r="U6" s="2529" t="s">
        <v>18</v>
      </c>
      <c r="V6" s="2543" t="s">
        <v>17</v>
      </c>
    </row>
    <row r="7" spans="1:24" ht="12.75" hidden="1" customHeight="1">
      <c r="A7" s="712" t="s">
        <v>21</v>
      </c>
      <c r="B7" s="713" t="str">
        <f>LEFT(A7,10)</f>
        <v>COM_200202</v>
      </c>
      <c r="C7" s="713">
        <v>1</v>
      </c>
      <c r="D7" s="713">
        <v>0</v>
      </c>
      <c r="E7" s="713">
        <f t="shared" ref="E7:E17" si="0">COUNTIFS($A:$A,A7,$L:$L,L7)</f>
        <v>1</v>
      </c>
      <c r="F7" s="713">
        <v>3</v>
      </c>
      <c r="G7" s="713" t="b">
        <v>1</v>
      </c>
      <c r="H7" s="793" t="str">
        <f>IF(LEFT(A7,3)="Res","Residential",IF(LEFT(A7,3)="Ind","industrial",IF(LEFT(A7,3)="Com","Commercial",IF(LEFT(A7,3)="AGR","Agriculture",""))))</f>
        <v>Commercial</v>
      </c>
      <c r="I7" s="716" t="s">
        <v>138</v>
      </c>
      <c r="J7" s="716" t="s">
        <v>445</v>
      </c>
      <c r="K7" s="716" t="s">
        <v>513</v>
      </c>
      <c r="L7" s="701">
        <v>2018</v>
      </c>
      <c r="M7" s="763">
        <v>0</v>
      </c>
      <c r="N7" s="764">
        <v>0</v>
      </c>
      <c r="O7" s="764">
        <v>0</v>
      </c>
      <c r="P7" s="765" t="s">
        <v>778</v>
      </c>
      <c r="Q7" s="719">
        <v>0</v>
      </c>
      <c r="R7" s="2528">
        <v>0.17179098000000001</v>
      </c>
      <c r="S7" s="2344" t="s">
        <v>1238</v>
      </c>
      <c r="T7" s="721">
        <f>(M7-O7)*Q7*R7/8760000</f>
        <v>0</v>
      </c>
      <c r="U7" s="722">
        <f>IFERROR((N7-O7/M7*N7)*Q7*R7/8760/1000,0)</f>
        <v>0</v>
      </c>
      <c r="V7" s="794">
        <f>T7-U7</f>
        <v>0</v>
      </c>
    </row>
    <row r="8" spans="1:24" ht="12.75" hidden="1" customHeight="1">
      <c r="A8" s="726" t="s">
        <v>22</v>
      </c>
      <c r="B8" s="499" t="str">
        <f t="shared" ref="B8:B14" si="1">LEFT(A8,10)</f>
        <v>COM_200202</v>
      </c>
      <c r="C8" s="499">
        <v>1</v>
      </c>
      <c r="D8" s="499">
        <v>0</v>
      </c>
      <c r="E8" s="499">
        <f t="shared" si="0"/>
        <v>1</v>
      </c>
      <c r="F8" s="499">
        <v>3</v>
      </c>
      <c r="G8" s="499" t="b">
        <v>1</v>
      </c>
      <c r="H8" s="795" t="str">
        <f>IF(LEFT(A8,3)="Res","Residential",IF(LEFT(A8,3)="Ind","industrial",IF(LEFT(A8,3)="Com","Commercial",IF(LEFT(A8,3)="AGR","Agriculture",""))))</f>
        <v>Commercial</v>
      </c>
      <c r="I8" s="502" t="s">
        <v>138</v>
      </c>
      <c r="J8" s="502" t="s">
        <v>453</v>
      </c>
      <c r="K8" s="502" t="s">
        <v>1639</v>
      </c>
      <c r="L8" s="24">
        <v>2018</v>
      </c>
      <c r="M8" s="511">
        <v>0</v>
      </c>
      <c r="N8" s="512">
        <v>0</v>
      </c>
      <c r="O8" s="512">
        <v>0</v>
      </c>
      <c r="P8" s="318" t="s">
        <v>778</v>
      </c>
      <c r="Q8" s="505">
        <v>0</v>
      </c>
      <c r="R8" s="862">
        <v>0.27822064000000002</v>
      </c>
      <c r="S8" s="111" t="s">
        <v>1238</v>
      </c>
      <c r="T8" s="507">
        <f>(M8-O8)*Q8*R8/8760000</f>
        <v>0</v>
      </c>
      <c r="U8" s="508">
        <f t="shared" ref="U8:U10" si="2">IFERROR((N8-O8/M8*N8)*Q8*R8/8760/1000,0)</f>
        <v>0</v>
      </c>
      <c r="V8" s="796">
        <f t="shared" ref="V8:V10" si="3">T8-U8</f>
        <v>0</v>
      </c>
    </row>
    <row r="9" spans="1:24" ht="12.75" hidden="1" customHeight="1">
      <c r="A9" s="726" t="s">
        <v>23</v>
      </c>
      <c r="B9" s="499" t="str">
        <f t="shared" si="1"/>
        <v>COM_200202</v>
      </c>
      <c r="C9" s="499">
        <v>1</v>
      </c>
      <c r="D9" s="499">
        <v>0</v>
      </c>
      <c r="E9" s="499">
        <f t="shared" si="0"/>
        <v>1</v>
      </c>
      <c r="F9" s="499">
        <v>3</v>
      </c>
      <c r="G9" s="499" t="b">
        <v>1</v>
      </c>
      <c r="H9" s="795" t="str">
        <f t="shared" ref="H9:H10" si="4">IF(LEFT(A9,3)="Res","Residential",IF(LEFT(A9,3)="Ind","industrial",IF(LEFT(A9,3)="Com","Commercial",IF(LEFT(A9,3)="AGR","Agriculture",""))))</f>
        <v>Commercial</v>
      </c>
      <c r="I9" s="502" t="s">
        <v>138</v>
      </c>
      <c r="J9" s="502" t="s">
        <v>459</v>
      </c>
      <c r="K9" s="502" t="s">
        <v>528</v>
      </c>
      <c r="L9" s="24">
        <v>2018</v>
      </c>
      <c r="M9" s="511">
        <v>0</v>
      </c>
      <c r="N9" s="512">
        <v>0</v>
      </c>
      <c r="O9" s="512">
        <v>0</v>
      </c>
      <c r="P9" s="318" t="s">
        <v>778</v>
      </c>
      <c r="Q9" s="505">
        <v>0</v>
      </c>
      <c r="R9" s="862">
        <v>0.23834701999999999</v>
      </c>
      <c r="S9" s="111" t="s">
        <v>1238</v>
      </c>
      <c r="T9" s="507">
        <f t="shared" ref="T9:T14" si="5">(M9-O9)*Q9*R9/8760000</f>
        <v>0</v>
      </c>
      <c r="U9" s="508">
        <f t="shared" si="2"/>
        <v>0</v>
      </c>
      <c r="V9" s="796">
        <f t="shared" si="3"/>
        <v>0</v>
      </c>
    </row>
    <row r="10" spans="1:24" ht="12.75" hidden="1" customHeight="1">
      <c r="A10" s="726" t="s">
        <v>24</v>
      </c>
      <c r="B10" s="499" t="str">
        <f t="shared" si="1"/>
        <v>COM_200202</v>
      </c>
      <c r="C10" s="499">
        <v>1</v>
      </c>
      <c r="D10" s="499">
        <v>0</v>
      </c>
      <c r="E10" s="499">
        <f t="shared" si="0"/>
        <v>1</v>
      </c>
      <c r="F10" s="499">
        <v>3</v>
      </c>
      <c r="G10" s="499" t="b">
        <v>1</v>
      </c>
      <c r="H10" s="795" t="str">
        <f t="shared" si="4"/>
        <v>Commercial</v>
      </c>
      <c r="I10" s="502" t="s">
        <v>138</v>
      </c>
      <c r="J10" s="502" t="s">
        <v>478</v>
      </c>
      <c r="K10" s="502" t="s">
        <v>1425</v>
      </c>
      <c r="L10" s="24">
        <v>2018</v>
      </c>
      <c r="M10" s="511">
        <v>30598407.8125</v>
      </c>
      <c r="N10" s="512">
        <v>0</v>
      </c>
      <c r="O10" s="512">
        <v>0</v>
      </c>
      <c r="P10" s="318" t="s">
        <v>778</v>
      </c>
      <c r="Q10" s="505">
        <v>0.14199999999999999</v>
      </c>
      <c r="R10" s="862">
        <v>0.19237533000000001</v>
      </c>
      <c r="S10" s="111" t="s">
        <v>1600</v>
      </c>
      <c r="T10" s="507">
        <f t="shared" si="5"/>
        <v>9.5418469138973255E-2</v>
      </c>
      <c r="U10" s="508">
        <f t="shared" si="2"/>
        <v>0</v>
      </c>
      <c r="V10" s="796">
        <f t="shared" si="3"/>
        <v>9.5418469138973255E-2</v>
      </c>
      <c r="X10" s="532">
        <f>SUM(V10:V31)</f>
        <v>0.5791847433059788</v>
      </c>
    </row>
    <row r="11" spans="1:24" ht="12.75" hidden="1" customHeight="1">
      <c r="A11" s="726" t="s">
        <v>21</v>
      </c>
      <c r="B11" s="499" t="str">
        <f t="shared" si="1"/>
        <v>COM_200202</v>
      </c>
      <c r="C11" s="499">
        <v>1</v>
      </c>
      <c r="D11" s="499">
        <v>0</v>
      </c>
      <c r="E11" s="499">
        <f t="shared" si="0"/>
        <v>1</v>
      </c>
      <c r="F11" s="499">
        <v>3</v>
      </c>
      <c r="G11" s="499" t="b">
        <v>1</v>
      </c>
      <c r="H11" s="795" t="str">
        <f t="shared" ref="H11:H14" si="6">IF(LEFT(A11,3)="Res","Residential",IF(LEFT(A11,3)="Ind","industrial",IF(LEFT(A11,3)="Com","Commercial",IF(LEFT(A11,3)="AGR","Agriculture",""))))</f>
        <v>Commercial</v>
      </c>
      <c r="I11" s="502" t="s">
        <v>138</v>
      </c>
      <c r="J11" s="502" t="s">
        <v>445</v>
      </c>
      <c r="K11" s="502" t="s">
        <v>513</v>
      </c>
      <c r="L11" s="24">
        <v>2019</v>
      </c>
      <c r="M11" s="511">
        <v>0</v>
      </c>
      <c r="N11" s="512">
        <v>0</v>
      </c>
      <c r="O11" s="512">
        <v>0</v>
      </c>
      <c r="P11" s="318" t="s">
        <v>778</v>
      </c>
      <c r="Q11" s="505">
        <v>0</v>
      </c>
      <c r="R11" s="862">
        <v>0.17179098000000001</v>
      </c>
      <c r="S11" s="111" t="s">
        <v>1238</v>
      </c>
      <c r="T11" s="507">
        <f t="shared" si="5"/>
        <v>0</v>
      </c>
      <c r="U11" s="508">
        <f t="shared" ref="U11:U14" si="7">IFERROR((N11-O11/M11*N11)*Q11*R11/8760/1000,0)</f>
        <v>0</v>
      </c>
      <c r="V11" s="796">
        <f t="shared" ref="V11:V14" si="8">T11-U11</f>
        <v>0</v>
      </c>
    </row>
    <row r="12" spans="1:24" ht="12.75" hidden="1" customHeight="1">
      <c r="A12" s="726" t="s">
        <v>22</v>
      </c>
      <c r="B12" s="499" t="str">
        <f t="shared" si="1"/>
        <v>COM_200202</v>
      </c>
      <c r="C12" s="499">
        <v>1</v>
      </c>
      <c r="D12" s="499">
        <v>0</v>
      </c>
      <c r="E12" s="499">
        <f t="shared" si="0"/>
        <v>1</v>
      </c>
      <c r="F12" s="499">
        <v>3</v>
      </c>
      <c r="G12" s="499" t="b">
        <v>1</v>
      </c>
      <c r="H12" s="795" t="str">
        <f t="shared" si="6"/>
        <v>Commercial</v>
      </c>
      <c r="I12" s="502" t="s">
        <v>138</v>
      </c>
      <c r="J12" s="502" t="s">
        <v>453</v>
      </c>
      <c r="K12" s="502" t="s">
        <v>1639</v>
      </c>
      <c r="L12" s="24">
        <v>2019</v>
      </c>
      <c r="M12" s="511">
        <v>0</v>
      </c>
      <c r="N12" s="512">
        <v>0</v>
      </c>
      <c r="O12" s="512">
        <v>0</v>
      </c>
      <c r="P12" s="318" t="s">
        <v>778</v>
      </c>
      <c r="Q12" s="505">
        <v>0</v>
      </c>
      <c r="R12" s="862">
        <v>0.27822064000000002</v>
      </c>
      <c r="S12" s="111" t="s">
        <v>1238</v>
      </c>
      <c r="T12" s="507">
        <f t="shared" si="5"/>
        <v>0</v>
      </c>
      <c r="U12" s="508">
        <f t="shared" si="7"/>
        <v>0</v>
      </c>
      <c r="V12" s="796">
        <f t="shared" si="8"/>
        <v>0</v>
      </c>
    </row>
    <row r="13" spans="1:24" ht="12.75" hidden="1" customHeight="1">
      <c r="A13" s="726" t="s">
        <v>23</v>
      </c>
      <c r="B13" s="499" t="str">
        <f t="shared" si="1"/>
        <v>COM_200202</v>
      </c>
      <c r="C13" s="499">
        <v>1</v>
      </c>
      <c r="D13" s="499">
        <v>0</v>
      </c>
      <c r="E13" s="499">
        <f t="shared" si="0"/>
        <v>1</v>
      </c>
      <c r="F13" s="499">
        <v>3</v>
      </c>
      <c r="G13" s="499" t="b">
        <v>1</v>
      </c>
      <c r="H13" s="795" t="str">
        <f t="shared" si="6"/>
        <v>Commercial</v>
      </c>
      <c r="I13" s="502" t="s">
        <v>138</v>
      </c>
      <c r="J13" s="502" t="s">
        <v>459</v>
      </c>
      <c r="K13" s="502" t="s">
        <v>528</v>
      </c>
      <c r="L13" s="24">
        <v>2019</v>
      </c>
      <c r="M13" s="511"/>
      <c r="N13" s="512">
        <v>0</v>
      </c>
      <c r="O13" s="512">
        <v>0</v>
      </c>
      <c r="P13" s="318" t="s">
        <v>778</v>
      </c>
      <c r="Q13" s="505">
        <v>0</v>
      </c>
      <c r="R13" s="862">
        <v>0.23834701999999999</v>
      </c>
      <c r="S13" s="111" t="s">
        <v>1600</v>
      </c>
      <c r="T13" s="507">
        <f>(M13-O13)*Q13*R13/8760000</f>
        <v>0</v>
      </c>
      <c r="U13" s="508">
        <f t="shared" si="7"/>
        <v>0</v>
      </c>
      <c r="V13" s="796">
        <f t="shared" si="8"/>
        <v>0</v>
      </c>
      <c r="X13" s="532">
        <f>SUM(Standards!V6:V9)</f>
        <v>0.70428657660308036</v>
      </c>
    </row>
    <row r="14" spans="1:24" ht="12.75" hidden="1" customHeight="1">
      <c r="A14" s="726" t="s">
        <v>24</v>
      </c>
      <c r="B14" s="499" t="str">
        <f t="shared" si="1"/>
        <v>COM_200202</v>
      </c>
      <c r="C14" s="499">
        <v>1</v>
      </c>
      <c r="D14" s="499">
        <v>0</v>
      </c>
      <c r="E14" s="499">
        <f t="shared" si="0"/>
        <v>1</v>
      </c>
      <c r="F14" s="499">
        <v>3</v>
      </c>
      <c r="G14" s="499" t="b">
        <v>1</v>
      </c>
      <c r="H14" s="795" t="str">
        <f t="shared" si="6"/>
        <v>Commercial</v>
      </c>
      <c r="I14" s="502" t="s">
        <v>138</v>
      </c>
      <c r="J14" s="502" t="s">
        <v>478</v>
      </c>
      <c r="K14" s="502" t="s">
        <v>1425</v>
      </c>
      <c r="L14" s="24">
        <v>2019</v>
      </c>
      <c r="M14" s="511">
        <v>45814033.333333299</v>
      </c>
      <c r="N14" s="512">
        <v>0</v>
      </c>
      <c r="O14" s="512">
        <v>0</v>
      </c>
      <c r="P14" s="318" t="s">
        <v>778</v>
      </c>
      <c r="Q14" s="505">
        <v>0.14199999999999999</v>
      </c>
      <c r="R14" s="862">
        <v>0.19237533000000001</v>
      </c>
      <c r="S14" s="111" t="s">
        <v>1600</v>
      </c>
      <c r="T14" s="507">
        <f t="shared" si="5"/>
        <v>0.14286707179458916</v>
      </c>
      <c r="U14" s="508">
        <f t="shared" si="7"/>
        <v>0</v>
      </c>
      <c r="V14" s="796">
        <f t="shared" si="8"/>
        <v>0.14286707179458916</v>
      </c>
    </row>
    <row r="15" spans="1:24" ht="12.75" hidden="1" customHeight="1">
      <c r="A15" s="726" t="s">
        <v>1210</v>
      </c>
      <c r="B15" s="499" t="str">
        <f t="shared" ref="B15:B21" si="9">LEFT(A15,10)</f>
        <v>RES_200601</v>
      </c>
      <c r="C15" s="461">
        <v>1</v>
      </c>
      <c r="D15" s="461">
        <v>0</v>
      </c>
      <c r="E15" s="461">
        <f t="shared" si="0"/>
        <v>1</v>
      </c>
      <c r="F15" s="461">
        <v>3</v>
      </c>
      <c r="G15" s="499" t="b">
        <v>1</v>
      </c>
      <c r="H15" s="795" t="str">
        <f t="shared" ref="H15:H21" si="10">IF(LEFT(A15,3)="Res","Residential",IF(LEFT(A15,3)="Ind","industrial",IF(LEFT(A15,3)="Com","Commercial",IF(LEFT(A15,3)="AGR","Agriculture",""))))</f>
        <v>Residential</v>
      </c>
      <c r="I15" s="502" t="s">
        <v>150</v>
      </c>
      <c r="J15" s="502" t="s">
        <v>461</v>
      </c>
      <c r="K15" s="502" t="s">
        <v>522</v>
      </c>
      <c r="L15" s="24">
        <v>2018</v>
      </c>
      <c r="M15" s="511">
        <v>1347.7289837000001</v>
      </c>
      <c r="N15" s="512">
        <v>0</v>
      </c>
      <c r="O15" s="512">
        <v>0</v>
      </c>
      <c r="P15" s="318" t="s">
        <v>778</v>
      </c>
      <c r="Q15" s="505">
        <v>0.14199999999999999</v>
      </c>
      <c r="R15" s="862">
        <v>450</v>
      </c>
      <c r="S15" s="111" t="s">
        <v>1600</v>
      </c>
      <c r="T15" s="507">
        <f t="shared" ref="T15:T22" si="11">(M15-O15)*Q15*R15/8760000</f>
        <v>9.8310367646609591E-3</v>
      </c>
      <c r="U15" s="508">
        <f t="shared" ref="U15:U22" si="12">IFERROR((N15-O15/M15*N15)*Q15*R15/8760/1000,0)</f>
        <v>0</v>
      </c>
      <c r="V15" s="796">
        <f t="shared" ref="V15:V22" si="13">T15-U15</f>
        <v>9.8310367646609591E-3</v>
      </c>
    </row>
    <row r="16" spans="1:24" ht="12.75" hidden="1" customHeight="1">
      <c r="A16" s="726" t="s">
        <v>63</v>
      </c>
      <c r="B16" s="499" t="str">
        <f t="shared" si="9"/>
        <v>RES_201301</v>
      </c>
      <c r="C16" s="499">
        <v>1</v>
      </c>
      <c r="D16" s="499">
        <v>0</v>
      </c>
      <c r="E16" s="499">
        <f t="shared" si="0"/>
        <v>1</v>
      </c>
      <c r="F16" s="499">
        <v>3</v>
      </c>
      <c r="G16" s="499" t="b">
        <v>1</v>
      </c>
      <c r="H16" s="795" t="str">
        <f t="shared" si="10"/>
        <v>Residential</v>
      </c>
      <c r="I16" s="502" t="s">
        <v>154</v>
      </c>
      <c r="J16" s="502" t="s">
        <v>452</v>
      </c>
      <c r="K16" s="502" t="s">
        <v>508</v>
      </c>
      <c r="L16" s="24">
        <v>2019</v>
      </c>
      <c r="M16" s="511">
        <v>0</v>
      </c>
      <c r="N16" s="512">
        <v>0</v>
      </c>
      <c r="O16" s="512">
        <v>0</v>
      </c>
      <c r="P16" s="318" t="s">
        <v>778</v>
      </c>
      <c r="Q16" s="505">
        <v>0</v>
      </c>
      <c r="R16" s="862">
        <v>363</v>
      </c>
      <c r="S16" s="111" t="s">
        <v>267</v>
      </c>
      <c r="T16" s="507">
        <f t="shared" si="11"/>
        <v>0</v>
      </c>
      <c r="U16" s="508">
        <f t="shared" si="12"/>
        <v>0</v>
      </c>
      <c r="V16" s="796">
        <f t="shared" si="13"/>
        <v>0</v>
      </c>
    </row>
    <row r="17" spans="1:16384" ht="12.75" hidden="1" customHeight="1">
      <c r="A17" s="726" t="s">
        <v>67</v>
      </c>
      <c r="B17" s="499" t="str">
        <f t="shared" si="9"/>
        <v>RES_201301</v>
      </c>
      <c r="C17" s="499">
        <v>1</v>
      </c>
      <c r="D17" s="499">
        <v>0</v>
      </c>
      <c r="E17" s="499">
        <f t="shared" si="0"/>
        <v>1</v>
      </c>
      <c r="F17" s="499">
        <v>3</v>
      </c>
      <c r="G17" s="499" t="b">
        <v>1</v>
      </c>
      <c r="H17" s="795" t="str">
        <f t="shared" si="10"/>
        <v>Residential</v>
      </c>
      <c r="I17" s="502" t="s">
        <v>154</v>
      </c>
      <c r="J17" s="502" t="s">
        <v>477</v>
      </c>
      <c r="K17" s="502" t="s">
        <v>538</v>
      </c>
      <c r="L17" s="24">
        <v>2019</v>
      </c>
      <c r="M17" s="511">
        <v>17577</v>
      </c>
      <c r="N17" s="512">
        <v>0</v>
      </c>
      <c r="O17" s="512">
        <v>0</v>
      </c>
      <c r="P17" s="318" t="s">
        <v>778</v>
      </c>
      <c r="Q17" s="505">
        <v>0.14199999999999999</v>
      </c>
      <c r="R17" s="862">
        <v>225.30855</v>
      </c>
      <c r="S17" s="111" t="s">
        <v>1600</v>
      </c>
      <c r="T17" s="507">
        <f t="shared" si="11"/>
        <v>6.4195807127363003E-2</v>
      </c>
      <c r="U17" s="508">
        <f t="shared" si="12"/>
        <v>0</v>
      </c>
      <c r="V17" s="796">
        <f t="shared" si="13"/>
        <v>6.4195807127363003E-2</v>
      </c>
    </row>
    <row r="18" spans="1:16384" ht="12.75" customHeight="1">
      <c r="A18" s="726" t="s">
        <v>2451</v>
      </c>
      <c r="B18" s="499" t="str">
        <f t="shared" si="9"/>
        <v>RES_200601</v>
      </c>
      <c r="C18" s="499">
        <v>1</v>
      </c>
      <c r="D18" s="499">
        <v>0</v>
      </c>
      <c r="E18" s="499">
        <f t="shared" ref="E18:E21" si="14">COUNTIFS($A:$A,A18,$L:$L,L18)</f>
        <v>1</v>
      </c>
      <c r="F18" s="499">
        <v>3</v>
      </c>
      <c r="G18" s="499" t="b">
        <v>1</v>
      </c>
      <c r="H18" s="795" t="str">
        <f t="shared" si="10"/>
        <v>Residential</v>
      </c>
      <c r="I18" s="502" t="s">
        <v>150</v>
      </c>
      <c r="J18" s="502" t="s">
        <v>447</v>
      </c>
      <c r="K18" s="502" t="s">
        <v>507</v>
      </c>
      <c r="L18" s="24">
        <v>2020</v>
      </c>
      <c r="M18" s="511">
        <v>2120.8641055600001</v>
      </c>
      <c r="N18" s="512">
        <v>0</v>
      </c>
      <c r="O18" s="512">
        <v>0</v>
      </c>
      <c r="P18" s="318" t="s">
        <v>778</v>
      </c>
      <c r="Q18" s="505">
        <v>0.14199999999999999</v>
      </c>
      <c r="R18" s="860">
        <v>0</v>
      </c>
      <c r="S18" s="111" t="s">
        <v>1916</v>
      </c>
      <c r="T18" s="507">
        <f t="shared" si="11"/>
        <v>0</v>
      </c>
      <c r="U18" s="508">
        <f t="shared" si="12"/>
        <v>0</v>
      </c>
      <c r="V18" s="796">
        <f t="shared" si="13"/>
        <v>0</v>
      </c>
    </row>
    <row r="19" spans="1:16384" ht="12.75" customHeight="1">
      <c r="A19" s="726" t="s">
        <v>2451</v>
      </c>
      <c r="B19" s="499" t="str">
        <f t="shared" si="9"/>
        <v>RES_200601</v>
      </c>
      <c r="C19" s="499">
        <v>1</v>
      </c>
      <c r="D19" s="499">
        <v>0</v>
      </c>
      <c r="E19" s="499">
        <f t="shared" si="14"/>
        <v>1</v>
      </c>
      <c r="F19" s="499">
        <v>3</v>
      </c>
      <c r="G19" s="499" t="b">
        <v>1</v>
      </c>
      <c r="H19" s="795" t="str">
        <f t="shared" si="10"/>
        <v>Residential</v>
      </c>
      <c r="I19" s="502" t="s">
        <v>150</v>
      </c>
      <c r="J19" s="502" t="s">
        <v>447</v>
      </c>
      <c r="K19" s="502" t="s">
        <v>507</v>
      </c>
      <c r="L19" s="24">
        <v>2021</v>
      </c>
      <c r="M19" s="511">
        <v>2142.0727466100002</v>
      </c>
      <c r="N19" s="512">
        <v>0</v>
      </c>
      <c r="O19" s="512">
        <v>0</v>
      </c>
      <c r="P19" s="318" t="s">
        <v>778</v>
      </c>
      <c r="Q19" s="505">
        <v>0.14199999999999999</v>
      </c>
      <c r="R19" s="860">
        <v>0</v>
      </c>
      <c r="S19" s="111" t="s">
        <v>1916</v>
      </c>
      <c r="T19" s="507">
        <f t="shared" si="11"/>
        <v>0</v>
      </c>
      <c r="U19" s="508">
        <f t="shared" si="12"/>
        <v>0</v>
      </c>
      <c r="V19" s="796">
        <f t="shared" si="13"/>
        <v>0</v>
      </c>
    </row>
    <row r="20" spans="1:16384" ht="12.75" customHeight="1">
      <c r="A20" s="726" t="s">
        <v>2452</v>
      </c>
      <c r="B20" s="499" t="str">
        <f t="shared" si="9"/>
        <v>RES_200601</v>
      </c>
      <c r="C20" s="499">
        <v>1</v>
      </c>
      <c r="D20" s="499">
        <v>0</v>
      </c>
      <c r="E20" s="499">
        <f t="shared" si="14"/>
        <v>1</v>
      </c>
      <c r="F20" s="499">
        <v>3</v>
      </c>
      <c r="G20" s="499" t="b">
        <v>1</v>
      </c>
      <c r="H20" s="795" t="str">
        <f t="shared" si="10"/>
        <v>Residential</v>
      </c>
      <c r="I20" s="502" t="s">
        <v>150</v>
      </c>
      <c r="J20" s="502" t="s">
        <v>455</v>
      </c>
      <c r="K20" s="502" t="s">
        <v>507</v>
      </c>
      <c r="L20" s="24">
        <v>2020</v>
      </c>
      <c r="M20" s="511">
        <v>706.83414670000002</v>
      </c>
      <c r="N20" s="512">
        <v>0</v>
      </c>
      <c r="O20" s="512">
        <v>0</v>
      </c>
      <c r="P20" s="318" t="s">
        <v>778</v>
      </c>
      <c r="Q20" s="505">
        <v>0.14199999999999999</v>
      </c>
      <c r="R20" s="860">
        <v>0</v>
      </c>
      <c r="S20" s="111" t="s">
        <v>1916</v>
      </c>
      <c r="T20" s="507">
        <f t="shared" si="11"/>
        <v>0</v>
      </c>
      <c r="U20" s="508">
        <f t="shared" si="12"/>
        <v>0</v>
      </c>
      <c r="V20" s="796">
        <f t="shared" si="13"/>
        <v>0</v>
      </c>
    </row>
    <row r="21" spans="1:16384" ht="12.75" customHeight="1">
      <c r="A21" s="726" t="s">
        <v>2452</v>
      </c>
      <c r="B21" s="499" t="str">
        <f t="shared" si="9"/>
        <v>RES_200601</v>
      </c>
      <c r="C21" s="499">
        <v>1</v>
      </c>
      <c r="D21" s="499">
        <v>0</v>
      </c>
      <c r="E21" s="499">
        <f t="shared" si="14"/>
        <v>1</v>
      </c>
      <c r="F21" s="499">
        <v>3</v>
      </c>
      <c r="G21" s="499" t="b">
        <v>1</v>
      </c>
      <c r="H21" s="795" t="str">
        <f t="shared" si="10"/>
        <v>Residential</v>
      </c>
      <c r="I21" s="502" t="s">
        <v>150</v>
      </c>
      <c r="J21" s="502" t="s">
        <v>455</v>
      </c>
      <c r="K21" s="502" t="s">
        <v>507</v>
      </c>
      <c r="L21" s="24">
        <v>2021</v>
      </c>
      <c r="M21" s="511">
        <v>713.90248815999996</v>
      </c>
      <c r="N21" s="512">
        <v>0</v>
      </c>
      <c r="O21" s="512">
        <v>0</v>
      </c>
      <c r="P21" s="318" t="s">
        <v>778</v>
      </c>
      <c r="Q21" s="505">
        <v>0.14199999999999999</v>
      </c>
      <c r="R21" s="860">
        <v>0</v>
      </c>
      <c r="S21" s="111" t="s">
        <v>1916</v>
      </c>
      <c r="T21" s="507">
        <f t="shared" si="11"/>
        <v>0</v>
      </c>
      <c r="U21" s="508">
        <f t="shared" si="12"/>
        <v>0</v>
      </c>
      <c r="V21" s="796">
        <f t="shared" si="13"/>
        <v>0</v>
      </c>
    </row>
    <row r="22" spans="1:16384" ht="12.75" customHeight="1">
      <c r="A22" s="726" t="s">
        <v>74</v>
      </c>
      <c r="B22" s="499" t="str">
        <f t="shared" ref="B22:B59" si="15">LEFT(A22,10)</f>
        <v>RES_200601</v>
      </c>
      <c r="C22" s="499">
        <v>1</v>
      </c>
      <c r="D22" s="499">
        <v>0</v>
      </c>
      <c r="E22" s="499">
        <f t="shared" ref="E22:E59" si="16">COUNTIFS($A:$A,A22,$L:$L,L22)</f>
        <v>1</v>
      </c>
      <c r="F22" s="499">
        <v>3</v>
      </c>
      <c r="G22" s="499" t="b">
        <v>1</v>
      </c>
      <c r="H22" s="795" t="str">
        <f t="shared" ref="H22:H59" si="17">IF(LEFT(A22,3)="Res","Residential",IF(LEFT(A22,3)="Ind","industrial",IF(LEFT(A22,3)="Com","Commercial",IF(LEFT(A22,3)="AGR","Agriculture",""))))</f>
        <v>Residential</v>
      </c>
      <c r="I22" s="502" t="s">
        <v>150</v>
      </c>
      <c r="J22" s="502" t="s">
        <v>447</v>
      </c>
      <c r="K22" s="502" t="s">
        <v>508</v>
      </c>
      <c r="L22" s="24">
        <v>2020</v>
      </c>
      <c r="M22" s="511">
        <v>0</v>
      </c>
      <c r="N22" s="512">
        <v>0</v>
      </c>
      <c r="O22" s="512">
        <v>0</v>
      </c>
      <c r="P22" s="318" t="s">
        <v>778</v>
      </c>
      <c r="Q22" s="505">
        <v>0</v>
      </c>
      <c r="R22" s="860">
        <v>1045</v>
      </c>
      <c r="S22" s="111" t="s">
        <v>1916</v>
      </c>
      <c r="T22" s="507">
        <f t="shared" si="11"/>
        <v>0</v>
      </c>
      <c r="U22" s="508">
        <f t="shared" si="12"/>
        <v>0</v>
      </c>
      <c r="V22" s="796">
        <f t="shared" si="13"/>
        <v>0</v>
      </c>
    </row>
    <row r="23" spans="1:16384" s="466" customFormat="1" ht="12.75" customHeight="1">
      <c r="A23" s="726" t="s">
        <v>74</v>
      </c>
      <c r="B23" s="499" t="str">
        <f t="shared" si="15"/>
        <v>RES_200601</v>
      </c>
      <c r="C23" s="499">
        <v>1</v>
      </c>
      <c r="D23" s="499">
        <v>0</v>
      </c>
      <c r="E23" s="499">
        <f t="shared" si="16"/>
        <v>1</v>
      </c>
      <c r="F23" s="499">
        <v>3</v>
      </c>
      <c r="G23" s="499" t="b">
        <v>1</v>
      </c>
      <c r="H23" s="795" t="str">
        <f t="shared" si="17"/>
        <v>Residential</v>
      </c>
      <c r="I23" s="502" t="s">
        <v>150</v>
      </c>
      <c r="J23" s="502" t="s">
        <v>447</v>
      </c>
      <c r="K23" s="502" t="s">
        <v>508</v>
      </c>
      <c r="L23" s="24">
        <v>2021</v>
      </c>
      <c r="M23" s="511">
        <v>1071.03637331</v>
      </c>
      <c r="N23" s="512">
        <v>0</v>
      </c>
      <c r="O23" s="512">
        <v>0</v>
      </c>
      <c r="P23" s="318" t="s">
        <v>778</v>
      </c>
      <c r="Q23" s="505">
        <v>0.14199999999999999</v>
      </c>
      <c r="R23" s="860">
        <v>1045</v>
      </c>
      <c r="S23" s="111" t="s">
        <v>1916</v>
      </c>
      <c r="T23" s="507">
        <f t="shared" ref="T23:T59" si="18">(M23-O23)*Q23*R23/8760000</f>
        <v>1.8142818200396222E-2</v>
      </c>
      <c r="U23" s="508">
        <f t="shared" ref="U23:U59" si="19">IFERROR((N23-O23/M23*N23)*Q23*R23/8760/1000,0)</f>
        <v>0</v>
      </c>
      <c r="V23" s="796">
        <f t="shared" ref="V23:V59" si="20">T23-U23</f>
        <v>1.8142818200396222E-2</v>
      </c>
      <c r="W23" s="462"/>
      <c r="X23" s="462"/>
    </row>
    <row r="24" spans="1:16384" ht="12.75" hidden="1" customHeight="1">
      <c r="A24" s="726" t="s">
        <v>85</v>
      </c>
      <c r="B24" s="499" t="str">
        <f t="shared" si="15"/>
        <v>RES_201301</v>
      </c>
      <c r="C24" s="499">
        <v>1</v>
      </c>
      <c r="D24" s="499">
        <v>0</v>
      </c>
      <c r="E24" s="499">
        <f t="shared" si="16"/>
        <v>1</v>
      </c>
      <c r="F24" s="499">
        <v>3</v>
      </c>
      <c r="G24" s="499" t="b">
        <v>1</v>
      </c>
      <c r="H24" s="795" t="str">
        <f t="shared" si="17"/>
        <v>Residential</v>
      </c>
      <c r="I24" s="502" t="s">
        <v>154</v>
      </c>
      <c r="J24" s="502" t="s">
        <v>458</v>
      </c>
      <c r="K24" s="502" t="s">
        <v>1288</v>
      </c>
      <c r="L24" s="24">
        <v>2019</v>
      </c>
      <c r="M24" s="511">
        <v>6069</v>
      </c>
      <c r="N24" s="512">
        <v>0</v>
      </c>
      <c r="O24" s="512">
        <v>0</v>
      </c>
      <c r="P24" s="318" t="s">
        <v>778</v>
      </c>
      <c r="Q24" s="505">
        <v>0.14199999999999999</v>
      </c>
      <c r="R24" s="862">
        <v>485</v>
      </c>
      <c r="S24" s="111" t="s">
        <v>1600</v>
      </c>
      <c r="T24" s="507">
        <f t="shared" si="18"/>
        <v>4.771370205479452E-2</v>
      </c>
      <c r="U24" s="508">
        <f t="shared" si="19"/>
        <v>0</v>
      </c>
      <c r="V24" s="796">
        <f t="shared" si="20"/>
        <v>4.771370205479452E-2</v>
      </c>
    </row>
    <row r="25" spans="1:16384" ht="12.75" hidden="1" customHeight="1">
      <c r="A25" s="726" t="s">
        <v>72</v>
      </c>
      <c r="B25" s="499" t="str">
        <f t="shared" si="15"/>
        <v>RES_200601</v>
      </c>
      <c r="C25" s="499">
        <v>1</v>
      </c>
      <c r="D25" s="499">
        <v>0</v>
      </c>
      <c r="E25" s="499">
        <f t="shared" si="16"/>
        <v>1</v>
      </c>
      <c r="F25" s="499">
        <v>3</v>
      </c>
      <c r="G25" s="499" t="b">
        <v>1</v>
      </c>
      <c r="H25" s="795" t="str">
        <f t="shared" si="17"/>
        <v>Residential</v>
      </c>
      <c r="I25" s="502" t="s">
        <v>150</v>
      </c>
      <c r="J25" s="502" t="s">
        <v>480</v>
      </c>
      <c r="K25" s="502" t="s">
        <v>538</v>
      </c>
      <c r="L25" s="24">
        <v>2018</v>
      </c>
      <c r="M25" s="511">
        <v>4324.6930843399996</v>
      </c>
      <c r="N25" s="512">
        <v>0</v>
      </c>
      <c r="O25" s="512">
        <v>0</v>
      </c>
      <c r="P25" s="318" t="s">
        <v>778</v>
      </c>
      <c r="Q25" s="505">
        <v>0.14199999999999999</v>
      </c>
      <c r="R25" s="862">
        <v>379.04190051</v>
      </c>
      <c r="S25" s="111" t="s">
        <v>1600</v>
      </c>
      <c r="T25" s="507">
        <f t="shared" si="18"/>
        <v>2.6572153400127575E-2</v>
      </c>
      <c r="U25" s="508">
        <f t="shared" si="19"/>
        <v>0</v>
      </c>
      <c r="V25" s="796">
        <f t="shared" si="20"/>
        <v>2.6572153400127575E-2</v>
      </c>
    </row>
    <row r="26" spans="1:16384" ht="12.75" hidden="1" customHeight="1">
      <c r="A26" s="726" t="s">
        <v>67</v>
      </c>
      <c r="B26" s="499" t="str">
        <f t="shared" si="15"/>
        <v>RES_201301</v>
      </c>
      <c r="C26" s="499">
        <v>1</v>
      </c>
      <c r="D26" s="499">
        <v>0</v>
      </c>
      <c r="E26" s="499">
        <f t="shared" si="16"/>
        <v>1</v>
      </c>
      <c r="F26" s="499">
        <v>3</v>
      </c>
      <c r="G26" s="499" t="b">
        <v>1</v>
      </c>
      <c r="H26" s="795" t="str">
        <f t="shared" si="17"/>
        <v>Residential</v>
      </c>
      <c r="I26" s="502" t="s">
        <v>154</v>
      </c>
      <c r="J26" s="502" t="s">
        <v>477</v>
      </c>
      <c r="K26" s="502" t="s">
        <v>538</v>
      </c>
      <c r="L26" s="24">
        <v>2018</v>
      </c>
      <c r="M26" s="511">
        <v>22767</v>
      </c>
      <c r="N26" s="512">
        <v>0</v>
      </c>
      <c r="O26" s="512">
        <v>0</v>
      </c>
      <c r="P26" s="318" t="s">
        <v>778</v>
      </c>
      <c r="Q26" s="505">
        <v>0.14199999999999999</v>
      </c>
      <c r="R26" s="862">
        <v>225.30855</v>
      </c>
      <c r="S26" s="111" t="s">
        <v>1600</v>
      </c>
      <c r="T26" s="507">
        <f t="shared" si="18"/>
        <v>8.315104630304794E-2</v>
      </c>
      <c r="U26" s="508">
        <f t="shared" si="19"/>
        <v>0</v>
      </c>
      <c r="V26" s="796">
        <f t="shared" si="20"/>
        <v>8.315104630304794E-2</v>
      </c>
    </row>
    <row r="27" spans="1:16384" ht="12.75" hidden="1" customHeight="1">
      <c r="A27" s="726" t="s">
        <v>85</v>
      </c>
      <c r="B27" s="499" t="str">
        <f t="shared" si="15"/>
        <v>RES_201301</v>
      </c>
      <c r="C27" s="499">
        <v>1</v>
      </c>
      <c r="D27" s="499">
        <v>0</v>
      </c>
      <c r="E27" s="499">
        <f t="shared" si="16"/>
        <v>1</v>
      </c>
      <c r="F27" s="499">
        <v>3</v>
      </c>
      <c r="G27" s="499" t="b">
        <v>1</v>
      </c>
      <c r="H27" s="795" t="str">
        <f t="shared" si="17"/>
        <v>Residential</v>
      </c>
      <c r="I27" s="502" t="s">
        <v>154</v>
      </c>
      <c r="J27" s="502" t="s">
        <v>458</v>
      </c>
      <c r="K27" s="502" t="s">
        <v>1288</v>
      </c>
      <c r="L27" s="24">
        <v>2018</v>
      </c>
      <c r="M27" s="511">
        <v>4145</v>
      </c>
      <c r="N27" s="512">
        <v>0</v>
      </c>
      <c r="O27" s="512">
        <v>0</v>
      </c>
      <c r="P27" s="318" t="s">
        <v>778</v>
      </c>
      <c r="Q27" s="505">
        <v>0.14199999999999999</v>
      </c>
      <c r="R27" s="862">
        <v>485</v>
      </c>
      <c r="S27" s="111" t="s">
        <v>1600</v>
      </c>
      <c r="T27" s="507">
        <f t="shared" si="18"/>
        <v>3.2587460045662098E-2</v>
      </c>
      <c r="U27" s="508">
        <f t="shared" si="19"/>
        <v>0</v>
      </c>
      <c r="V27" s="796">
        <f t="shared" si="20"/>
        <v>3.2587460045662098E-2</v>
      </c>
    </row>
    <row r="28" spans="1:16384" ht="12.75" hidden="1" customHeight="1">
      <c r="A28" s="726" t="s">
        <v>1210</v>
      </c>
      <c r="B28" s="499" t="str">
        <f t="shared" si="15"/>
        <v>RES_200601</v>
      </c>
      <c r="C28" s="499">
        <v>1</v>
      </c>
      <c r="D28" s="499">
        <v>0</v>
      </c>
      <c r="E28" s="499">
        <f t="shared" si="16"/>
        <v>1</v>
      </c>
      <c r="F28" s="499">
        <v>3</v>
      </c>
      <c r="G28" s="499" t="b">
        <v>1</v>
      </c>
      <c r="H28" s="795" t="str">
        <f t="shared" si="17"/>
        <v>Residential</v>
      </c>
      <c r="I28" s="502" t="s">
        <v>150</v>
      </c>
      <c r="J28" s="502" t="s">
        <v>461</v>
      </c>
      <c r="K28" s="502" t="s">
        <v>522</v>
      </c>
      <c r="L28" s="24">
        <v>2019</v>
      </c>
      <c r="M28" s="511">
        <v>3049.83733076</v>
      </c>
      <c r="N28" s="512">
        <v>0</v>
      </c>
      <c r="O28" s="512">
        <v>0</v>
      </c>
      <c r="P28" s="318" t="s">
        <v>778</v>
      </c>
      <c r="Q28" s="505">
        <v>0.14199999999999999</v>
      </c>
      <c r="R28" s="862">
        <v>450</v>
      </c>
      <c r="S28" s="111" t="s">
        <v>1600</v>
      </c>
      <c r="T28" s="507">
        <f t="shared" si="18"/>
        <v>2.2247101077119177E-2</v>
      </c>
      <c r="U28" s="508">
        <f t="shared" si="19"/>
        <v>0</v>
      </c>
      <c r="V28" s="796">
        <f t="shared" si="20"/>
        <v>2.2247101077119177E-2</v>
      </c>
    </row>
    <row r="29" spans="1:16384" ht="12.75" hidden="1" customHeight="1">
      <c r="A29" s="726" t="s">
        <v>72</v>
      </c>
      <c r="B29" s="499" t="str">
        <f t="shared" si="15"/>
        <v>RES_200601</v>
      </c>
      <c r="C29" s="499">
        <v>1</v>
      </c>
      <c r="D29" s="499">
        <v>0</v>
      </c>
      <c r="E29" s="499">
        <f t="shared" si="16"/>
        <v>1</v>
      </c>
      <c r="F29" s="499">
        <v>3</v>
      </c>
      <c r="G29" s="499" t="b">
        <v>1</v>
      </c>
      <c r="H29" s="795" t="str">
        <f t="shared" si="17"/>
        <v>Residential</v>
      </c>
      <c r="I29" s="502" t="s">
        <v>150</v>
      </c>
      <c r="J29" s="502" t="s">
        <v>480</v>
      </c>
      <c r="K29" s="502" t="s">
        <v>538</v>
      </c>
      <c r="L29" s="24">
        <v>2019</v>
      </c>
      <c r="M29" s="511">
        <v>4483.2389149000001</v>
      </c>
      <c r="N29" s="512">
        <v>0</v>
      </c>
      <c r="O29" s="512">
        <v>0</v>
      </c>
      <c r="P29" s="318" t="s">
        <v>778</v>
      </c>
      <c r="Q29" s="505">
        <v>0.14199999999999999</v>
      </c>
      <c r="R29" s="862">
        <v>379.04190051</v>
      </c>
      <c r="S29" s="111" t="s">
        <v>1600</v>
      </c>
      <c r="T29" s="507">
        <f t="shared" si="18"/>
        <v>2.7546304408865321E-2</v>
      </c>
      <c r="U29" s="508">
        <f t="shared" si="19"/>
        <v>0</v>
      </c>
      <c r="V29" s="796">
        <f t="shared" si="20"/>
        <v>2.7546304408865321E-2</v>
      </c>
    </row>
    <row r="30" spans="1:16384" ht="12.75" customHeight="1">
      <c r="A30" s="726" t="s">
        <v>75</v>
      </c>
      <c r="B30" s="499" t="str">
        <f t="shared" si="15"/>
        <v>RES_200601</v>
      </c>
      <c r="C30" s="499">
        <v>1</v>
      </c>
      <c r="D30" s="499">
        <v>0</v>
      </c>
      <c r="E30" s="499">
        <f t="shared" si="16"/>
        <v>1</v>
      </c>
      <c r="F30" s="499">
        <v>3</v>
      </c>
      <c r="G30" s="499" t="b">
        <v>1</v>
      </c>
      <c r="H30" s="795" t="str">
        <f t="shared" si="17"/>
        <v>Residential</v>
      </c>
      <c r="I30" s="502" t="s">
        <v>150</v>
      </c>
      <c r="J30" s="502" t="s">
        <v>455</v>
      </c>
      <c r="K30" s="502" t="s">
        <v>508</v>
      </c>
      <c r="L30" s="24">
        <v>2020</v>
      </c>
      <c r="M30" s="511">
        <v>235.61138223</v>
      </c>
      <c r="N30" s="512">
        <v>0</v>
      </c>
      <c r="O30" s="512">
        <v>0</v>
      </c>
      <c r="P30" s="318" t="s">
        <v>778</v>
      </c>
      <c r="Q30" s="505">
        <v>0.14199999999999999</v>
      </c>
      <c r="R30" s="860">
        <v>579</v>
      </c>
      <c r="S30" s="111" t="s">
        <v>1916</v>
      </c>
      <c r="T30" s="507">
        <f t="shared" si="18"/>
        <v>2.2113580621217054E-3</v>
      </c>
      <c r="U30" s="508">
        <f t="shared" si="19"/>
        <v>0</v>
      </c>
      <c r="V30" s="796">
        <f t="shared" si="20"/>
        <v>2.2113580621217054E-3</v>
      </c>
    </row>
    <row r="31" spans="1:16384" s="482" customFormat="1" ht="12.75" customHeight="1" thickBot="1">
      <c r="A31" s="726" t="s">
        <v>75</v>
      </c>
      <c r="B31" s="499" t="str">
        <f t="shared" si="15"/>
        <v>RES_200601</v>
      </c>
      <c r="C31" s="499">
        <v>1</v>
      </c>
      <c r="D31" s="499">
        <v>0</v>
      </c>
      <c r="E31" s="499">
        <f t="shared" si="16"/>
        <v>1</v>
      </c>
      <c r="F31" s="499">
        <v>3</v>
      </c>
      <c r="G31" s="499" t="b">
        <v>1</v>
      </c>
      <c r="H31" s="795" t="str">
        <f t="shared" si="17"/>
        <v>Residential</v>
      </c>
      <c r="I31" s="502" t="s">
        <v>150</v>
      </c>
      <c r="J31" s="502" t="s">
        <v>455</v>
      </c>
      <c r="K31" s="502" t="s">
        <v>508</v>
      </c>
      <c r="L31" s="24">
        <v>2021</v>
      </c>
      <c r="M31" s="511">
        <v>713.90248815999996</v>
      </c>
      <c r="N31" s="512">
        <v>0</v>
      </c>
      <c r="O31" s="512">
        <v>0</v>
      </c>
      <c r="P31" s="318" t="s">
        <v>778</v>
      </c>
      <c r="Q31" s="505">
        <v>0.14199999999999999</v>
      </c>
      <c r="R31" s="860">
        <v>579</v>
      </c>
      <c r="S31" s="111" t="s">
        <v>1916</v>
      </c>
      <c r="T31" s="507">
        <f t="shared" si="18"/>
        <v>6.700414928257863E-3</v>
      </c>
      <c r="U31" s="508">
        <f t="shared" si="19"/>
        <v>0</v>
      </c>
      <c r="V31" s="796">
        <f t="shared" si="20"/>
        <v>6.700414928257863E-3</v>
      </c>
    </row>
    <row r="32" spans="1:16384" s="724" customFormat="1" ht="12.75" customHeight="1">
      <c r="A32" s="726" t="s">
        <v>21</v>
      </c>
      <c r="B32" s="499" t="str">
        <f t="shared" si="15"/>
        <v>COM_200202</v>
      </c>
      <c r="C32" s="499">
        <v>1</v>
      </c>
      <c r="D32" s="499">
        <v>0</v>
      </c>
      <c r="E32" s="499">
        <f t="shared" si="16"/>
        <v>1</v>
      </c>
      <c r="F32" s="499">
        <v>3</v>
      </c>
      <c r="G32" s="499" t="b">
        <v>1</v>
      </c>
      <c r="H32" s="795" t="str">
        <f t="shared" si="17"/>
        <v>Commercial</v>
      </c>
      <c r="I32" s="502" t="s">
        <v>138</v>
      </c>
      <c r="J32" s="502" t="s">
        <v>445</v>
      </c>
      <c r="K32" s="502" t="s">
        <v>513</v>
      </c>
      <c r="L32" s="24">
        <v>2020</v>
      </c>
      <c r="M32" s="511">
        <v>0</v>
      </c>
      <c r="N32" s="512">
        <v>0</v>
      </c>
      <c r="O32" s="512">
        <v>0</v>
      </c>
      <c r="P32" s="318" t="s">
        <v>778</v>
      </c>
      <c r="Q32" s="505">
        <v>0</v>
      </c>
      <c r="R32" s="862">
        <v>0.16939866000000001</v>
      </c>
      <c r="S32" s="111" t="s">
        <v>1917</v>
      </c>
      <c r="T32" s="507">
        <f t="shared" si="18"/>
        <v>0</v>
      </c>
      <c r="U32" s="508">
        <f t="shared" si="19"/>
        <v>0</v>
      </c>
      <c r="V32" s="796">
        <f t="shared" si="20"/>
        <v>0</v>
      </c>
      <c r="W32" s="482"/>
      <c r="X32" s="482"/>
      <c r="Y32" s="482"/>
      <c r="Z32" s="482"/>
      <c r="AA32" s="482"/>
      <c r="AB32" s="482"/>
      <c r="AC32" s="482"/>
      <c r="AD32" s="482"/>
      <c r="AE32" s="482"/>
      <c r="AF32" s="482"/>
      <c r="AG32" s="482"/>
      <c r="AH32" s="482"/>
      <c r="AI32" s="482"/>
      <c r="AJ32" s="482"/>
      <c r="AK32" s="482"/>
      <c r="AL32" s="482"/>
      <c r="AM32" s="482"/>
      <c r="AN32" s="482"/>
      <c r="AO32" s="482"/>
      <c r="AP32" s="482"/>
      <c r="AQ32" s="482"/>
      <c r="AR32" s="482"/>
      <c r="AS32" s="482"/>
      <c r="AT32" s="482"/>
      <c r="AU32" s="482"/>
      <c r="AV32" s="482"/>
      <c r="AW32" s="482"/>
      <c r="AX32" s="482"/>
      <c r="AY32" s="482"/>
      <c r="AZ32" s="482"/>
      <c r="BA32" s="482"/>
      <c r="BB32" s="482"/>
      <c r="BC32" s="482"/>
      <c r="BD32" s="482"/>
      <c r="BE32" s="482"/>
      <c r="BF32" s="482"/>
      <c r="BG32" s="482"/>
      <c r="BH32" s="482"/>
      <c r="BI32" s="482"/>
      <c r="BJ32" s="482"/>
      <c r="BK32" s="482"/>
      <c r="BL32" s="482"/>
      <c r="BM32" s="482"/>
      <c r="BN32" s="482"/>
      <c r="BO32" s="482"/>
      <c r="BP32" s="482"/>
      <c r="BQ32" s="482"/>
      <c r="BR32" s="482"/>
      <c r="BS32" s="482"/>
      <c r="BT32" s="482"/>
      <c r="BU32" s="482"/>
      <c r="BV32" s="482"/>
      <c r="BW32" s="482"/>
      <c r="BX32" s="482"/>
      <c r="BY32" s="482"/>
      <c r="BZ32" s="482"/>
      <c r="CA32" s="482"/>
      <c r="CB32" s="482"/>
      <c r="CC32" s="482"/>
      <c r="CD32" s="482"/>
      <c r="CE32" s="482"/>
      <c r="CF32" s="482"/>
      <c r="CG32" s="482"/>
      <c r="CH32" s="482"/>
      <c r="CI32" s="482"/>
      <c r="CJ32" s="482"/>
      <c r="CK32" s="482"/>
      <c r="CL32" s="482"/>
      <c r="CM32" s="482"/>
      <c r="CN32" s="482"/>
      <c r="CO32" s="482"/>
      <c r="CP32" s="482"/>
      <c r="CQ32" s="482"/>
      <c r="CR32" s="482"/>
      <c r="CS32" s="482"/>
      <c r="CT32" s="482"/>
      <c r="CU32" s="482"/>
      <c r="CV32" s="482"/>
      <c r="CW32" s="482"/>
      <c r="CX32" s="482"/>
      <c r="CY32" s="482"/>
      <c r="CZ32" s="482"/>
      <c r="DA32" s="482"/>
      <c r="DB32" s="482"/>
      <c r="DC32" s="482"/>
      <c r="DD32" s="482"/>
      <c r="DE32" s="482"/>
      <c r="DF32" s="482"/>
      <c r="DG32" s="482"/>
      <c r="DH32" s="482"/>
      <c r="DI32" s="482"/>
      <c r="DJ32" s="482"/>
      <c r="DK32" s="482"/>
      <c r="DL32" s="482"/>
      <c r="DM32" s="482"/>
      <c r="DN32" s="482"/>
      <c r="DO32" s="482"/>
      <c r="DP32" s="482"/>
      <c r="DQ32" s="482"/>
      <c r="DR32" s="482"/>
      <c r="DS32" s="482"/>
      <c r="DT32" s="482"/>
      <c r="DU32" s="482"/>
      <c r="DV32" s="482"/>
      <c r="DW32" s="482"/>
      <c r="DX32" s="482"/>
      <c r="DY32" s="482"/>
      <c r="DZ32" s="482"/>
      <c r="EA32" s="482"/>
      <c r="EB32" s="482"/>
      <c r="EC32" s="482"/>
      <c r="ED32" s="482"/>
      <c r="EE32" s="482"/>
      <c r="EF32" s="482"/>
      <c r="EG32" s="482"/>
      <c r="EH32" s="482"/>
      <c r="EI32" s="482"/>
      <c r="EJ32" s="482"/>
      <c r="EK32" s="482"/>
      <c r="EL32" s="482"/>
      <c r="EM32" s="482"/>
      <c r="EN32" s="482"/>
      <c r="EO32" s="482"/>
      <c r="EP32" s="482"/>
      <c r="EQ32" s="482"/>
      <c r="ER32" s="482"/>
      <c r="ES32" s="482"/>
      <c r="ET32" s="482"/>
      <c r="EU32" s="482"/>
      <c r="EV32" s="482"/>
      <c r="EW32" s="482"/>
      <c r="EX32" s="482"/>
      <c r="EY32" s="482"/>
      <c r="EZ32" s="482"/>
      <c r="FA32" s="482"/>
      <c r="FB32" s="482"/>
      <c r="FC32" s="482"/>
      <c r="FD32" s="482"/>
      <c r="FE32" s="482"/>
      <c r="FF32" s="482"/>
      <c r="FG32" s="482"/>
      <c r="FH32" s="482"/>
      <c r="FI32" s="482"/>
      <c r="FJ32" s="482"/>
      <c r="FK32" s="482"/>
      <c r="FL32" s="482"/>
      <c r="FM32" s="482"/>
      <c r="FN32" s="482"/>
      <c r="FO32" s="482"/>
      <c r="FP32" s="482"/>
      <c r="FQ32" s="482"/>
      <c r="FR32" s="482"/>
      <c r="FS32" s="482"/>
      <c r="FT32" s="482"/>
      <c r="FU32" s="482"/>
      <c r="FV32" s="482"/>
      <c r="FW32" s="482"/>
      <c r="FX32" s="482"/>
      <c r="FY32" s="482"/>
      <c r="FZ32" s="482"/>
      <c r="GA32" s="482"/>
      <c r="GB32" s="482"/>
      <c r="GC32" s="482"/>
      <c r="GD32" s="482"/>
      <c r="GE32" s="482"/>
      <c r="GF32" s="482"/>
      <c r="GG32" s="482"/>
      <c r="GH32" s="482"/>
      <c r="GI32" s="482"/>
      <c r="GJ32" s="482"/>
      <c r="GK32" s="482"/>
      <c r="GL32" s="482"/>
      <c r="GM32" s="482"/>
      <c r="GN32" s="482"/>
      <c r="GO32" s="482"/>
      <c r="GP32" s="482"/>
      <c r="GQ32" s="482"/>
      <c r="GR32" s="482"/>
      <c r="GS32" s="482"/>
      <c r="GT32" s="482"/>
      <c r="GU32" s="482"/>
      <c r="GV32" s="482"/>
      <c r="GW32" s="482"/>
      <c r="GX32" s="482"/>
      <c r="GY32" s="482"/>
      <c r="GZ32" s="482"/>
      <c r="HA32" s="482"/>
      <c r="HB32" s="482"/>
      <c r="HC32" s="482"/>
      <c r="HD32" s="482"/>
      <c r="HE32" s="482"/>
      <c r="HF32" s="482"/>
      <c r="HG32" s="482"/>
      <c r="HH32" s="482"/>
      <c r="HI32" s="482"/>
      <c r="HJ32" s="482"/>
      <c r="HK32" s="482"/>
      <c r="HL32" s="482"/>
      <c r="HM32" s="482"/>
      <c r="HN32" s="482"/>
      <c r="HO32" s="482"/>
      <c r="HP32" s="482"/>
      <c r="HQ32" s="482"/>
      <c r="HR32" s="482"/>
      <c r="HS32" s="482"/>
      <c r="HT32" s="482"/>
      <c r="HU32" s="482"/>
      <c r="HV32" s="482"/>
      <c r="HW32" s="482"/>
      <c r="HX32" s="482"/>
      <c r="HY32" s="482"/>
      <c r="HZ32" s="482"/>
      <c r="IA32" s="482"/>
      <c r="IB32" s="482"/>
      <c r="IC32" s="482"/>
      <c r="ID32" s="482"/>
      <c r="IE32" s="482"/>
      <c r="IF32" s="482"/>
      <c r="IG32" s="482"/>
      <c r="IH32" s="482"/>
      <c r="II32" s="482"/>
      <c r="IJ32" s="482"/>
      <c r="IK32" s="482"/>
      <c r="IL32" s="482"/>
      <c r="IM32" s="482"/>
      <c r="IN32" s="482"/>
      <c r="IO32" s="482"/>
      <c r="IP32" s="482"/>
      <c r="IQ32" s="482"/>
      <c r="IR32" s="482"/>
      <c r="IS32" s="482"/>
      <c r="IT32" s="482"/>
      <c r="IU32" s="482"/>
      <c r="IV32" s="482"/>
      <c r="IW32" s="482"/>
      <c r="IX32" s="482"/>
      <c r="IY32" s="482"/>
      <c r="IZ32" s="482"/>
      <c r="JA32" s="482"/>
      <c r="JB32" s="482"/>
      <c r="JC32" s="482"/>
      <c r="JD32" s="482"/>
      <c r="JE32" s="482"/>
      <c r="JF32" s="482"/>
      <c r="JG32" s="482"/>
      <c r="JH32" s="482"/>
      <c r="JI32" s="482"/>
      <c r="JJ32" s="482"/>
      <c r="JK32" s="482"/>
      <c r="JL32" s="482"/>
      <c r="JM32" s="482"/>
      <c r="JN32" s="482"/>
      <c r="JO32" s="482"/>
      <c r="JP32" s="482"/>
      <c r="JQ32" s="482"/>
      <c r="JR32" s="482"/>
      <c r="JS32" s="482"/>
      <c r="JT32" s="482"/>
      <c r="JU32" s="482"/>
      <c r="JV32" s="482"/>
      <c r="JW32" s="482"/>
      <c r="JX32" s="482"/>
      <c r="JY32" s="482"/>
      <c r="JZ32" s="482"/>
      <c r="KA32" s="482"/>
      <c r="KB32" s="482"/>
      <c r="KC32" s="482"/>
      <c r="KD32" s="482"/>
      <c r="KE32" s="482"/>
      <c r="KF32" s="482"/>
      <c r="KG32" s="482"/>
      <c r="KH32" s="482"/>
      <c r="KI32" s="482"/>
      <c r="KJ32" s="482"/>
      <c r="KK32" s="482"/>
      <c r="KL32" s="482"/>
      <c r="KM32" s="482"/>
      <c r="KN32" s="482"/>
      <c r="KO32" s="482"/>
      <c r="KP32" s="482"/>
      <c r="KQ32" s="482"/>
      <c r="KR32" s="482"/>
      <c r="KS32" s="482"/>
      <c r="KT32" s="482"/>
      <c r="KU32" s="482"/>
      <c r="KV32" s="482"/>
      <c r="KW32" s="482"/>
      <c r="KX32" s="482"/>
      <c r="KY32" s="482"/>
      <c r="KZ32" s="482"/>
      <c r="LA32" s="482"/>
      <c r="LB32" s="482"/>
      <c r="LC32" s="482"/>
      <c r="LD32" s="482"/>
      <c r="LE32" s="482"/>
      <c r="LF32" s="482"/>
      <c r="LG32" s="482"/>
      <c r="LH32" s="482"/>
      <c r="LI32" s="482"/>
      <c r="LJ32" s="482"/>
      <c r="LK32" s="482"/>
      <c r="LL32" s="482"/>
      <c r="LM32" s="482"/>
      <c r="LN32" s="482"/>
      <c r="LO32" s="482"/>
      <c r="LP32" s="482"/>
      <c r="LQ32" s="482"/>
      <c r="LR32" s="482"/>
      <c r="LS32" s="482"/>
      <c r="LT32" s="482"/>
      <c r="LU32" s="482"/>
      <c r="LV32" s="482"/>
      <c r="LW32" s="482"/>
      <c r="LX32" s="482"/>
      <c r="LY32" s="482"/>
      <c r="LZ32" s="482"/>
      <c r="MA32" s="482"/>
      <c r="MB32" s="482"/>
      <c r="MC32" s="482"/>
      <c r="MD32" s="482"/>
      <c r="ME32" s="482"/>
      <c r="MF32" s="482"/>
      <c r="MG32" s="482"/>
      <c r="MH32" s="482"/>
      <c r="MI32" s="482"/>
      <c r="MJ32" s="482"/>
      <c r="MK32" s="482"/>
      <c r="ML32" s="482"/>
      <c r="MM32" s="482"/>
      <c r="MN32" s="482"/>
      <c r="MO32" s="482"/>
      <c r="MP32" s="482"/>
      <c r="MQ32" s="482"/>
      <c r="MR32" s="482"/>
      <c r="MS32" s="482"/>
      <c r="MT32" s="482"/>
      <c r="MU32" s="482"/>
      <c r="MV32" s="482"/>
      <c r="MW32" s="482"/>
      <c r="MX32" s="482"/>
      <c r="MY32" s="482"/>
      <c r="MZ32" s="482"/>
      <c r="NA32" s="482"/>
      <c r="NB32" s="482"/>
      <c r="NC32" s="482"/>
      <c r="ND32" s="482"/>
      <c r="NE32" s="482"/>
      <c r="NF32" s="482"/>
      <c r="NG32" s="482"/>
      <c r="NH32" s="482"/>
      <c r="NI32" s="482"/>
      <c r="NJ32" s="482"/>
      <c r="NK32" s="482"/>
      <c r="NL32" s="482"/>
      <c r="NM32" s="482"/>
      <c r="NN32" s="482"/>
      <c r="NO32" s="482"/>
      <c r="NP32" s="482"/>
      <c r="NQ32" s="482"/>
      <c r="NR32" s="482"/>
      <c r="NS32" s="482"/>
      <c r="NT32" s="482"/>
      <c r="NU32" s="482"/>
      <c r="NV32" s="482"/>
      <c r="NW32" s="482"/>
      <c r="NX32" s="482"/>
      <c r="NY32" s="482"/>
      <c r="NZ32" s="482"/>
      <c r="OA32" s="482"/>
      <c r="OB32" s="482"/>
      <c r="OC32" s="482"/>
      <c r="OD32" s="482"/>
      <c r="OE32" s="482"/>
      <c r="OF32" s="482"/>
      <c r="OG32" s="482"/>
      <c r="OH32" s="482"/>
      <c r="OI32" s="482"/>
      <c r="OJ32" s="482"/>
      <c r="OK32" s="482"/>
      <c r="OL32" s="482"/>
      <c r="OM32" s="482"/>
      <c r="ON32" s="482"/>
      <c r="OO32" s="482"/>
      <c r="OP32" s="482"/>
      <c r="OQ32" s="482"/>
      <c r="OR32" s="482"/>
      <c r="OS32" s="482"/>
      <c r="OT32" s="482"/>
      <c r="OU32" s="482"/>
      <c r="OV32" s="482"/>
      <c r="OW32" s="482"/>
      <c r="OX32" s="482"/>
      <c r="OY32" s="482"/>
      <c r="OZ32" s="482"/>
      <c r="PA32" s="482"/>
      <c r="PB32" s="482"/>
      <c r="PC32" s="482"/>
      <c r="PD32" s="482"/>
      <c r="PE32" s="482"/>
      <c r="PF32" s="482"/>
      <c r="PG32" s="482"/>
      <c r="PH32" s="482"/>
      <c r="PI32" s="482"/>
      <c r="PJ32" s="482"/>
      <c r="PK32" s="482"/>
      <c r="PL32" s="482"/>
      <c r="PM32" s="482"/>
      <c r="PN32" s="482"/>
      <c r="PO32" s="482"/>
      <c r="PP32" s="482"/>
      <c r="PQ32" s="482"/>
      <c r="PR32" s="482"/>
      <c r="PS32" s="482"/>
      <c r="PT32" s="482"/>
      <c r="PU32" s="482"/>
      <c r="PV32" s="482"/>
      <c r="PW32" s="482"/>
      <c r="PX32" s="482"/>
      <c r="PY32" s="482"/>
      <c r="PZ32" s="482"/>
      <c r="QA32" s="482"/>
      <c r="QB32" s="482"/>
      <c r="QC32" s="482"/>
      <c r="QD32" s="482"/>
      <c r="QE32" s="482"/>
      <c r="QF32" s="482"/>
      <c r="QG32" s="482"/>
      <c r="QH32" s="482"/>
      <c r="QI32" s="482"/>
      <c r="QJ32" s="482"/>
      <c r="QK32" s="482"/>
      <c r="QL32" s="482"/>
      <c r="QM32" s="482"/>
      <c r="QN32" s="482"/>
      <c r="QO32" s="482"/>
      <c r="QP32" s="482"/>
      <c r="QQ32" s="482"/>
      <c r="QR32" s="482"/>
      <c r="QS32" s="482"/>
      <c r="QT32" s="482"/>
      <c r="QU32" s="482"/>
      <c r="QV32" s="482"/>
      <c r="QW32" s="482"/>
      <c r="QX32" s="482"/>
      <c r="QY32" s="482"/>
      <c r="QZ32" s="482"/>
      <c r="RA32" s="482"/>
      <c r="RB32" s="482"/>
      <c r="RC32" s="482"/>
      <c r="RD32" s="482"/>
      <c r="RE32" s="482"/>
      <c r="RF32" s="482"/>
      <c r="RG32" s="482"/>
      <c r="RH32" s="482"/>
      <c r="RI32" s="482"/>
      <c r="RJ32" s="482"/>
      <c r="RK32" s="482"/>
      <c r="RL32" s="482"/>
      <c r="RM32" s="482"/>
      <c r="RN32" s="482"/>
      <c r="RO32" s="482"/>
      <c r="RP32" s="482"/>
      <c r="RQ32" s="482"/>
      <c r="RR32" s="482"/>
      <c r="RS32" s="482"/>
      <c r="RT32" s="482"/>
      <c r="RU32" s="482"/>
      <c r="RV32" s="482"/>
      <c r="RW32" s="482"/>
      <c r="RX32" s="482"/>
      <c r="RY32" s="482"/>
      <c r="RZ32" s="482"/>
      <c r="SA32" s="482"/>
      <c r="SB32" s="482"/>
      <c r="SC32" s="482"/>
      <c r="SD32" s="482"/>
      <c r="SE32" s="482"/>
      <c r="SF32" s="482"/>
      <c r="SG32" s="482"/>
      <c r="SH32" s="482"/>
      <c r="SI32" s="482"/>
      <c r="SJ32" s="482"/>
      <c r="SK32" s="482"/>
      <c r="SL32" s="482"/>
      <c r="SM32" s="482"/>
      <c r="SN32" s="482"/>
      <c r="SO32" s="482"/>
      <c r="SP32" s="482"/>
      <c r="SQ32" s="482"/>
      <c r="SR32" s="482"/>
      <c r="SS32" s="482"/>
      <c r="ST32" s="482"/>
      <c r="SU32" s="482"/>
      <c r="SV32" s="482"/>
      <c r="SW32" s="482"/>
      <c r="SX32" s="482"/>
      <c r="SY32" s="482"/>
      <c r="SZ32" s="482"/>
      <c r="TA32" s="482"/>
      <c r="TB32" s="482"/>
      <c r="TC32" s="482"/>
      <c r="TD32" s="482"/>
      <c r="TE32" s="482"/>
      <c r="TF32" s="482"/>
      <c r="TG32" s="482"/>
      <c r="TH32" s="482"/>
      <c r="TI32" s="482"/>
      <c r="TJ32" s="482"/>
      <c r="TK32" s="482"/>
      <c r="TL32" s="482"/>
      <c r="TM32" s="482"/>
      <c r="TN32" s="482"/>
      <c r="TO32" s="482"/>
      <c r="TP32" s="482"/>
      <c r="TQ32" s="482"/>
      <c r="TR32" s="482"/>
      <c r="TS32" s="482"/>
      <c r="TT32" s="482"/>
      <c r="TU32" s="482"/>
      <c r="TV32" s="482"/>
      <c r="TW32" s="482"/>
      <c r="TX32" s="482"/>
      <c r="TY32" s="482"/>
      <c r="TZ32" s="482"/>
      <c r="UA32" s="482"/>
      <c r="UB32" s="482"/>
      <c r="UC32" s="482"/>
      <c r="UD32" s="482"/>
      <c r="UE32" s="482"/>
      <c r="UF32" s="482"/>
      <c r="UG32" s="482"/>
      <c r="UH32" s="482"/>
      <c r="UI32" s="482"/>
      <c r="UJ32" s="482"/>
      <c r="UK32" s="482"/>
      <c r="UL32" s="482"/>
      <c r="UM32" s="482"/>
      <c r="UN32" s="482"/>
      <c r="UO32" s="482"/>
      <c r="UP32" s="482"/>
      <c r="UQ32" s="482"/>
      <c r="UR32" s="482"/>
      <c r="US32" s="482"/>
      <c r="UT32" s="482"/>
      <c r="UU32" s="482"/>
      <c r="UV32" s="482"/>
      <c r="UW32" s="482"/>
      <c r="UX32" s="482"/>
      <c r="UY32" s="482"/>
      <c r="UZ32" s="482"/>
      <c r="VA32" s="482"/>
      <c r="VB32" s="482"/>
      <c r="VC32" s="482"/>
      <c r="VD32" s="482"/>
      <c r="VE32" s="482"/>
      <c r="VF32" s="482"/>
      <c r="VG32" s="482"/>
      <c r="VH32" s="482"/>
      <c r="VI32" s="482"/>
      <c r="VJ32" s="482"/>
      <c r="VK32" s="482"/>
      <c r="VL32" s="482"/>
      <c r="VM32" s="482"/>
      <c r="VN32" s="482"/>
      <c r="VO32" s="482"/>
      <c r="VP32" s="482"/>
      <c r="VQ32" s="482"/>
      <c r="VR32" s="482"/>
      <c r="VS32" s="482"/>
      <c r="VT32" s="482"/>
      <c r="VU32" s="482"/>
      <c r="VV32" s="482"/>
      <c r="VW32" s="482"/>
      <c r="VX32" s="482"/>
      <c r="VY32" s="482"/>
      <c r="VZ32" s="482"/>
      <c r="WA32" s="482"/>
      <c r="WB32" s="482"/>
      <c r="WC32" s="482"/>
      <c r="WD32" s="482"/>
      <c r="WE32" s="482"/>
      <c r="WF32" s="482"/>
      <c r="WG32" s="482"/>
      <c r="WH32" s="482"/>
      <c r="WI32" s="482"/>
      <c r="WJ32" s="482"/>
      <c r="WK32" s="482"/>
      <c r="WL32" s="482"/>
      <c r="WM32" s="482"/>
      <c r="WN32" s="482"/>
      <c r="WO32" s="482"/>
      <c r="WP32" s="482"/>
      <c r="WQ32" s="482"/>
      <c r="WR32" s="482"/>
      <c r="WS32" s="482"/>
      <c r="WT32" s="482"/>
      <c r="WU32" s="482"/>
      <c r="WV32" s="482"/>
      <c r="WW32" s="482"/>
      <c r="WX32" s="482"/>
      <c r="WY32" s="482"/>
      <c r="WZ32" s="482"/>
      <c r="XA32" s="482"/>
      <c r="XB32" s="482"/>
      <c r="XC32" s="482"/>
      <c r="XD32" s="482"/>
      <c r="XE32" s="482"/>
      <c r="XF32" s="482"/>
      <c r="XG32" s="482"/>
      <c r="XH32" s="482"/>
      <c r="XI32" s="482"/>
      <c r="XJ32" s="482"/>
      <c r="XK32" s="482"/>
      <c r="XL32" s="482"/>
      <c r="XM32" s="482"/>
      <c r="XN32" s="482"/>
      <c r="XO32" s="482"/>
      <c r="XP32" s="482"/>
      <c r="XQ32" s="482"/>
      <c r="XR32" s="482"/>
      <c r="XS32" s="482"/>
      <c r="XT32" s="482"/>
      <c r="XU32" s="482"/>
      <c r="XV32" s="482"/>
      <c r="XW32" s="482"/>
      <c r="XX32" s="482"/>
      <c r="XY32" s="482"/>
      <c r="XZ32" s="482"/>
      <c r="YA32" s="482"/>
      <c r="YB32" s="482"/>
      <c r="YC32" s="482"/>
      <c r="YD32" s="482"/>
      <c r="YE32" s="482"/>
      <c r="YF32" s="482"/>
      <c r="YG32" s="482"/>
      <c r="YH32" s="482"/>
      <c r="YI32" s="482"/>
      <c r="YJ32" s="482"/>
      <c r="YK32" s="482"/>
      <c r="YL32" s="482"/>
      <c r="YM32" s="482"/>
      <c r="YN32" s="482"/>
      <c r="YO32" s="482"/>
      <c r="YP32" s="482"/>
      <c r="YQ32" s="482"/>
      <c r="YR32" s="482"/>
      <c r="YS32" s="482"/>
      <c r="YT32" s="482"/>
      <c r="YU32" s="482"/>
      <c r="YV32" s="482"/>
      <c r="YW32" s="482"/>
      <c r="YX32" s="482"/>
      <c r="YY32" s="482"/>
      <c r="YZ32" s="482"/>
      <c r="ZA32" s="482"/>
      <c r="ZB32" s="482"/>
      <c r="ZC32" s="482"/>
      <c r="ZD32" s="482"/>
      <c r="ZE32" s="482"/>
      <c r="ZF32" s="482"/>
      <c r="ZG32" s="482"/>
      <c r="ZH32" s="482"/>
      <c r="ZI32" s="482"/>
      <c r="ZJ32" s="482"/>
      <c r="ZK32" s="482"/>
      <c r="ZL32" s="482"/>
      <c r="ZM32" s="482"/>
      <c r="ZN32" s="482"/>
      <c r="ZO32" s="482"/>
      <c r="ZP32" s="482"/>
      <c r="ZQ32" s="482"/>
      <c r="ZR32" s="482"/>
      <c r="ZS32" s="482"/>
      <c r="ZT32" s="482"/>
      <c r="ZU32" s="482"/>
      <c r="ZV32" s="482"/>
      <c r="ZW32" s="482"/>
      <c r="ZX32" s="482"/>
      <c r="ZY32" s="482"/>
      <c r="ZZ32" s="482"/>
      <c r="AAA32" s="482"/>
      <c r="AAB32" s="482"/>
      <c r="AAC32" s="482"/>
      <c r="AAD32" s="482"/>
      <c r="AAE32" s="482"/>
      <c r="AAF32" s="482"/>
      <c r="AAG32" s="482"/>
      <c r="AAH32" s="482"/>
      <c r="AAI32" s="482"/>
      <c r="AAJ32" s="482"/>
      <c r="AAK32" s="482"/>
      <c r="AAL32" s="482"/>
      <c r="AAM32" s="482"/>
      <c r="AAN32" s="482"/>
      <c r="AAO32" s="482"/>
      <c r="AAP32" s="482"/>
      <c r="AAQ32" s="482"/>
      <c r="AAR32" s="482"/>
      <c r="AAS32" s="482"/>
      <c r="AAT32" s="482"/>
      <c r="AAU32" s="482"/>
      <c r="AAV32" s="482"/>
      <c r="AAW32" s="482"/>
      <c r="AAX32" s="482"/>
      <c r="AAY32" s="482"/>
      <c r="AAZ32" s="482"/>
      <c r="ABA32" s="482"/>
      <c r="ABB32" s="482"/>
      <c r="ABC32" s="482"/>
      <c r="ABD32" s="482"/>
      <c r="ABE32" s="482"/>
      <c r="ABF32" s="482"/>
      <c r="ABG32" s="482"/>
      <c r="ABH32" s="482"/>
      <c r="ABI32" s="482"/>
      <c r="ABJ32" s="482"/>
      <c r="ABK32" s="482"/>
      <c r="ABL32" s="482"/>
      <c r="ABM32" s="482"/>
      <c r="ABN32" s="482"/>
      <c r="ABO32" s="482"/>
      <c r="ABP32" s="482"/>
      <c r="ABQ32" s="482"/>
      <c r="ABR32" s="482"/>
      <c r="ABS32" s="482"/>
      <c r="ABT32" s="482"/>
      <c r="ABU32" s="482"/>
      <c r="ABV32" s="482"/>
      <c r="ABW32" s="482"/>
      <c r="ABX32" s="482"/>
      <c r="ABY32" s="482"/>
      <c r="ABZ32" s="482"/>
      <c r="ACA32" s="482"/>
      <c r="ACB32" s="482"/>
      <c r="ACC32" s="482"/>
      <c r="ACD32" s="482"/>
      <c r="ACE32" s="482"/>
      <c r="ACF32" s="482"/>
      <c r="ACG32" s="482"/>
      <c r="ACH32" s="482"/>
      <c r="ACI32" s="482"/>
      <c r="ACJ32" s="482"/>
      <c r="ACK32" s="482"/>
      <c r="ACL32" s="482"/>
      <c r="ACM32" s="482"/>
      <c r="ACN32" s="482"/>
      <c r="ACO32" s="482"/>
      <c r="ACP32" s="482"/>
      <c r="ACQ32" s="482"/>
      <c r="ACR32" s="482"/>
      <c r="ACS32" s="482"/>
      <c r="ACT32" s="482"/>
      <c r="ACU32" s="482"/>
      <c r="ACV32" s="482"/>
      <c r="ACW32" s="482"/>
      <c r="ACX32" s="482"/>
      <c r="ACY32" s="482"/>
      <c r="ACZ32" s="482"/>
      <c r="ADA32" s="482"/>
      <c r="ADB32" s="482"/>
      <c r="ADC32" s="482"/>
      <c r="ADD32" s="482"/>
      <c r="ADE32" s="482"/>
      <c r="ADF32" s="482"/>
      <c r="ADG32" s="482"/>
      <c r="ADH32" s="482"/>
      <c r="ADI32" s="482"/>
      <c r="ADJ32" s="482"/>
      <c r="ADK32" s="482"/>
      <c r="ADL32" s="482"/>
      <c r="ADM32" s="482"/>
      <c r="ADN32" s="482"/>
      <c r="ADO32" s="482"/>
      <c r="ADP32" s="482"/>
      <c r="ADQ32" s="482"/>
      <c r="ADR32" s="482"/>
      <c r="ADS32" s="482"/>
      <c r="ADT32" s="482"/>
      <c r="ADU32" s="482"/>
      <c r="ADV32" s="482"/>
      <c r="ADW32" s="482"/>
      <c r="ADX32" s="482"/>
      <c r="ADY32" s="482"/>
      <c r="ADZ32" s="482"/>
      <c r="AEA32" s="482"/>
      <c r="AEB32" s="482"/>
      <c r="AEC32" s="482"/>
      <c r="AED32" s="482"/>
      <c r="AEE32" s="482"/>
      <c r="AEF32" s="482"/>
      <c r="AEG32" s="482"/>
      <c r="AEH32" s="482"/>
      <c r="AEI32" s="482"/>
      <c r="AEJ32" s="482"/>
      <c r="AEK32" s="482"/>
      <c r="AEL32" s="482"/>
      <c r="AEM32" s="482"/>
      <c r="AEN32" s="482"/>
      <c r="AEO32" s="482"/>
      <c r="AEP32" s="482"/>
      <c r="AEQ32" s="482"/>
      <c r="AER32" s="482"/>
      <c r="AES32" s="482"/>
      <c r="AET32" s="482"/>
      <c r="AEU32" s="482"/>
      <c r="AEV32" s="482"/>
      <c r="AEW32" s="482"/>
      <c r="AEX32" s="482"/>
      <c r="AEY32" s="482"/>
      <c r="AEZ32" s="482"/>
      <c r="AFA32" s="482"/>
      <c r="AFB32" s="482"/>
      <c r="AFC32" s="482"/>
      <c r="AFD32" s="482"/>
      <c r="AFE32" s="482"/>
      <c r="AFF32" s="482"/>
      <c r="AFG32" s="482"/>
      <c r="AFH32" s="482"/>
      <c r="AFI32" s="482"/>
      <c r="AFJ32" s="482"/>
      <c r="AFK32" s="482"/>
      <c r="AFL32" s="482"/>
      <c r="AFM32" s="482"/>
      <c r="AFN32" s="482"/>
      <c r="AFO32" s="482"/>
      <c r="AFP32" s="482"/>
      <c r="AFQ32" s="482"/>
      <c r="AFR32" s="482"/>
      <c r="AFS32" s="482"/>
      <c r="AFT32" s="482"/>
      <c r="AFU32" s="482"/>
      <c r="AFV32" s="482"/>
      <c r="AFW32" s="482"/>
      <c r="AFX32" s="482"/>
      <c r="AFY32" s="482"/>
      <c r="AFZ32" s="482"/>
      <c r="AGA32" s="482"/>
      <c r="AGB32" s="482"/>
      <c r="AGC32" s="482"/>
      <c r="AGD32" s="482"/>
      <c r="AGE32" s="482"/>
      <c r="AGF32" s="482"/>
      <c r="AGG32" s="482"/>
      <c r="AGH32" s="482"/>
      <c r="AGI32" s="482"/>
      <c r="AGJ32" s="482"/>
      <c r="AGK32" s="482"/>
      <c r="AGL32" s="482"/>
      <c r="AGM32" s="482"/>
      <c r="AGN32" s="482"/>
      <c r="AGO32" s="482"/>
      <c r="AGP32" s="482"/>
      <c r="AGQ32" s="482"/>
      <c r="AGR32" s="482"/>
      <c r="AGS32" s="482"/>
      <c r="AGT32" s="482"/>
      <c r="AGU32" s="482"/>
      <c r="AGV32" s="482"/>
      <c r="AGW32" s="482"/>
      <c r="AGX32" s="482"/>
      <c r="AGY32" s="482"/>
      <c r="AGZ32" s="482"/>
      <c r="AHA32" s="482"/>
      <c r="AHB32" s="482"/>
      <c r="AHC32" s="482"/>
      <c r="AHD32" s="482"/>
      <c r="AHE32" s="482"/>
      <c r="AHF32" s="482"/>
      <c r="AHG32" s="482"/>
      <c r="AHH32" s="482"/>
      <c r="AHI32" s="482"/>
      <c r="AHJ32" s="482"/>
      <c r="AHK32" s="482"/>
      <c r="AHL32" s="482"/>
      <c r="AHM32" s="482"/>
      <c r="AHN32" s="482"/>
      <c r="AHO32" s="482"/>
      <c r="AHP32" s="482"/>
      <c r="AHQ32" s="482"/>
      <c r="AHR32" s="482"/>
      <c r="AHS32" s="482"/>
      <c r="AHT32" s="482"/>
      <c r="AHU32" s="482"/>
      <c r="AHV32" s="482"/>
      <c r="AHW32" s="482"/>
      <c r="AHX32" s="482"/>
      <c r="AHY32" s="482"/>
      <c r="AHZ32" s="482"/>
      <c r="AIA32" s="482"/>
      <c r="AIB32" s="482"/>
      <c r="AIC32" s="482"/>
      <c r="AID32" s="482"/>
      <c r="AIE32" s="482"/>
      <c r="AIF32" s="482"/>
      <c r="AIG32" s="482"/>
      <c r="AIH32" s="482"/>
      <c r="AII32" s="482"/>
      <c r="AIJ32" s="482"/>
      <c r="AIK32" s="482"/>
      <c r="AIL32" s="482"/>
      <c r="AIM32" s="482"/>
      <c r="AIN32" s="482"/>
      <c r="AIO32" s="482"/>
      <c r="AIP32" s="482"/>
      <c r="AIQ32" s="482"/>
      <c r="AIR32" s="482"/>
      <c r="AIS32" s="482"/>
      <c r="AIT32" s="482"/>
      <c r="AIU32" s="482"/>
      <c r="AIV32" s="482"/>
      <c r="AIW32" s="482"/>
      <c r="AIX32" s="482"/>
      <c r="AIY32" s="482"/>
      <c r="AIZ32" s="482"/>
      <c r="AJA32" s="482"/>
      <c r="AJB32" s="482"/>
      <c r="AJC32" s="482"/>
      <c r="AJD32" s="482"/>
      <c r="AJE32" s="482"/>
      <c r="AJF32" s="482"/>
      <c r="AJG32" s="482"/>
      <c r="AJH32" s="482"/>
      <c r="AJI32" s="482"/>
      <c r="AJJ32" s="482"/>
      <c r="AJK32" s="482"/>
      <c r="AJL32" s="482"/>
      <c r="AJM32" s="482"/>
      <c r="AJN32" s="482"/>
      <c r="AJO32" s="482"/>
      <c r="AJP32" s="482"/>
      <c r="AJQ32" s="482"/>
      <c r="AJR32" s="482"/>
      <c r="AJS32" s="482"/>
      <c r="AJT32" s="482"/>
      <c r="AJU32" s="482"/>
      <c r="AJV32" s="482"/>
      <c r="AJW32" s="482"/>
      <c r="AJX32" s="482"/>
      <c r="AJY32" s="482"/>
      <c r="AJZ32" s="482"/>
      <c r="AKA32" s="482"/>
      <c r="AKB32" s="482"/>
      <c r="AKC32" s="482"/>
      <c r="AKD32" s="482"/>
      <c r="AKE32" s="482"/>
      <c r="AKF32" s="482"/>
      <c r="AKG32" s="482"/>
      <c r="AKH32" s="482"/>
      <c r="AKI32" s="482"/>
      <c r="AKJ32" s="482"/>
      <c r="AKK32" s="482"/>
      <c r="AKL32" s="482"/>
      <c r="AKM32" s="482"/>
      <c r="AKN32" s="482"/>
      <c r="AKO32" s="482"/>
      <c r="AKP32" s="482"/>
      <c r="AKQ32" s="482"/>
      <c r="AKR32" s="482"/>
      <c r="AKS32" s="482"/>
      <c r="AKT32" s="482"/>
      <c r="AKU32" s="482"/>
      <c r="AKV32" s="482"/>
      <c r="AKW32" s="482"/>
      <c r="AKX32" s="482"/>
      <c r="AKY32" s="482"/>
      <c r="AKZ32" s="482"/>
      <c r="ALA32" s="482"/>
      <c r="ALB32" s="482"/>
      <c r="ALC32" s="482"/>
      <c r="ALD32" s="482"/>
      <c r="ALE32" s="482"/>
      <c r="ALF32" s="482"/>
      <c r="ALG32" s="482"/>
      <c r="ALH32" s="482"/>
      <c r="ALI32" s="482"/>
      <c r="ALJ32" s="482"/>
      <c r="ALK32" s="482"/>
      <c r="ALL32" s="482"/>
      <c r="ALM32" s="482"/>
      <c r="ALN32" s="482"/>
      <c r="ALO32" s="482"/>
      <c r="ALP32" s="482"/>
      <c r="ALQ32" s="482"/>
      <c r="ALR32" s="482"/>
      <c r="ALS32" s="482"/>
      <c r="ALT32" s="482"/>
      <c r="ALU32" s="482"/>
      <c r="ALV32" s="482"/>
      <c r="ALW32" s="482"/>
      <c r="ALX32" s="482"/>
      <c r="ALY32" s="482"/>
      <c r="ALZ32" s="482"/>
      <c r="AMA32" s="482"/>
      <c r="AMB32" s="482"/>
      <c r="AMC32" s="482"/>
      <c r="AMD32" s="482"/>
      <c r="AME32" s="482"/>
      <c r="AMF32" s="482"/>
      <c r="AMG32" s="482"/>
      <c r="AMH32" s="482"/>
      <c r="AMI32" s="482"/>
      <c r="AMJ32" s="482"/>
      <c r="AMK32" s="482"/>
      <c r="AML32" s="482"/>
      <c r="AMM32" s="482"/>
      <c r="AMN32" s="482"/>
      <c r="AMO32" s="482"/>
      <c r="AMP32" s="482"/>
      <c r="AMQ32" s="482"/>
      <c r="AMR32" s="482"/>
      <c r="AMS32" s="482"/>
      <c r="AMT32" s="482"/>
      <c r="AMU32" s="482"/>
      <c r="AMV32" s="482"/>
      <c r="AMW32" s="482"/>
      <c r="AMX32" s="482"/>
      <c r="AMY32" s="482"/>
      <c r="AMZ32" s="482"/>
      <c r="ANA32" s="482"/>
      <c r="ANB32" s="482"/>
      <c r="ANC32" s="482"/>
      <c r="AND32" s="482"/>
      <c r="ANE32" s="482"/>
      <c r="ANF32" s="482"/>
      <c r="ANG32" s="482"/>
      <c r="ANH32" s="482"/>
      <c r="ANI32" s="482"/>
      <c r="ANJ32" s="482"/>
      <c r="ANK32" s="482"/>
      <c r="ANL32" s="482"/>
      <c r="ANM32" s="482"/>
      <c r="ANN32" s="482"/>
      <c r="ANO32" s="482"/>
      <c r="ANP32" s="482"/>
      <c r="ANQ32" s="482"/>
      <c r="ANR32" s="482"/>
      <c r="ANS32" s="482"/>
      <c r="ANT32" s="482"/>
      <c r="ANU32" s="482"/>
      <c r="ANV32" s="482"/>
      <c r="ANW32" s="482"/>
      <c r="ANX32" s="482"/>
      <c r="ANY32" s="482"/>
      <c r="ANZ32" s="482"/>
      <c r="AOA32" s="482"/>
      <c r="AOB32" s="482"/>
      <c r="AOC32" s="482"/>
      <c r="AOD32" s="482"/>
      <c r="AOE32" s="482"/>
      <c r="AOF32" s="482"/>
      <c r="AOG32" s="482"/>
      <c r="AOH32" s="482"/>
      <c r="AOI32" s="482"/>
      <c r="AOJ32" s="482"/>
      <c r="AOK32" s="482"/>
      <c r="AOL32" s="482"/>
      <c r="AOM32" s="482"/>
      <c r="AON32" s="482"/>
      <c r="AOO32" s="482"/>
      <c r="AOP32" s="482"/>
      <c r="AOQ32" s="482"/>
      <c r="AOR32" s="482"/>
      <c r="AOS32" s="482"/>
      <c r="AOT32" s="482"/>
      <c r="AOU32" s="482"/>
      <c r="AOV32" s="482"/>
      <c r="AOW32" s="482"/>
      <c r="AOX32" s="482"/>
      <c r="AOY32" s="482"/>
      <c r="AOZ32" s="482"/>
      <c r="APA32" s="482"/>
      <c r="APB32" s="482"/>
      <c r="APC32" s="482"/>
      <c r="APD32" s="482"/>
      <c r="APE32" s="482"/>
      <c r="APF32" s="482"/>
      <c r="APG32" s="482"/>
      <c r="APH32" s="482"/>
      <c r="API32" s="482"/>
      <c r="APJ32" s="482"/>
      <c r="APK32" s="482"/>
      <c r="APL32" s="482"/>
      <c r="APM32" s="482"/>
      <c r="APN32" s="482"/>
      <c r="APO32" s="482"/>
      <c r="APP32" s="482"/>
      <c r="APQ32" s="482"/>
      <c r="APR32" s="482"/>
      <c r="APS32" s="482"/>
      <c r="APT32" s="482"/>
      <c r="APU32" s="482"/>
      <c r="APV32" s="482"/>
      <c r="APW32" s="482"/>
      <c r="APX32" s="482"/>
      <c r="APY32" s="482"/>
      <c r="APZ32" s="482"/>
      <c r="AQA32" s="482"/>
      <c r="AQB32" s="482"/>
      <c r="AQC32" s="482"/>
      <c r="AQD32" s="482"/>
      <c r="AQE32" s="482"/>
      <c r="AQF32" s="482"/>
      <c r="AQG32" s="482"/>
      <c r="AQH32" s="482"/>
      <c r="AQI32" s="482"/>
      <c r="AQJ32" s="482"/>
      <c r="AQK32" s="482"/>
      <c r="AQL32" s="482"/>
      <c r="AQM32" s="482"/>
      <c r="AQN32" s="482"/>
      <c r="AQO32" s="482"/>
      <c r="AQP32" s="482"/>
      <c r="AQQ32" s="482"/>
      <c r="AQR32" s="482"/>
      <c r="AQS32" s="482"/>
      <c r="AQT32" s="482"/>
      <c r="AQU32" s="482"/>
      <c r="AQV32" s="482"/>
      <c r="AQW32" s="482"/>
      <c r="AQX32" s="482"/>
      <c r="AQY32" s="482"/>
      <c r="AQZ32" s="482"/>
      <c r="ARA32" s="482"/>
      <c r="ARB32" s="482"/>
      <c r="ARC32" s="482"/>
      <c r="ARD32" s="482"/>
      <c r="ARE32" s="482"/>
      <c r="ARF32" s="482"/>
      <c r="ARG32" s="482"/>
      <c r="ARH32" s="482"/>
      <c r="ARI32" s="482"/>
      <c r="ARJ32" s="482"/>
      <c r="ARK32" s="482"/>
      <c r="ARL32" s="482"/>
      <c r="ARM32" s="482"/>
      <c r="ARN32" s="482"/>
      <c r="ARO32" s="482"/>
      <c r="ARP32" s="482"/>
      <c r="ARQ32" s="482"/>
      <c r="ARR32" s="482"/>
      <c r="ARS32" s="482"/>
      <c r="ART32" s="482"/>
      <c r="ARU32" s="482"/>
      <c r="ARV32" s="482"/>
      <c r="ARW32" s="482"/>
      <c r="ARX32" s="482"/>
      <c r="ARY32" s="482"/>
      <c r="ARZ32" s="482"/>
      <c r="ASA32" s="482"/>
      <c r="ASB32" s="482"/>
      <c r="ASC32" s="482"/>
      <c r="ASD32" s="482"/>
      <c r="ASE32" s="482"/>
      <c r="ASF32" s="482"/>
      <c r="ASG32" s="482"/>
      <c r="ASH32" s="482"/>
      <c r="ASI32" s="482"/>
      <c r="ASJ32" s="482"/>
      <c r="ASK32" s="482"/>
      <c r="ASL32" s="482"/>
      <c r="ASM32" s="482"/>
      <c r="ASN32" s="482"/>
      <c r="ASO32" s="482"/>
      <c r="ASP32" s="482"/>
      <c r="ASQ32" s="482"/>
      <c r="ASR32" s="482"/>
      <c r="ASS32" s="482"/>
      <c r="AST32" s="482"/>
      <c r="ASU32" s="482"/>
      <c r="ASV32" s="482"/>
      <c r="ASW32" s="482"/>
      <c r="ASX32" s="482"/>
      <c r="ASY32" s="482"/>
      <c r="ASZ32" s="482"/>
      <c r="ATA32" s="482"/>
      <c r="ATB32" s="482"/>
      <c r="ATC32" s="482"/>
      <c r="ATD32" s="482"/>
      <c r="ATE32" s="482"/>
      <c r="ATF32" s="482"/>
      <c r="ATG32" s="482"/>
      <c r="ATH32" s="482"/>
      <c r="ATI32" s="482"/>
      <c r="ATJ32" s="482"/>
      <c r="ATK32" s="482"/>
      <c r="ATL32" s="482"/>
      <c r="ATM32" s="482"/>
      <c r="ATN32" s="482"/>
      <c r="ATO32" s="482"/>
      <c r="ATP32" s="482"/>
      <c r="ATQ32" s="482"/>
      <c r="ATR32" s="482"/>
      <c r="ATS32" s="482"/>
      <c r="ATT32" s="482"/>
      <c r="ATU32" s="482"/>
      <c r="ATV32" s="482"/>
      <c r="ATW32" s="482"/>
      <c r="ATX32" s="482"/>
      <c r="ATY32" s="482"/>
      <c r="ATZ32" s="482"/>
      <c r="AUA32" s="482"/>
      <c r="AUB32" s="482"/>
      <c r="AUC32" s="482"/>
      <c r="AUD32" s="482"/>
      <c r="AUE32" s="482"/>
      <c r="AUF32" s="482"/>
      <c r="AUG32" s="482"/>
      <c r="AUH32" s="482"/>
      <c r="AUI32" s="482"/>
      <c r="AUJ32" s="482"/>
      <c r="AUK32" s="482"/>
      <c r="AUL32" s="482"/>
      <c r="AUM32" s="482"/>
      <c r="AUN32" s="482"/>
      <c r="AUO32" s="482"/>
      <c r="AUP32" s="482"/>
      <c r="AUQ32" s="482"/>
      <c r="AUR32" s="482"/>
      <c r="AUS32" s="482"/>
      <c r="AUT32" s="482"/>
      <c r="AUU32" s="482"/>
      <c r="AUV32" s="482"/>
      <c r="AUW32" s="482"/>
      <c r="AUX32" s="482"/>
      <c r="AUY32" s="482"/>
      <c r="AUZ32" s="482"/>
      <c r="AVA32" s="482"/>
      <c r="AVB32" s="482"/>
      <c r="AVC32" s="482"/>
      <c r="AVD32" s="482"/>
      <c r="AVE32" s="482"/>
      <c r="AVF32" s="482"/>
      <c r="AVG32" s="482"/>
      <c r="AVH32" s="482"/>
      <c r="AVI32" s="482"/>
      <c r="AVJ32" s="482"/>
      <c r="AVK32" s="482"/>
      <c r="AVL32" s="482"/>
      <c r="AVM32" s="482"/>
      <c r="AVN32" s="482"/>
      <c r="AVO32" s="482"/>
      <c r="AVP32" s="482"/>
      <c r="AVQ32" s="482"/>
      <c r="AVR32" s="482"/>
      <c r="AVS32" s="482"/>
      <c r="AVT32" s="482"/>
      <c r="AVU32" s="482"/>
      <c r="AVV32" s="482"/>
      <c r="AVW32" s="482"/>
      <c r="AVX32" s="482"/>
      <c r="AVY32" s="482"/>
      <c r="AVZ32" s="482"/>
      <c r="AWA32" s="482"/>
      <c r="AWB32" s="482"/>
      <c r="AWC32" s="482"/>
      <c r="AWD32" s="482"/>
      <c r="AWE32" s="482"/>
      <c r="AWF32" s="482"/>
      <c r="AWG32" s="482"/>
      <c r="AWH32" s="482"/>
      <c r="AWI32" s="482"/>
      <c r="AWJ32" s="482"/>
      <c r="AWK32" s="482"/>
      <c r="AWL32" s="482"/>
      <c r="AWM32" s="482"/>
      <c r="AWN32" s="482"/>
      <c r="AWO32" s="482"/>
      <c r="AWP32" s="482"/>
      <c r="AWQ32" s="482"/>
      <c r="AWR32" s="482"/>
      <c r="AWS32" s="482"/>
      <c r="AWT32" s="482"/>
      <c r="AWU32" s="482"/>
      <c r="AWV32" s="482"/>
      <c r="AWW32" s="482"/>
      <c r="AWX32" s="482"/>
      <c r="AWY32" s="482"/>
      <c r="AWZ32" s="482"/>
      <c r="AXA32" s="482"/>
      <c r="AXB32" s="482"/>
      <c r="AXC32" s="482"/>
      <c r="AXD32" s="482"/>
      <c r="AXE32" s="482"/>
      <c r="AXF32" s="482"/>
      <c r="AXG32" s="482"/>
      <c r="AXH32" s="482"/>
      <c r="AXI32" s="482"/>
      <c r="AXJ32" s="482"/>
      <c r="AXK32" s="482"/>
      <c r="AXL32" s="482"/>
      <c r="AXM32" s="482"/>
      <c r="AXN32" s="482"/>
      <c r="AXO32" s="482"/>
      <c r="AXP32" s="482"/>
      <c r="AXQ32" s="482"/>
      <c r="AXR32" s="482"/>
      <c r="AXS32" s="482"/>
      <c r="AXT32" s="482"/>
      <c r="AXU32" s="482"/>
      <c r="AXV32" s="482"/>
      <c r="AXW32" s="482"/>
      <c r="AXX32" s="482"/>
      <c r="AXY32" s="482"/>
      <c r="AXZ32" s="482"/>
      <c r="AYA32" s="482"/>
      <c r="AYB32" s="482"/>
      <c r="AYC32" s="482"/>
      <c r="AYD32" s="482"/>
      <c r="AYE32" s="482"/>
      <c r="AYF32" s="482"/>
      <c r="AYG32" s="482"/>
      <c r="AYH32" s="482"/>
      <c r="AYI32" s="482"/>
      <c r="AYJ32" s="482"/>
      <c r="AYK32" s="482"/>
      <c r="AYL32" s="482"/>
      <c r="AYM32" s="482"/>
      <c r="AYN32" s="482"/>
      <c r="AYO32" s="482"/>
      <c r="AYP32" s="482"/>
      <c r="AYQ32" s="482"/>
      <c r="AYR32" s="482"/>
      <c r="AYS32" s="482"/>
      <c r="AYT32" s="482"/>
      <c r="AYU32" s="482"/>
      <c r="AYV32" s="482"/>
      <c r="AYW32" s="482"/>
      <c r="AYX32" s="482"/>
      <c r="AYY32" s="482"/>
      <c r="AYZ32" s="482"/>
      <c r="AZA32" s="482"/>
      <c r="AZB32" s="482"/>
      <c r="AZC32" s="482"/>
      <c r="AZD32" s="482"/>
      <c r="AZE32" s="482"/>
      <c r="AZF32" s="482"/>
      <c r="AZG32" s="482"/>
      <c r="AZH32" s="482"/>
      <c r="AZI32" s="482"/>
      <c r="AZJ32" s="482"/>
      <c r="AZK32" s="482"/>
      <c r="AZL32" s="482"/>
      <c r="AZM32" s="482"/>
      <c r="AZN32" s="482"/>
      <c r="AZO32" s="482"/>
      <c r="AZP32" s="482"/>
      <c r="AZQ32" s="482"/>
      <c r="AZR32" s="482"/>
      <c r="AZS32" s="482"/>
      <c r="AZT32" s="482"/>
      <c r="AZU32" s="482"/>
      <c r="AZV32" s="482"/>
      <c r="AZW32" s="482"/>
      <c r="AZX32" s="482"/>
      <c r="AZY32" s="482"/>
      <c r="AZZ32" s="482"/>
      <c r="BAA32" s="482"/>
      <c r="BAB32" s="482"/>
      <c r="BAC32" s="482"/>
      <c r="BAD32" s="482"/>
      <c r="BAE32" s="482"/>
      <c r="BAF32" s="482"/>
      <c r="BAG32" s="482"/>
      <c r="BAH32" s="482"/>
      <c r="BAI32" s="482"/>
      <c r="BAJ32" s="482"/>
      <c r="BAK32" s="482"/>
      <c r="BAL32" s="482"/>
      <c r="BAM32" s="482"/>
      <c r="BAN32" s="482"/>
      <c r="BAO32" s="482"/>
      <c r="BAP32" s="482"/>
      <c r="BAQ32" s="482"/>
      <c r="BAR32" s="482"/>
      <c r="BAS32" s="482"/>
      <c r="BAT32" s="482"/>
      <c r="BAU32" s="482"/>
      <c r="BAV32" s="482"/>
      <c r="BAW32" s="482"/>
      <c r="BAX32" s="482"/>
      <c r="BAY32" s="482"/>
      <c r="BAZ32" s="482"/>
      <c r="BBA32" s="482"/>
      <c r="BBB32" s="482"/>
      <c r="BBC32" s="482"/>
      <c r="BBD32" s="482"/>
      <c r="BBE32" s="482"/>
      <c r="BBF32" s="482"/>
      <c r="BBG32" s="482"/>
      <c r="BBH32" s="482"/>
      <c r="BBI32" s="482"/>
      <c r="BBJ32" s="482"/>
      <c r="BBK32" s="482"/>
      <c r="BBL32" s="482"/>
      <c r="BBM32" s="482"/>
      <c r="BBN32" s="482"/>
      <c r="BBO32" s="482"/>
      <c r="BBP32" s="482"/>
      <c r="BBQ32" s="482"/>
      <c r="BBR32" s="482"/>
      <c r="BBS32" s="482"/>
      <c r="BBT32" s="482"/>
      <c r="BBU32" s="482"/>
      <c r="BBV32" s="482"/>
      <c r="BBW32" s="482"/>
      <c r="BBX32" s="482"/>
      <c r="BBY32" s="482"/>
      <c r="BBZ32" s="482"/>
      <c r="BCA32" s="482"/>
      <c r="BCB32" s="482"/>
      <c r="BCC32" s="482"/>
      <c r="BCD32" s="482"/>
      <c r="BCE32" s="482"/>
      <c r="BCF32" s="482"/>
      <c r="BCG32" s="482"/>
      <c r="BCH32" s="482"/>
      <c r="BCI32" s="482"/>
      <c r="BCJ32" s="482"/>
      <c r="BCK32" s="482"/>
      <c r="BCL32" s="482"/>
      <c r="BCM32" s="482"/>
      <c r="BCN32" s="482"/>
      <c r="BCO32" s="482"/>
      <c r="BCP32" s="482"/>
      <c r="BCQ32" s="482"/>
      <c r="BCR32" s="482"/>
      <c r="BCS32" s="482"/>
      <c r="BCT32" s="482"/>
      <c r="BCU32" s="482"/>
      <c r="BCV32" s="482"/>
      <c r="BCW32" s="482"/>
      <c r="BCX32" s="482"/>
      <c r="BCY32" s="482"/>
      <c r="BCZ32" s="482"/>
      <c r="BDA32" s="482"/>
      <c r="BDB32" s="482"/>
      <c r="BDC32" s="482"/>
      <c r="BDD32" s="482"/>
      <c r="BDE32" s="482"/>
      <c r="BDF32" s="482"/>
      <c r="BDG32" s="482"/>
      <c r="BDH32" s="482"/>
      <c r="BDI32" s="482"/>
      <c r="BDJ32" s="482"/>
      <c r="BDK32" s="482"/>
      <c r="BDL32" s="482"/>
      <c r="BDM32" s="482"/>
      <c r="BDN32" s="482"/>
      <c r="BDO32" s="482"/>
      <c r="BDP32" s="482"/>
      <c r="BDQ32" s="482"/>
      <c r="BDR32" s="482"/>
      <c r="BDS32" s="482"/>
      <c r="BDT32" s="482"/>
      <c r="BDU32" s="482"/>
      <c r="BDV32" s="482"/>
      <c r="BDW32" s="482"/>
      <c r="BDX32" s="482"/>
      <c r="BDY32" s="482"/>
      <c r="BDZ32" s="482"/>
      <c r="BEA32" s="482"/>
      <c r="BEB32" s="482"/>
      <c r="BEC32" s="482"/>
      <c r="BED32" s="482"/>
      <c r="BEE32" s="482"/>
      <c r="BEF32" s="482"/>
      <c r="BEG32" s="482"/>
      <c r="BEH32" s="482"/>
      <c r="BEI32" s="482"/>
      <c r="BEJ32" s="482"/>
      <c r="BEK32" s="482"/>
      <c r="BEL32" s="482"/>
      <c r="BEM32" s="482"/>
      <c r="BEN32" s="482"/>
      <c r="BEO32" s="482"/>
      <c r="BEP32" s="482"/>
      <c r="BEQ32" s="482"/>
      <c r="BER32" s="482"/>
      <c r="BES32" s="482"/>
      <c r="BET32" s="482"/>
      <c r="BEU32" s="482"/>
      <c r="BEV32" s="482"/>
      <c r="BEW32" s="482"/>
      <c r="BEX32" s="482"/>
      <c r="BEY32" s="482"/>
      <c r="BEZ32" s="482"/>
      <c r="BFA32" s="482"/>
      <c r="BFB32" s="482"/>
      <c r="BFC32" s="482"/>
      <c r="BFD32" s="482"/>
      <c r="BFE32" s="482"/>
      <c r="BFF32" s="482"/>
      <c r="BFG32" s="482"/>
      <c r="BFH32" s="482"/>
      <c r="BFI32" s="482"/>
      <c r="BFJ32" s="482"/>
      <c r="BFK32" s="482"/>
      <c r="BFL32" s="482"/>
      <c r="BFM32" s="482"/>
      <c r="BFN32" s="482"/>
      <c r="BFO32" s="482"/>
      <c r="BFP32" s="482"/>
      <c r="BFQ32" s="482"/>
      <c r="BFR32" s="482"/>
      <c r="BFS32" s="482"/>
      <c r="BFT32" s="482"/>
      <c r="BFU32" s="482"/>
      <c r="BFV32" s="482"/>
      <c r="BFW32" s="482"/>
      <c r="BFX32" s="482"/>
      <c r="BFY32" s="482"/>
      <c r="BFZ32" s="482"/>
      <c r="BGA32" s="482"/>
      <c r="BGB32" s="482"/>
      <c r="BGC32" s="482"/>
      <c r="BGD32" s="482"/>
      <c r="BGE32" s="482"/>
      <c r="BGF32" s="482"/>
      <c r="BGG32" s="482"/>
      <c r="BGH32" s="482"/>
      <c r="BGI32" s="482"/>
      <c r="BGJ32" s="482"/>
      <c r="BGK32" s="482"/>
      <c r="BGL32" s="482"/>
      <c r="BGM32" s="482"/>
      <c r="BGN32" s="482"/>
      <c r="BGO32" s="482"/>
      <c r="BGP32" s="482"/>
      <c r="BGQ32" s="482"/>
      <c r="BGR32" s="482"/>
      <c r="BGS32" s="482"/>
      <c r="BGT32" s="482"/>
      <c r="BGU32" s="482"/>
      <c r="BGV32" s="482"/>
      <c r="BGW32" s="482"/>
      <c r="BGX32" s="482"/>
      <c r="BGY32" s="482"/>
      <c r="BGZ32" s="482"/>
      <c r="BHA32" s="482"/>
      <c r="BHB32" s="482"/>
      <c r="BHC32" s="482"/>
      <c r="BHD32" s="482"/>
      <c r="BHE32" s="482"/>
      <c r="BHF32" s="482"/>
      <c r="BHG32" s="482"/>
      <c r="BHH32" s="482"/>
      <c r="BHI32" s="482"/>
      <c r="BHJ32" s="482"/>
      <c r="BHK32" s="482"/>
      <c r="BHL32" s="482"/>
      <c r="BHM32" s="482"/>
      <c r="BHN32" s="482"/>
      <c r="BHO32" s="482"/>
      <c r="BHP32" s="482"/>
      <c r="BHQ32" s="482"/>
      <c r="BHR32" s="482"/>
      <c r="BHS32" s="482"/>
      <c r="BHT32" s="482"/>
      <c r="BHU32" s="482"/>
      <c r="BHV32" s="482"/>
      <c r="BHW32" s="482"/>
      <c r="BHX32" s="482"/>
      <c r="BHY32" s="482"/>
      <c r="BHZ32" s="482"/>
      <c r="BIA32" s="482"/>
      <c r="BIB32" s="482"/>
      <c r="BIC32" s="482"/>
      <c r="BID32" s="482"/>
      <c r="BIE32" s="482"/>
      <c r="BIF32" s="482"/>
      <c r="BIG32" s="482"/>
      <c r="BIH32" s="482"/>
      <c r="BII32" s="482"/>
      <c r="BIJ32" s="482"/>
      <c r="BIK32" s="482"/>
      <c r="BIL32" s="482"/>
      <c r="BIM32" s="482"/>
      <c r="BIN32" s="482"/>
      <c r="BIO32" s="482"/>
      <c r="BIP32" s="482"/>
      <c r="BIQ32" s="482"/>
      <c r="BIR32" s="482"/>
      <c r="BIS32" s="482"/>
      <c r="BIT32" s="482"/>
      <c r="BIU32" s="482"/>
      <c r="BIV32" s="482"/>
      <c r="BIW32" s="482"/>
      <c r="BIX32" s="482"/>
      <c r="BIY32" s="482"/>
      <c r="BIZ32" s="482"/>
      <c r="BJA32" s="482"/>
      <c r="BJB32" s="482"/>
      <c r="BJC32" s="482"/>
      <c r="BJD32" s="482"/>
      <c r="BJE32" s="482"/>
      <c r="BJF32" s="482"/>
      <c r="BJG32" s="482"/>
      <c r="BJH32" s="482"/>
      <c r="BJI32" s="482"/>
      <c r="BJJ32" s="482"/>
      <c r="BJK32" s="482"/>
      <c r="BJL32" s="482"/>
      <c r="BJM32" s="482"/>
      <c r="BJN32" s="482"/>
      <c r="BJO32" s="482"/>
      <c r="BJP32" s="482"/>
      <c r="BJQ32" s="482"/>
      <c r="BJR32" s="482"/>
      <c r="BJS32" s="482"/>
      <c r="BJT32" s="482"/>
      <c r="BJU32" s="482"/>
      <c r="BJV32" s="482"/>
      <c r="BJW32" s="482"/>
      <c r="BJX32" s="482"/>
      <c r="BJY32" s="482"/>
      <c r="BJZ32" s="482"/>
      <c r="BKA32" s="482"/>
      <c r="BKB32" s="482"/>
      <c r="BKC32" s="482"/>
      <c r="BKD32" s="482"/>
      <c r="BKE32" s="482"/>
      <c r="BKF32" s="482"/>
      <c r="BKG32" s="482"/>
      <c r="BKH32" s="482"/>
      <c r="BKI32" s="482"/>
      <c r="BKJ32" s="482"/>
      <c r="BKK32" s="482"/>
      <c r="BKL32" s="482"/>
      <c r="BKM32" s="482"/>
      <c r="BKN32" s="482"/>
      <c r="BKO32" s="482"/>
      <c r="BKP32" s="482"/>
      <c r="BKQ32" s="482"/>
      <c r="BKR32" s="482"/>
      <c r="BKS32" s="482"/>
      <c r="BKT32" s="482"/>
      <c r="BKU32" s="482"/>
      <c r="BKV32" s="482"/>
      <c r="BKW32" s="482"/>
      <c r="BKX32" s="482"/>
      <c r="BKY32" s="482"/>
      <c r="BKZ32" s="482"/>
      <c r="BLA32" s="482"/>
      <c r="BLB32" s="482"/>
      <c r="BLC32" s="482"/>
      <c r="BLD32" s="482"/>
      <c r="BLE32" s="482"/>
      <c r="BLF32" s="482"/>
      <c r="BLG32" s="482"/>
      <c r="BLH32" s="482"/>
      <c r="BLI32" s="482"/>
      <c r="BLJ32" s="482"/>
      <c r="BLK32" s="482"/>
      <c r="BLL32" s="482"/>
      <c r="BLM32" s="482"/>
      <c r="BLN32" s="482"/>
      <c r="BLO32" s="482"/>
      <c r="BLP32" s="482"/>
      <c r="BLQ32" s="482"/>
      <c r="BLR32" s="482"/>
      <c r="BLS32" s="482"/>
      <c r="BLT32" s="482"/>
      <c r="BLU32" s="482"/>
      <c r="BLV32" s="482"/>
      <c r="BLW32" s="482"/>
      <c r="BLX32" s="482"/>
      <c r="BLY32" s="482"/>
      <c r="BLZ32" s="482"/>
      <c r="BMA32" s="482"/>
      <c r="BMB32" s="482"/>
      <c r="BMC32" s="482"/>
      <c r="BMD32" s="482"/>
      <c r="BME32" s="482"/>
      <c r="BMF32" s="482"/>
      <c r="BMG32" s="482"/>
      <c r="BMH32" s="482"/>
      <c r="BMI32" s="482"/>
      <c r="BMJ32" s="482"/>
      <c r="BMK32" s="482"/>
      <c r="BML32" s="482"/>
      <c r="BMM32" s="482"/>
      <c r="BMN32" s="482"/>
      <c r="BMO32" s="482"/>
      <c r="BMP32" s="482"/>
      <c r="BMQ32" s="482"/>
      <c r="BMR32" s="482"/>
      <c r="BMS32" s="482"/>
      <c r="BMT32" s="482"/>
      <c r="BMU32" s="482"/>
      <c r="BMV32" s="482"/>
      <c r="BMW32" s="482"/>
      <c r="BMX32" s="482"/>
      <c r="BMY32" s="482"/>
      <c r="BMZ32" s="482"/>
      <c r="BNA32" s="482"/>
      <c r="BNB32" s="482"/>
      <c r="BNC32" s="482"/>
      <c r="BND32" s="482"/>
      <c r="BNE32" s="482"/>
      <c r="BNF32" s="482"/>
      <c r="BNG32" s="482"/>
      <c r="BNH32" s="482"/>
      <c r="BNI32" s="482"/>
      <c r="BNJ32" s="482"/>
      <c r="BNK32" s="482"/>
      <c r="BNL32" s="482"/>
      <c r="BNM32" s="482"/>
      <c r="BNN32" s="482"/>
      <c r="BNO32" s="482"/>
      <c r="BNP32" s="482"/>
      <c r="BNQ32" s="482"/>
      <c r="BNR32" s="482"/>
      <c r="BNS32" s="482"/>
      <c r="BNT32" s="482"/>
      <c r="BNU32" s="482"/>
      <c r="BNV32" s="482"/>
      <c r="BNW32" s="482"/>
      <c r="BNX32" s="482"/>
      <c r="BNY32" s="482"/>
      <c r="BNZ32" s="482"/>
      <c r="BOA32" s="482"/>
      <c r="BOB32" s="482"/>
      <c r="BOC32" s="482"/>
      <c r="BOD32" s="482"/>
      <c r="BOE32" s="482"/>
      <c r="BOF32" s="482"/>
      <c r="BOG32" s="482"/>
      <c r="BOH32" s="482"/>
      <c r="BOI32" s="482"/>
      <c r="BOJ32" s="482"/>
      <c r="BOK32" s="482"/>
      <c r="BOL32" s="482"/>
      <c r="BOM32" s="482"/>
      <c r="BON32" s="482"/>
      <c r="BOO32" s="482"/>
      <c r="BOP32" s="482"/>
      <c r="BOQ32" s="482"/>
      <c r="BOR32" s="482"/>
      <c r="BOS32" s="482"/>
      <c r="BOT32" s="482"/>
      <c r="BOU32" s="482"/>
      <c r="BOV32" s="482"/>
      <c r="BOW32" s="482"/>
      <c r="BOX32" s="482"/>
      <c r="BOY32" s="482"/>
      <c r="BOZ32" s="482"/>
      <c r="BPA32" s="482"/>
      <c r="BPB32" s="482"/>
      <c r="BPC32" s="482"/>
      <c r="BPD32" s="482"/>
      <c r="BPE32" s="482"/>
      <c r="BPF32" s="482"/>
      <c r="BPG32" s="482"/>
      <c r="BPH32" s="482"/>
      <c r="BPI32" s="482"/>
      <c r="BPJ32" s="482"/>
      <c r="BPK32" s="482"/>
      <c r="BPL32" s="482"/>
      <c r="BPM32" s="482"/>
      <c r="BPN32" s="482"/>
      <c r="BPO32" s="482"/>
      <c r="BPP32" s="482"/>
      <c r="BPQ32" s="482"/>
      <c r="BPR32" s="482"/>
      <c r="BPS32" s="482"/>
      <c r="BPT32" s="482"/>
      <c r="BPU32" s="482"/>
      <c r="BPV32" s="482"/>
      <c r="BPW32" s="482"/>
      <c r="BPX32" s="482"/>
      <c r="BPY32" s="482"/>
      <c r="BPZ32" s="482"/>
      <c r="BQA32" s="482"/>
      <c r="BQB32" s="482"/>
      <c r="BQC32" s="482"/>
      <c r="BQD32" s="482"/>
      <c r="BQE32" s="482"/>
      <c r="BQF32" s="482"/>
      <c r="BQG32" s="482"/>
      <c r="BQH32" s="482"/>
      <c r="BQI32" s="482"/>
      <c r="BQJ32" s="482"/>
      <c r="BQK32" s="482"/>
      <c r="BQL32" s="482"/>
      <c r="BQM32" s="482"/>
      <c r="BQN32" s="482"/>
      <c r="BQO32" s="482"/>
      <c r="BQP32" s="482"/>
      <c r="BQQ32" s="482"/>
      <c r="BQR32" s="482"/>
      <c r="BQS32" s="482"/>
      <c r="BQT32" s="482"/>
      <c r="BQU32" s="482"/>
      <c r="BQV32" s="482"/>
      <c r="BQW32" s="482"/>
      <c r="BQX32" s="482"/>
      <c r="BQY32" s="482"/>
      <c r="BQZ32" s="482"/>
      <c r="BRA32" s="482"/>
      <c r="BRB32" s="482"/>
      <c r="BRC32" s="482"/>
      <c r="BRD32" s="482"/>
      <c r="BRE32" s="482"/>
      <c r="BRF32" s="482"/>
      <c r="BRG32" s="482"/>
      <c r="BRH32" s="482"/>
      <c r="BRI32" s="482"/>
      <c r="BRJ32" s="482"/>
      <c r="BRK32" s="482"/>
      <c r="BRL32" s="482"/>
      <c r="BRM32" s="482"/>
      <c r="BRN32" s="482"/>
      <c r="BRO32" s="482"/>
      <c r="BRP32" s="482"/>
      <c r="BRQ32" s="482"/>
      <c r="BRR32" s="482"/>
      <c r="BRS32" s="482"/>
      <c r="BRT32" s="482"/>
      <c r="BRU32" s="482"/>
      <c r="BRV32" s="482"/>
      <c r="BRW32" s="482"/>
      <c r="BRX32" s="482"/>
      <c r="BRY32" s="482"/>
      <c r="BRZ32" s="482"/>
      <c r="BSA32" s="482"/>
      <c r="BSB32" s="482"/>
      <c r="BSC32" s="482"/>
      <c r="BSD32" s="482"/>
      <c r="BSE32" s="482"/>
      <c r="BSF32" s="482"/>
      <c r="BSG32" s="482"/>
      <c r="BSH32" s="482"/>
      <c r="BSI32" s="482"/>
      <c r="BSJ32" s="482"/>
      <c r="BSK32" s="482"/>
      <c r="BSL32" s="482"/>
      <c r="BSM32" s="482"/>
      <c r="BSN32" s="482"/>
      <c r="BSO32" s="482"/>
      <c r="BSP32" s="482"/>
      <c r="BSQ32" s="482"/>
      <c r="BSR32" s="482"/>
      <c r="BSS32" s="482"/>
      <c r="BST32" s="482"/>
      <c r="BSU32" s="482"/>
      <c r="BSV32" s="482"/>
      <c r="BSW32" s="482"/>
      <c r="BSX32" s="482"/>
      <c r="BSY32" s="482"/>
      <c r="BSZ32" s="482"/>
      <c r="BTA32" s="482"/>
      <c r="BTB32" s="482"/>
      <c r="BTC32" s="482"/>
      <c r="BTD32" s="482"/>
      <c r="BTE32" s="482"/>
      <c r="BTF32" s="482"/>
      <c r="BTG32" s="482"/>
      <c r="BTH32" s="482"/>
      <c r="BTI32" s="482"/>
      <c r="BTJ32" s="482"/>
      <c r="BTK32" s="482"/>
      <c r="BTL32" s="482"/>
      <c r="BTM32" s="482"/>
      <c r="BTN32" s="482"/>
      <c r="BTO32" s="482"/>
      <c r="BTP32" s="482"/>
      <c r="BTQ32" s="482"/>
      <c r="BTR32" s="482"/>
      <c r="BTS32" s="482"/>
      <c r="BTT32" s="482"/>
      <c r="BTU32" s="482"/>
      <c r="BTV32" s="482"/>
      <c r="BTW32" s="482"/>
      <c r="BTX32" s="482"/>
      <c r="BTY32" s="482"/>
      <c r="BTZ32" s="482"/>
      <c r="BUA32" s="482"/>
      <c r="BUB32" s="482"/>
      <c r="BUC32" s="482"/>
      <c r="BUD32" s="482"/>
      <c r="BUE32" s="482"/>
      <c r="BUF32" s="482"/>
      <c r="BUG32" s="482"/>
      <c r="BUH32" s="482"/>
      <c r="BUI32" s="482"/>
      <c r="BUJ32" s="482"/>
      <c r="BUK32" s="482"/>
      <c r="BUL32" s="482"/>
      <c r="BUM32" s="482"/>
      <c r="BUN32" s="482"/>
      <c r="BUO32" s="482"/>
      <c r="BUP32" s="482"/>
      <c r="BUQ32" s="482"/>
      <c r="BUR32" s="482"/>
      <c r="BUS32" s="482"/>
      <c r="BUT32" s="482"/>
      <c r="BUU32" s="482"/>
      <c r="BUV32" s="482"/>
      <c r="BUW32" s="482"/>
      <c r="BUX32" s="482"/>
      <c r="BUY32" s="482"/>
      <c r="BUZ32" s="482"/>
      <c r="BVA32" s="482"/>
      <c r="BVB32" s="482"/>
      <c r="BVC32" s="482"/>
      <c r="BVD32" s="482"/>
      <c r="BVE32" s="482"/>
      <c r="BVF32" s="482"/>
      <c r="BVG32" s="482"/>
      <c r="BVH32" s="482"/>
      <c r="BVI32" s="482"/>
      <c r="BVJ32" s="482"/>
      <c r="BVK32" s="482"/>
      <c r="BVL32" s="482"/>
      <c r="BVM32" s="482"/>
      <c r="BVN32" s="482"/>
      <c r="BVO32" s="482"/>
      <c r="BVP32" s="482"/>
      <c r="BVQ32" s="482"/>
      <c r="BVR32" s="482"/>
      <c r="BVS32" s="482"/>
      <c r="BVT32" s="482"/>
      <c r="BVU32" s="482"/>
      <c r="BVV32" s="482"/>
      <c r="BVW32" s="482"/>
      <c r="BVX32" s="482"/>
      <c r="BVY32" s="482"/>
      <c r="BVZ32" s="482"/>
      <c r="BWA32" s="482"/>
      <c r="BWB32" s="482"/>
      <c r="BWC32" s="482"/>
      <c r="BWD32" s="482"/>
      <c r="BWE32" s="482"/>
      <c r="BWF32" s="482"/>
      <c r="BWG32" s="482"/>
      <c r="BWH32" s="482"/>
      <c r="BWI32" s="482"/>
      <c r="BWJ32" s="482"/>
      <c r="BWK32" s="482"/>
      <c r="BWL32" s="482"/>
      <c r="BWM32" s="482"/>
      <c r="BWN32" s="482"/>
      <c r="BWO32" s="482"/>
      <c r="BWP32" s="482"/>
      <c r="BWQ32" s="482"/>
      <c r="BWR32" s="482"/>
      <c r="BWS32" s="482"/>
      <c r="BWT32" s="482"/>
      <c r="BWU32" s="482"/>
      <c r="BWV32" s="482"/>
      <c r="BWW32" s="482"/>
      <c r="BWX32" s="482"/>
      <c r="BWY32" s="482"/>
      <c r="BWZ32" s="482"/>
      <c r="BXA32" s="482"/>
      <c r="BXB32" s="482"/>
      <c r="BXC32" s="482"/>
      <c r="BXD32" s="482"/>
      <c r="BXE32" s="482"/>
      <c r="BXF32" s="482"/>
      <c r="BXG32" s="482"/>
      <c r="BXH32" s="482"/>
      <c r="BXI32" s="482"/>
      <c r="BXJ32" s="482"/>
      <c r="BXK32" s="482"/>
      <c r="BXL32" s="482"/>
      <c r="BXM32" s="482"/>
      <c r="BXN32" s="482"/>
      <c r="BXO32" s="482"/>
      <c r="BXP32" s="482"/>
      <c r="BXQ32" s="482"/>
      <c r="BXR32" s="482"/>
      <c r="BXS32" s="482"/>
      <c r="BXT32" s="482"/>
      <c r="BXU32" s="482"/>
      <c r="BXV32" s="482"/>
      <c r="BXW32" s="482"/>
      <c r="BXX32" s="482"/>
      <c r="BXY32" s="482"/>
      <c r="BXZ32" s="482"/>
      <c r="BYA32" s="482"/>
      <c r="BYB32" s="482"/>
      <c r="BYC32" s="482"/>
      <c r="BYD32" s="482"/>
      <c r="BYE32" s="482"/>
      <c r="BYF32" s="482"/>
      <c r="BYG32" s="482"/>
      <c r="BYH32" s="482"/>
      <c r="BYI32" s="482"/>
      <c r="BYJ32" s="482"/>
      <c r="BYK32" s="482"/>
      <c r="BYL32" s="482"/>
      <c r="BYM32" s="482"/>
      <c r="BYN32" s="482"/>
      <c r="BYO32" s="482"/>
      <c r="BYP32" s="482"/>
      <c r="BYQ32" s="482"/>
      <c r="BYR32" s="482"/>
      <c r="BYS32" s="482"/>
      <c r="BYT32" s="482"/>
      <c r="BYU32" s="482"/>
      <c r="BYV32" s="482"/>
      <c r="BYW32" s="482"/>
      <c r="BYX32" s="482"/>
      <c r="BYY32" s="482"/>
      <c r="BYZ32" s="482"/>
      <c r="BZA32" s="482"/>
      <c r="BZB32" s="482"/>
      <c r="BZC32" s="482"/>
      <c r="BZD32" s="482"/>
      <c r="BZE32" s="482"/>
      <c r="BZF32" s="482"/>
      <c r="BZG32" s="482"/>
      <c r="BZH32" s="482"/>
      <c r="BZI32" s="482"/>
      <c r="BZJ32" s="482"/>
      <c r="BZK32" s="482"/>
      <c r="BZL32" s="482"/>
      <c r="BZM32" s="482"/>
      <c r="BZN32" s="482"/>
      <c r="BZO32" s="482"/>
      <c r="BZP32" s="482"/>
      <c r="BZQ32" s="482"/>
      <c r="BZR32" s="482"/>
      <c r="BZS32" s="482"/>
      <c r="BZT32" s="482"/>
      <c r="BZU32" s="482"/>
      <c r="BZV32" s="482"/>
      <c r="BZW32" s="482"/>
      <c r="BZX32" s="482"/>
      <c r="BZY32" s="482"/>
      <c r="BZZ32" s="482"/>
      <c r="CAA32" s="482"/>
      <c r="CAB32" s="482"/>
      <c r="CAC32" s="482"/>
      <c r="CAD32" s="482"/>
      <c r="CAE32" s="482"/>
      <c r="CAF32" s="482"/>
      <c r="CAG32" s="482"/>
      <c r="CAH32" s="482"/>
      <c r="CAI32" s="482"/>
      <c r="CAJ32" s="482"/>
      <c r="CAK32" s="482"/>
      <c r="CAL32" s="482"/>
      <c r="CAM32" s="482"/>
      <c r="CAN32" s="482"/>
      <c r="CAO32" s="482"/>
      <c r="CAP32" s="482"/>
      <c r="CAQ32" s="482"/>
      <c r="CAR32" s="482"/>
      <c r="CAS32" s="482"/>
      <c r="CAT32" s="482"/>
      <c r="CAU32" s="482"/>
      <c r="CAV32" s="482"/>
      <c r="CAW32" s="482"/>
      <c r="CAX32" s="482"/>
      <c r="CAY32" s="482"/>
      <c r="CAZ32" s="482"/>
      <c r="CBA32" s="482"/>
      <c r="CBB32" s="482"/>
      <c r="CBC32" s="482"/>
      <c r="CBD32" s="482"/>
      <c r="CBE32" s="482"/>
      <c r="CBF32" s="482"/>
      <c r="CBG32" s="482"/>
      <c r="CBH32" s="482"/>
      <c r="CBI32" s="482"/>
      <c r="CBJ32" s="482"/>
      <c r="CBK32" s="482"/>
      <c r="CBL32" s="482"/>
      <c r="CBM32" s="482"/>
      <c r="CBN32" s="482"/>
      <c r="CBO32" s="482"/>
      <c r="CBP32" s="482"/>
      <c r="CBQ32" s="482"/>
      <c r="CBR32" s="482"/>
      <c r="CBS32" s="482"/>
      <c r="CBT32" s="482"/>
      <c r="CBU32" s="482"/>
      <c r="CBV32" s="482"/>
      <c r="CBW32" s="482"/>
      <c r="CBX32" s="482"/>
      <c r="CBY32" s="482"/>
      <c r="CBZ32" s="482"/>
      <c r="CCA32" s="482"/>
      <c r="CCB32" s="482"/>
      <c r="CCC32" s="482"/>
      <c r="CCD32" s="482"/>
      <c r="CCE32" s="482"/>
      <c r="CCF32" s="482"/>
      <c r="CCG32" s="482"/>
      <c r="CCH32" s="482"/>
      <c r="CCI32" s="482"/>
      <c r="CCJ32" s="482"/>
      <c r="CCK32" s="482"/>
      <c r="CCL32" s="482"/>
      <c r="CCM32" s="482"/>
      <c r="CCN32" s="482"/>
      <c r="CCO32" s="482"/>
      <c r="CCP32" s="482"/>
      <c r="CCQ32" s="482"/>
      <c r="CCR32" s="482"/>
      <c r="CCS32" s="482"/>
      <c r="CCT32" s="482"/>
      <c r="CCU32" s="482"/>
      <c r="CCV32" s="482"/>
      <c r="CCW32" s="482"/>
      <c r="CCX32" s="482"/>
      <c r="CCY32" s="482"/>
      <c r="CCZ32" s="482"/>
      <c r="CDA32" s="482"/>
      <c r="CDB32" s="482"/>
      <c r="CDC32" s="482"/>
      <c r="CDD32" s="482"/>
      <c r="CDE32" s="482"/>
      <c r="CDF32" s="482"/>
      <c r="CDG32" s="482"/>
      <c r="CDH32" s="482"/>
      <c r="CDI32" s="482"/>
      <c r="CDJ32" s="482"/>
      <c r="CDK32" s="482"/>
      <c r="CDL32" s="482"/>
      <c r="CDM32" s="482"/>
      <c r="CDN32" s="482"/>
      <c r="CDO32" s="482"/>
      <c r="CDP32" s="482"/>
      <c r="CDQ32" s="482"/>
      <c r="CDR32" s="482"/>
      <c r="CDS32" s="482"/>
      <c r="CDT32" s="482"/>
      <c r="CDU32" s="482"/>
      <c r="CDV32" s="482"/>
      <c r="CDW32" s="482"/>
      <c r="CDX32" s="482"/>
      <c r="CDY32" s="482"/>
      <c r="CDZ32" s="482"/>
      <c r="CEA32" s="482"/>
      <c r="CEB32" s="482"/>
      <c r="CEC32" s="482"/>
      <c r="CED32" s="482"/>
      <c r="CEE32" s="482"/>
      <c r="CEF32" s="482"/>
      <c r="CEG32" s="482"/>
      <c r="CEH32" s="482"/>
      <c r="CEI32" s="482"/>
      <c r="CEJ32" s="482"/>
      <c r="CEK32" s="482"/>
      <c r="CEL32" s="482"/>
      <c r="CEM32" s="482"/>
      <c r="CEN32" s="482"/>
      <c r="CEO32" s="482"/>
      <c r="CEP32" s="482"/>
      <c r="CEQ32" s="482"/>
      <c r="CER32" s="482"/>
      <c r="CES32" s="482"/>
      <c r="CET32" s="482"/>
      <c r="CEU32" s="482"/>
      <c r="CEV32" s="482"/>
      <c r="CEW32" s="482"/>
      <c r="CEX32" s="482"/>
      <c r="CEY32" s="482"/>
      <c r="CEZ32" s="482"/>
      <c r="CFA32" s="482"/>
      <c r="CFB32" s="482"/>
      <c r="CFC32" s="482"/>
      <c r="CFD32" s="482"/>
      <c r="CFE32" s="482"/>
      <c r="CFF32" s="482"/>
      <c r="CFG32" s="482"/>
      <c r="CFH32" s="482"/>
      <c r="CFI32" s="482"/>
      <c r="CFJ32" s="482"/>
      <c r="CFK32" s="482"/>
      <c r="CFL32" s="482"/>
      <c r="CFM32" s="482"/>
      <c r="CFN32" s="482"/>
      <c r="CFO32" s="482"/>
      <c r="CFP32" s="482"/>
      <c r="CFQ32" s="482"/>
      <c r="CFR32" s="482"/>
      <c r="CFS32" s="482"/>
      <c r="CFT32" s="482"/>
      <c r="CFU32" s="482"/>
      <c r="CFV32" s="482"/>
      <c r="CFW32" s="482"/>
      <c r="CFX32" s="482"/>
      <c r="CFY32" s="482"/>
      <c r="CFZ32" s="482"/>
      <c r="CGA32" s="482"/>
      <c r="CGB32" s="482"/>
      <c r="CGC32" s="482"/>
      <c r="CGD32" s="482"/>
      <c r="CGE32" s="482"/>
      <c r="CGF32" s="482"/>
      <c r="CGG32" s="482"/>
      <c r="CGH32" s="482"/>
      <c r="CGI32" s="482"/>
      <c r="CGJ32" s="482"/>
      <c r="CGK32" s="482"/>
      <c r="CGL32" s="482"/>
      <c r="CGM32" s="482"/>
      <c r="CGN32" s="482"/>
      <c r="CGO32" s="482"/>
      <c r="CGP32" s="482"/>
      <c r="CGQ32" s="482"/>
      <c r="CGR32" s="482"/>
      <c r="CGS32" s="482"/>
      <c r="CGT32" s="482"/>
      <c r="CGU32" s="482"/>
      <c r="CGV32" s="482"/>
      <c r="CGW32" s="482"/>
      <c r="CGX32" s="482"/>
      <c r="CGY32" s="482"/>
      <c r="CGZ32" s="482"/>
      <c r="CHA32" s="482"/>
      <c r="CHB32" s="482"/>
      <c r="CHC32" s="482"/>
      <c r="CHD32" s="482"/>
      <c r="CHE32" s="482"/>
      <c r="CHF32" s="482"/>
      <c r="CHG32" s="482"/>
      <c r="CHH32" s="482"/>
      <c r="CHI32" s="482"/>
      <c r="CHJ32" s="482"/>
      <c r="CHK32" s="482"/>
      <c r="CHL32" s="482"/>
      <c r="CHM32" s="482"/>
      <c r="CHN32" s="482"/>
      <c r="CHO32" s="482"/>
      <c r="CHP32" s="482"/>
      <c r="CHQ32" s="482"/>
      <c r="CHR32" s="482"/>
      <c r="CHS32" s="482"/>
      <c r="CHT32" s="482"/>
      <c r="CHU32" s="482"/>
      <c r="CHV32" s="482"/>
      <c r="CHW32" s="482"/>
      <c r="CHX32" s="482"/>
      <c r="CHY32" s="482"/>
      <c r="CHZ32" s="482"/>
      <c r="CIA32" s="482"/>
      <c r="CIB32" s="482"/>
      <c r="CIC32" s="482"/>
      <c r="CID32" s="482"/>
      <c r="CIE32" s="482"/>
      <c r="CIF32" s="482"/>
      <c r="CIG32" s="482"/>
      <c r="CIH32" s="482"/>
      <c r="CII32" s="482"/>
      <c r="CIJ32" s="482"/>
      <c r="CIK32" s="482"/>
      <c r="CIL32" s="482"/>
      <c r="CIM32" s="482"/>
      <c r="CIN32" s="482"/>
      <c r="CIO32" s="482"/>
      <c r="CIP32" s="482"/>
      <c r="CIQ32" s="482"/>
      <c r="CIR32" s="482"/>
      <c r="CIS32" s="482"/>
      <c r="CIT32" s="482"/>
      <c r="CIU32" s="482"/>
      <c r="CIV32" s="482"/>
      <c r="CIW32" s="482"/>
      <c r="CIX32" s="482"/>
      <c r="CIY32" s="482"/>
      <c r="CIZ32" s="482"/>
      <c r="CJA32" s="482"/>
      <c r="CJB32" s="482"/>
      <c r="CJC32" s="482"/>
      <c r="CJD32" s="482"/>
      <c r="CJE32" s="482"/>
      <c r="CJF32" s="482"/>
      <c r="CJG32" s="482"/>
      <c r="CJH32" s="482"/>
      <c r="CJI32" s="482"/>
      <c r="CJJ32" s="482"/>
      <c r="CJK32" s="482"/>
      <c r="CJL32" s="482"/>
      <c r="CJM32" s="482"/>
      <c r="CJN32" s="482"/>
      <c r="CJO32" s="482"/>
      <c r="CJP32" s="482"/>
      <c r="CJQ32" s="482"/>
      <c r="CJR32" s="482"/>
      <c r="CJS32" s="482"/>
      <c r="CJT32" s="482"/>
      <c r="CJU32" s="482"/>
      <c r="CJV32" s="482"/>
      <c r="CJW32" s="482"/>
      <c r="CJX32" s="482"/>
      <c r="CJY32" s="482"/>
      <c r="CJZ32" s="482"/>
      <c r="CKA32" s="482"/>
      <c r="CKB32" s="482"/>
      <c r="CKC32" s="482"/>
      <c r="CKD32" s="482"/>
      <c r="CKE32" s="482"/>
      <c r="CKF32" s="482"/>
      <c r="CKG32" s="482"/>
      <c r="CKH32" s="482"/>
      <c r="CKI32" s="482"/>
      <c r="CKJ32" s="482"/>
      <c r="CKK32" s="482"/>
      <c r="CKL32" s="482"/>
      <c r="CKM32" s="482"/>
      <c r="CKN32" s="482"/>
      <c r="CKO32" s="482"/>
      <c r="CKP32" s="482"/>
      <c r="CKQ32" s="482"/>
      <c r="CKR32" s="482"/>
      <c r="CKS32" s="482"/>
      <c r="CKT32" s="482"/>
      <c r="CKU32" s="482"/>
      <c r="CKV32" s="482"/>
      <c r="CKW32" s="482"/>
      <c r="CKX32" s="482"/>
      <c r="CKY32" s="482"/>
      <c r="CKZ32" s="482"/>
      <c r="CLA32" s="482"/>
      <c r="CLB32" s="482"/>
      <c r="CLC32" s="482"/>
      <c r="CLD32" s="482"/>
      <c r="CLE32" s="482"/>
      <c r="CLF32" s="482"/>
      <c r="CLG32" s="482"/>
      <c r="CLH32" s="482"/>
      <c r="CLI32" s="482"/>
      <c r="CLJ32" s="482"/>
      <c r="CLK32" s="482"/>
      <c r="CLL32" s="482"/>
      <c r="CLM32" s="482"/>
      <c r="CLN32" s="482"/>
      <c r="CLO32" s="482"/>
      <c r="CLP32" s="482"/>
      <c r="CLQ32" s="482"/>
      <c r="CLR32" s="482"/>
      <c r="CLS32" s="482"/>
      <c r="CLT32" s="482"/>
      <c r="CLU32" s="482"/>
      <c r="CLV32" s="482"/>
      <c r="CLW32" s="482"/>
      <c r="CLX32" s="482"/>
      <c r="CLY32" s="482"/>
      <c r="CLZ32" s="482"/>
      <c r="CMA32" s="482"/>
      <c r="CMB32" s="482"/>
      <c r="CMC32" s="482"/>
      <c r="CMD32" s="482"/>
      <c r="CME32" s="482"/>
      <c r="CMF32" s="482"/>
      <c r="CMG32" s="482"/>
      <c r="CMH32" s="482"/>
      <c r="CMI32" s="482"/>
      <c r="CMJ32" s="482"/>
      <c r="CMK32" s="482"/>
      <c r="CML32" s="482"/>
      <c r="CMM32" s="482"/>
      <c r="CMN32" s="482"/>
      <c r="CMO32" s="482"/>
      <c r="CMP32" s="482"/>
      <c r="CMQ32" s="482"/>
      <c r="CMR32" s="482"/>
      <c r="CMS32" s="482"/>
      <c r="CMT32" s="482"/>
      <c r="CMU32" s="482"/>
      <c r="CMV32" s="482"/>
      <c r="CMW32" s="482"/>
      <c r="CMX32" s="482"/>
      <c r="CMY32" s="482"/>
      <c r="CMZ32" s="482"/>
      <c r="CNA32" s="482"/>
      <c r="CNB32" s="482"/>
      <c r="CNC32" s="482"/>
      <c r="CND32" s="482"/>
      <c r="CNE32" s="482"/>
      <c r="CNF32" s="482"/>
      <c r="CNG32" s="482"/>
      <c r="CNH32" s="482"/>
      <c r="CNI32" s="482"/>
      <c r="CNJ32" s="482"/>
      <c r="CNK32" s="482"/>
      <c r="CNL32" s="482"/>
      <c r="CNM32" s="482"/>
      <c r="CNN32" s="482"/>
      <c r="CNO32" s="482"/>
      <c r="CNP32" s="482"/>
      <c r="CNQ32" s="482"/>
      <c r="CNR32" s="482"/>
      <c r="CNS32" s="482"/>
      <c r="CNT32" s="482"/>
      <c r="CNU32" s="482"/>
      <c r="CNV32" s="482"/>
      <c r="CNW32" s="482"/>
      <c r="CNX32" s="482"/>
      <c r="CNY32" s="482"/>
      <c r="CNZ32" s="482"/>
      <c r="COA32" s="482"/>
      <c r="COB32" s="482"/>
      <c r="COC32" s="482"/>
      <c r="COD32" s="482"/>
      <c r="COE32" s="482"/>
      <c r="COF32" s="482"/>
      <c r="COG32" s="482"/>
      <c r="COH32" s="482"/>
      <c r="COI32" s="482"/>
      <c r="COJ32" s="482"/>
      <c r="COK32" s="482"/>
      <c r="COL32" s="482"/>
      <c r="COM32" s="482"/>
      <c r="CON32" s="482"/>
      <c r="COO32" s="482"/>
      <c r="COP32" s="482"/>
      <c r="COQ32" s="482"/>
      <c r="COR32" s="482"/>
      <c r="COS32" s="482"/>
      <c r="COT32" s="482"/>
      <c r="COU32" s="482"/>
      <c r="COV32" s="482"/>
      <c r="COW32" s="482"/>
      <c r="COX32" s="482"/>
      <c r="COY32" s="482"/>
      <c r="COZ32" s="482"/>
      <c r="CPA32" s="482"/>
      <c r="CPB32" s="482"/>
      <c r="CPC32" s="482"/>
      <c r="CPD32" s="482"/>
      <c r="CPE32" s="482"/>
      <c r="CPF32" s="482"/>
      <c r="CPG32" s="482"/>
      <c r="CPH32" s="482"/>
      <c r="CPI32" s="482"/>
      <c r="CPJ32" s="482"/>
      <c r="CPK32" s="482"/>
      <c r="CPL32" s="482"/>
      <c r="CPM32" s="482"/>
      <c r="CPN32" s="482"/>
      <c r="CPO32" s="482"/>
      <c r="CPP32" s="482"/>
      <c r="CPQ32" s="482"/>
      <c r="CPR32" s="482"/>
      <c r="CPS32" s="482"/>
      <c r="CPT32" s="482"/>
      <c r="CPU32" s="482"/>
      <c r="CPV32" s="482"/>
      <c r="CPW32" s="482"/>
      <c r="CPX32" s="482"/>
      <c r="CPY32" s="482"/>
      <c r="CPZ32" s="482"/>
      <c r="CQA32" s="482"/>
      <c r="CQB32" s="482"/>
      <c r="CQC32" s="482"/>
      <c r="CQD32" s="482"/>
      <c r="CQE32" s="482"/>
      <c r="CQF32" s="482"/>
      <c r="CQG32" s="482"/>
      <c r="CQH32" s="482"/>
      <c r="CQI32" s="482"/>
      <c r="CQJ32" s="482"/>
      <c r="CQK32" s="482"/>
      <c r="CQL32" s="482"/>
      <c r="CQM32" s="482"/>
      <c r="CQN32" s="482"/>
      <c r="CQO32" s="482"/>
      <c r="CQP32" s="482"/>
      <c r="CQQ32" s="482"/>
      <c r="CQR32" s="482"/>
      <c r="CQS32" s="482"/>
      <c r="CQT32" s="482"/>
      <c r="CQU32" s="482"/>
      <c r="CQV32" s="482"/>
      <c r="CQW32" s="482"/>
      <c r="CQX32" s="482"/>
      <c r="CQY32" s="482"/>
      <c r="CQZ32" s="482"/>
      <c r="CRA32" s="482"/>
      <c r="CRB32" s="482"/>
      <c r="CRC32" s="482"/>
      <c r="CRD32" s="482"/>
      <c r="CRE32" s="482"/>
      <c r="CRF32" s="482"/>
      <c r="CRG32" s="482"/>
      <c r="CRH32" s="482"/>
      <c r="CRI32" s="482"/>
      <c r="CRJ32" s="482"/>
      <c r="CRK32" s="482"/>
      <c r="CRL32" s="482"/>
      <c r="CRM32" s="482"/>
      <c r="CRN32" s="482"/>
      <c r="CRO32" s="482"/>
      <c r="CRP32" s="482"/>
      <c r="CRQ32" s="482"/>
      <c r="CRR32" s="482"/>
      <c r="CRS32" s="482"/>
      <c r="CRT32" s="482"/>
      <c r="CRU32" s="482"/>
      <c r="CRV32" s="482"/>
      <c r="CRW32" s="482"/>
      <c r="CRX32" s="482"/>
      <c r="CRY32" s="482"/>
      <c r="CRZ32" s="482"/>
      <c r="CSA32" s="482"/>
      <c r="CSB32" s="482"/>
      <c r="CSC32" s="482"/>
      <c r="CSD32" s="482"/>
      <c r="CSE32" s="482"/>
      <c r="CSF32" s="482"/>
      <c r="CSG32" s="482"/>
      <c r="CSH32" s="482"/>
      <c r="CSI32" s="482"/>
      <c r="CSJ32" s="482"/>
      <c r="CSK32" s="482"/>
      <c r="CSL32" s="482"/>
      <c r="CSM32" s="482"/>
      <c r="CSN32" s="482"/>
      <c r="CSO32" s="482"/>
      <c r="CSP32" s="482"/>
      <c r="CSQ32" s="482"/>
      <c r="CSR32" s="482"/>
      <c r="CSS32" s="482"/>
      <c r="CST32" s="482"/>
      <c r="CSU32" s="482"/>
      <c r="CSV32" s="482"/>
      <c r="CSW32" s="482"/>
      <c r="CSX32" s="482"/>
      <c r="CSY32" s="482"/>
      <c r="CSZ32" s="482"/>
      <c r="CTA32" s="482"/>
      <c r="CTB32" s="482"/>
      <c r="CTC32" s="482"/>
      <c r="CTD32" s="482"/>
      <c r="CTE32" s="482"/>
      <c r="CTF32" s="482"/>
      <c r="CTG32" s="482"/>
      <c r="CTH32" s="482"/>
      <c r="CTI32" s="482"/>
      <c r="CTJ32" s="482"/>
      <c r="CTK32" s="482"/>
      <c r="CTL32" s="482"/>
      <c r="CTM32" s="482"/>
      <c r="CTN32" s="482"/>
      <c r="CTO32" s="482"/>
      <c r="CTP32" s="482"/>
      <c r="CTQ32" s="482"/>
      <c r="CTR32" s="482"/>
      <c r="CTS32" s="482"/>
      <c r="CTT32" s="482"/>
      <c r="CTU32" s="482"/>
      <c r="CTV32" s="482"/>
      <c r="CTW32" s="482"/>
      <c r="CTX32" s="482"/>
      <c r="CTY32" s="482"/>
      <c r="CTZ32" s="482"/>
      <c r="CUA32" s="482"/>
      <c r="CUB32" s="482"/>
      <c r="CUC32" s="482"/>
      <c r="CUD32" s="482"/>
      <c r="CUE32" s="482"/>
      <c r="CUF32" s="482"/>
      <c r="CUG32" s="482"/>
      <c r="CUH32" s="482"/>
      <c r="CUI32" s="482"/>
      <c r="CUJ32" s="482"/>
      <c r="CUK32" s="482"/>
      <c r="CUL32" s="482"/>
      <c r="CUM32" s="482"/>
      <c r="CUN32" s="482"/>
      <c r="CUO32" s="482"/>
      <c r="CUP32" s="482"/>
      <c r="CUQ32" s="482"/>
      <c r="CUR32" s="482"/>
      <c r="CUS32" s="482"/>
      <c r="CUT32" s="482"/>
      <c r="CUU32" s="482"/>
      <c r="CUV32" s="482"/>
      <c r="CUW32" s="482"/>
      <c r="CUX32" s="482"/>
      <c r="CUY32" s="482"/>
      <c r="CUZ32" s="482"/>
      <c r="CVA32" s="482"/>
      <c r="CVB32" s="482"/>
      <c r="CVC32" s="482"/>
      <c r="CVD32" s="482"/>
      <c r="CVE32" s="482"/>
      <c r="CVF32" s="482"/>
      <c r="CVG32" s="482"/>
      <c r="CVH32" s="482"/>
      <c r="CVI32" s="482"/>
      <c r="CVJ32" s="482"/>
      <c r="CVK32" s="482"/>
      <c r="CVL32" s="482"/>
      <c r="CVM32" s="482"/>
      <c r="CVN32" s="482"/>
      <c r="CVO32" s="482"/>
      <c r="CVP32" s="482"/>
      <c r="CVQ32" s="482"/>
      <c r="CVR32" s="482"/>
      <c r="CVS32" s="482"/>
      <c r="CVT32" s="482"/>
      <c r="CVU32" s="482"/>
      <c r="CVV32" s="482"/>
      <c r="CVW32" s="482"/>
      <c r="CVX32" s="482"/>
      <c r="CVY32" s="482"/>
      <c r="CVZ32" s="482"/>
      <c r="CWA32" s="482"/>
      <c r="CWB32" s="482"/>
      <c r="CWC32" s="482"/>
      <c r="CWD32" s="482"/>
      <c r="CWE32" s="482"/>
      <c r="CWF32" s="482"/>
      <c r="CWG32" s="482"/>
      <c r="CWH32" s="482"/>
      <c r="CWI32" s="482"/>
      <c r="CWJ32" s="482"/>
      <c r="CWK32" s="482"/>
      <c r="CWL32" s="482"/>
      <c r="CWM32" s="482"/>
      <c r="CWN32" s="482"/>
      <c r="CWO32" s="482"/>
      <c r="CWP32" s="482"/>
      <c r="CWQ32" s="482"/>
      <c r="CWR32" s="482"/>
      <c r="CWS32" s="482"/>
      <c r="CWT32" s="482"/>
      <c r="CWU32" s="482"/>
      <c r="CWV32" s="482"/>
      <c r="CWW32" s="482"/>
      <c r="CWX32" s="482"/>
      <c r="CWY32" s="482"/>
      <c r="CWZ32" s="482"/>
      <c r="CXA32" s="482"/>
      <c r="CXB32" s="482"/>
      <c r="CXC32" s="482"/>
      <c r="CXD32" s="482"/>
      <c r="CXE32" s="482"/>
      <c r="CXF32" s="482"/>
      <c r="CXG32" s="482"/>
      <c r="CXH32" s="482"/>
      <c r="CXI32" s="482"/>
      <c r="CXJ32" s="482"/>
      <c r="CXK32" s="482"/>
      <c r="CXL32" s="482"/>
      <c r="CXM32" s="482"/>
      <c r="CXN32" s="482"/>
      <c r="CXO32" s="482"/>
      <c r="CXP32" s="482"/>
      <c r="CXQ32" s="482"/>
      <c r="CXR32" s="482"/>
      <c r="CXS32" s="482"/>
      <c r="CXT32" s="482"/>
      <c r="CXU32" s="482"/>
      <c r="CXV32" s="482"/>
      <c r="CXW32" s="482"/>
      <c r="CXX32" s="482"/>
      <c r="CXY32" s="482"/>
      <c r="CXZ32" s="482"/>
      <c r="CYA32" s="482"/>
      <c r="CYB32" s="482"/>
      <c r="CYC32" s="482"/>
      <c r="CYD32" s="482"/>
      <c r="CYE32" s="482"/>
      <c r="CYF32" s="482"/>
      <c r="CYG32" s="482"/>
      <c r="CYH32" s="482"/>
      <c r="CYI32" s="482"/>
      <c r="CYJ32" s="482"/>
      <c r="CYK32" s="482"/>
      <c r="CYL32" s="482"/>
      <c r="CYM32" s="482"/>
      <c r="CYN32" s="482"/>
      <c r="CYO32" s="482"/>
      <c r="CYP32" s="482"/>
      <c r="CYQ32" s="482"/>
      <c r="CYR32" s="482"/>
      <c r="CYS32" s="482"/>
      <c r="CYT32" s="482"/>
      <c r="CYU32" s="482"/>
      <c r="CYV32" s="482"/>
      <c r="CYW32" s="482"/>
      <c r="CYX32" s="482"/>
      <c r="CYY32" s="482"/>
      <c r="CYZ32" s="482"/>
      <c r="CZA32" s="482"/>
      <c r="CZB32" s="482"/>
      <c r="CZC32" s="482"/>
      <c r="CZD32" s="482"/>
      <c r="CZE32" s="482"/>
      <c r="CZF32" s="482"/>
      <c r="CZG32" s="482"/>
      <c r="CZH32" s="482"/>
      <c r="CZI32" s="482"/>
      <c r="CZJ32" s="482"/>
      <c r="CZK32" s="482"/>
      <c r="CZL32" s="482"/>
      <c r="CZM32" s="482"/>
      <c r="CZN32" s="482"/>
      <c r="CZO32" s="482"/>
      <c r="CZP32" s="482"/>
      <c r="CZQ32" s="482"/>
      <c r="CZR32" s="482"/>
      <c r="CZS32" s="482"/>
      <c r="CZT32" s="482"/>
      <c r="CZU32" s="482"/>
      <c r="CZV32" s="482"/>
      <c r="CZW32" s="482"/>
      <c r="CZX32" s="482"/>
      <c r="CZY32" s="482"/>
      <c r="CZZ32" s="482"/>
      <c r="DAA32" s="482"/>
      <c r="DAB32" s="482"/>
      <c r="DAC32" s="482"/>
      <c r="DAD32" s="482"/>
      <c r="DAE32" s="482"/>
      <c r="DAF32" s="482"/>
      <c r="DAG32" s="482"/>
      <c r="DAH32" s="482"/>
      <c r="DAI32" s="482"/>
      <c r="DAJ32" s="482"/>
      <c r="DAK32" s="482"/>
      <c r="DAL32" s="482"/>
      <c r="DAM32" s="482"/>
      <c r="DAN32" s="482"/>
      <c r="DAO32" s="482"/>
      <c r="DAP32" s="482"/>
      <c r="DAQ32" s="482"/>
      <c r="DAR32" s="482"/>
      <c r="DAS32" s="482"/>
      <c r="DAT32" s="482"/>
      <c r="DAU32" s="482"/>
      <c r="DAV32" s="482"/>
      <c r="DAW32" s="482"/>
      <c r="DAX32" s="482"/>
      <c r="DAY32" s="482"/>
      <c r="DAZ32" s="482"/>
      <c r="DBA32" s="482"/>
      <c r="DBB32" s="482"/>
      <c r="DBC32" s="482"/>
      <c r="DBD32" s="482"/>
      <c r="DBE32" s="482"/>
      <c r="DBF32" s="482"/>
      <c r="DBG32" s="482"/>
      <c r="DBH32" s="482"/>
      <c r="DBI32" s="482"/>
      <c r="DBJ32" s="482"/>
      <c r="DBK32" s="482"/>
      <c r="DBL32" s="482"/>
      <c r="DBM32" s="482"/>
      <c r="DBN32" s="482"/>
      <c r="DBO32" s="482"/>
      <c r="DBP32" s="482"/>
      <c r="DBQ32" s="482"/>
      <c r="DBR32" s="482"/>
      <c r="DBS32" s="482"/>
      <c r="DBT32" s="482"/>
      <c r="DBU32" s="482"/>
      <c r="DBV32" s="482"/>
      <c r="DBW32" s="482"/>
      <c r="DBX32" s="482"/>
      <c r="DBY32" s="482"/>
      <c r="DBZ32" s="482"/>
      <c r="DCA32" s="482"/>
      <c r="DCB32" s="482"/>
      <c r="DCC32" s="482"/>
      <c r="DCD32" s="482"/>
      <c r="DCE32" s="482"/>
      <c r="DCF32" s="482"/>
      <c r="DCG32" s="482"/>
      <c r="DCH32" s="482"/>
      <c r="DCI32" s="482"/>
      <c r="DCJ32" s="482"/>
      <c r="DCK32" s="482"/>
      <c r="DCL32" s="482"/>
      <c r="DCM32" s="482"/>
      <c r="DCN32" s="482"/>
      <c r="DCO32" s="482"/>
      <c r="DCP32" s="482"/>
      <c r="DCQ32" s="482"/>
      <c r="DCR32" s="482"/>
      <c r="DCS32" s="482"/>
      <c r="DCT32" s="482"/>
      <c r="DCU32" s="482"/>
      <c r="DCV32" s="482"/>
      <c r="DCW32" s="482"/>
      <c r="DCX32" s="482"/>
      <c r="DCY32" s="482"/>
      <c r="DCZ32" s="482"/>
      <c r="DDA32" s="482"/>
      <c r="DDB32" s="482"/>
      <c r="DDC32" s="482"/>
      <c r="DDD32" s="482"/>
      <c r="DDE32" s="482"/>
      <c r="DDF32" s="482"/>
      <c r="DDG32" s="482"/>
      <c r="DDH32" s="482"/>
      <c r="DDI32" s="482"/>
      <c r="DDJ32" s="482"/>
      <c r="DDK32" s="482"/>
      <c r="DDL32" s="482"/>
      <c r="DDM32" s="482"/>
      <c r="DDN32" s="482"/>
      <c r="DDO32" s="482"/>
      <c r="DDP32" s="482"/>
      <c r="DDQ32" s="482"/>
      <c r="DDR32" s="482"/>
      <c r="DDS32" s="482"/>
      <c r="DDT32" s="482"/>
      <c r="DDU32" s="482"/>
      <c r="DDV32" s="482"/>
      <c r="DDW32" s="482"/>
      <c r="DDX32" s="482"/>
      <c r="DDY32" s="482"/>
      <c r="DDZ32" s="482"/>
      <c r="DEA32" s="482"/>
      <c r="DEB32" s="482"/>
      <c r="DEC32" s="482"/>
      <c r="DED32" s="482"/>
      <c r="DEE32" s="482"/>
      <c r="DEF32" s="482"/>
      <c r="DEG32" s="482"/>
      <c r="DEH32" s="482"/>
      <c r="DEI32" s="482"/>
      <c r="DEJ32" s="482"/>
      <c r="DEK32" s="482"/>
      <c r="DEL32" s="482"/>
      <c r="DEM32" s="482"/>
      <c r="DEN32" s="482"/>
      <c r="DEO32" s="482"/>
      <c r="DEP32" s="482"/>
      <c r="DEQ32" s="482"/>
      <c r="DER32" s="482"/>
      <c r="DES32" s="482"/>
      <c r="DET32" s="482"/>
      <c r="DEU32" s="482"/>
      <c r="DEV32" s="482"/>
      <c r="DEW32" s="482"/>
      <c r="DEX32" s="482"/>
      <c r="DEY32" s="482"/>
      <c r="DEZ32" s="482"/>
      <c r="DFA32" s="482"/>
      <c r="DFB32" s="482"/>
      <c r="DFC32" s="482"/>
      <c r="DFD32" s="482"/>
      <c r="DFE32" s="482"/>
      <c r="DFF32" s="482"/>
      <c r="DFG32" s="482"/>
      <c r="DFH32" s="482"/>
      <c r="DFI32" s="482"/>
      <c r="DFJ32" s="482"/>
      <c r="DFK32" s="482"/>
      <c r="DFL32" s="482"/>
      <c r="DFM32" s="482"/>
      <c r="DFN32" s="482"/>
      <c r="DFO32" s="482"/>
      <c r="DFP32" s="482"/>
      <c r="DFQ32" s="482"/>
      <c r="DFR32" s="482"/>
      <c r="DFS32" s="482"/>
      <c r="DFT32" s="482"/>
      <c r="DFU32" s="482"/>
      <c r="DFV32" s="482"/>
      <c r="DFW32" s="482"/>
      <c r="DFX32" s="482"/>
      <c r="DFY32" s="482"/>
      <c r="DFZ32" s="482"/>
      <c r="DGA32" s="482"/>
      <c r="DGB32" s="482"/>
      <c r="DGC32" s="482"/>
      <c r="DGD32" s="482"/>
      <c r="DGE32" s="482"/>
      <c r="DGF32" s="482"/>
      <c r="DGG32" s="482"/>
      <c r="DGH32" s="482"/>
      <c r="DGI32" s="482"/>
      <c r="DGJ32" s="482"/>
      <c r="DGK32" s="482"/>
      <c r="DGL32" s="482"/>
      <c r="DGM32" s="482"/>
      <c r="DGN32" s="482"/>
      <c r="DGO32" s="482"/>
      <c r="DGP32" s="482"/>
      <c r="DGQ32" s="482"/>
      <c r="DGR32" s="482"/>
      <c r="DGS32" s="482"/>
      <c r="DGT32" s="482"/>
      <c r="DGU32" s="482"/>
      <c r="DGV32" s="482"/>
      <c r="DGW32" s="482"/>
      <c r="DGX32" s="482"/>
      <c r="DGY32" s="482"/>
      <c r="DGZ32" s="482"/>
      <c r="DHA32" s="482"/>
      <c r="DHB32" s="482"/>
      <c r="DHC32" s="482"/>
      <c r="DHD32" s="482"/>
      <c r="DHE32" s="482"/>
      <c r="DHF32" s="482"/>
      <c r="DHG32" s="482"/>
      <c r="DHH32" s="482"/>
      <c r="DHI32" s="482"/>
      <c r="DHJ32" s="482"/>
      <c r="DHK32" s="482"/>
      <c r="DHL32" s="482"/>
      <c r="DHM32" s="482"/>
      <c r="DHN32" s="482"/>
      <c r="DHO32" s="482"/>
      <c r="DHP32" s="482"/>
      <c r="DHQ32" s="482"/>
      <c r="DHR32" s="482"/>
      <c r="DHS32" s="482"/>
      <c r="DHT32" s="482"/>
      <c r="DHU32" s="482"/>
      <c r="DHV32" s="482"/>
      <c r="DHW32" s="482"/>
      <c r="DHX32" s="482"/>
      <c r="DHY32" s="482"/>
      <c r="DHZ32" s="482"/>
      <c r="DIA32" s="482"/>
      <c r="DIB32" s="482"/>
      <c r="DIC32" s="482"/>
      <c r="DID32" s="482"/>
      <c r="DIE32" s="482"/>
      <c r="DIF32" s="482"/>
      <c r="DIG32" s="482"/>
      <c r="DIH32" s="482"/>
      <c r="DII32" s="482"/>
      <c r="DIJ32" s="482"/>
      <c r="DIK32" s="482"/>
      <c r="DIL32" s="482"/>
      <c r="DIM32" s="482"/>
      <c r="DIN32" s="482"/>
      <c r="DIO32" s="482"/>
      <c r="DIP32" s="482"/>
      <c r="DIQ32" s="482"/>
      <c r="DIR32" s="482"/>
      <c r="DIS32" s="482"/>
      <c r="DIT32" s="482"/>
      <c r="DIU32" s="482"/>
      <c r="DIV32" s="482"/>
      <c r="DIW32" s="482"/>
      <c r="DIX32" s="482"/>
      <c r="DIY32" s="482"/>
      <c r="DIZ32" s="482"/>
      <c r="DJA32" s="482"/>
      <c r="DJB32" s="482"/>
      <c r="DJC32" s="482"/>
      <c r="DJD32" s="482"/>
      <c r="DJE32" s="482"/>
      <c r="DJF32" s="482"/>
      <c r="DJG32" s="482"/>
      <c r="DJH32" s="482"/>
      <c r="DJI32" s="482"/>
      <c r="DJJ32" s="482"/>
      <c r="DJK32" s="482"/>
      <c r="DJL32" s="482"/>
      <c r="DJM32" s="482"/>
      <c r="DJN32" s="482"/>
      <c r="DJO32" s="482"/>
      <c r="DJP32" s="482"/>
      <c r="DJQ32" s="482"/>
      <c r="DJR32" s="482"/>
      <c r="DJS32" s="482"/>
      <c r="DJT32" s="482"/>
      <c r="DJU32" s="482"/>
      <c r="DJV32" s="482"/>
      <c r="DJW32" s="482"/>
      <c r="DJX32" s="482"/>
      <c r="DJY32" s="482"/>
      <c r="DJZ32" s="482"/>
      <c r="DKA32" s="482"/>
      <c r="DKB32" s="482"/>
      <c r="DKC32" s="482"/>
      <c r="DKD32" s="482"/>
      <c r="DKE32" s="482"/>
      <c r="DKF32" s="482"/>
      <c r="DKG32" s="482"/>
      <c r="DKH32" s="482"/>
      <c r="DKI32" s="482"/>
      <c r="DKJ32" s="482"/>
      <c r="DKK32" s="482"/>
      <c r="DKL32" s="482"/>
      <c r="DKM32" s="482"/>
      <c r="DKN32" s="482"/>
      <c r="DKO32" s="482"/>
      <c r="DKP32" s="482"/>
      <c r="DKQ32" s="482"/>
      <c r="DKR32" s="482"/>
      <c r="DKS32" s="482"/>
      <c r="DKT32" s="482"/>
      <c r="DKU32" s="482"/>
      <c r="DKV32" s="482"/>
      <c r="DKW32" s="482"/>
      <c r="DKX32" s="482"/>
      <c r="DKY32" s="482"/>
      <c r="DKZ32" s="482"/>
      <c r="DLA32" s="482"/>
      <c r="DLB32" s="482"/>
      <c r="DLC32" s="482"/>
      <c r="DLD32" s="482"/>
      <c r="DLE32" s="482"/>
      <c r="DLF32" s="482"/>
      <c r="DLG32" s="482"/>
      <c r="DLH32" s="482"/>
      <c r="DLI32" s="482"/>
      <c r="DLJ32" s="482"/>
      <c r="DLK32" s="482"/>
      <c r="DLL32" s="482"/>
      <c r="DLM32" s="482"/>
      <c r="DLN32" s="482"/>
      <c r="DLO32" s="482"/>
      <c r="DLP32" s="482"/>
      <c r="DLQ32" s="482"/>
      <c r="DLR32" s="482"/>
      <c r="DLS32" s="482"/>
      <c r="DLT32" s="482"/>
      <c r="DLU32" s="482"/>
      <c r="DLV32" s="482"/>
      <c r="DLW32" s="482"/>
      <c r="DLX32" s="482"/>
      <c r="DLY32" s="482"/>
      <c r="DLZ32" s="482"/>
      <c r="DMA32" s="482"/>
      <c r="DMB32" s="482"/>
      <c r="DMC32" s="482"/>
      <c r="DMD32" s="482"/>
      <c r="DME32" s="482"/>
      <c r="DMF32" s="482"/>
      <c r="DMG32" s="482"/>
      <c r="DMH32" s="482"/>
      <c r="DMI32" s="482"/>
      <c r="DMJ32" s="482"/>
      <c r="DMK32" s="482"/>
      <c r="DML32" s="482"/>
      <c r="DMM32" s="482"/>
      <c r="DMN32" s="482"/>
      <c r="DMO32" s="482"/>
      <c r="DMP32" s="482"/>
      <c r="DMQ32" s="482"/>
      <c r="DMR32" s="482"/>
      <c r="DMS32" s="482"/>
      <c r="DMT32" s="482"/>
      <c r="DMU32" s="482"/>
      <c r="DMV32" s="482"/>
      <c r="DMW32" s="482"/>
      <c r="DMX32" s="482"/>
      <c r="DMY32" s="482"/>
      <c r="DMZ32" s="482"/>
      <c r="DNA32" s="482"/>
      <c r="DNB32" s="482"/>
      <c r="DNC32" s="482"/>
      <c r="DND32" s="482"/>
      <c r="DNE32" s="482"/>
      <c r="DNF32" s="482"/>
      <c r="DNG32" s="482"/>
      <c r="DNH32" s="482"/>
      <c r="DNI32" s="482"/>
      <c r="DNJ32" s="482"/>
      <c r="DNK32" s="482"/>
      <c r="DNL32" s="482"/>
      <c r="DNM32" s="482"/>
      <c r="DNN32" s="482"/>
      <c r="DNO32" s="482"/>
      <c r="DNP32" s="482"/>
      <c r="DNQ32" s="482"/>
      <c r="DNR32" s="482"/>
      <c r="DNS32" s="482"/>
      <c r="DNT32" s="482"/>
      <c r="DNU32" s="482"/>
      <c r="DNV32" s="482"/>
      <c r="DNW32" s="482"/>
      <c r="DNX32" s="482"/>
      <c r="DNY32" s="482"/>
      <c r="DNZ32" s="482"/>
      <c r="DOA32" s="482"/>
      <c r="DOB32" s="482"/>
      <c r="DOC32" s="482"/>
      <c r="DOD32" s="482"/>
      <c r="DOE32" s="482"/>
      <c r="DOF32" s="482"/>
      <c r="DOG32" s="482"/>
      <c r="DOH32" s="482"/>
      <c r="DOI32" s="482"/>
      <c r="DOJ32" s="482"/>
      <c r="DOK32" s="482"/>
      <c r="DOL32" s="482"/>
      <c r="DOM32" s="482"/>
      <c r="DON32" s="482"/>
      <c r="DOO32" s="482"/>
      <c r="DOP32" s="482"/>
      <c r="DOQ32" s="482"/>
      <c r="DOR32" s="482"/>
      <c r="DOS32" s="482"/>
      <c r="DOT32" s="482"/>
      <c r="DOU32" s="482"/>
      <c r="DOV32" s="482"/>
      <c r="DOW32" s="482"/>
      <c r="DOX32" s="482"/>
      <c r="DOY32" s="482"/>
      <c r="DOZ32" s="482"/>
      <c r="DPA32" s="482"/>
      <c r="DPB32" s="482"/>
      <c r="DPC32" s="482"/>
      <c r="DPD32" s="482"/>
      <c r="DPE32" s="482"/>
      <c r="DPF32" s="482"/>
      <c r="DPG32" s="482"/>
      <c r="DPH32" s="482"/>
      <c r="DPI32" s="482"/>
      <c r="DPJ32" s="482"/>
      <c r="DPK32" s="482"/>
      <c r="DPL32" s="482"/>
      <c r="DPM32" s="482"/>
      <c r="DPN32" s="482"/>
      <c r="DPO32" s="482"/>
      <c r="DPP32" s="482"/>
      <c r="DPQ32" s="482"/>
      <c r="DPR32" s="482"/>
      <c r="DPS32" s="482"/>
      <c r="DPT32" s="482"/>
      <c r="DPU32" s="482"/>
      <c r="DPV32" s="482"/>
      <c r="DPW32" s="482"/>
      <c r="DPX32" s="482"/>
      <c r="DPY32" s="482"/>
      <c r="DPZ32" s="482"/>
      <c r="DQA32" s="482"/>
      <c r="DQB32" s="482"/>
      <c r="DQC32" s="482"/>
      <c r="DQD32" s="482"/>
      <c r="DQE32" s="482"/>
      <c r="DQF32" s="482"/>
      <c r="DQG32" s="482"/>
      <c r="DQH32" s="482"/>
      <c r="DQI32" s="482"/>
      <c r="DQJ32" s="482"/>
      <c r="DQK32" s="482"/>
      <c r="DQL32" s="482"/>
      <c r="DQM32" s="482"/>
      <c r="DQN32" s="482"/>
      <c r="DQO32" s="482"/>
      <c r="DQP32" s="482"/>
      <c r="DQQ32" s="482"/>
      <c r="DQR32" s="482"/>
      <c r="DQS32" s="482"/>
      <c r="DQT32" s="482"/>
      <c r="DQU32" s="482"/>
      <c r="DQV32" s="482"/>
      <c r="DQW32" s="482"/>
      <c r="DQX32" s="482"/>
      <c r="DQY32" s="482"/>
      <c r="DQZ32" s="482"/>
      <c r="DRA32" s="482"/>
      <c r="DRB32" s="482"/>
      <c r="DRC32" s="482"/>
      <c r="DRD32" s="482"/>
      <c r="DRE32" s="482"/>
      <c r="DRF32" s="482"/>
      <c r="DRG32" s="482"/>
      <c r="DRH32" s="482"/>
      <c r="DRI32" s="482"/>
      <c r="DRJ32" s="482"/>
      <c r="DRK32" s="482"/>
      <c r="DRL32" s="482"/>
      <c r="DRM32" s="482"/>
      <c r="DRN32" s="482"/>
      <c r="DRO32" s="482"/>
      <c r="DRP32" s="482"/>
      <c r="DRQ32" s="482"/>
      <c r="DRR32" s="482"/>
      <c r="DRS32" s="482"/>
      <c r="DRT32" s="482"/>
      <c r="DRU32" s="482"/>
      <c r="DRV32" s="482"/>
      <c r="DRW32" s="482"/>
      <c r="DRX32" s="482"/>
      <c r="DRY32" s="482"/>
      <c r="DRZ32" s="482"/>
      <c r="DSA32" s="482"/>
      <c r="DSB32" s="482"/>
      <c r="DSC32" s="482"/>
      <c r="DSD32" s="482"/>
      <c r="DSE32" s="482"/>
      <c r="DSF32" s="482"/>
      <c r="DSG32" s="482"/>
      <c r="DSH32" s="482"/>
      <c r="DSI32" s="482"/>
      <c r="DSJ32" s="482"/>
      <c r="DSK32" s="482"/>
      <c r="DSL32" s="482"/>
      <c r="DSM32" s="482"/>
      <c r="DSN32" s="482"/>
      <c r="DSO32" s="482"/>
      <c r="DSP32" s="482"/>
      <c r="DSQ32" s="482"/>
      <c r="DSR32" s="482"/>
      <c r="DSS32" s="482"/>
      <c r="DST32" s="482"/>
      <c r="DSU32" s="482"/>
      <c r="DSV32" s="482"/>
      <c r="DSW32" s="482"/>
      <c r="DSX32" s="482"/>
      <c r="DSY32" s="482"/>
      <c r="DSZ32" s="482"/>
      <c r="DTA32" s="482"/>
      <c r="DTB32" s="482"/>
      <c r="DTC32" s="482"/>
      <c r="DTD32" s="482"/>
      <c r="DTE32" s="482"/>
      <c r="DTF32" s="482"/>
      <c r="DTG32" s="482"/>
      <c r="DTH32" s="482"/>
      <c r="DTI32" s="482"/>
      <c r="DTJ32" s="482"/>
      <c r="DTK32" s="482"/>
      <c r="DTL32" s="482"/>
      <c r="DTM32" s="482"/>
      <c r="DTN32" s="482"/>
      <c r="DTO32" s="482"/>
      <c r="DTP32" s="482"/>
      <c r="DTQ32" s="482"/>
      <c r="DTR32" s="482"/>
      <c r="DTS32" s="482"/>
      <c r="DTT32" s="482"/>
      <c r="DTU32" s="482"/>
      <c r="DTV32" s="482"/>
      <c r="DTW32" s="482"/>
      <c r="DTX32" s="482"/>
      <c r="DTY32" s="482"/>
      <c r="DTZ32" s="482"/>
      <c r="DUA32" s="482"/>
      <c r="DUB32" s="482"/>
      <c r="DUC32" s="482"/>
      <c r="DUD32" s="482"/>
      <c r="DUE32" s="482"/>
      <c r="DUF32" s="482"/>
      <c r="DUG32" s="482"/>
      <c r="DUH32" s="482"/>
      <c r="DUI32" s="482"/>
      <c r="DUJ32" s="482"/>
      <c r="DUK32" s="482"/>
      <c r="DUL32" s="482"/>
      <c r="DUM32" s="482"/>
      <c r="DUN32" s="482"/>
      <c r="DUO32" s="482"/>
      <c r="DUP32" s="482"/>
      <c r="DUQ32" s="482"/>
      <c r="DUR32" s="482"/>
      <c r="DUS32" s="482"/>
      <c r="DUT32" s="482"/>
      <c r="DUU32" s="482"/>
      <c r="DUV32" s="482"/>
      <c r="DUW32" s="482"/>
      <c r="DUX32" s="482"/>
      <c r="DUY32" s="482"/>
      <c r="DUZ32" s="482"/>
      <c r="DVA32" s="482"/>
      <c r="DVB32" s="482"/>
      <c r="DVC32" s="482"/>
      <c r="DVD32" s="482"/>
      <c r="DVE32" s="482"/>
      <c r="DVF32" s="482"/>
      <c r="DVG32" s="482"/>
      <c r="DVH32" s="482"/>
      <c r="DVI32" s="482"/>
      <c r="DVJ32" s="482"/>
      <c r="DVK32" s="482"/>
      <c r="DVL32" s="482"/>
      <c r="DVM32" s="482"/>
      <c r="DVN32" s="482"/>
      <c r="DVO32" s="482"/>
      <c r="DVP32" s="482"/>
      <c r="DVQ32" s="482"/>
      <c r="DVR32" s="482"/>
      <c r="DVS32" s="482"/>
      <c r="DVT32" s="482"/>
      <c r="DVU32" s="482"/>
      <c r="DVV32" s="482"/>
      <c r="DVW32" s="482"/>
      <c r="DVX32" s="482"/>
      <c r="DVY32" s="482"/>
      <c r="DVZ32" s="482"/>
      <c r="DWA32" s="482"/>
      <c r="DWB32" s="482"/>
      <c r="DWC32" s="482"/>
      <c r="DWD32" s="482"/>
      <c r="DWE32" s="482"/>
      <c r="DWF32" s="482"/>
      <c r="DWG32" s="482"/>
      <c r="DWH32" s="482"/>
      <c r="DWI32" s="482"/>
      <c r="DWJ32" s="482"/>
      <c r="DWK32" s="482"/>
      <c r="DWL32" s="482"/>
      <c r="DWM32" s="482"/>
      <c r="DWN32" s="482"/>
      <c r="DWO32" s="482"/>
      <c r="DWP32" s="482"/>
      <c r="DWQ32" s="482"/>
      <c r="DWR32" s="482"/>
      <c r="DWS32" s="482"/>
      <c r="DWT32" s="482"/>
      <c r="DWU32" s="482"/>
      <c r="DWV32" s="482"/>
      <c r="DWW32" s="482"/>
      <c r="DWX32" s="482"/>
      <c r="DWY32" s="482"/>
      <c r="DWZ32" s="482"/>
      <c r="DXA32" s="482"/>
      <c r="DXB32" s="482"/>
      <c r="DXC32" s="482"/>
      <c r="DXD32" s="482"/>
      <c r="DXE32" s="482"/>
      <c r="DXF32" s="482"/>
      <c r="DXG32" s="482"/>
      <c r="DXH32" s="482"/>
      <c r="DXI32" s="482"/>
      <c r="DXJ32" s="482"/>
      <c r="DXK32" s="482"/>
      <c r="DXL32" s="482"/>
      <c r="DXM32" s="482"/>
      <c r="DXN32" s="482"/>
      <c r="DXO32" s="482"/>
      <c r="DXP32" s="482"/>
      <c r="DXQ32" s="482"/>
      <c r="DXR32" s="482"/>
      <c r="DXS32" s="482"/>
      <c r="DXT32" s="482"/>
      <c r="DXU32" s="482"/>
      <c r="DXV32" s="482"/>
      <c r="DXW32" s="482"/>
      <c r="DXX32" s="482"/>
      <c r="DXY32" s="482"/>
      <c r="DXZ32" s="482"/>
      <c r="DYA32" s="482"/>
      <c r="DYB32" s="482"/>
      <c r="DYC32" s="482"/>
      <c r="DYD32" s="482"/>
      <c r="DYE32" s="482"/>
      <c r="DYF32" s="482"/>
      <c r="DYG32" s="482"/>
      <c r="DYH32" s="482"/>
      <c r="DYI32" s="482"/>
      <c r="DYJ32" s="482"/>
      <c r="DYK32" s="482"/>
      <c r="DYL32" s="482"/>
      <c r="DYM32" s="482"/>
      <c r="DYN32" s="482"/>
      <c r="DYO32" s="482"/>
      <c r="DYP32" s="482"/>
      <c r="DYQ32" s="482"/>
      <c r="DYR32" s="482"/>
      <c r="DYS32" s="482"/>
      <c r="DYT32" s="482"/>
      <c r="DYU32" s="482"/>
      <c r="DYV32" s="482"/>
      <c r="DYW32" s="482"/>
      <c r="DYX32" s="482"/>
      <c r="DYY32" s="482"/>
      <c r="DYZ32" s="482"/>
      <c r="DZA32" s="482"/>
      <c r="DZB32" s="482"/>
      <c r="DZC32" s="482"/>
      <c r="DZD32" s="482"/>
      <c r="DZE32" s="482"/>
      <c r="DZF32" s="482"/>
      <c r="DZG32" s="482"/>
      <c r="DZH32" s="482"/>
      <c r="DZI32" s="482"/>
      <c r="DZJ32" s="482"/>
      <c r="DZK32" s="482"/>
      <c r="DZL32" s="482"/>
      <c r="DZM32" s="482"/>
      <c r="DZN32" s="482"/>
      <c r="DZO32" s="482"/>
      <c r="DZP32" s="482"/>
      <c r="DZQ32" s="482"/>
      <c r="DZR32" s="482"/>
      <c r="DZS32" s="482"/>
      <c r="DZT32" s="482"/>
      <c r="DZU32" s="482"/>
      <c r="DZV32" s="482"/>
      <c r="DZW32" s="482"/>
      <c r="DZX32" s="482"/>
      <c r="DZY32" s="482"/>
      <c r="DZZ32" s="482"/>
      <c r="EAA32" s="482"/>
      <c r="EAB32" s="482"/>
      <c r="EAC32" s="482"/>
      <c r="EAD32" s="482"/>
      <c r="EAE32" s="482"/>
      <c r="EAF32" s="482"/>
      <c r="EAG32" s="482"/>
      <c r="EAH32" s="482"/>
      <c r="EAI32" s="482"/>
      <c r="EAJ32" s="482"/>
      <c r="EAK32" s="482"/>
      <c r="EAL32" s="482"/>
      <c r="EAM32" s="482"/>
      <c r="EAN32" s="482"/>
      <c r="EAO32" s="482"/>
      <c r="EAP32" s="482"/>
      <c r="EAQ32" s="482"/>
      <c r="EAR32" s="482"/>
      <c r="EAS32" s="482"/>
      <c r="EAT32" s="482"/>
      <c r="EAU32" s="482"/>
      <c r="EAV32" s="482"/>
      <c r="EAW32" s="482"/>
      <c r="EAX32" s="482"/>
      <c r="EAY32" s="482"/>
      <c r="EAZ32" s="482"/>
      <c r="EBA32" s="482"/>
      <c r="EBB32" s="482"/>
      <c r="EBC32" s="482"/>
      <c r="EBD32" s="482"/>
      <c r="EBE32" s="482"/>
      <c r="EBF32" s="482"/>
      <c r="EBG32" s="482"/>
      <c r="EBH32" s="482"/>
      <c r="EBI32" s="482"/>
      <c r="EBJ32" s="482"/>
      <c r="EBK32" s="482"/>
      <c r="EBL32" s="482"/>
      <c r="EBM32" s="482"/>
      <c r="EBN32" s="482"/>
      <c r="EBO32" s="482"/>
      <c r="EBP32" s="482"/>
      <c r="EBQ32" s="482"/>
      <c r="EBR32" s="482"/>
      <c r="EBS32" s="482"/>
      <c r="EBT32" s="482"/>
      <c r="EBU32" s="482"/>
      <c r="EBV32" s="482"/>
      <c r="EBW32" s="482"/>
      <c r="EBX32" s="482"/>
      <c r="EBY32" s="482"/>
      <c r="EBZ32" s="482"/>
      <c r="ECA32" s="482"/>
      <c r="ECB32" s="482"/>
      <c r="ECC32" s="482"/>
      <c r="ECD32" s="482"/>
      <c r="ECE32" s="482"/>
      <c r="ECF32" s="482"/>
      <c r="ECG32" s="482"/>
      <c r="ECH32" s="482"/>
      <c r="ECI32" s="482"/>
      <c r="ECJ32" s="482"/>
      <c r="ECK32" s="482"/>
      <c r="ECL32" s="482"/>
      <c r="ECM32" s="482"/>
      <c r="ECN32" s="482"/>
      <c r="ECO32" s="482"/>
      <c r="ECP32" s="482"/>
      <c r="ECQ32" s="482"/>
      <c r="ECR32" s="482"/>
      <c r="ECS32" s="482"/>
      <c r="ECT32" s="482"/>
      <c r="ECU32" s="482"/>
      <c r="ECV32" s="482"/>
      <c r="ECW32" s="482"/>
      <c r="ECX32" s="482"/>
      <c r="ECY32" s="482"/>
      <c r="ECZ32" s="482"/>
      <c r="EDA32" s="482"/>
      <c r="EDB32" s="482"/>
      <c r="EDC32" s="482"/>
      <c r="EDD32" s="482"/>
      <c r="EDE32" s="482"/>
      <c r="EDF32" s="482"/>
      <c r="EDG32" s="482"/>
      <c r="EDH32" s="482"/>
      <c r="EDI32" s="482"/>
      <c r="EDJ32" s="482"/>
      <c r="EDK32" s="482"/>
      <c r="EDL32" s="482"/>
      <c r="EDM32" s="482"/>
      <c r="EDN32" s="482"/>
      <c r="EDO32" s="482"/>
      <c r="EDP32" s="482"/>
      <c r="EDQ32" s="482"/>
      <c r="EDR32" s="482"/>
      <c r="EDS32" s="482"/>
      <c r="EDT32" s="482"/>
      <c r="EDU32" s="482"/>
      <c r="EDV32" s="482"/>
      <c r="EDW32" s="482"/>
      <c r="EDX32" s="482"/>
      <c r="EDY32" s="482"/>
      <c r="EDZ32" s="482"/>
      <c r="EEA32" s="482"/>
      <c r="EEB32" s="482"/>
      <c r="EEC32" s="482"/>
      <c r="EED32" s="482"/>
      <c r="EEE32" s="482"/>
      <c r="EEF32" s="482"/>
      <c r="EEG32" s="482"/>
      <c r="EEH32" s="482"/>
      <c r="EEI32" s="482"/>
      <c r="EEJ32" s="482"/>
      <c r="EEK32" s="482"/>
      <c r="EEL32" s="482"/>
      <c r="EEM32" s="482"/>
      <c r="EEN32" s="482"/>
      <c r="EEO32" s="482"/>
      <c r="EEP32" s="482"/>
      <c r="EEQ32" s="482"/>
      <c r="EER32" s="482"/>
      <c r="EES32" s="482"/>
      <c r="EET32" s="482"/>
      <c r="EEU32" s="482"/>
      <c r="EEV32" s="482"/>
      <c r="EEW32" s="482"/>
      <c r="EEX32" s="482"/>
      <c r="EEY32" s="482"/>
      <c r="EEZ32" s="482"/>
      <c r="EFA32" s="482"/>
      <c r="EFB32" s="482"/>
      <c r="EFC32" s="482"/>
      <c r="EFD32" s="482"/>
      <c r="EFE32" s="482"/>
      <c r="EFF32" s="482"/>
      <c r="EFG32" s="482"/>
      <c r="EFH32" s="482"/>
      <c r="EFI32" s="482"/>
      <c r="EFJ32" s="482"/>
      <c r="EFK32" s="482"/>
      <c r="EFL32" s="482"/>
      <c r="EFM32" s="482"/>
      <c r="EFN32" s="482"/>
      <c r="EFO32" s="482"/>
      <c r="EFP32" s="482"/>
      <c r="EFQ32" s="482"/>
      <c r="EFR32" s="482"/>
      <c r="EFS32" s="482"/>
      <c r="EFT32" s="482"/>
      <c r="EFU32" s="482"/>
      <c r="EFV32" s="482"/>
      <c r="EFW32" s="482"/>
      <c r="EFX32" s="482"/>
      <c r="EFY32" s="482"/>
      <c r="EFZ32" s="482"/>
      <c r="EGA32" s="482"/>
      <c r="EGB32" s="482"/>
      <c r="EGC32" s="482"/>
      <c r="EGD32" s="482"/>
      <c r="EGE32" s="482"/>
      <c r="EGF32" s="482"/>
      <c r="EGG32" s="482"/>
      <c r="EGH32" s="482"/>
      <c r="EGI32" s="482"/>
      <c r="EGJ32" s="482"/>
      <c r="EGK32" s="482"/>
      <c r="EGL32" s="482"/>
      <c r="EGM32" s="482"/>
      <c r="EGN32" s="482"/>
      <c r="EGO32" s="482"/>
      <c r="EGP32" s="482"/>
      <c r="EGQ32" s="482"/>
      <c r="EGR32" s="482"/>
      <c r="EGS32" s="482"/>
      <c r="EGT32" s="482"/>
      <c r="EGU32" s="482"/>
      <c r="EGV32" s="482"/>
      <c r="EGW32" s="482"/>
      <c r="EGX32" s="482"/>
      <c r="EGY32" s="482"/>
      <c r="EGZ32" s="482"/>
      <c r="EHA32" s="482"/>
      <c r="EHB32" s="482"/>
      <c r="EHC32" s="482"/>
      <c r="EHD32" s="482"/>
      <c r="EHE32" s="482"/>
      <c r="EHF32" s="482"/>
      <c r="EHG32" s="482"/>
      <c r="EHH32" s="482"/>
      <c r="EHI32" s="482"/>
      <c r="EHJ32" s="482"/>
      <c r="EHK32" s="482"/>
      <c r="EHL32" s="482"/>
      <c r="EHM32" s="482"/>
      <c r="EHN32" s="482"/>
      <c r="EHO32" s="482"/>
      <c r="EHP32" s="482"/>
      <c r="EHQ32" s="482"/>
      <c r="EHR32" s="482"/>
      <c r="EHS32" s="482"/>
      <c r="EHT32" s="482"/>
      <c r="EHU32" s="482"/>
      <c r="EHV32" s="482"/>
      <c r="EHW32" s="482"/>
      <c r="EHX32" s="482"/>
      <c r="EHY32" s="482"/>
      <c r="EHZ32" s="482"/>
      <c r="EIA32" s="482"/>
      <c r="EIB32" s="482"/>
      <c r="EIC32" s="482"/>
      <c r="EID32" s="482"/>
      <c r="EIE32" s="482"/>
      <c r="EIF32" s="482"/>
      <c r="EIG32" s="482"/>
      <c r="EIH32" s="482"/>
      <c r="EII32" s="482"/>
      <c r="EIJ32" s="482"/>
      <c r="EIK32" s="482"/>
      <c r="EIL32" s="482"/>
      <c r="EIM32" s="482"/>
      <c r="EIN32" s="482"/>
      <c r="EIO32" s="482"/>
      <c r="EIP32" s="482"/>
      <c r="EIQ32" s="482"/>
      <c r="EIR32" s="482"/>
      <c r="EIS32" s="482"/>
      <c r="EIT32" s="482"/>
      <c r="EIU32" s="482"/>
      <c r="EIV32" s="482"/>
      <c r="EIW32" s="482"/>
      <c r="EIX32" s="482"/>
      <c r="EIY32" s="482"/>
      <c r="EIZ32" s="482"/>
      <c r="EJA32" s="482"/>
      <c r="EJB32" s="482"/>
      <c r="EJC32" s="482"/>
      <c r="EJD32" s="482"/>
      <c r="EJE32" s="482"/>
      <c r="EJF32" s="482"/>
      <c r="EJG32" s="482"/>
      <c r="EJH32" s="482"/>
      <c r="EJI32" s="482"/>
      <c r="EJJ32" s="482"/>
      <c r="EJK32" s="482"/>
      <c r="EJL32" s="482"/>
      <c r="EJM32" s="482"/>
      <c r="EJN32" s="482"/>
      <c r="EJO32" s="482"/>
      <c r="EJP32" s="482"/>
      <c r="EJQ32" s="482"/>
      <c r="EJR32" s="482"/>
      <c r="EJS32" s="482"/>
      <c r="EJT32" s="482"/>
      <c r="EJU32" s="482"/>
      <c r="EJV32" s="482"/>
      <c r="EJW32" s="482"/>
      <c r="EJX32" s="482"/>
      <c r="EJY32" s="482"/>
      <c r="EJZ32" s="482"/>
      <c r="EKA32" s="482"/>
      <c r="EKB32" s="482"/>
      <c r="EKC32" s="482"/>
      <c r="EKD32" s="482"/>
      <c r="EKE32" s="482"/>
      <c r="EKF32" s="482"/>
      <c r="EKG32" s="482"/>
      <c r="EKH32" s="482"/>
      <c r="EKI32" s="482"/>
      <c r="EKJ32" s="482"/>
      <c r="EKK32" s="482"/>
      <c r="EKL32" s="482"/>
      <c r="EKM32" s="482"/>
      <c r="EKN32" s="482"/>
      <c r="EKO32" s="482"/>
      <c r="EKP32" s="482"/>
      <c r="EKQ32" s="482"/>
      <c r="EKR32" s="482"/>
      <c r="EKS32" s="482"/>
      <c r="EKT32" s="482"/>
      <c r="EKU32" s="482"/>
      <c r="EKV32" s="482"/>
      <c r="EKW32" s="482"/>
      <c r="EKX32" s="482"/>
      <c r="EKY32" s="482"/>
      <c r="EKZ32" s="482"/>
      <c r="ELA32" s="482"/>
      <c r="ELB32" s="482"/>
      <c r="ELC32" s="482"/>
      <c r="ELD32" s="482"/>
      <c r="ELE32" s="482"/>
      <c r="ELF32" s="482"/>
      <c r="ELG32" s="482"/>
      <c r="ELH32" s="482"/>
      <c r="ELI32" s="482"/>
      <c r="ELJ32" s="482"/>
      <c r="ELK32" s="482"/>
      <c r="ELL32" s="482"/>
      <c r="ELM32" s="482"/>
      <c r="ELN32" s="482"/>
      <c r="ELO32" s="482"/>
      <c r="ELP32" s="482"/>
      <c r="ELQ32" s="482"/>
      <c r="ELR32" s="482"/>
      <c r="ELS32" s="482"/>
      <c r="ELT32" s="482"/>
      <c r="ELU32" s="482"/>
      <c r="ELV32" s="482"/>
      <c r="ELW32" s="482"/>
      <c r="ELX32" s="482"/>
      <c r="ELY32" s="482"/>
      <c r="ELZ32" s="482"/>
      <c r="EMA32" s="482"/>
      <c r="EMB32" s="482"/>
      <c r="EMC32" s="482"/>
      <c r="EMD32" s="482"/>
      <c r="EME32" s="482"/>
      <c r="EMF32" s="482"/>
      <c r="EMG32" s="482"/>
      <c r="EMH32" s="482"/>
      <c r="EMI32" s="482"/>
      <c r="EMJ32" s="482"/>
      <c r="EMK32" s="482"/>
      <c r="EML32" s="482"/>
      <c r="EMM32" s="482"/>
      <c r="EMN32" s="482"/>
      <c r="EMO32" s="482"/>
      <c r="EMP32" s="482"/>
      <c r="EMQ32" s="482"/>
      <c r="EMR32" s="482"/>
      <c r="EMS32" s="482"/>
      <c r="EMT32" s="482"/>
      <c r="EMU32" s="482"/>
      <c r="EMV32" s="482"/>
      <c r="EMW32" s="482"/>
      <c r="EMX32" s="482"/>
      <c r="EMY32" s="482"/>
      <c r="EMZ32" s="482"/>
      <c r="ENA32" s="482"/>
      <c r="ENB32" s="482"/>
      <c r="ENC32" s="482"/>
      <c r="END32" s="482"/>
      <c r="ENE32" s="482"/>
      <c r="ENF32" s="482"/>
      <c r="ENG32" s="482"/>
      <c r="ENH32" s="482"/>
      <c r="ENI32" s="482"/>
      <c r="ENJ32" s="482"/>
      <c r="ENK32" s="482"/>
      <c r="ENL32" s="482"/>
      <c r="ENM32" s="482"/>
      <c r="ENN32" s="482"/>
      <c r="ENO32" s="482"/>
      <c r="ENP32" s="482"/>
      <c r="ENQ32" s="482"/>
      <c r="ENR32" s="482"/>
      <c r="ENS32" s="482"/>
      <c r="ENT32" s="482"/>
      <c r="ENU32" s="482"/>
      <c r="ENV32" s="482"/>
      <c r="ENW32" s="482"/>
      <c r="ENX32" s="482"/>
      <c r="ENY32" s="482"/>
      <c r="ENZ32" s="482"/>
      <c r="EOA32" s="482"/>
      <c r="EOB32" s="482"/>
      <c r="EOC32" s="482"/>
      <c r="EOD32" s="482"/>
      <c r="EOE32" s="482"/>
      <c r="EOF32" s="482"/>
      <c r="EOG32" s="482"/>
      <c r="EOH32" s="482"/>
      <c r="EOI32" s="482"/>
      <c r="EOJ32" s="482"/>
      <c r="EOK32" s="482"/>
      <c r="EOL32" s="482"/>
      <c r="EOM32" s="482"/>
      <c r="EON32" s="482"/>
      <c r="EOO32" s="482"/>
      <c r="EOP32" s="482"/>
      <c r="EOQ32" s="482"/>
      <c r="EOR32" s="482"/>
      <c r="EOS32" s="482"/>
      <c r="EOT32" s="482"/>
      <c r="EOU32" s="482"/>
      <c r="EOV32" s="482"/>
      <c r="EOW32" s="482"/>
      <c r="EOX32" s="482"/>
      <c r="EOY32" s="482"/>
      <c r="EOZ32" s="482"/>
      <c r="EPA32" s="482"/>
      <c r="EPB32" s="482"/>
      <c r="EPC32" s="482"/>
      <c r="EPD32" s="482"/>
      <c r="EPE32" s="482"/>
      <c r="EPF32" s="482"/>
      <c r="EPG32" s="482"/>
      <c r="EPH32" s="482"/>
      <c r="EPI32" s="482"/>
      <c r="EPJ32" s="482"/>
      <c r="EPK32" s="482"/>
      <c r="EPL32" s="482"/>
      <c r="EPM32" s="482"/>
      <c r="EPN32" s="482"/>
      <c r="EPO32" s="482"/>
      <c r="EPP32" s="482"/>
      <c r="EPQ32" s="482"/>
      <c r="EPR32" s="482"/>
      <c r="EPS32" s="482"/>
      <c r="EPT32" s="482"/>
      <c r="EPU32" s="482"/>
      <c r="EPV32" s="482"/>
      <c r="EPW32" s="482"/>
      <c r="EPX32" s="482"/>
      <c r="EPY32" s="482"/>
      <c r="EPZ32" s="482"/>
      <c r="EQA32" s="482"/>
      <c r="EQB32" s="482"/>
      <c r="EQC32" s="482"/>
      <c r="EQD32" s="482"/>
      <c r="EQE32" s="482"/>
      <c r="EQF32" s="482"/>
      <c r="EQG32" s="482"/>
      <c r="EQH32" s="482"/>
      <c r="EQI32" s="482"/>
      <c r="EQJ32" s="482"/>
      <c r="EQK32" s="482"/>
      <c r="EQL32" s="482"/>
      <c r="EQM32" s="482"/>
      <c r="EQN32" s="482"/>
      <c r="EQO32" s="482"/>
      <c r="EQP32" s="482"/>
      <c r="EQQ32" s="482"/>
      <c r="EQR32" s="482"/>
      <c r="EQS32" s="482"/>
      <c r="EQT32" s="482"/>
      <c r="EQU32" s="482"/>
      <c r="EQV32" s="482"/>
      <c r="EQW32" s="482"/>
      <c r="EQX32" s="482"/>
      <c r="EQY32" s="482"/>
      <c r="EQZ32" s="482"/>
      <c r="ERA32" s="482"/>
      <c r="ERB32" s="482"/>
      <c r="ERC32" s="482"/>
      <c r="ERD32" s="482"/>
      <c r="ERE32" s="482"/>
      <c r="ERF32" s="482"/>
      <c r="ERG32" s="482"/>
      <c r="ERH32" s="482"/>
      <c r="ERI32" s="482"/>
      <c r="ERJ32" s="482"/>
      <c r="ERK32" s="482"/>
      <c r="ERL32" s="482"/>
      <c r="ERM32" s="482"/>
      <c r="ERN32" s="482"/>
      <c r="ERO32" s="482"/>
      <c r="ERP32" s="482"/>
      <c r="ERQ32" s="482"/>
      <c r="ERR32" s="482"/>
      <c r="ERS32" s="482"/>
      <c r="ERT32" s="482"/>
      <c r="ERU32" s="482"/>
      <c r="ERV32" s="482"/>
      <c r="ERW32" s="482"/>
      <c r="ERX32" s="482"/>
      <c r="ERY32" s="482"/>
      <c r="ERZ32" s="482"/>
      <c r="ESA32" s="482"/>
      <c r="ESB32" s="482"/>
      <c r="ESC32" s="482"/>
      <c r="ESD32" s="482"/>
      <c r="ESE32" s="482"/>
      <c r="ESF32" s="482"/>
      <c r="ESG32" s="482"/>
      <c r="ESH32" s="482"/>
      <c r="ESI32" s="482"/>
      <c r="ESJ32" s="482"/>
      <c r="ESK32" s="482"/>
      <c r="ESL32" s="482"/>
      <c r="ESM32" s="482"/>
      <c r="ESN32" s="482"/>
      <c r="ESO32" s="482"/>
      <c r="ESP32" s="482"/>
      <c r="ESQ32" s="482"/>
      <c r="ESR32" s="482"/>
      <c r="ESS32" s="482"/>
      <c r="EST32" s="482"/>
      <c r="ESU32" s="482"/>
      <c r="ESV32" s="482"/>
      <c r="ESW32" s="482"/>
      <c r="ESX32" s="482"/>
      <c r="ESY32" s="482"/>
      <c r="ESZ32" s="482"/>
      <c r="ETA32" s="482"/>
      <c r="ETB32" s="482"/>
      <c r="ETC32" s="482"/>
      <c r="ETD32" s="482"/>
      <c r="ETE32" s="482"/>
      <c r="ETF32" s="482"/>
      <c r="ETG32" s="482"/>
      <c r="ETH32" s="482"/>
      <c r="ETI32" s="482"/>
      <c r="ETJ32" s="482"/>
      <c r="ETK32" s="482"/>
      <c r="ETL32" s="482"/>
      <c r="ETM32" s="482"/>
      <c r="ETN32" s="482"/>
      <c r="ETO32" s="482"/>
      <c r="ETP32" s="482"/>
      <c r="ETQ32" s="482"/>
      <c r="ETR32" s="482"/>
      <c r="ETS32" s="482"/>
      <c r="ETT32" s="482"/>
      <c r="ETU32" s="482"/>
      <c r="ETV32" s="482"/>
      <c r="ETW32" s="482"/>
      <c r="ETX32" s="482"/>
      <c r="ETY32" s="482"/>
      <c r="ETZ32" s="482"/>
      <c r="EUA32" s="482"/>
      <c r="EUB32" s="482"/>
      <c r="EUC32" s="482"/>
      <c r="EUD32" s="482"/>
      <c r="EUE32" s="482"/>
      <c r="EUF32" s="482"/>
      <c r="EUG32" s="482"/>
      <c r="EUH32" s="482"/>
      <c r="EUI32" s="482"/>
      <c r="EUJ32" s="482"/>
      <c r="EUK32" s="482"/>
      <c r="EUL32" s="482"/>
      <c r="EUM32" s="482"/>
      <c r="EUN32" s="482"/>
      <c r="EUO32" s="482"/>
      <c r="EUP32" s="482"/>
      <c r="EUQ32" s="482"/>
      <c r="EUR32" s="482"/>
      <c r="EUS32" s="482"/>
      <c r="EUT32" s="482"/>
      <c r="EUU32" s="482"/>
      <c r="EUV32" s="482"/>
      <c r="EUW32" s="482"/>
      <c r="EUX32" s="482"/>
      <c r="EUY32" s="482"/>
      <c r="EUZ32" s="482"/>
      <c r="EVA32" s="482"/>
      <c r="EVB32" s="482"/>
      <c r="EVC32" s="482"/>
      <c r="EVD32" s="482"/>
      <c r="EVE32" s="482"/>
      <c r="EVF32" s="482"/>
      <c r="EVG32" s="482"/>
      <c r="EVH32" s="482"/>
      <c r="EVI32" s="482"/>
      <c r="EVJ32" s="482"/>
      <c r="EVK32" s="482"/>
      <c r="EVL32" s="482"/>
      <c r="EVM32" s="482"/>
      <c r="EVN32" s="482"/>
      <c r="EVO32" s="482"/>
      <c r="EVP32" s="482"/>
      <c r="EVQ32" s="482"/>
      <c r="EVR32" s="482"/>
      <c r="EVS32" s="482"/>
      <c r="EVT32" s="482"/>
      <c r="EVU32" s="482"/>
      <c r="EVV32" s="482"/>
      <c r="EVW32" s="482"/>
      <c r="EVX32" s="482"/>
      <c r="EVY32" s="482"/>
      <c r="EVZ32" s="482"/>
      <c r="EWA32" s="482"/>
      <c r="EWB32" s="482"/>
      <c r="EWC32" s="482"/>
      <c r="EWD32" s="482"/>
      <c r="EWE32" s="482"/>
      <c r="EWF32" s="482"/>
      <c r="EWG32" s="482"/>
      <c r="EWH32" s="482"/>
      <c r="EWI32" s="482"/>
      <c r="EWJ32" s="482"/>
      <c r="EWK32" s="482"/>
      <c r="EWL32" s="482"/>
      <c r="EWM32" s="482"/>
      <c r="EWN32" s="482"/>
      <c r="EWO32" s="482"/>
      <c r="EWP32" s="482"/>
      <c r="EWQ32" s="482"/>
      <c r="EWR32" s="482"/>
      <c r="EWS32" s="482"/>
      <c r="EWT32" s="482"/>
      <c r="EWU32" s="482"/>
      <c r="EWV32" s="482"/>
      <c r="EWW32" s="482"/>
      <c r="EWX32" s="482"/>
      <c r="EWY32" s="482"/>
      <c r="EWZ32" s="482"/>
      <c r="EXA32" s="482"/>
      <c r="EXB32" s="482"/>
      <c r="EXC32" s="482"/>
      <c r="EXD32" s="482"/>
      <c r="EXE32" s="482"/>
      <c r="EXF32" s="482"/>
      <c r="EXG32" s="482"/>
      <c r="EXH32" s="482"/>
      <c r="EXI32" s="482"/>
      <c r="EXJ32" s="482"/>
      <c r="EXK32" s="482"/>
      <c r="EXL32" s="482"/>
      <c r="EXM32" s="482"/>
      <c r="EXN32" s="482"/>
      <c r="EXO32" s="482"/>
      <c r="EXP32" s="482"/>
      <c r="EXQ32" s="482"/>
      <c r="EXR32" s="482"/>
      <c r="EXS32" s="482"/>
      <c r="EXT32" s="482"/>
      <c r="EXU32" s="482"/>
      <c r="EXV32" s="482"/>
      <c r="EXW32" s="482"/>
      <c r="EXX32" s="482"/>
      <c r="EXY32" s="482"/>
      <c r="EXZ32" s="482"/>
      <c r="EYA32" s="482"/>
      <c r="EYB32" s="482"/>
      <c r="EYC32" s="482"/>
      <c r="EYD32" s="482"/>
      <c r="EYE32" s="482"/>
      <c r="EYF32" s="482"/>
      <c r="EYG32" s="482"/>
      <c r="EYH32" s="482"/>
      <c r="EYI32" s="482"/>
      <c r="EYJ32" s="482"/>
      <c r="EYK32" s="482"/>
      <c r="EYL32" s="482"/>
      <c r="EYM32" s="482"/>
      <c r="EYN32" s="482"/>
      <c r="EYO32" s="482"/>
      <c r="EYP32" s="482"/>
      <c r="EYQ32" s="482"/>
      <c r="EYR32" s="482"/>
      <c r="EYS32" s="482"/>
      <c r="EYT32" s="482"/>
      <c r="EYU32" s="482"/>
      <c r="EYV32" s="482"/>
      <c r="EYW32" s="482"/>
      <c r="EYX32" s="482"/>
      <c r="EYY32" s="482"/>
      <c r="EYZ32" s="482"/>
      <c r="EZA32" s="482"/>
      <c r="EZB32" s="482"/>
      <c r="EZC32" s="482"/>
      <c r="EZD32" s="482"/>
      <c r="EZE32" s="482"/>
      <c r="EZF32" s="482"/>
      <c r="EZG32" s="482"/>
      <c r="EZH32" s="482"/>
      <c r="EZI32" s="482"/>
      <c r="EZJ32" s="482"/>
      <c r="EZK32" s="482"/>
      <c r="EZL32" s="482"/>
      <c r="EZM32" s="482"/>
      <c r="EZN32" s="482"/>
      <c r="EZO32" s="482"/>
      <c r="EZP32" s="482"/>
      <c r="EZQ32" s="482"/>
      <c r="EZR32" s="482"/>
      <c r="EZS32" s="482"/>
      <c r="EZT32" s="482"/>
      <c r="EZU32" s="482"/>
      <c r="EZV32" s="482"/>
      <c r="EZW32" s="482"/>
      <c r="EZX32" s="482"/>
      <c r="EZY32" s="482"/>
      <c r="EZZ32" s="482"/>
      <c r="FAA32" s="482"/>
      <c r="FAB32" s="482"/>
      <c r="FAC32" s="482"/>
      <c r="FAD32" s="482"/>
      <c r="FAE32" s="482"/>
      <c r="FAF32" s="482"/>
      <c r="FAG32" s="482"/>
      <c r="FAH32" s="482"/>
      <c r="FAI32" s="482"/>
      <c r="FAJ32" s="482"/>
      <c r="FAK32" s="482"/>
      <c r="FAL32" s="482"/>
      <c r="FAM32" s="482"/>
      <c r="FAN32" s="482"/>
      <c r="FAO32" s="482"/>
      <c r="FAP32" s="482"/>
      <c r="FAQ32" s="482"/>
      <c r="FAR32" s="482"/>
      <c r="FAS32" s="482"/>
      <c r="FAT32" s="482"/>
      <c r="FAU32" s="482"/>
      <c r="FAV32" s="482"/>
      <c r="FAW32" s="482"/>
      <c r="FAX32" s="482"/>
      <c r="FAY32" s="482"/>
      <c r="FAZ32" s="482"/>
      <c r="FBA32" s="482"/>
      <c r="FBB32" s="482"/>
      <c r="FBC32" s="482"/>
      <c r="FBD32" s="482"/>
      <c r="FBE32" s="482"/>
      <c r="FBF32" s="482"/>
      <c r="FBG32" s="482"/>
      <c r="FBH32" s="482"/>
      <c r="FBI32" s="482"/>
      <c r="FBJ32" s="482"/>
      <c r="FBK32" s="482"/>
      <c r="FBL32" s="482"/>
      <c r="FBM32" s="482"/>
      <c r="FBN32" s="482"/>
      <c r="FBO32" s="482"/>
      <c r="FBP32" s="482"/>
      <c r="FBQ32" s="482"/>
      <c r="FBR32" s="482"/>
      <c r="FBS32" s="482"/>
      <c r="FBT32" s="482"/>
      <c r="FBU32" s="482"/>
      <c r="FBV32" s="482"/>
      <c r="FBW32" s="482"/>
      <c r="FBX32" s="482"/>
      <c r="FBY32" s="482"/>
      <c r="FBZ32" s="482"/>
      <c r="FCA32" s="482"/>
      <c r="FCB32" s="482"/>
      <c r="FCC32" s="482"/>
      <c r="FCD32" s="482"/>
      <c r="FCE32" s="482"/>
      <c r="FCF32" s="482"/>
      <c r="FCG32" s="482"/>
      <c r="FCH32" s="482"/>
      <c r="FCI32" s="482"/>
      <c r="FCJ32" s="482"/>
      <c r="FCK32" s="482"/>
      <c r="FCL32" s="482"/>
      <c r="FCM32" s="482"/>
      <c r="FCN32" s="482"/>
      <c r="FCO32" s="482"/>
      <c r="FCP32" s="482"/>
      <c r="FCQ32" s="482"/>
      <c r="FCR32" s="482"/>
      <c r="FCS32" s="482"/>
      <c r="FCT32" s="482"/>
      <c r="FCU32" s="482"/>
      <c r="FCV32" s="482"/>
      <c r="FCW32" s="482"/>
      <c r="FCX32" s="482"/>
      <c r="FCY32" s="482"/>
      <c r="FCZ32" s="482"/>
      <c r="FDA32" s="482"/>
      <c r="FDB32" s="482"/>
      <c r="FDC32" s="482"/>
      <c r="FDD32" s="482"/>
      <c r="FDE32" s="482"/>
      <c r="FDF32" s="482"/>
      <c r="FDG32" s="482"/>
      <c r="FDH32" s="482"/>
      <c r="FDI32" s="482"/>
      <c r="FDJ32" s="482"/>
      <c r="FDK32" s="482"/>
      <c r="FDL32" s="482"/>
      <c r="FDM32" s="482"/>
      <c r="FDN32" s="482"/>
      <c r="FDO32" s="482"/>
      <c r="FDP32" s="482"/>
      <c r="FDQ32" s="482"/>
      <c r="FDR32" s="482"/>
      <c r="FDS32" s="482"/>
      <c r="FDT32" s="482"/>
      <c r="FDU32" s="482"/>
      <c r="FDV32" s="482"/>
      <c r="FDW32" s="482"/>
      <c r="FDX32" s="482"/>
      <c r="FDY32" s="482"/>
      <c r="FDZ32" s="482"/>
      <c r="FEA32" s="482"/>
      <c r="FEB32" s="482"/>
      <c r="FEC32" s="482"/>
      <c r="FED32" s="482"/>
      <c r="FEE32" s="482"/>
      <c r="FEF32" s="482"/>
      <c r="FEG32" s="482"/>
      <c r="FEH32" s="482"/>
      <c r="FEI32" s="482"/>
      <c r="FEJ32" s="482"/>
      <c r="FEK32" s="482"/>
      <c r="FEL32" s="482"/>
      <c r="FEM32" s="482"/>
      <c r="FEN32" s="482"/>
      <c r="FEO32" s="482"/>
      <c r="FEP32" s="482"/>
      <c r="FEQ32" s="482"/>
      <c r="FER32" s="482"/>
      <c r="FES32" s="482"/>
      <c r="FET32" s="482"/>
      <c r="FEU32" s="482"/>
      <c r="FEV32" s="482"/>
      <c r="FEW32" s="482"/>
      <c r="FEX32" s="482"/>
      <c r="FEY32" s="482"/>
      <c r="FEZ32" s="482"/>
      <c r="FFA32" s="482"/>
      <c r="FFB32" s="482"/>
      <c r="FFC32" s="482"/>
      <c r="FFD32" s="482"/>
      <c r="FFE32" s="482"/>
      <c r="FFF32" s="482"/>
      <c r="FFG32" s="482"/>
      <c r="FFH32" s="482"/>
      <c r="FFI32" s="482"/>
      <c r="FFJ32" s="482"/>
      <c r="FFK32" s="482"/>
      <c r="FFL32" s="482"/>
      <c r="FFM32" s="482"/>
      <c r="FFN32" s="482"/>
      <c r="FFO32" s="482"/>
      <c r="FFP32" s="482"/>
      <c r="FFQ32" s="482"/>
      <c r="FFR32" s="482"/>
      <c r="FFS32" s="482"/>
      <c r="FFT32" s="482"/>
      <c r="FFU32" s="482"/>
      <c r="FFV32" s="482"/>
      <c r="FFW32" s="482"/>
      <c r="FFX32" s="482"/>
      <c r="FFY32" s="482"/>
      <c r="FFZ32" s="482"/>
      <c r="FGA32" s="482"/>
      <c r="FGB32" s="482"/>
      <c r="FGC32" s="482"/>
      <c r="FGD32" s="482"/>
      <c r="FGE32" s="482"/>
      <c r="FGF32" s="482"/>
      <c r="FGG32" s="482"/>
      <c r="FGH32" s="482"/>
      <c r="FGI32" s="482"/>
      <c r="FGJ32" s="482"/>
      <c r="FGK32" s="482"/>
      <c r="FGL32" s="482"/>
      <c r="FGM32" s="482"/>
      <c r="FGN32" s="482"/>
      <c r="FGO32" s="482"/>
      <c r="FGP32" s="482"/>
      <c r="FGQ32" s="482"/>
      <c r="FGR32" s="482"/>
      <c r="FGS32" s="482"/>
      <c r="FGT32" s="482"/>
      <c r="FGU32" s="482"/>
      <c r="FGV32" s="482"/>
      <c r="FGW32" s="482"/>
      <c r="FGX32" s="482"/>
      <c r="FGY32" s="482"/>
      <c r="FGZ32" s="482"/>
      <c r="FHA32" s="482"/>
      <c r="FHB32" s="482"/>
      <c r="FHC32" s="482"/>
      <c r="FHD32" s="482"/>
      <c r="FHE32" s="482"/>
      <c r="FHF32" s="482"/>
      <c r="FHG32" s="482"/>
      <c r="FHH32" s="482"/>
      <c r="FHI32" s="482"/>
      <c r="FHJ32" s="482"/>
      <c r="FHK32" s="482"/>
      <c r="FHL32" s="482"/>
      <c r="FHM32" s="482"/>
      <c r="FHN32" s="482"/>
      <c r="FHO32" s="482"/>
      <c r="FHP32" s="482"/>
      <c r="FHQ32" s="482"/>
      <c r="FHR32" s="482"/>
      <c r="FHS32" s="482"/>
      <c r="FHT32" s="482"/>
      <c r="FHU32" s="482"/>
      <c r="FHV32" s="482"/>
      <c r="FHW32" s="482"/>
      <c r="FHX32" s="482"/>
      <c r="FHY32" s="482"/>
      <c r="FHZ32" s="482"/>
      <c r="FIA32" s="482"/>
      <c r="FIB32" s="482"/>
      <c r="FIC32" s="482"/>
      <c r="FID32" s="482"/>
      <c r="FIE32" s="482"/>
      <c r="FIF32" s="482"/>
      <c r="FIG32" s="482"/>
      <c r="FIH32" s="482"/>
      <c r="FII32" s="482"/>
      <c r="FIJ32" s="482"/>
      <c r="FIK32" s="482"/>
      <c r="FIL32" s="482"/>
      <c r="FIM32" s="482"/>
      <c r="FIN32" s="482"/>
      <c r="FIO32" s="482"/>
      <c r="FIP32" s="482"/>
      <c r="FIQ32" s="482"/>
      <c r="FIR32" s="482"/>
      <c r="FIS32" s="482"/>
      <c r="FIT32" s="482"/>
      <c r="FIU32" s="482"/>
      <c r="FIV32" s="482"/>
      <c r="FIW32" s="482"/>
      <c r="FIX32" s="482"/>
      <c r="FIY32" s="482"/>
      <c r="FIZ32" s="482"/>
      <c r="FJA32" s="482"/>
      <c r="FJB32" s="482"/>
      <c r="FJC32" s="482"/>
      <c r="FJD32" s="482"/>
      <c r="FJE32" s="482"/>
      <c r="FJF32" s="482"/>
      <c r="FJG32" s="482"/>
      <c r="FJH32" s="482"/>
      <c r="FJI32" s="482"/>
      <c r="FJJ32" s="482"/>
      <c r="FJK32" s="482"/>
      <c r="FJL32" s="482"/>
      <c r="FJM32" s="482"/>
      <c r="FJN32" s="482"/>
      <c r="FJO32" s="482"/>
      <c r="FJP32" s="482"/>
      <c r="FJQ32" s="482"/>
      <c r="FJR32" s="482"/>
      <c r="FJS32" s="482"/>
      <c r="FJT32" s="482"/>
      <c r="FJU32" s="482"/>
      <c r="FJV32" s="482"/>
      <c r="FJW32" s="482"/>
      <c r="FJX32" s="482"/>
      <c r="FJY32" s="482"/>
      <c r="FJZ32" s="482"/>
      <c r="FKA32" s="482"/>
      <c r="FKB32" s="482"/>
      <c r="FKC32" s="482"/>
      <c r="FKD32" s="482"/>
      <c r="FKE32" s="482"/>
      <c r="FKF32" s="482"/>
      <c r="FKG32" s="482"/>
      <c r="FKH32" s="482"/>
      <c r="FKI32" s="482"/>
      <c r="FKJ32" s="482"/>
      <c r="FKK32" s="482"/>
      <c r="FKL32" s="482"/>
      <c r="FKM32" s="482"/>
      <c r="FKN32" s="482"/>
      <c r="FKO32" s="482"/>
      <c r="FKP32" s="482"/>
      <c r="FKQ32" s="482"/>
      <c r="FKR32" s="482"/>
      <c r="FKS32" s="482"/>
      <c r="FKT32" s="482"/>
      <c r="FKU32" s="482"/>
      <c r="FKV32" s="482"/>
      <c r="FKW32" s="482"/>
      <c r="FKX32" s="482"/>
      <c r="FKY32" s="482"/>
      <c r="FKZ32" s="482"/>
      <c r="FLA32" s="482"/>
      <c r="FLB32" s="482"/>
      <c r="FLC32" s="482"/>
      <c r="FLD32" s="482"/>
      <c r="FLE32" s="482"/>
      <c r="FLF32" s="482"/>
      <c r="FLG32" s="482"/>
      <c r="FLH32" s="482"/>
      <c r="FLI32" s="482"/>
      <c r="FLJ32" s="482"/>
      <c r="FLK32" s="482"/>
      <c r="FLL32" s="482"/>
      <c r="FLM32" s="482"/>
      <c r="FLN32" s="482"/>
      <c r="FLO32" s="482"/>
      <c r="FLP32" s="482"/>
      <c r="FLQ32" s="482"/>
      <c r="FLR32" s="482"/>
      <c r="FLS32" s="482"/>
      <c r="FLT32" s="482"/>
      <c r="FLU32" s="482"/>
      <c r="FLV32" s="482"/>
      <c r="FLW32" s="482"/>
      <c r="FLX32" s="482"/>
      <c r="FLY32" s="482"/>
      <c r="FLZ32" s="482"/>
      <c r="FMA32" s="482"/>
      <c r="FMB32" s="482"/>
      <c r="FMC32" s="482"/>
      <c r="FMD32" s="482"/>
      <c r="FME32" s="482"/>
      <c r="FMF32" s="482"/>
      <c r="FMG32" s="482"/>
      <c r="FMH32" s="482"/>
      <c r="FMI32" s="482"/>
      <c r="FMJ32" s="482"/>
      <c r="FMK32" s="482"/>
      <c r="FML32" s="482"/>
      <c r="FMM32" s="482"/>
      <c r="FMN32" s="482"/>
      <c r="FMO32" s="482"/>
      <c r="FMP32" s="482"/>
      <c r="FMQ32" s="482"/>
      <c r="FMR32" s="482"/>
      <c r="FMS32" s="482"/>
      <c r="FMT32" s="482"/>
      <c r="FMU32" s="482"/>
      <c r="FMV32" s="482"/>
      <c r="FMW32" s="482"/>
      <c r="FMX32" s="482"/>
      <c r="FMY32" s="482"/>
      <c r="FMZ32" s="482"/>
      <c r="FNA32" s="482"/>
      <c r="FNB32" s="482"/>
      <c r="FNC32" s="482"/>
      <c r="FND32" s="482"/>
      <c r="FNE32" s="482"/>
      <c r="FNF32" s="482"/>
      <c r="FNG32" s="482"/>
      <c r="FNH32" s="482"/>
      <c r="FNI32" s="482"/>
      <c r="FNJ32" s="482"/>
      <c r="FNK32" s="482"/>
      <c r="FNL32" s="482"/>
      <c r="FNM32" s="482"/>
      <c r="FNN32" s="482"/>
      <c r="FNO32" s="482"/>
      <c r="FNP32" s="482"/>
      <c r="FNQ32" s="482"/>
      <c r="FNR32" s="482"/>
      <c r="FNS32" s="482"/>
      <c r="FNT32" s="482"/>
      <c r="FNU32" s="482"/>
      <c r="FNV32" s="482"/>
      <c r="FNW32" s="482"/>
      <c r="FNX32" s="482"/>
      <c r="FNY32" s="482"/>
      <c r="FNZ32" s="482"/>
      <c r="FOA32" s="482"/>
      <c r="FOB32" s="482"/>
      <c r="FOC32" s="482"/>
      <c r="FOD32" s="482"/>
      <c r="FOE32" s="482"/>
      <c r="FOF32" s="482"/>
      <c r="FOG32" s="482"/>
      <c r="FOH32" s="482"/>
      <c r="FOI32" s="482"/>
      <c r="FOJ32" s="482"/>
      <c r="FOK32" s="482"/>
      <c r="FOL32" s="482"/>
      <c r="FOM32" s="482"/>
      <c r="FON32" s="482"/>
      <c r="FOO32" s="482"/>
      <c r="FOP32" s="482"/>
      <c r="FOQ32" s="482"/>
      <c r="FOR32" s="482"/>
      <c r="FOS32" s="482"/>
      <c r="FOT32" s="482"/>
      <c r="FOU32" s="482"/>
      <c r="FOV32" s="482"/>
      <c r="FOW32" s="482"/>
      <c r="FOX32" s="482"/>
      <c r="FOY32" s="482"/>
      <c r="FOZ32" s="482"/>
      <c r="FPA32" s="482"/>
      <c r="FPB32" s="482"/>
      <c r="FPC32" s="482"/>
      <c r="FPD32" s="482"/>
      <c r="FPE32" s="482"/>
      <c r="FPF32" s="482"/>
      <c r="FPG32" s="482"/>
      <c r="FPH32" s="482"/>
      <c r="FPI32" s="482"/>
      <c r="FPJ32" s="482"/>
      <c r="FPK32" s="482"/>
      <c r="FPL32" s="482"/>
      <c r="FPM32" s="482"/>
      <c r="FPN32" s="482"/>
      <c r="FPO32" s="482"/>
      <c r="FPP32" s="482"/>
      <c r="FPQ32" s="482"/>
      <c r="FPR32" s="482"/>
      <c r="FPS32" s="482"/>
      <c r="FPT32" s="482"/>
      <c r="FPU32" s="482"/>
      <c r="FPV32" s="482"/>
      <c r="FPW32" s="482"/>
      <c r="FPX32" s="482"/>
      <c r="FPY32" s="482"/>
      <c r="FPZ32" s="482"/>
      <c r="FQA32" s="482"/>
      <c r="FQB32" s="482"/>
      <c r="FQC32" s="482"/>
      <c r="FQD32" s="482"/>
      <c r="FQE32" s="482"/>
      <c r="FQF32" s="482"/>
      <c r="FQG32" s="482"/>
      <c r="FQH32" s="482"/>
      <c r="FQI32" s="482"/>
      <c r="FQJ32" s="482"/>
      <c r="FQK32" s="482"/>
      <c r="FQL32" s="482"/>
      <c r="FQM32" s="482"/>
      <c r="FQN32" s="482"/>
      <c r="FQO32" s="482"/>
      <c r="FQP32" s="482"/>
      <c r="FQQ32" s="482"/>
      <c r="FQR32" s="482"/>
      <c r="FQS32" s="482"/>
      <c r="FQT32" s="482"/>
      <c r="FQU32" s="482"/>
      <c r="FQV32" s="482"/>
      <c r="FQW32" s="482"/>
      <c r="FQX32" s="482"/>
      <c r="FQY32" s="482"/>
      <c r="FQZ32" s="482"/>
      <c r="FRA32" s="482"/>
      <c r="FRB32" s="482"/>
      <c r="FRC32" s="482"/>
      <c r="FRD32" s="482"/>
      <c r="FRE32" s="482"/>
      <c r="FRF32" s="482"/>
      <c r="FRG32" s="482"/>
      <c r="FRH32" s="482"/>
      <c r="FRI32" s="482"/>
      <c r="FRJ32" s="482"/>
      <c r="FRK32" s="482"/>
      <c r="FRL32" s="482"/>
      <c r="FRM32" s="482"/>
      <c r="FRN32" s="482"/>
      <c r="FRO32" s="482"/>
      <c r="FRP32" s="482"/>
      <c r="FRQ32" s="482"/>
      <c r="FRR32" s="482"/>
      <c r="FRS32" s="482"/>
      <c r="FRT32" s="482"/>
      <c r="FRU32" s="482"/>
      <c r="FRV32" s="482"/>
      <c r="FRW32" s="482"/>
      <c r="FRX32" s="482"/>
      <c r="FRY32" s="482"/>
      <c r="FRZ32" s="482"/>
      <c r="FSA32" s="482"/>
      <c r="FSB32" s="482"/>
      <c r="FSC32" s="482"/>
      <c r="FSD32" s="482"/>
      <c r="FSE32" s="482"/>
      <c r="FSF32" s="482"/>
      <c r="FSG32" s="482"/>
      <c r="FSH32" s="482"/>
      <c r="FSI32" s="482"/>
      <c r="FSJ32" s="482"/>
      <c r="FSK32" s="482"/>
      <c r="FSL32" s="482"/>
      <c r="FSM32" s="482"/>
      <c r="FSN32" s="482"/>
      <c r="FSO32" s="482"/>
      <c r="FSP32" s="482"/>
      <c r="FSQ32" s="482"/>
      <c r="FSR32" s="482"/>
      <c r="FSS32" s="482"/>
      <c r="FST32" s="482"/>
      <c r="FSU32" s="482"/>
      <c r="FSV32" s="482"/>
      <c r="FSW32" s="482"/>
      <c r="FSX32" s="482"/>
      <c r="FSY32" s="482"/>
      <c r="FSZ32" s="482"/>
      <c r="FTA32" s="482"/>
      <c r="FTB32" s="482"/>
      <c r="FTC32" s="482"/>
      <c r="FTD32" s="482"/>
      <c r="FTE32" s="482"/>
      <c r="FTF32" s="482"/>
      <c r="FTG32" s="482"/>
      <c r="FTH32" s="482"/>
      <c r="FTI32" s="482"/>
      <c r="FTJ32" s="482"/>
      <c r="FTK32" s="482"/>
      <c r="FTL32" s="482"/>
      <c r="FTM32" s="482"/>
      <c r="FTN32" s="482"/>
      <c r="FTO32" s="482"/>
      <c r="FTP32" s="482"/>
      <c r="FTQ32" s="482"/>
      <c r="FTR32" s="482"/>
      <c r="FTS32" s="482"/>
      <c r="FTT32" s="482"/>
      <c r="FTU32" s="482"/>
      <c r="FTV32" s="482"/>
      <c r="FTW32" s="482"/>
      <c r="FTX32" s="482"/>
      <c r="FTY32" s="482"/>
      <c r="FTZ32" s="482"/>
      <c r="FUA32" s="482"/>
      <c r="FUB32" s="482"/>
      <c r="FUC32" s="482"/>
      <c r="FUD32" s="482"/>
      <c r="FUE32" s="482"/>
      <c r="FUF32" s="482"/>
      <c r="FUG32" s="482"/>
      <c r="FUH32" s="482"/>
      <c r="FUI32" s="482"/>
      <c r="FUJ32" s="482"/>
      <c r="FUK32" s="482"/>
      <c r="FUL32" s="482"/>
      <c r="FUM32" s="482"/>
      <c r="FUN32" s="482"/>
      <c r="FUO32" s="482"/>
      <c r="FUP32" s="482"/>
      <c r="FUQ32" s="482"/>
      <c r="FUR32" s="482"/>
      <c r="FUS32" s="482"/>
      <c r="FUT32" s="482"/>
      <c r="FUU32" s="482"/>
      <c r="FUV32" s="482"/>
      <c r="FUW32" s="482"/>
      <c r="FUX32" s="482"/>
      <c r="FUY32" s="482"/>
      <c r="FUZ32" s="482"/>
      <c r="FVA32" s="482"/>
      <c r="FVB32" s="482"/>
      <c r="FVC32" s="482"/>
      <c r="FVD32" s="482"/>
      <c r="FVE32" s="482"/>
      <c r="FVF32" s="482"/>
      <c r="FVG32" s="482"/>
      <c r="FVH32" s="482"/>
      <c r="FVI32" s="482"/>
      <c r="FVJ32" s="482"/>
      <c r="FVK32" s="482"/>
      <c r="FVL32" s="482"/>
      <c r="FVM32" s="482"/>
      <c r="FVN32" s="482"/>
      <c r="FVO32" s="482"/>
      <c r="FVP32" s="482"/>
      <c r="FVQ32" s="482"/>
      <c r="FVR32" s="482"/>
      <c r="FVS32" s="482"/>
      <c r="FVT32" s="482"/>
      <c r="FVU32" s="482"/>
      <c r="FVV32" s="482"/>
      <c r="FVW32" s="482"/>
      <c r="FVX32" s="482"/>
      <c r="FVY32" s="482"/>
      <c r="FVZ32" s="482"/>
      <c r="FWA32" s="482"/>
      <c r="FWB32" s="482"/>
      <c r="FWC32" s="482"/>
      <c r="FWD32" s="482"/>
      <c r="FWE32" s="482"/>
      <c r="FWF32" s="482"/>
      <c r="FWG32" s="482"/>
      <c r="FWH32" s="482"/>
      <c r="FWI32" s="482"/>
      <c r="FWJ32" s="482"/>
      <c r="FWK32" s="482"/>
      <c r="FWL32" s="482"/>
      <c r="FWM32" s="482"/>
      <c r="FWN32" s="482"/>
      <c r="FWO32" s="482"/>
      <c r="FWP32" s="482"/>
      <c r="FWQ32" s="482"/>
      <c r="FWR32" s="482"/>
      <c r="FWS32" s="482"/>
      <c r="FWT32" s="482"/>
      <c r="FWU32" s="482"/>
      <c r="FWV32" s="482"/>
      <c r="FWW32" s="482"/>
      <c r="FWX32" s="482"/>
      <c r="FWY32" s="482"/>
      <c r="FWZ32" s="482"/>
      <c r="FXA32" s="482"/>
      <c r="FXB32" s="482"/>
      <c r="FXC32" s="482"/>
      <c r="FXD32" s="482"/>
      <c r="FXE32" s="482"/>
      <c r="FXF32" s="482"/>
      <c r="FXG32" s="482"/>
      <c r="FXH32" s="482"/>
      <c r="FXI32" s="482"/>
      <c r="FXJ32" s="482"/>
      <c r="FXK32" s="482"/>
      <c r="FXL32" s="482"/>
      <c r="FXM32" s="482"/>
      <c r="FXN32" s="482"/>
      <c r="FXO32" s="482"/>
      <c r="FXP32" s="482"/>
      <c r="FXQ32" s="482"/>
      <c r="FXR32" s="482"/>
      <c r="FXS32" s="482"/>
      <c r="FXT32" s="482"/>
      <c r="FXU32" s="482"/>
      <c r="FXV32" s="482"/>
      <c r="FXW32" s="482"/>
      <c r="FXX32" s="482"/>
      <c r="FXY32" s="482"/>
      <c r="FXZ32" s="482"/>
      <c r="FYA32" s="482"/>
      <c r="FYB32" s="482"/>
      <c r="FYC32" s="482"/>
      <c r="FYD32" s="482"/>
      <c r="FYE32" s="482"/>
      <c r="FYF32" s="482"/>
      <c r="FYG32" s="482"/>
      <c r="FYH32" s="482"/>
      <c r="FYI32" s="482"/>
      <c r="FYJ32" s="482"/>
      <c r="FYK32" s="482"/>
      <c r="FYL32" s="482"/>
      <c r="FYM32" s="482"/>
      <c r="FYN32" s="482"/>
      <c r="FYO32" s="482"/>
      <c r="FYP32" s="482"/>
      <c r="FYQ32" s="482"/>
      <c r="FYR32" s="482"/>
      <c r="FYS32" s="482"/>
      <c r="FYT32" s="482"/>
      <c r="FYU32" s="482"/>
      <c r="FYV32" s="482"/>
      <c r="FYW32" s="482"/>
      <c r="FYX32" s="482"/>
      <c r="FYY32" s="482"/>
      <c r="FYZ32" s="482"/>
      <c r="FZA32" s="482"/>
      <c r="FZB32" s="482"/>
      <c r="FZC32" s="482"/>
      <c r="FZD32" s="482"/>
      <c r="FZE32" s="482"/>
      <c r="FZF32" s="482"/>
      <c r="FZG32" s="482"/>
      <c r="FZH32" s="482"/>
      <c r="FZI32" s="482"/>
      <c r="FZJ32" s="482"/>
      <c r="FZK32" s="482"/>
      <c r="FZL32" s="482"/>
      <c r="FZM32" s="482"/>
      <c r="FZN32" s="482"/>
      <c r="FZO32" s="482"/>
      <c r="FZP32" s="482"/>
      <c r="FZQ32" s="482"/>
      <c r="FZR32" s="482"/>
      <c r="FZS32" s="482"/>
      <c r="FZT32" s="482"/>
      <c r="FZU32" s="482"/>
      <c r="FZV32" s="482"/>
      <c r="FZW32" s="482"/>
      <c r="FZX32" s="482"/>
      <c r="FZY32" s="482"/>
      <c r="FZZ32" s="482"/>
      <c r="GAA32" s="482"/>
      <c r="GAB32" s="482"/>
      <c r="GAC32" s="482"/>
      <c r="GAD32" s="482"/>
      <c r="GAE32" s="482"/>
      <c r="GAF32" s="482"/>
      <c r="GAG32" s="482"/>
      <c r="GAH32" s="482"/>
      <c r="GAI32" s="482"/>
      <c r="GAJ32" s="482"/>
      <c r="GAK32" s="482"/>
      <c r="GAL32" s="482"/>
      <c r="GAM32" s="482"/>
      <c r="GAN32" s="482"/>
      <c r="GAO32" s="482"/>
      <c r="GAP32" s="482"/>
      <c r="GAQ32" s="482"/>
      <c r="GAR32" s="482"/>
      <c r="GAS32" s="482"/>
      <c r="GAT32" s="482"/>
      <c r="GAU32" s="482"/>
      <c r="GAV32" s="482"/>
      <c r="GAW32" s="482"/>
      <c r="GAX32" s="482"/>
      <c r="GAY32" s="482"/>
      <c r="GAZ32" s="482"/>
      <c r="GBA32" s="482"/>
      <c r="GBB32" s="482"/>
      <c r="GBC32" s="482"/>
      <c r="GBD32" s="482"/>
      <c r="GBE32" s="482"/>
      <c r="GBF32" s="482"/>
      <c r="GBG32" s="482"/>
      <c r="GBH32" s="482"/>
      <c r="GBI32" s="482"/>
      <c r="GBJ32" s="482"/>
      <c r="GBK32" s="482"/>
      <c r="GBL32" s="482"/>
      <c r="GBM32" s="482"/>
      <c r="GBN32" s="482"/>
      <c r="GBO32" s="482"/>
      <c r="GBP32" s="482"/>
      <c r="GBQ32" s="482"/>
      <c r="GBR32" s="482"/>
      <c r="GBS32" s="482"/>
      <c r="GBT32" s="482"/>
      <c r="GBU32" s="482"/>
      <c r="GBV32" s="482"/>
      <c r="GBW32" s="482"/>
      <c r="GBX32" s="482"/>
      <c r="GBY32" s="482"/>
      <c r="GBZ32" s="482"/>
      <c r="GCA32" s="482"/>
      <c r="GCB32" s="482"/>
      <c r="GCC32" s="482"/>
      <c r="GCD32" s="482"/>
      <c r="GCE32" s="482"/>
      <c r="GCF32" s="482"/>
      <c r="GCG32" s="482"/>
      <c r="GCH32" s="482"/>
      <c r="GCI32" s="482"/>
      <c r="GCJ32" s="482"/>
      <c r="GCK32" s="482"/>
      <c r="GCL32" s="482"/>
      <c r="GCM32" s="482"/>
      <c r="GCN32" s="482"/>
      <c r="GCO32" s="482"/>
      <c r="GCP32" s="482"/>
      <c r="GCQ32" s="482"/>
      <c r="GCR32" s="482"/>
      <c r="GCS32" s="482"/>
      <c r="GCT32" s="482"/>
      <c r="GCU32" s="482"/>
      <c r="GCV32" s="482"/>
      <c r="GCW32" s="482"/>
      <c r="GCX32" s="482"/>
      <c r="GCY32" s="482"/>
      <c r="GCZ32" s="482"/>
      <c r="GDA32" s="482"/>
      <c r="GDB32" s="482"/>
      <c r="GDC32" s="482"/>
      <c r="GDD32" s="482"/>
      <c r="GDE32" s="482"/>
      <c r="GDF32" s="482"/>
      <c r="GDG32" s="482"/>
      <c r="GDH32" s="482"/>
      <c r="GDI32" s="482"/>
      <c r="GDJ32" s="482"/>
      <c r="GDK32" s="482"/>
      <c r="GDL32" s="482"/>
      <c r="GDM32" s="482"/>
      <c r="GDN32" s="482"/>
      <c r="GDO32" s="482"/>
      <c r="GDP32" s="482"/>
      <c r="GDQ32" s="482"/>
      <c r="GDR32" s="482"/>
      <c r="GDS32" s="482"/>
      <c r="GDT32" s="482"/>
      <c r="GDU32" s="482"/>
      <c r="GDV32" s="482"/>
      <c r="GDW32" s="482"/>
      <c r="GDX32" s="482"/>
      <c r="GDY32" s="482"/>
      <c r="GDZ32" s="482"/>
      <c r="GEA32" s="482"/>
      <c r="GEB32" s="482"/>
      <c r="GEC32" s="482"/>
      <c r="GED32" s="482"/>
      <c r="GEE32" s="482"/>
      <c r="GEF32" s="482"/>
      <c r="GEG32" s="482"/>
      <c r="GEH32" s="482"/>
      <c r="GEI32" s="482"/>
      <c r="GEJ32" s="482"/>
      <c r="GEK32" s="482"/>
      <c r="GEL32" s="482"/>
      <c r="GEM32" s="482"/>
      <c r="GEN32" s="482"/>
      <c r="GEO32" s="482"/>
      <c r="GEP32" s="482"/>
      <c r="GEQ32" s="482"/>
      <c r="GER32" s="482"/>
      <c r="GES32" s="482"/>
      <c r="GET32" s="482"/>
      <c r="GEU32" s="482"/>
      <c r="GEV32" s="482"/>
      <c r="GEW32" s="482"/>
      <c r="GEX32" s="482"/>
      <c r="GEY32" s="482"/>
      <c r="GEZ32" s="482"/>
      <c r="GFA32" s="482"/>
      <c r="GFB32" s="482"/>
      <c r="GFC32" s="482"/>
      <c r="GFD32" s="482"/>
      <c r="GFE32" s="482"/>
      <c r="GFF32" s="482"/>
      <c r="GFG32" s="482"/>
      <c r="GFH32" s="482"/>
      <c r="GFI32" s="482"/>
      <c r="GFJ32" s="482"/>
      <c r="GFK32" s="482"/>
      <c r="GFL32" s="482"/>
      <c r="GFM32" s="482"/>
      <c r="GFN32" s="482"/>
      <c r="GFO32" s="482"/>
      <c r="GFP32" s="482"/>
      <c r="GFQ32" s="482"/>
      <c r="GFR32" s="482"/>
      <c r="GFS32" s="482"/>
      <c r="GFT32" s="482"/>
      <c r="GFU32" s="482"/>
      <c r="GFV32" s="482"/>
      <c r="GFW32" s="482"/>
      <c r="GFX32" s="482"/>
      <c r="GFY32" s="482"/>
      <c r="GFZ32" s="482"/>
      <c r="GGA32" s="482"/>
      <c r="GGB32" s="482"/>
      <c r="GGC32" s="482"/>
      <c r="GGD32" s="482"/>
      <c r="GGE32" s="482"/>
      <c r="GGF32" s="482"/>
      <c r="GGG32" s="482"/>
      <c r="GGH32" s="482"/>
      <c r="GGI32" s="482"/>
      <c r="GGJ32" s="482"/>
      <c r="GGK32" s="482"/>
      <c r="GGL32" s="482"/>
      <c r="GGM32" s="482"/>
      <c r="GGN32" s="482"/>
      <c r="GGO32" s="482"/>
      <c r="GGP32" s="482"/>
      <c r="GGQ32" s="482"/>
      <c r="GGR32" s="482"/>
      <c r="GGS32" s="482"/>
      <c r="GGT32" s="482"/>
      <c r="GGU32" s="482"/>
      <c r="GGV32" s="482"/>
      <c r="GGW32" s="482"/>
      <c r="GGX32" s="482"/>
      <c r="GGY32" s="482"/>
      <c r="GGZ32" s="482"/>
      <c r="GHA32" s="482"/>
      <c r="GHB32" s="482"/>
      <c r="GHC32" s="482"/>
      <c r="GHD32" s="482"/>
      <c r="GHE32" s="482"/>
      <c r="GHF32" s="482"/>
      <c r="GHG32" s="482"/>
      <c r="GHH32" s="482"/>
      <c r="GHI32" s="482"/>
      <c r="GHJ32" s="482"/>
      <c r="GHK32" s="482"/>
      <c r="GHL32" s="482"/>
      <c r="GHM32" s="482"/>
      <c r="GHN32" s="482"/>
      <c r="GHO32" s="482"/>
      <c r="GHP32" s="482"/>
      <c r="GHQ32" s="482"/>
      <c r="GHR32" s="482"/>
      <c r="GHS32" s="482"/>
      <c r="GHT32" s="482"/>
      <c r="GHU32" s="482"/>
      <c r="GHV32" s="482"/>
      <c r="GHW32" s="482"/>
      <c r="GHX32" s="482"/>
      <c r="GHY32" s="482"/>
      <c r="GHZ32" s="482"/>
      <c r="GIA32" s="482"/>
      <c r="GIB32" s="482"/>
      <c r="GIC32" s="482"/>
      <c r="GID32" s="482"/>
      <c r="GIE32" s="482"/>
      <c r="GIF32" s="482"/>
      <c r="GIG32" s="482"/>
      <c r="GIH32" s="482"/>
      <c r="GII32" s="482"/>
      <c r="GIJ32" s="482"/>
      <c r="GIK32" s="482"/>
      <c r="GIL32" s="482"/>
      <c r="GIM32" s="482"/>
      <c r="GIN32" s="482"/>
      <c r="GIO32" s="482"/>
      <c r="GIP32" s="482"/>
      <c r="GIQ32" s="482"/>
      <c r="GIR32" s="482"/>
      <c r="GIS32" s="482"/>
      <c r="GIT32" s="482"/>
      <c r="GIU32" s="482"/>
      <c r="GIV32" s="482"/>
      <c r="GIW32" s="482"/>
      <c r="GIX32" s="482"/>
      <c r="GIY32" s="482"/>
      <c r="GIZ32" s="482"/>
      <c r="GJA32" s="482"/>
      <c r="GJB32" s="482"/>
      <c r="GJC32" s="482"/>
      <c r="GJD32" s="482"/>
      <c r="GJE32" s="482"/>
      <c r="GJF32" s="482"/>
      <c r="GJG32" s="482"/>
      <c r="GJH32" s="482"/>
      <c r="GJI32" s="482"/>
      <c r="GJJ32" s="482"/>
      <c r="GJK32" s="482"/>
      <c r="GJL32" s="482"/>
      <c r="GJM32" s="482"/>
      <c r="GJN32" s="482"/>
      <c r="GJO32" s="482"/>
      <c r="GJP32" s="482"/>
      <c r="GJQ32" s="482"/>
      <c r="GJR32" s="482"/>
      <c r="GJS32" s="482"/>
      <c r="GJT32" s="482"/>
      <c r="GJU32" s="482"/>
      <c r="GJV32" s="482"/>
      <c r="GJW32" s="482"/>
      <c r="GJX32" s="482"/>
      <c r="GJY32" s="482"/>
      <c r="GJZ32" s="482"/>
      <c r="GKA32" s="482"/>
      <c r="GKB32" s="482"/>
      <c r="GKC32" s="482"/>
      <c r="GKD32" s="482"/>
      <c r="GKE32" s="482"/>
      <c r="GKF32" s="482"/>
      <c r="GKG32" s="482"/>
      <c r="GKH32" s="482"/>
      <c r="GKI32" s="482"/>
      <c r="GKJ32" s="482"/>
      <c r="GKK32" s="482"/>
      <c r="GKL32" s="482"/>
      <c r="GKM32" s="482"/>
      <c r="GKN32" s="482"/>
      <c r="GKO32" s="482"/>
      <c r="GKP32" s="482"/>
      <c r="GKQ32" s="482"/>
      <c r="GKR32" s="482"/>
      <c r="GKS32" s="482"/>
      <c r="GKT32" s="482"/>
      <c r="GKU32" s="482"/>
      <c r="GKV32" s="482"/>
      <c r="GKW32" s="482"/>
      <c r="GKX32" s="482"/>
      <c r="GKY32" s="482"/>
      <c r="GKZ32" s="482"/>
      <c r="GLA32" s="482"/>
      <c r="GLB32" s="482"/>
      <c r="GLC32" s="482"/>
      <c r="GLD32" s="482"/>
      <c r="GLE32" s="482"/>
      <c r="GLF32" s="482"/>
      <c r="GLG32" s="482"/>
      <c r="GLH32" s="482"/>
      <c r="GLI32" s="482"/>
      <c r="GLJ32" s="482"/>
      <c r="GLK32" s="482"/>
      <c r="GLL32" s="482"/>
      <c r="GLM32" s="482"/>
      <c r="GLN32" s="482"/>
      <c r="GLO32" s="482"/>
      <c r="GLP32" s="482"/>
      <c r="GLQ32" s="482"/>
      <c r="GLR32" s="482"/>
      <c r="GLS32" s="482"/>
      <c r="GLT32" s="482"/>
      <c r="GLU32" s="482"/>
      <c r="GLV32" s="482"/>
      <c r="GLW32" s="482"/>
      <c r="GLX32" s="482"/>
      <c r="GLY32" s="482"/>
      <c r="GLZ32" s="482"/>
      <c r="GMA32" s="482"/>
      <c r="GMB32" s="482"/>
      <c r="GMC32" s="482"/>
      <c r="GMD32" s="482"/>
      <c r="GME32" s="482"/>
      <c r="GMF32" s="482"/>
      <c r="GMG32" s="482"/>
      <c r="GMH32" s="482"/>
      <c r="GMI32" s="482"/>
      <c r="GMJ32" s="482"/>
      <c r="GMK32" s="482"/>
      <c r="GML32" s="482"/>
      <c r="GMM32" s="482"/>
      <c r="GMN32" s="482"/>
      <c r="GMO32" s="482"/>
      <c r="GMP32" s="482"/>
      <c r="GMQ32" s="482"/>
      <c r="GMR32" s="482"/>
      <c r="GMS32" s="482"/>
      <c r="GMT32" s="482"/>
      <c r="GMU32" s="482"/>
      <c r="GMV32" s="482"/>
      <c r="GMW32" s="482"/>
      <c r="GMX32" s="482"/>
      <c r="GMY32" s="482"/>
      <c r="GMZ32" s="482"/>
      <c r="GNA32" s="482"/>
      <c r="GNB32" s="482"/>
      <c r="GNC32" s="482"/>
      <c r="GND32" s="482"/>
      <c r="GNE32" s="482"/>
      <c r="GNF32" s="482"/>
      <c r="GNG32" s="482"/>
      <c r="GNH32" s="482"/>
      <c r="GNI32" s="482"/>
      <c r="GNJ32" s="482"/>
      <c r="GNK32" s="482"/>
      <c r="GNL32" s="482"/>
      <c r="GNM32" s="482"/>
      <c r="GNN32" s="482"/>
      <c r="GNO32" s="482"/>
      <c r="GNP32" s="482"/>
      <c r="GNQ32" s="482"/>
      <c r="GNR32" s="482"/>
      <c r="GNS32" s="482"/>
      <c r="GNT32" s="482"/>
      <c r="GNU32" s="482"/>
      <c r="GNV32" s="482"/>
      <c r="GNW32" s="482"/>
      <c r="GNX32" s="482"/>
      <c r="GNY32" s="482"/>
      <c r="GNZ32" s="482"/>
      <c r="GOA32" s="482"/>
      <c r="GOB32" s="482"/>
      <c r="GOC32" s="482"/>
      <c r="GOD32" s="482"/>
      <c r="GOE32" s="482"/>
      <c r="GOF32" s="482"/>
      <c r="GOG32" s="482"/>
      <c r="GOH32" s="482"/>
      <c r="GOI32" s="482"/>
      <c r="GOJ32" s="482"/>
      <c r="GOK32" s="482"/>
      <c r="GOL32" s="482"/>
      <c r="GOM32" s="482"/>
      <c r="GON32" s="482"/>
      <c r="GOO32" s="482"/>
      <c r="GOP32" s="482"/>
      <c r="GOQ32" s="482"/>
      <c r="GOR32" s="482"/>
      <c r="GOS32" s="482"/>
      <c r="GOT32" s="482"/>
      <c r="GOU32" s="482"/>
      <c r="GOV32" s="482"/>
      <c r="GOW32" s="482"/>
      <c r="GOX32" s="482"/>
      <c r="GOY32" s="482"/>
      <c r="GOZ32" s="482"/>
      <c r="GPA32" s="482"/>
      <c r="GPB32" s="482"/>
      <c r="GPC32" s="482"/>
      <c r="GPD32" s="482"/>
      <c r="GPE32" s="482"/>
      <c r="GPF32" s="482"/>
      <c r="GPG32" s="482"/>
      <c r="GPH32" s="482"/>
      <c r="GPI32" s="482"/>
      <c r="GPJ32" s="482"/>
      <c r="GPK32" s="482"/>
      <c r="GPL32" s="482"/>
      <c r="GPM32" s="482"/>
      <c r="GPN32" s="482"/>
      <c r="GPO32" s="482"/>
      <c r="GPP32" s="482"/>
      <c r="GPQ32" s="482"/>
      <c r="GPR32" s="482"/>
      <c r="GPS32" s="482"/>
      <c r="GPT32" s="482"/>
      <c r="GPU32" s="482"/>
      <c r="GPV32" s="482"/>
      <c r="GPW32" s="482"/>
      <c r="GPX32" s="482"/>
      <c r="GPY32" s="482"/>
      <c r="GPZ32" s="482"/>
      <c r="GQA32" s="482"/>
      <c r="GQB32" s="482"/>
      <c r="GQC32" s="482"/>
      <c r="GQD32" s="482"/>
      <c r="GQE32" s="482"/>
      <c r="GQF32" s="482"/>
      <c r="GQG32" s="482"/>
      <c r="GQH32" s="482"/>
      <c r="GQI32" s="482"/>
      <c r="GQJ32" s="482"/>
      <c r="GQK32" s="482"/>
      <c r="GQL32" s="482"/>
      <c r="GQM32" s="482"/>
      <c r="GQN32" s="482"/>
      <c r="GQO32" s="482"/>
      <c r="GQP32" s="482"/>
      <c r="GQQ32" s="482"/>
      <c r="GQR32" s="482"/>
      <c r="GQS32" s="482"/>
      <c r="GQT32" s="482"/>
      <c r="GQU32" s="482"/>
      <c r="GQV32" s="482"/>
      <c r="GQW32" s="482"/>
      <c r="GQX32" s="482"/>
      <c r="GQY32" s="482"/>
      <c r="GQZ32" s="482"/>
      <c r="GRA32" s="482"/>
      <c r="GRB32" s="482"/>
      <c r="GRC32" s="482"/>
      <c r="GRD32" s="482"/>
      <c r="GRE32" s="482"/>
      <c r="GRF32" s="482"/>
      <c r="GRG32" s="482"/>
      <c r="GRH32" s="482"/>
      <c r="GRI32" s="482"/>
      <c r="GRJ32" s="482"/>
      <c r="GRK32" s="482"/>
      <c r="GRL32" s="482"/>
      <c r="GRM32" s="482"/>
      <c r="GRN32" s="482"/>
      <c r="GRO32" s="482"/>
      <c r="GRP32" s="482"/>
      <c r="GRQ32" s="482"/>
      <c r="GRR32" s="482"/>
      <c r="GRS32" s="482"/>
      <c r="GRT32" s="482"/>
      <c r="GRU32" s="482"/>
      <c r="GRV32" s="482"/>
      <c r="GRW32" s="482"/>
      <c r="GRX32" s="482"/>
      <c r="GRY32" s="482"/>
      <c r="GRZ32" s="482"/>
      <c r="GSA32" s="482"/>
      <c r="GSB32" s="482"/>
      <c r="GSC32" s="482"/>
      <c r="GSD32" s="482"/>
      <c r="GSE32" s="482"/>
      <c r="GSF32" s="482"/>
      <c r="GSG32" s="482"/>
      <c r="GSH32" s="482"/>
      <c r="GSI32" s="482"/>
      <c r="GSJ32" s="482"/>
      <c r="GSK32" s="482"/>
      <c r="GSL32" s="482"/>
      <c r="GSM32" s="482"/>
      <c r="GSN32" s="482"/>
      <c r="GSO32" s="482"/>
      <c r="GSP32" s="482"/>
      <c r="GSQ32" s="482"/>
      <c r="GSR32" s="482"/>
      <c r="GSS32" s="482"/>
      <c r="GST32" s="482"/>
      <c r="GSU32" s="482"/>
      <c r="GSV32" s="482"/>
      <c r="GSW32" s="482"/>
      <c r="GSX32" s="482"/>
      <c r="GSY32" s="482"/>
      <c r="GSZ32" s="482"/>
      <c r="GTA32" s="482"/>
      <c r="GTB32" s="482"/>
      <c r="GTC32" s="482"/>
      <c r="GTD32" s="482"/>
      <c r="GTE32" s="482"/>
      <c r="GTF32" s="482"/>
      <c r="GTG32" s="482"/>
      <c r="GTH32" s="482"/>
      <c r="GTI32" s="482"/>
      <c r="GTJ32" s="482"/>
      <c r="GTK32" s="482"/>
      <c r="GTL32" s="482"/>
      <c r="GTM32" s="482"/>
      <c r="GTN32" s="482"/>
      <c r="GTO32" s="482"/>
      <c r="GTP32" s="482"/>
      <c r="GTQ32" s="482"/>
      <c r="GTR32" s="482"/>
      <c r="GTS32" s="482"/>
      <c r="GTT32" s="482"/>
      <c r="GTU32" s="482"/>
      <c r="GTV32" s="482"/>
      <c r="GTW32" s="482"/>
      <c r="GTX32" s="482"/>
      <c r="GTY32" s="482"/>
      <c r="GTZ32" s="482"/>
      <c r="GUA32" s="482"/>
      <c r="GUB32" s="482"/>
      <c r="GUC32" s="482"/>
      <c r="GUD32" s="482"/>
      <c r="GUE32" s="482"/>
      <c r="GUF32" s="482"/>
      <c r="GUG32" s="482"/>
      <c r="GUH32" s="482"/>
      <c r="GUI32" s="482"/>
      <c r="GUJ32" s="482"/>
      <c r="GUK32" s="482"/>
      <c r="GUL32" s="482"/>
      <c r="GUM32" s="482"/>
      <c r="GUN32" s="482"/>
      <c r="GUO32" s="482"/>
      <c r="GUP32" s="482"/>
      <c r="GUQ32" s="482"/>
      <c r="GUR32" s="482"/>
      <c r="GUS32" s="482"/>
      <c r="GUT32" s="482"/>
      <c r="GUU32" s="482"/>
      <c r="GUV32" s="482"/>
      <c r="GUW32" s="482"/>
      <c r="GUX32" s="482"/>
      <c r="GUY32" s="482"/>
      <c r="GUZ32" s="482"/>
      <c r="GVA32" s="482"/>
      <c r="GVB32" s="482"/>
      <c r="GVC32" s="482"/>
      <c r="GVD32" s="482"/>
      <c r="GVE32" s="482"/>
      <c r="GVF32" s="482"/>
      <c r="GVG32" s="482"/>
      <c r="GVH32" s="482"/>
      <c r="GVI32" s="482"/>
      <c r="GVJ32" s="482"/>
      <c r="GVK32" s="482"/>
      <c r="GVL32" s="482"/>
      <c r="GVM32" s="482"/>
      <c r="GVN32" s="482"/>
      <c r="GVO32" s="482"/>
      <c r="GVP32" s="482"/>
      <c r="GVQ32" s="482"/>
      <c r="GVR32" s="482"/>
      <c r="GVS32" s="482"/>
      <c r="GVT32" s="482"/>
      <c r="GVU32" s="482"/>
      <c r="GVV32" s="482"/>
      <c r="GVW32" s="482"/>
      <c r="GVX32" s="482"/>
      <c r="GVY32" s="482"/>
      <c r="GVZ32" s="482"/>
      <c r="GWA32" s="482"/>
      <c r="GWB32" s="482"/>
      <c r="GWC32" s="482"/>
      <c r="GWD32" s="482"/>
      <c r="GWE32" s="482"/>
      <c r="GWF32" s="482"/>
      <c r="GWG32" s="482"/>
      <c r="GWH32" s="482"/>
      <c r="GWI32" s="482"/>
      <c r="GWJ32" s="482"/>
      <c r="GWK32" s="482"/>
      <c r="GWL32" s="482"/>
      <c r="GWM32" s="482"/>
      <c r="GWN32" s="482"/>
      <c r="GWO32" s="482"/>
      <c r="GWP32" s="482"/>
      <c r="GWQ32" s="482"/>
      <c r="GWR32" s="482"/>
      <c r="GWS32" s="482"/>
      <c r="GWT32" s="482"/>
      <c r="GWU32" s="482"/>
      <c r="GWV32" s="482"/>
      <c r="GWW32" s="482"/>
      <c r="GWX32" s="482"/>
      <c r="GWY32" s="482"/>
      <c r="GWZ32" s="482"/>
      <c r="GXA32" s="482"/>
      <c r="GXB32" s="482"/>
      <c r="GXC32" s="482"/>
      <c r="GXD32" s="482"/>
      <c r="GXE32" s="482"/>
      <c r="GXF32" s="482"/>
      <c r="GXG32" s="482"/>
      <c r="GXH32" s="482"/>
      <c r="GXI32" s="482"/>
      <c r="GXJ32" s="482"/>
      <c r="GXK32" s="482"/>
      <c r="GXL32" s="482"/>
      <c r="GXM32" s="482"/>
      <c r="GXN32" s="482"/>
      <c r="GXO32" s="482"/>
      <c r="GXP32" s="482"/>
      <c r="GXQ32" s="482"/>
      <c r="GXR32" s="482"/>
      <c r="GXS32" s="482"/>
      <c r="GXT32" s="482"/>
      <c r="GXU32" s="482"/>
      <c r="GXV32" s="482"/>
      <c r="GXW32" s="482"/>
      <c r="GXX32" s="482"/>
      <c r="GXY32" s="482"/>
      <c r="GXZ32" s="482"/>
      <c r="GYA32" s="482"/>
      <c r="GYB32" s="482"/>
      <c r="GYC32" s="482"/>
      <c r="GYD32" s="482"/>
      <c r="GYE32" s="482"/>
      <c r="GYF32" s="482"/>
      <c r="GYG32" s="482"/>
      <c r="GYH32" s="482"/>
      <c r="GYI32" s="482"/>
      <c r="GYJ32" s="482"/>
      <c r="GYK32" s="482"/>
      <c r="GYL32" s="482"/>
      <c r="GYM32" s="482"/>
      <c r="GYN32" s="482"/>
      <c r="GYO32" s="482"/>
      <c r="GYP32" s="482"/>
      <c r="GYQ32" s="482"/>
      <c r="GYR32" s="482"/>
      <c r="GYS32" s="482"/>
      <c r="GYT32" s="482"/>
      <c r="GYU32" s="482"/>
      <c r="GYV32" s="482"/>
      <c r="GYW32" s="482"/>
      <c r="GYX32" s="482"/>
      <c r="GYY32" s="482"/>
      <c r="GYZ32" s="482"/>
      <c r="GZA32" s="482"/>
      <c r="GZB32" s="482"/>
      <c r="GZC32" s="482"/>
      <c r="GZD32" s="482"/>
      <c r="GZE32" s="482"/>
      <c r="GZF32" s="482"/>
      <c r="GZG32" s="482"/>
      <c r="GZH32" s="482"/>
      <c r="GZI32" s="482"/>
      <c r="GZJ32" s="482"/>
      <c r="GZK32" s="482"/>
      <c r="GZL32" s="482"/>
      <c r="GZM32" s="482"/>
      <c r="GZN32" s="482"/>
      <c r="GZO32" s="482"/>
      <c r="GZP32" s="482"/>
      <c r="GZQ32" s="482"/>
      <c r="GZR32" s="482"/>
      <c r="GZS32" s="482"/>
      <c r="GZT32" s="482"/>
      <c r="GZU32" s="482"/>
      <c r="GZV32" s="482"/>
      <c r="GZW32" s="482"/>
      <c r="GZX32" s="482"/>
      <c r="GZY32" s="482"/>
      <c r="GZZ32" s="482"/>
      <c r="HAA32" s="482"/>
      <c r="HAB32" s="482"/>
      <c r="HAC32" s="482"/>
      <c r="HAD32" s="482"/>
      <c r="HAE32" s="482"/>
      <c r="HAF32" s="482"/>
      <c r="HAG32" s="482"/>
      <c r="HAH32" s="482"/>
      <c r="HAI32" s="482"/>
      <c r="HAJ32" s="482"/>
      <c r="HAK32" s="482"/>
      <c r="HAL32" s="482"/>
      <c r="HAM32" s="482"/>
      <c r="HAN32" s="482"/>
      <c r="HAO32" s="482"/>
      <c r="HAP32" s="482"/>
      <c r="HAQ32" s="482"/>
      <c r="HAR32" s="482"/>
      <c r="HAS32" s="482"/>
      <c r="HAT32" s="482"/>
      <c r="HAU32" s="482"/>
      <c r="HAV32" s="482"/>
      <c r="HAW32" s="482"/>
      <c r="HAX32" s="482"/>
      <c r="HAY32" s="482"/>
      <c r="HAZ32" s="482"/>
      <c r="HBA32" s="482"/>
      <c r="HBB32" s="482"/>
      <c r="HBC32" s="482"/>
      <c r="HBD32" s="482"/>
      <c r="HBE32" s="482"/>
      <c r="HBF32" s="482"/>
      <c r="HBG32" s="482"/>
      <c r="HBH32" s="482"/>
      <c r="HBI32" s="482"/>
      <c r="HBJ32" s="482"/>
      <c r="HBK32" s="482"/>
      <c r="HBL32" s="482"/>
      <c r="HBM32" s="482"/>
      <c r="HBN32" s="482"/>
      <c r="HBO32" s="482"/>
      <c r="HBP32" s="482"/>
      <c r="HBQ32" s="482"/>
      <c r="HBR32" s="482"/>
      <c r="HBS32" s="482"/>
      <c r="HBT32" s="482"/>
      <c r="HBU32" s="482"/>
      <c r="HBV32" s="482"/>
      <c r="HBW32" s="482"/>
      <c r="HBX32" s="482"/>
      <c r="HBY32" s="482"/>
      <c r="HBZ32" s="482"/>
      <c r="HCA32" s="482"/>
      <c r="HCB32" s="482"/>
      <c r="HCC32" s="482"/>
      <c r="HCD32" s="482"/>
      <c r="HCE32" s="482"/>
      <c r="HCF32" s="482"/>
      <c r="HCG32" s="482"/>
      <c r="HCH32" s="482"/>
      <c r="HCI32" s="482"/>
      <c r="HCJ32" s="482"/>
      <c r="HCK32" s="482"/>
      <c r="HCL32" s="482"/>
      <c r="HCM32" s="482"/>
      <c r="HCN32" s="482"/>
      <c r="HCO32" s="482"/>
      <c r="HCP32" s="482"/>
      <c r="HCQ32" s="482"/>
      <c r="HCR32" s="482"/>
      <c r="HCS32" s="482"/>
      <c r="HCT32" s="482"/>
      <c r="HCU32" s="482"/>
      <c r="HCV32" s="482"/>
      <c r="HCW32" s="482"/>
      <c r="HCX32" s="482"/>
      <c r="HCY32" s="482"/>
      <c r="HCZ32" s="482"/>
      <c r="HDA32" s="482"/>
      <c r="HDB32" s="482"/>
      <c r="HDC32" s="482"/>
      <c r="HDD32" s="482"/>
      <c r="HDE32" s="482"/>
      <c r="HDF32" s="482"/>
      <c r="HDG32" s="482"/>
      <c r="HDH32" s="482"/>
      <c r="HDI32" s="482"/>
      <c r="HDJ32" s="482"/>
      <c r="HDK32" s="482"/>
      <c r="HDL32" s="482"/>
      <c r="HDM32" s="482"/>
      <c r="HDN32" s="482"/>
      <c r="HDO32" s="482"/>
      <c r="HDP32" s="482"/>
      <c r="HDQ32" s="482"/>
      <c r="HDR32" s="482"/>
      <c r="HDS32" s="482"/>
      <c r="HDT32" s="482"/>
      <c r="HDU32" s="482"/>
      <c r="HDV32" s="482"/>
      <c r="HDW32" s="482"/>
      <c r="HDX32" s="482"/>
      <c r="HDY32" s="482"/>
      <c r="HDZ32" s="482"/>
      <c r="HEA32" s="482"/>
      <c r="HEB32" s="482"/>
      <c r="HEC32" s="482"/>
      <c r="HED32" s="482"/>
      <c r="HEE32" s="482"/>
      <c r="HEF32" s="482"/>
      <c r="HEG32" s="482"/>
      <c r="HEH32" s="482"/>
      <c r="HEI32" s="482"/>
      <c r="HEJ32" s="482"/>
      <c r="HEK32" s="482"/>
      <c r="HEL32" s="482"/>
      <c r="HEM32" s="482"/>
      <c r="HEN32" s="482"/>
      <c r="HEO32" s="482"/>
      <c r="HEP32" s="482"/>
      <c r="HEQ32" s="482"/>
      <c r="HER32" s="482"/>
      <c r="HES32" s="482"/>
      <c r="HET32" s="482"/>
      <c r="HEU32" s="482"/>
      <c r="HEV32" s="482"/>
      <c r="HEW32" s="482"/>
      <c r="HEX32" s="482"/>
      <c r="HEY32" s="482"/>
      <c r="HEZ32" s="482"/>
      <c r="HFA32" s="482"/>
      <c r="HFB32" s="482"/>
      <c r="HFC32" s="482"/>
      <c r="HFD32" s="482"/>
      <c r="HFE32" s="482"/>
      <c r="HFF32" s="482"/>
      <c r="HFG32" s="482"/>
      <c r="HFH32" s="482"/>
      <c r="HFI32" s="482"/>
      <c r="HFJ32" s="482"/>
      <c r="HFK32" s="482"/>
      <c r="HFL32" s="482"/>
      <c r="HFM32" s="482"/>
      <c r="HFN32" s="482"/>
      <c r="HFO32" s="482"/>
      <c r="HFP32" s="482"/>
      <c r="HFQ32" s="482"/>
      <c r="HFR32" s="482"/>
      <c r="HFS32" s="482"/>
      <c r="HFT32" s="482"/>
      <c r="HFU32" s="482"/>
      <c r="HFV32" s="482"/>
      <c r="HFW32" s="482"/>
      <c r="HFX32" s="482"/>
      <c r="HFY32" s="482"/>
      <c r="HFZ32" s="482"/>
      <c r="HGA32" s="482"/>
      <c r="HGB32" s="482"/>
      <c r="HGC32" s="482"/>
      <c r="HGD32" s="482"/>
      <c r="HGE32" s="482"/>
      <c r="HGF32" s="482"/>
      <c r="HGG32" s="482"/>
      <c r="HGH32" s="482"/>
      <c r="HGI32" s="482"/>
      <c r="HGJ32" s="482"/>
      <c r="HGK32" s="482"/>
      <c r="HGL32" s="482"/>
      <c r="HGM32" s="482"/>
      <c r="HGN32" s="482"/>
      <c r="HGO32" s="482"/>
      <c r="HGP32" s="482"/>
      <c r="HGQ32" s="482"/>
      <c r="HGR32" s="482"/>
      <c r="HGS32" s="482"/>
      <c r="HGT32" s="482"/>
      <c r="HGU32" s="482"/>
      <c r="HGV32" s="482"/>
      <c r="HGW32" s="482"/>
      <c r="HGX32" s="482"/>
      <c r="HGY32" s="482"/>
      <c r="HGZ32" s="482"/>
      <c r="HHA32" s="482"/>
      <c r="HHB32" s="482"/>
      <c r="HHC32" s="482"/>
      <c r="HHD32" s="482"/>
      <c r="HHE32" s="482"/>
      <c r="HHF32" s="482"/>
      <c r="HHG32" s="482"/>
      <c r="HHH32" s="482"/>
      <c r="HHI32" s="482"/>
      <c r="HHJ32" s="482"/>
      <c r="HHK32" s="482"/>
      <c r="HHL32" s="482"/>
      <c r="HHM32" s="482"/>
      <c r="HHN32" s="482"/>
      <c r="HHO32" s="482"/>
      <c r="HHP32" s="482"/>
      <c r="HHQ32" s="482"/>
      <c r="HHR32" s="482"/>
      <c r="HHS32" s="482"/>
      <c r="HHT32" s="482"/>
      <c r="HHU32" s="482"/>
      <c r="HHV32" s="482"/>
      <c r="HHW32" s="482"/>
      <c r="HHX32" s="482"/>
      <c r="HHY32" s="482"/>
      <c r="HHZ32" s="482"/>
      <c r="HIA32" s="482"/>
      <c r="HIB32" s="482"/>
      <c r="HIC32" s="482"/>
      <c r="HID32" s="482"/>
      <c r="HIE32" s="482"/>
      <c r="HIF32" s="482"/>
      <c r="HIG32" s="482"/>
      <c r="HIH32" s="482"/>
      <c r="HII32" s="482"/>
      <c r="HIJ32" s="482"/>
      <c r="HIK32" s="482"/>
      <c r="HIL32" s="482"/>
      <c r="HIM32" s="482"/>
      <c r="HIN32" s="482"/>
      <c r="HIO32" s="482"/>
      <c r="HIP32" s="482"/>
      <c r="HIQ32" s="482"/>
      <c r="HIR32" s="482"/>
      <c r="HIS32" s="482"/>
      <c r="HIT32" s="482"/>
      <c r="HIU32" s="482"/>
      <c r="HIV32" s="482"/>
      <c r="HIW32" s="482"/>
      <c r="HIX32" s="482"/>
      <c r="HIY32" s="482"/>
      <c r="HIZ32" s="482"/>
      <c r="HJA32" s="482"/>
      <c r="HJB32" s="482"/>
      <c r="HJC32" s="482"/>
      <c r="HJD32" s="482"/>
      <c r="HJE32" s="482"/>
      <c r="HJF32" s="482"/>
      <c r="HJG32" s="482"/>
      <c r="HJH32" s="482"/>
      <c r="HJI32" s="482"/>
      <c r="HJJ32" s="482"/>
      <c r="HJK32" s="482"/>
      <c r="HJL32" s="482"/>
      <c r="HJM32" s="482"/>
      <c r="HJN32" s="482"/>
      <c r="HJO32" s="482"/>
      <c r="HJP32" s="482"/>
      <c r="HJQ32" s="482"/>
      <c r="HJR32" s="482"/>
      <c r="HJS32" s="482"/>
      <c r="HJT32" s="482"/>
      <c r="HJU32" s="482"/>
      <c r="HJV32" s="482"/>
      <c r="HJW32" s="482"/>
      <c r="HJX32" s="482"/>
      <c r="HJY32" s="482"/>
      <c r="HJZ32" s="482"/>
      <c r="HKA32" s="482"/>
      <c r="HKB32" s="482"/>
      <c r="HKC32" s="482"/>
      <c r="HKD32" s="482"/>
      <c r="HKE32" s="482"/>
      <c r="HKF32" s="482"/>
      <c r="HKG32" s="482"/>
      <c r="HKH32" s="482"/>
      <c r="HKI32" s="482"/>
      <c r="HKJ32" s="482"/>
      <c r="HKK32" s="482"/>
      <c r="HKL32" s="482"/>
      <c r="HKM32" s="482"/>
      <c r="HKN32" s="482"/>
      <c r="HKO32" s="482"/>
      <c r="HKP32" s="482"/>
      <c r="HKQ32" s="482"/>
      <c r="HKR32" s="482"/>
      <c r="HKS32" s="482"/>
      <c r="HKT32" s="482"/>
      <c r="HKU32" s="482"/>
      <c r="HKV32" s="482"/>
      <c r="HKW32" s="482"/>
      <c r="HKX32" s="482"/>
      <c r="HKY32" s="482"/>
      <c r="HKZ32" s="482"/>
      <c r="HLA32" s="482"/>
      <c r="HLB32" s="482"/>
      <c r="HLC32" s="482"/>
      <c r="HLD32" s="482"/>
      <c r="HLE32" s="482"/>
      <c r="HLF32" s="482"/>
      <c r="HLG32" s="482"/>
      <c r="HLH32" s="482"/>
      <c r="HLI32" s="482"/>
      <c r="HLJ32" s="482"/>
      <c r="HLK32" s="482"/>
      <c r="HLL32" s="482"/>
      <c r="HLM32" s="482"/>
      <c r="HLN32" s="482"/>
      <c r="HLO32" s="482"/>
      <c r="HLP32" s="482"/>
      <c r="HLQ32" s="482"/>
      <c r="HLR32" s="482"/>
      <c r="HLS32" s="482"/>
      <c r="HLT32" s="482"/>
      <c r="HLU32" s="482"/>
      <c r="HLV32" s="482"/>
      <c r="HLW32" s="482"/>
      <c r="HLX32" s="482"/>
      <c r="HLY32" s="482"/>
      <c r="HLZ32" s="482"/>
      <c r="HMA32" s="482"/>
      <c r="HMB32" s="482"/>
      <c r="HMC32" s="482"/>
      <c r="HMD32" s="482"/>
      <c r="HME32" s="482"/>
      <c r="HMF32" s="482"/>
      <c r="HMG32" s="482"/>
      <c r="HMH32" s="482"/>
      <c r="HMI32" s="482"/>
      <c r="HMJ32" s="482"/>
      <c r="HMK32" s="482"/>
      <c r="HML32" s="482"/>
      <c r="HMM32" s="482"/>
      <c r="HMN32" s="482"/>
      <c r="HMO32" s="482"/>
      <c r="HMP32" s="482"/>
      <c r="HMQ32" s="482"/>
      <c r="HMR32" s="482"/>
      <c r="HMS32" s="482"/>
      <c r="HMT32" s="482"/>
      <c r="HMU32" s="482"/>
      <c r="HMV32" s="482"/>
      <c r="HMW32" s="482"/>
      <c r="HMX32" s="482"/>
      <c r="HMY32" s="482"/>
      <c r="HMZ32" s="482"/>
      <c r="HNA32" s="482"/>
      <c r="HNB32" s="482"/>
      <c r="HNC32" s="482"/>
      <c r="HND32" s="482"/>
      <c r="HNE32" s="482"/>
      <c r="HNF32" s="482"/>
      <c r="HNG32" s="482"/>
      <c r="HNH32" s="482"/>
      <c r="HNI32" s="482"/>
      <c r="HNJ32" s="482"/>
      <c r="HNK32" s="482"/>
      <c r="HNL32" s="482"/>
      <c r="HNM32" s="482"/>
      <c r="HNN32" s="482"/>
      <c r="HNO32" s="482"/>
      <c r="HNP32" s="482"/>
      <c r="HNQ32" s="482"/>
      <c r="HNR32" s="482"/>
      <c r="HNS32" s="482"/>
      <c r="HNT32" s="482"/>
      <c r="HNU32" s="482"/>
      <c r="HNV32" s="482"/>
      <c r="HNW32" s="482"/>
      <c r="HNX32" s="482"/>
      <c r="HNY32" s="482"/>
      <c r="HNZ32" s="482"/>
      <c r="HOA32" s="482"/>
      <c r="HOB32" s="482"/>
      <c r="HOC32" s="482"/>
      <c r="HOD32" s="482"/>
      <c r="HOE32" s="482"/>
      <c r="HOF32" s="482"/>
      <c r="HOG32" s="482"/>
      <c r="HOH32" s="482"/>
      <c r="HOI32" s="482"/>
      <c r="HOJ32" s="482"/>
      <c r="HOK32" s="482"/>
      <c r="HOL32" s="482"/>
      <c r="HOM32" s="482"/>
      <c r="HON32" s="482"/>
      <c r="HOO32" s="482"/>
      <c r="HOP32" s="482"/>
      <c r="HOQ32" s="482"/>
      <c r="HOR32" s="482"/>
      <c r="HOS32" s="482"/>
      <c r="HOT32" s="482"/>
      <c r="HOU32" s="482"/>
      <c r="HOV32" s="482"/>
      <c r="HOW32" s="482"/>
      <c r="HOX32" s="482"/>
      <c r="HOY32" s="482"/>
      <c r="HOZ32" s="482"/>
      <c r="HPA32" s="482"/>
      <c r="HPB32" s="482"/>
      <c r="HPC32" s="482"/>
      <c r="HPD32" s="482"/>
      <c r="HPE32" s="482"/>
      <c r="HPF32" s="482"/>
      <c r="HPG32" s="482"/>
      <c r="HPH32" s="482"/>
      <c r="HPI32" s="482"/>
      <c r="HPJ32" s="482"/>
      <c r="HPK32" s="482"/>
      <c r="HPL32" s="482"/>
      <c r="HPM32" s="482"/>
      <c r="HPN32" s="482"/>
      <c r="HPO32" s="482"/>
      <c r="HPP32" s="482"/>
      <c r="HPQ32" s="482"/>
      <c r="HPR32" s="482"/>
      <c r="HPS32" s="482"/>
      <c r="HPT32" s="482"/>
      <c r="HPU32" s="482"/>
      <c r="HPV32" s="482"/>
      <c r="HPW32" s="482"/>
      <c r="HPX32" s="482"/>
      <c r="HPY32" s="482"/>
      <c r="HPZ32" s="482"/>
      <c r="HQA32" s="482"/>
      <c r="HQB32" s="482"/>
      <c r="HQC32" s="482"/>
      <c r="HQD32" s="482"/>
      <c r="HQE32" s="482"/>
      <c r="HQF32" s="482"/>
      <c r="HQG32" s="482"/>
      <c r="HQH32" s="482"/>
      <c r="HQI32" s="482"/>
      <c r="HQJ32" s="482"/>
      <c r="HQK32" s="482"/>
      <c r="HQL32" s="482"/>
      <c r="HQM32" s="482"/>
      <c r="HQN32" s="482"/>
      <c r="HQO32" s="482"/>
      <c r="HQP32" s="482"/>
      <c r="HQQ32" s="482"/>
      <c r="HQR32" s="482"/>
      <c r="HQS32" s="482"/>
      <c r="HQT32" s="482"/>
      <c r="HQU32" s="482"/>
      <c r="HQV32" s="482"/>
      <c r="HQW32" s="482"/>
      <c r="HQX32" s="482"/>
      <c r="HQY32" s="482"/>
      <c r="HQZ32" s="482"/>
      <c r="HRA32" s="482"/>
      <c r="HRB32" s="482"/>
      <c r="HRC32" s="482"/>
      <c r="HRD32" s="482"/>
      <c r="HRE32" s="482"/>
      <c r="HRF32" s="482"/>
      <c r="HRG32" s="482"/>
      <c r="HRH32" s="482"/>
      <c r="HRI32" s="482"/>
      <c r="HRJ32" s="482"/>
      <c r="HRK32" s="482"/>
      <c r="HRL32" s="482"/>
      <c r="HRM32" s="482"/>
      <c r="HRN32" s="482"/>
      <c r="HRO32" s="482"/>
      <c r="HRP32" s="482"/>
      <c r="HRQ32" s="482"/>
      <c r="HRR32" s="482"/>
      <c r="HRS32" s="482"/>
      <c r="HRT32" s="482"/>
      <c r="HRU32" s="482"/>
      <c r="HRV32" s="482"/>
      <c r="HRW32" s="482"/>
      <c r="HRX32" s="482"/>
      <c r="HRY32" s="482"/>
      <c r="HRZ32" s="482"/>
      <c r="HSA32" s="482"/>
      <c r="HSB32" s="482"/>
      <c r="HSC32" s="482"/>
      <c r="HSD32" s="482"/>
      <c r="HSE32" s="482"/>
      <c r="HSF32" s="482"/>
      <c r="HSG32" s="482"/>
      <c r="HSH32" s="482"/>
      <c r="HSI32" s="482"/>
      <c r="HSJ32" s="482"/>
      <c r="HSK32" s="482"/>
      <c r="HSL32" s="482"/>
      <c r="HSM32" s="482"/>
      <c r="HSN32" s="482"/>
      <c r="HSO32" s="482"/>
      <c r="HSP32" s="482"/>
      <c r="HSQ32" s="482"/>
      <c r="HSR32" s="482"/>
      <c r="HSS32" s="482"/>
      <c r="HST32" s="482"/>
      <c r="HSU32" s="482"/>
      <c r="HSV32" s="482"/>
      <c r="HSW32" s="482"/>
      <c r="HSX32" s="482"/>
      <c r="HSY32" s="482"/>
      <c r="HSZ32" s="482"/>
      <c r="HTA32" s="482"/>
      <c r="HTB32" s="482"/>
      <c r="HTC32" s="482"/>
      <c r="HTD32" s="482"/>
      <c r="HTE32" s="482"/>
      <c r="HTF32" s="482"/>
      <c r="HTG32" s="482"/>
      <c r="HTH32" s="482"/>
      <c r="HTI32" s="482"/>
      <c r="HTJ32" s="482"/>
      <c r="HTK32" s="482"/>
      <c r="HTL32" s="482"/>
      <c r="HTM32" s="482"/>
      <c r="HTN32" s="482"/>
      <c r="HTO32" s="482"/>
      <c r="HTP32" s="482"/>
      <c r="HTQ32" s="482"/>
      <c r="HTR32" s="482"/>
      <c r="HTS32" s="482"/>
      <c r="HTT32" s="482"/>
      <c r="HTU32" s="482"/>
      <c r="HTV32" s="482"/>
      <c r="HTW32" s="482"/>
      <c r="HTX32" s="482"/>
      <c r="HTY32" s="482"/>
      <c r="HTZ32" s="482"/>
      <c r="HUA32" s="482"/>
      <c r="HUB32" s="482"/>
      <c r="HUC32" s="482"/>
      <c r="HUD32" s="482"/>
      <c r="HUE32" s="482"/>
      <c r="HUF32" s="482"/>
      <c r="HUG32" s="482"/>
      <c r="HUH32" s="482"/>
      <c r="HUI32" s="482"/>
      <c r="HUJ32" s="482"/>
      <c r="HUK32" s="482"/>
      <c r="HUL32" s="482"/>
      <c r="HUM32" s="482"/>
      <c r="HUN32" s="482"/>
      <c r="HUO32" s="482"/>
      <c r="HUP32" s="482"/>
      <c r="HUQ32" s="482"/>
      <c r="HUR32" s="482"/>
      <c r="HUS32" s="482"/>
      <c r="HUT32" s="482"/>
      <c r="HUU32" s="482"/>
      <c r="HUV32" s="482"/>
      <c r="HUW32" s="482"/>
      <c r="HUX32" s="482"/>
      <c r="HUY32" s="482"/>
      <c r="HUZ32" s="482"/>
      <c r="HVA32" s="482"/>
      <c r="HVB32" s="482"/>
      <c r="HVC32" s="482"/>
      <c r="HVD32" s="482"/>
      <c r="HVE32" s="482"/>
      <c r="HVF32" s="482"/>
      <c r="HVG32" s="482"/>
      <c r="HVH32" s="482"/>
      <c r="HVI32" s="482"/>
      <c r="HVJ32" s="482"/>
      <c r="HVK32" s="482"/>
      <c r="HVL32" s="482"/>
      <c r="HVM32" s="482"/>
      <c r="HVN32" s="482"/>
      <c r="HVO32" s="482"/>
      <c r="HVP32" s="482"/>
      <c r="HVQ32" s="482"/>
      <c r="HVR32" s="482"/>
      <c r="HVS32" s="482"/>
      <c r="HVT32" s="482"/>
      <c r="HVU32" s="482"/>
      <c r="HVV32" s="482"/>
      <c r="HVW32" s="482"/>
      <c r="HVX32" s="482"/>
      <c r="HVY32" s="482"/>
      <c r="HVZ32" s="482"/>
      <c r="HWA32" s="482"/>
      <c r="HWB32" s="482"/>
      <c r="HWC32" s="482"/>
      <c r="HWD32" s="482"/>
      <c r="HWE32" s="482"/>
      <c r="HWF32" s="482"/>
      <c r="HWG32" s="482"/>
      <c r="HWH32" s="482"/>
      <c r="HWI32" s="482"/>
      <c r="HWJ32" s="482"/>
      <c r="HWK32" s="482"/>
      <c r="HWL32" s="482"/>
      <c r="HWM32" s="482"/>
      <c r="HWN32" s="482"/>
      <c r="HWO32" s="482"/>
      <c r="HWP32" s="482"/>
      <c r="HWQ32" s="482"/>
      <c r="HWR32" s="482"/>
      <c r="HWS32" s="482"/>
      <c r="HWT32" s="482"/>
      <c r="HWU32" s="482"/>
      <c r="HWV32" s="482"/>
      <c r="HWW32" s="482"/>
      <c r="HWX32" s="482"/>
      <c r="HWY32" s="482"/>
      <c r="HWZ32" s="482"/>
      <c r="HXA32" s="482"/>
      <c r="HXB32" s="482"/>
      <c r="HXC32" s="482"/>
      <c r="HXD32" s="482"/>
      <c r="HXE32" s="482"/>
      <c r="HXF32" s="482"/>
      <c r="HXG32" s="482"/>
      <c r="HXH32" s="482"/>
      <c r="HXI32" s="482"/>
      <c r="HXJ32" s="482"/>
      <c r="HXK32" s="482"/>
      <c r="HXL32" s="482"/>
      <c r="HXM32" s="482"/>
      <c r="HXN32" s="482"/>
      <c r="HXO32" s="482"/>
      <c r="HXP32" s="482"/>
      <c r="HXQ32" s="482"/>
      <c r="HXR32" s="482"/>
      <c r="HXS32" s="482"/>
      <c r="HXT32" s="482"/>
      <c r="HXU32" s="482"/>
      <c r="HXV32" s="482"/>
      <c r="HXW32" s="482"/>
      <c r="HXX32" s="482"/>
      <c r="HXY32" s="482"/>
      <c r="HXZ32" s="482"/>
      <c r="HYA32" s="482"/>
      <c r="HYB32" s="482"/>
      <c r="HYC32" s="482"/>
      <c r="HYD32" s="482"/>
      <c r="HYE32" s="482"/>
      <c r="HYF32" s="482"/>
      <c r="HYG32" s="482"/>
      <c r="HYH32" s="482"/>
      <c r="HYI32" s="482"/>
      <c r="HYJ32" s="482"/>
      <c r="HYK32" s="482"/>
      <c r="HYL32" s="482"/>
      <c r="HYM32" s="482"/>
      <c r="HYN32" s="482"/>
      <c r="HYO32" s="482"/>
      <c r="HYP32" s="482"/>
      <c r="HYQ32" s="482"/>
      <c r="HYR32" s="482"/>
      <c r="HYS32" s="482"/>
      <c r="HYT32" s="482"/>
      <c r="HYU32" s="482"/>
      <c r="HYV32" s="482"/>
      <c r="HYW32" s="482"/>
      <c r="HYX32" s="482"/>
      <c r="HYY32" s="482"/>
      <c r="HYZ32" s="482"/>
      <c r="HZA32" s="482"/>
      <c r="HZB32" s="482"/>
      <c r="HZC32" s="482"/>
      <c r="HZD32" s="482"/>
      <c r="HZE32" s="482"/>
      <c r="HZF32" s="482"/>
      <c r="HZG32" s="482"/>
      <c r="HZH32" s="482"/>
      <c r="HZI32" s="482"/>
      <c r="HZJ32" s="482"/>
      <c r="HZK32" s="482"/>
      <c r="HZL32" s="482"/>
      <c r="HZM32" s="482"/>
      <c r="HZN32" s="482"/>
      <c r="HZO32" s="482"/>
      <c r="HZP32" s="482"/>
      <c r="HZQ32" s="482"/>
      <c r="HZR32" s="482"/>
      <c r="HZS32" s="482"/>
      <c r="HZT32" s="482"/>
      <c r="HZU32" s="482"/>
      <c r="HZV32" s="482"/>
      <c r="HZW32" s="482"/>
      <c r="HZX32" s="482"/>
      <c r="HZY32" s="482"/>
      <c r="HZZ32" s="482"/>
      <c r="IAA32" s="482"/>
      <c r="IAB32" s="482"/>
      <c r="IAC32" s="482"/>
      <c r="IAD32" s="482"/>
      <c r="IAE32" s="482"/>
      <c r="IAF32" s="482"/>
      <c r="IAG32" s="482"/>
      <c r="IAH32" s="482"/>
      <c r="IAI32" s="482"/>
      <c r="IAJ32" s="482"/>
      <c r="IAK32" s="482"/>
      <c r="IAL32" s="482"/>
      <c r="IAM32" s="482"/>
      <c r="IAN32" s="482"/>
      <c r="IAO32" s="482"/>
      <c r="IAP32" s="482"/>
      <c r="IAQ32" s="482"/>
      <c r="IAR32" s="482"/>
      <c r="IAS32" s="482"/>
      <c r="IAT32" s="482"/>
      <c r="IAU32" s="482"/>
      <c r="IAV32" s="482"/>
      <c r="IAW32" s="482"/>
      <c r="IAX32" s="482"/>
      <c r="IAY32" s="482"/>
      <c r="IAZ32" s="482"/>
      <c r="IBA32" s="482"/>
      <c r="IBB32" s="482"/>
      <c r="IBC32" s="482"/>
      <c r="IBD32" s="482"/>
      <c r="IBE32" s="482"/>
      <c r="IBF32" s="482"/>
      <c r="IBG32" s="482"/>
      <c r="IBH32" s="482"/>
      <c r="IBI32" s="482"/>
      <c r="IBJ32" s="482"/>
      <c r="IBK32" s="482"/>
      <c r="IBL32" s="482"/>
      <c r="IBM32" s="482"/>
      <c r="IBN32" s="482"/>
      <c r="IBO32" s="482"/>
      <c r="IBP32" s="482"/>
      <c r="IBQ32" s="482"/>
      <c r="IBR32" s="482"/>
      <c r="IBS32" s="482"/>
      <c r="IBT32" s="482"/>
      <c r="IBU32" s="482"/>
      <c r="IBV32" s="482"/>
      <c r="IBW32" s="482"/>
      <c r="IBX32" s="482"/>
      <c r="IBY32" s="482"/>
      <c r="IBZ32" s="482"/>
      <c r="ICA32" s="482"/>
      <c r="ICB32" s="482"/>
      <c r="ICC32" s="482"/>
      <c r="ICD32" s="482"/>
      <c r="ICE32" s="482"/>
      <c r="ICF32" s="482"/>
      <c r="ICG32" s="482"/>
      <c r="ICH32" s="482"/>
      <c r="ICI32" s="482"/>
      <c r="ICJ32" s="482"/>
      <c r="ICK32" s="482"/>
      <c r="ICL32" s="482"/>
      <c r="ICM32" s="482"/>
      <c r="ICN32" s="482"/>
      <c r="ICO32" s="482"/>
      <c r="ICP32" s="482"/>
      <c r="ICQ32" s="482"/>
      <c r="ICR32" s="482"/>
      <c r="ICS32" s="482"/>
      <c r="ICT32" s="482"/>
      <c r="ICU32" s="482"/>
      <c r="ICV32" s="482"/>
      <c r="ICW32" s="482"/>
      <c r="ICX32" s="482"/>
      <c r="ICY32" s="482"/>
      <c r="ICZ32" s="482"/>
      <c r="IDA32" s="482"/>
      <c r="IDB32" s="482"/>
      <c r="IDC32" s="482"/>
      <c r="IDD32" s="482"/>
      <c r="IDE32" s="482"/>
      <c r="IDF32" s="482"/>
      <c r="IDG32" s="482"/>
      <c r="IDH32" s="482"/>
      <c r="IDI32" s="482"/>
      <c r="IDJ32" s="482"/>
      <c r="IDK32" s="482"/>
      <c r="IDL32" s="482"/>
      <c r="IDM32" s="482"/>
      <c r="IDN32" s="482"/>
      <c r="IDO32" s="482"/>
      <c r="IDP32" s="482"/>
      <c r="IDQ32" s="482"/>
      <c r="IDR32" s="482"/>
      <c r="IDS32" s="482"/>
      <c r="IDT32" s="482"/>
      <c r="IDU32" s="482"/>
      <c r="IDV32" s="482"/>
      <c r="IDW32" s="482"/>
      <c r="IDX32" s="482"/>
      <c r="IDY32" s="482"/>
      <c r="IDZ32" s="482"/>
      <c r="IEA32" s="482"/>
      <c r="IEB32" s="482"/>
      <c r="IEC32" s="482"/>
      <c r="IED32" s="482"/>
      <c r="IEE32" s="482"/>
      <c r="IEF32" s="482"/>
      <c r="IEG32" s="482"/>
      <c r="IEH32" s="482"/>
      <c r="IEI32" s="482"/>
      <c r="IEJ32" s="482"/>
      <c r="IEK32" s="482"/>
      <c r="IEL32" s="482"/>
      <c r="IEM32" s="482"/>
      <c r="IEN32" s="482"/>
      <c r="IEO32" s="482"/>
      <c r="IEP32" s="482"/>
      <c r="IEQ32" s="482"/>
      <c r="IER32" s="482"/>
      <c r="IES32" s="482"/>
      <c r="IET32" s="482"/>
      <c r="IEU32" s="482"/>
      <c r="IEV32" s="482"/>
      <c r="IEW32" s="482"/>
      <c r="IEX32" s="482"/>
      <c r="IEY32" s="482"/>
      <c r="IEZ32" s="482"/>
      <c r="IFA32" s="482"/>
      <c r="IFB32" s="482"/>
      <c r="IFC32" s="482"/>
      <c r="IFD32" s="482"/>
      <c r="IFE32" s="482"/>
      <c r="IFF32" s="482"/>
      <c r="IFG32" s="482"/>
      <c r="IFH32" s="482"/>
      <c r="IFI32" s="482"/>
      <c r="IFJ32" s="482"/>
      <c r="IFK32" s="482"/>
      <c r="IFL32" s="482"/>
      <c r="IFM32" s="482"/>
      <c r="IFN32" s="482"/>
      <c r="IFO32" s="482"/>
      <c r="IFP32" s="482"/>
      <c r="IFQ32" s="482"/>
      <c r="IFR32" s="482"/>
      <c r="IFS32" s="482"/>
      <c r="IFT32" s="482"/>
      <c r="IFU32" s="482"/>
      <c r="IFV32" s="482"/>
      <c r="IFW32" s="482"/>
      <c r="IFX32" s="482"/>
      <c r="IFY32" s="482"/>
      <c r="IFZ32" s="482"/>
      <c r="IGA32" s="482"/>
      <c r="IGB32" s="482"/>
      <c r="IGC32" s="482"/>
      <c r="IGD32" s="482"/>
      <c r="IGE32" s="482"/>
      <c r="IGF32" s="482"/>
      <c r="IGG32" s="482"/>
      <c r="IGH32" s="482"/>
      <c r="IGI32" s="482"/>
      <c r="IGJ32" s="482"/>
      <c r="IGK32" s="482"/>
      <c r="IGL32" s="482"/>
      <c r="IGM32" s="482"/>
      <c r="IGN32" s="482"/>
      <c r="IGO32" s="482"/>
      <c r="IGP32" s="482"/>
      <c r="IGQ32" s="482"/>
      <c r="IGR32" s="482"/>
      <c r="IGS32" s="482"/>
      <c r="IGT32" s="482"/>
      <c r="IGU32" s="482"/>
      <c r="IGV32" s="482"/>
      <c r="IGW32" s="482"/>
      <c r="IGX32" s="482"/>
      <c r="IGY32" s="482"/>
      <c r="IGZ32" s="482"/>
      <c r="IHA32" s="482"/>
      <c r="IHB32" s="482"/>
      <c r="IHC32" s="482"/>
      <c r="IHD32" s="482"/>
      <c r="IHE32" s="482"/>
      <c r="IHF32" s="482"/>
      <c r="IHG32" s="482"/>
      <c r="IHH32" s="482"/>
      <c r="IHI32" s="482"/>
      <c r="IHJ32" s="482"/>
      <c r="IHK32" s="482"/>
      <c r="IHL32" s="482"/>
      <c r="IHM32" s="482"/>
      <c r="IHN32" s="482"/>
      <c r="IHO32" s="482"/>
      <c r="IHP32" s="482"/>
      <c r="IHQ32" s="482"/>
      <c r="IHR32" s="482"/>
      <c r="IHS32" s="482"/>
      <c r="IHT32" s="482"/>
      <c r="IHU32" s="482"/>
      <c r="IHV32" s="482"/>
      <c r="IHW32" s="482"/>
      <c r="IHX32" s="482"/>
      <c r="IHY32" s="482"/>
      <c r="IHZ32" s="482"/>
      <c r="IIA32" s="482"/>
      <c r="IIB32" s="482"/>
      <c r="IIC32" s="482"/>
      <c r="IID32" s="482"/>
      <c r="IIE32" s="482"/>
      <c r="IIF32" s="482"/>
      <c r="IIG32" s="482"/>
      <c r="IIH32" s="482"/>
      <c r="III32" s="482"/>
      <c r="IIJ32" s="482"/>
      <c r="IIK32" s="482"/>
      <c r="IIL32" s="482"/>
      <c r="IIM32" s="482"/>
      <c r="IIN32" s="482"/>
      <c r="IIO32" s="482"/>
      <c r="IIP32" s="482"/>
      <c r="IIQ32" s="482"/>
      <c r="IIR32" s="482"/>
      <c r="IIS32" s="482"/>
      <c r="IIT32" s="482"/>
      <c r="IIU32" s="482"/>
      <c r="IIV32" s="482"/>
      <c r="IIW32" s="482"/>
      <c r="IIX32" s="482"/>
      <c r="IIY32" s="482"/>
      <c r="IIZ32" s="482"/>
      <c r="IJA32" s="482"/>
      <c r="IJB32" s="482"/>
      <c r="IJC32" s="482"/>
      <c r="IJD32" s="482"/>
      <c r="IJE32" s="482"/>
      <c r="IJF32" s="482"/>
      <c r="IJG32" s="482"/>
      <c r="IJH32" s="482"/>
      <c r="IJI32" s="482"/>
      <c r="IJJ32" s="482"/>
      <c r="IJK32" s="482"/>
      <c r="IJL32" s="482"/>
      <c r="IJM32" s="482"/>
      <c r="IJN32" s="482"/>
      <c r="IJO32" s="482"/>
      <c r="IJP32" s="482"/>
      <c r="IJQ32" s="482"/>
      <c r="IJR32" s="482"/>
      <c r="IJS32" s="482"/>
      <c r="IJT32" s="482"/>
      <c r="IJU32" s="482"/>
      <c r="IJV32" s="482"/>
      <c r="IJW32" s="482"/>
      <c r="IJX32" s="482"/>
      <c r="IJY32" s="482"/>
      <c r="IJZ32" s="482"/>
      <c r="IKA32" s="482"/>
      <c r="IKB32" s="482"/>
      <c r="IKC32" s="482"/>
      <c r="IKD32" s="482"/>
      <c r="IKE32" s="482"/>
      <c r="IKF32" s="482"/>
      <c r="IKG32" s="482"/>
      <c r="IKH32" s="482"/>
      <c r="IKI32" s="482"/>
      <c r="IKJ32" s="482"/>
      <c r="IKK32" s="482"/>
      <c r="IKL32" s="482"/>
      <c r="IKM32" s="482"/>
      <c r="IKN32" s="482"/>
      <c r="IKO32" s="482"/>
      <c r="IKP32" s="482"/>
      <c r="IKQ32" s="482"/>
      <c r="IKR32" s="482"/>
      <c r="IKS32" s="482"/>
      <c r="IKT32" s="482"/>
      <c r="IKU32" s="482"/>
      <c r="IKV32" s="482"/>
      <c r="IKW32" s="482"/>
      <c r="IKX32" s="482"/>
      <c r="IKY32" s="482"/>
      <c r="IKZ32" s="482"/>
      <c r="ILA32" s="482"/>
      <c r="ILB32" s="482"/>
      <c r="ILC32" s="482"/>
      <c r="ILD32" s="482"/>
      <c r="ILE32" s="482"/>
      <c r="ILF32" s="482"/>
      <c r="ILG32" s="482"/>
      <c r="ILH32" s="482"/>
      <c r="ILI32" s="482"/>
      <c r="ILJ32" s="482"/>
      <c r="ILK32" s="482"/>
      <c r="ILL32" s="482"/>
      <c r="ILM32" s="482"/>
      <c r="ILN32" s="482"/>
      <c r="ILO32" s="482"/>
      <c r="ILP32" s="482"/>
      <c r="ILQ32" s="482"/>
      <c r="ILR32" s="482"/>
      <c r="ILS32" s="482"/>
      <c r="ILT32" s="482"/>
      <c r="ILU32" s="482"/>
      <c r="ILV32" s="482"/>
      <c r="ILW32" s="482"/>
      <c r="ILX32" s="482"/>
      <c r="ILY32" s="482"/>
      <c r="ILZ32" s="482"/>
      <c r="IMA32" s="482"/>
      <c r="IMB32" s="482"/>
      <c r="IMC32" s="482"/>
      <c r="IMD32" s="482"/>
      <c r="IME32" s="482"/>
      <c r="IMF32" s="482"/>
      <c r="IMG32" s="482"/>
      <c r="IMH32" s="482"/>
      <c r="IMI32" s="482"/>
      <c r="IMJ32" s="482"/>
      <c r="IMK32" s="482"/>
      <c r="IML32" s="482"/>
      <c r="IMM32" s="482"/>
      <c r="IMN32" s="482"/>
      <c r="IMO32" s="482"/>
      <c r="IMP32" s="482"/>
      <c r="IMQ32" s="482"/>
      <c r="IMR32" s="482"/>
      <c r="IMS32" s="482"/>
      <c r="IMT32" s="482"/>
      <c r="IMU32" s="482"/>
      <c r="IMV32" s="482"/>
      <c r="IMW32" s="482"/>
      <c r="IMX32" s="482"/>
      <c r="IMY32" s="482"/>
      <c r="IMZ32" s="482"/>
      <c r="INA32" s="482"/>
      <c r="INB32" s="482"/>
      <c r="INC32" s="482"/>
      <c r="IND32" s="482"/>
      <c r="INE32" s="482"/>
      <c r="INF32" s="482"/>
      <c r="ING32" s="482"/>
      <c r="INH32" s="482"/>
      <c r="INI32" s="482"/>
      <c r="INJ32" s="482"/>
      <c r="INK32" s="482"/>
      <c r="INL32" s="482"/>
      <c r="INM32" s="482"/>
      <c r="INN32" s="482"/>
      <c r="INO32" s="482"/>
      <c r="INP32" s="482"/>
      <c r="INQ32" s="482"/>
      <c r="INR32" s="482"/>
      <c r="INS32" s="482"/>
      <c r="INT32" s="482"/>
      <c r="INU32" s="482"/>
      <c r="INV32" s="482"/>
      <c r="INW32" s="482"/>
      <c r="INX32" s="482"/>
      <c r="INY32" s="482"/>
      <c r="INZ32" s="482"/>
      <c r="IOA32" s="482"/>
      <c r="IOB32" s="482"/>
      <c r="IOC32" s="482"/>
      <c r="IOD32" s="482"/>
      <c r="IOE32" s="482"/>
      <c r="IOF32" s="482"/>
      <c r="IOG32" s="482"/>
      <c r="IOH32" s="482"/>
      <c r="IOI32" s="482"/>
      <c r="IOJ32" s="482"/>
      <c r="IOK32" s="482"/>
      <c r="IOL32" s="482"/>
      <c r="IOM32" s="482"/>
      <c r="ION32" s="482"/>
      <c r="IOO32" s="482"/>
      <c r="IOP32" s="482"/>
      <c r="IOQ32" s="482"/>
      <c r="IOR32" s="482"/>
      <c r="IOS32" s="482"/>
      <c r="IOT32" s="482"/>
      <c r="IOU32" s="482"/>
      <c r="IOV32" s="482"/>
      <c r="IOW32" s="482"/>
      <c r="IOX32" s="482"/>
      <c r="IOY32" s="482"/>
      <c r="IOZ32" s="482"/>
      <c r="IPA32" s="482"/>
      <c r="IPB32" s="482"/>
      <c r="IPC32" s="482"/>
      <c r="IPD32" s="482"/>
      <c r="IPE32" s="482"/>
      <c r="IPF32" s="482"/>
      <c r="IPG32" s="482"/>
      <c r="IPH32" s="482"/>
      <c r="IPI32" s="482"/>
      <c r="IPJ32" s="482"/>
      <c r="IPK32" s="482"/>
      <c r="IPL32" s="482"/>
      <c r="IPM32" s="482"/>
      <c r="IPN32" s="482"/>
      <c r="IPO32" s="482"/>
      <c r="IPP32" s="482"/>
      <c r="IPQ32" s="482"/>
      <c r="IPR32" s="482"/>
      <c r="IPS32" s="482"/>
      <c r="IPT32" s="482"/>
      <c r="IPU32" s="482"/>
      <c r="IPV32" s="482"/>
      <c r="IPW32" s="482"/>
      <c r="IPX32" s="482"/>
      <c r="IPY32" s="482"/>
      <c r="IPZ32" s="482"/>
      <c r="IQA32" s="482"/>
      <c r="IQB32" s="482"/>
      <c r="IQC32" s="482"/>
      <c r="IQD32" s="482"/>
      <c r="IQE32" s="482"/>
      <c r="IQF32" s="482"/>
      <c r="IQG32" s="482"/>
      <c r="IQH32" s="482"/>
      <c r="IQI32" s="482"/>
      <c r="IQJ32" s="482"/>
      <c r="IQK32" s="482"/>
      <c r="IQL32" s="482"/>
      <c r="IQM32" s="482"/>
      <c r="IQN32" s="482"/>
      <c r="IQO32" s="482"/>
      <c r="IQP32" s="482"/>
      <c r="IQQ32" s="482"/>
      <c r="IQR32" s="482"/>
      <c r="IQS32" s="482"/>
      <c r="IQT32" s="482"/>
      <c r="IQU32" s="482"/>
      <c r="IQV32" s="482"/>
      <c r="IQW32" s="482"/>
      <c r="IQX32" s="482"/>
      <c r="IQY32" s="482"/>
      <c r="IQZ32" s="482"/>
      <c r="IRA32" s="482"/>
      <c r="IRB32" s="482"/>
      <c r="IRC32" s="482"/>
      <c r="IRD32" s="482"/>
      <c r="IRE32" s="482"/>
      <c r="IRF32" s="482"/>
      <c r="IRG32" s="482"/>
      <c r="IRH32" s="482"/>
      <c r="IRI32" s="482"/>
      <c r="IRJ32" s="482"/>
      <c r="IRK32" s="482"/>
      <c r="IRL32" s="482"/>
      <c r="IRM32" s="482"/>
      <c r="IRN32" s="482"/>
      <c r="IRO32" s="482"/>
      <c r="IRP32" s="482"/>
      <c r="IRQ32" s="482"/>
      <c r="IRR32" s="482"/>
      <c r="IRS32" s="482"/>
      <c r="IRT32" s="482"/>
      <c r="IRU32" s="482"/>
      <c r="IRV32" s="482"/>
      <c r="IRW32" s="482"/>
      <c r="IRX32" s="482"/>
      <c r="IRY32" s="482"/>
      <c r="IRZ32" s="482"/>
      <c r="ISA32" s="482"/>
      <c r="ISB32" s="482"/>
      <c r="ISC32" s="482"/>
      <c r="ISD32" s="482"/>
      <c r="ISE32" s="482"/>
      <c r="ISF32" s="482"/>
      <c r="ISG32" s="482"/>
      <c r="ISH32" s="482"/>
      <c r="ISI32" s="482"/>
      <c r="ISJ32" s="482"/>
      <c r="ISK32" s="482"/>
      <c r="ISL32" s="482"/>
      <c r="ISM32" s="482"/>
      <c r="ISN32" s="482"/>
      <c r="ISO32" s="482"/>
      <c r="ISP32" s="482"/>
      <c r="ISQ32" s="482"/>
      <c r="ISR32" s="482"/>
      <c r="ISS32" s="482"/>
      <c r="IST32" s="482"/>
      <c r="ISU32" s="482"/>
      <c r="ISV32" s="482"/>
      <c r="ISW32" s="482"/>
      <c r="ISX32" s="482"/>
      <c r="ISY32" s="482"/>
      <c r="ISZ32" s="482"/>
      <c r="ITA32" s="482"/>
      <c r="ITB32" s="482"/>
      <c r="ITC32" s="482"/>
      <c r="ITD32" s="482"/>
      <c r="ITE32" s="482"/>
      <c r="ITF32" s="482"/>
      <c r="ITG32" s="482"/>
      <c r="ITH32" s="482"/>
      <c r="ITI32" s="482"/>
      <c r="ITJ32" s="482"/>
      <c r="ITK32" s="482"/>
      <c r="ITL32" s="482"/>
      <c r="ITM32" s="482"/>
      <c r="ITN32" s="482"/>
      <c r="ITO32" s="482"/>
      <c r="ITP32" s="482"/>
      <c r="ITQ32" s="482"/>
      <c r="ITR32" s="482"/>
      <c r="ITS32" s="482"/>
      <c r="ITT32" s="482"/>
      <c r="ITU32" s="482"/>
      <c r="ITV32" s="482"/>
      <c r="ITW32" s="482"/>
      <c r="ITX32" s="482"/>
      <c r="ITY32" s="482"/>
      <c r="ITZ32" s="482"/>
      <c r="IUA32" s="482"/>
      <c r="IUB32" s="482"/>
      <c r="IUC32" s="482"/>
      <c r="IUD32" s="482"/>
      <c r="IUE32" s="482"/>
      <c r="IUF32" s="482"/>
      <c r="IUG32" s="482"/>
      <c r="IUH32" s="482"/>
      <c r="IUI32" s="482"/>
      <c r="IUJ32" s="482"/>
      <c r="IUK32" s="482"/>
      <c r="IUL32" s="482"/>
      <c r="IUM32" s="482"/>
      <c r="IUN32" s="482"/>
      <c r="IUO32" s="482"/>
      <c r="IUP32" s="482"/>
      <c r="IUQ32" s="482"/>
      <c r="IUR32" s="482"/>
      <c r="IUS32" s="482"/>
      <c r="IUT32" s="482"/>
      <c r="IUU32" s="482"/>
      <c r="IUV32" s="482"/>
      <c r="IUW32" s="482"/>
      <c r="IUX32" s="482"/>
      <c r="IUY32" s="482"/>
      <c r="IUZ32" s="482"/>
      <c r="IVA32" s="482"/>
      <c r="IVB32" s="482"/>
      <c r="IVC32" s="482"/>
      <c r="IVD32" s="482"/>
      <c r="IVE32" s="482"/>
      <c r="IVF32" s="482"/>
      <c r="IVG32" s="482"/>
      <c r="IVH32" s="482"/>
      <c r="IVI32" s="482"/>
      <c r="IVJ32" s="482"/>
      <c r="IVK32" s="482"/>
      <c r="IVL32" s="482"/>
      <c r="IVM32" s="482"/>
      <c r="IVN32" s="482"/>
      <c r="IVO32" s="482"/>
      <c r="IVP32" s="482"/>
      <c r="IVQ32" s="482"/>
      <c r="IVR32" s="482"/>
      <c r="IVS32" s="482"/>
      <c r="IVT32" s="482"/>
      <c r="IVU32" s="482"/>
      <c r="IVV32" s="482"/>
      <c r="IVW32" s="482"/>
      <c r="IVX32" s="482"/>
      <c r="IVY32" s="482"/>
      <c r="IVZ32" s="482"/>
      <c r="IWA32" s="482"/>
      <c r="IWB32" s="482"/>
      <c r="IWC32" s="482"/>
      <c r="IWD32" s="482"/>
      <c r="IWE32" s="482"/>
      <c r="IWF32" s="482"/>
      <c r="IWG32" s="482"/>
      <c r="IWH32" s="482"/>
      <c r="IWI32" s="482"/>
      <c r="IWJ32" s="482"/>
      <c r="IWK32" s="482"/>
      <c r="IWL32" s="482"/>
      <c r="IWM32" s="482"/>
      <c r="IWN32" s="482"/>
      <c r="IWO32" s="482"/>
      <c r="IWP32" s="482"/>
      <c r="IWQ32" s="482"/>
      <c r="IWR32" s="482"/>
      <c r="IWS32" s="482"/>
      <c r="IWT32" s="482"/>
      <c r="IWU32" s="482"/>
      <c r="IWV32" s="482"/>
      <c r="IWW32" s="482"/>
      <c r="IWX32" s="482"/>
      <c r="IWY32" s="482"/>
      <c r="IWZ32" s="482"/>
      <c r="IXA32" s="482"/>
      <c r="IXB32" s="482"/>
      <c r="IXC32" s="482"/>
      <c r="IXD32" s="482"/>
      <c r="IXE32" s="482"/>
      <c r="IXF32" s="482"/>
      <c r="IXG32" s="482"/>
      <c r="IXH32" s="482"/>
      <c r="IXI32" s="482"/>
      <c r="IXJ32" s="482"/>
      <c r="IXK32" s="482"/>
      <c r="IXL32" s="482"/>
      <c r="IXM32" s="482"/>
      <c r="IXN32" s="482"/>
      <c r="IXO32" s="482"/>
      <c r="IXP32" s="482"/>
      <c r="IXQ32" s="482"/>
      <c r="IXR32" s="482"/>
      <c r="IXS32" s="482"/>
      <c r="IXT32" s="482"/>
      <c r="IXU32" s="482"/>
      <c r="IXV32" s="482"/>
      <c r="IXW32" s="482"/>
      <c r="IXX32" s="482"/>
      <c r="IXY32" s="482"/>
      <c r="IXZ32" s="482"/>
      <c r="IYA32" s="482"/>
      <c r="IYB32" s="482"/>
      <c r="IYC32" s="482"/>
      <c r="IYD32" s="482"/>
      <c r="IYE32" s="482"/>
      <c r="IYF32" s="482"/>
      <c r="IYG32" s="482"/>
      <c r="IYH32" s="482"/>
      <c r="IYI32" s="482"/>
      <c r="IYJ32" s="482"/>
      <c r="IYK32" s="482"/>
      <c r="IYL32" s="482"/>
      <c r="IYM32" s="482"/>
      <c r="IYN32" s="482"/>
      <c r="IYO32" s="482"/>
      <c r="IYP32" s="482"/>
      <c r="IYQ32" s="482"/>
      <c r="IYR32" s="482"/>
      <c r="IYS32" s="482"/>
      <c r="IYT32" s="482"/>
      <c r="IYU32" s="482"/>
      <c r="IYV32" s="482"/>
      <c r="IYW32" s="482"/>
      <c r="IYX32" s="482"/>
      <c r="IYY32" s="482"/>
      <c r="IYZ32" s="482"/>
      <c r="IZA32" s="482"/>
      <c r="IZB32" s="482"/>
      <c r="IZC32" s="482"/>
      <c r="IZD32" s="482"/>
      <c r="IZE32" s="482"/>
      <c r="IZF32" s="482"/>
      <c r="IZG32" s="482"/>
      <c r="IZH32" s="482"/>
      <c r="IZI32" s="482"/>
      <c r="IZJ32" s="482"/>
      <c r="IZK32" s="482"/>
      <c r="IZL32" s="482"/>
      <c r="IZM32" s="482"/>
      <c r="IZN32" s="482"/>
      <c r="IZO32" s="482"/>
      <c r="IZP32" s="482"/>
      <c r="IZQ32" s="482"/>
      <c r="IZR32" s="482"/>
      <c r="IZS32" s="482"/>
      <c r="IZT32" s="482"/>
      <c r="IZU32" s="482"/>
      <c r="IZV32" s="482"/>
      <c r="IZW32" s="482"/>
      <c r="IZX32" s="482"/>
      <c r="IZY32" s="482"/>
      <c r="IZZ32" s="482"/>
      <c r="JAA32" s="482"/>
      <c r="JAB32" s="482"/>
      <c r="JAC32" s="482"/>
      <c r="JAD32" s="482"/>
      <c r="JAE32" s="482"/>
      <c r="JAF32" s="482"/>
      <c r="JAG32" s="482"/>
      <c r="JAH32" s="482"/>
      <c r="JAI32" s="482"/>
      <c r="JAJ32" s="482"/>
      <c r="JAK32" s="482"/>
      <c r="JAL32" s="482"/>
      <c r="JAM32" s="482"/>
      <c r="JAN32" s="482"/>
      <c r="JAO32" s="482"/>
      <c r="JAP32" s="482"/>
      <c r="JAQ32" s="482"/>
      <c r="JAR32" s="482"/>
      <c r="JAS32" s="482"/>
      <c r="JAT32" s="482"/>
      <c r="JAU32" s="482"/>
      <c r="JAV32" s="482"/>
      <c r="JAW32" s="482"/>
      <c r="JAX32" s="482"/>
      <c r="JAY32" s="482"/>
      <c r="JAZ32" s="482"/>
      <c r="JBA32" s="482"/>
      <c r="JBB32" s="482"/>
      <c r="JBC32" s="482"/>
      <c r="JBD32" s="482"/>
      <c r="JBE32" s="482"/>
      <c r="JBF32" s="482"/>
      <c r="JBG32" s="482"/>
      <c r="JBH32" s="482"/>
      <c r="JBI32" s="482"/>
      <c r="JBJ32" s="482"/>
      <c r="JBK32" s="482"/>
      <c r="JBL32" s="482"/>
      <c r="JBM32" s="482"/>
      <c r="JBN32" s="482"/>
      <c r="JBO32" s="482"/>
      <c r="JBP32" s="482"/>
      <c r="JBQ32" s="482"/>
      <c r="JBR32" s="482"/>
      <c r="JBS32" s="482"/>
      <c r="JBT32" s="482"/>
      <c r="JBU32" s="482"/>
      <c r="JBV32" s="482"/>
      <c r="JBW32" s="482"/>
      <c r="JBX32" s="482"/>
      <c r="JBY32" s="482"/>
      <c r="JBZ32" s="482"/>
      <c r="JCA32" s="482"/>
      <c r="JCB32" s="482"/>
      <c r="JCC32" s="482"/>
      <c r="JCD32" s="482"/>
      <c r="JCE32" s="482"/>
      <c r="JCF32" s="482"/>
      <c r="JCG32" s="482"/>
      <c r="JCH32" s="482"/>
      <c r="JCI32" s="482"/>
      <c r="JCJ32" s="482"/>
      <c r="JCK32" s="482"/>
      <c r="JCL32" s="482"/>
      <c r="JCM32" s="482"/>
      <c r="JCN32" s="482"/>
      <c r="JCO32" s="482"/>
      <c r="JCP32" s="482"/>
      <c r="JCQ32" s="482"/>
      <c r="JCR32" s="482"/>
      <c r="JCS32" s="482"/>
      <c r="JCT32" s="482"/>
      <c r="JCU32" s="482"/>
      <c r="JCV32" s="482"/>
      <c r="JCW32" s="482"/>
      <c r="JCX32" s="482"/>
      <c r="JCY32" s="482"/>
      <c r="JCZ32" s="482"/>
      <c r="JDA32" s="482"/>
      <c r="JDB32" s="482"/>
      <c r="JDC32" s="482"/>
      <c r="JDD32" s="482"/>
      <c r="JDE32" s="482"/>
      <c r="JDF32" s="482"/>
      <c r="JDG32" s="482"/>
      <c r="JDH32" s="482"/>
      <c r="JDI32" s="482"/>
      <c r="JDJ32" s="482"/>
      <c r="JDK32" s="482"/>
      <c r="JDL32" s="482"/>
      <c r="JDM32" s="482"/>
      <c r="JDN32" s="482"/>
      <c r="JDO32" s="482"/>
      <c r="JDP32" s="482"/>
      <c r="JDQ32" s="482"/>
      <c r="JDR32" s="482"/>
      <c r="JDS32" s="482"/>
      <c r="JDT32" s="482"/>
      <c r="JDU32" s="482"/>
      <c r="JDV32" s="482"/>
      <c r="JDW32" s="482"/>
      <c r="JDX32" s="482"/>
      <c r="JDY32" s="482"/>
      <c r="JDZ32" s="482"/>
      <c r="JEA32" s="482"/>
      <c r="JEB32" s="482"/>
      <c r="JEC32" s="482"/>
      <c r="JED32" s="482"/>
      <c r="JEE32" s="482"/>
      <c r="JEF32" s="482"/>
      <c r="JEG32" s="482"/>
      <c r="JEH32" s="482"/>
      <c r="JEI32" s="482"/>
      <c r="JEJ32" s="482"/>
      <c r="JEK32" s="482"/>
      <c r="JEL32" s="482"/>
      <c r="JEM32" s="482"/>
      <c r="JEN32" s="482"/>
      <c r="JEO32" s="482"/>
      <c r="JEP32" s="482"/>
      <c r="JEQ32" s="482"/>
      <c r="JER32" s="482"/>
      <c r="JES32" s="482"/>
      <c r="JET32" s="482"/>
      <c r="JEU32" s="482"/>
      <c r="JEV32" s="482"/>
      <c r="JEW32" s="482"/>
      <c r="JEX32" s="482"/>
      <c r="JEY32" s="482"/>
      <c r="JEZ32" s="482"/>
      <c r="JFA32" s="482"/>
      <c r="JFB32" s="482"/>
      <c r="JFC32" s="482"/>
      <c r="JFD32" s="482"/>
      <c r="JFE32" s="482"/>
      <c r="JFF32" s="482"/>
      <c r="JFG32" s="482"/>
      <c r="JFH32" s="482"/>
      <c r="JFI32" s="482"/>
      <c r="JFJ32" s="482"/>
      <c r="JFK32" s="482"/>
      <c r="JFL32" s="482"/>
      <c r="JFM32" s="482"/>
      <c r="JFN32" s="482"/>
      <c r="JFO32" s="482"/>
      <c r="JFP32" s="482"/>
      <c r="JFQ32" s="482"/>
      <c r="JFR32" s="482"/>
      <c r="JFS32" s="482"/>
      <c r="JFT32" s="482"/>
      <c r="JFU32" s="482"/>
      <c r="JFV32" s="482"/>
      <c r="JFW32" s="482"/>
      <c r="JFX32" s="482"/>
      <c r="JFY32" s="482"/>
      <c r="JFZ32" s="482"/>
      <c r="JGA32" s="482"/>
      <c r="JGB32" s="482"/>
      <c r="JGC32" s="482"/>
      <c r="JGD32" s="482"/>
      <c r="JGE32" s="482"/>
      <c r="JGF32" s="482"/>
      <c r="JGG32" s="482"/>
      <c r="JGH32" s="482"/>
      <c r="JGI32" s="482"/>
      <c r="JGJ32" s="482"/>
      <c r="JGK32" s="482"/>
      <c r="JGL32" s="482"/>
      <c r="JGM32" s="482"/>
      <c r="JGN32" s="482"/>
      <c r="JGO32" s="482"/>
      <c r="JGP32" s="482"/>
      <c r="JGQ32" s="482"/>
      <c r="JGR32" s="482"/>
      <c r="JGS32" s="482"/>
      <c r="JGT32" s="482"/>
      <c r="JGU32" s="482"/>
      <c r="JGV32" s="482"/>
      <c r="JGW32" s="482"/>
      <c r="JGX32" s="482"/>
      <c r="JGY32" s="482"/>
      <c r="JGZ32" s="482"/>
      <c r="JHA32" s="482"/>
      <c r="JHB32" s="482"/>
      <c r="JHC32" s="482"/>
      <c r="JHD32" s="482"/>
      <c r="JHE32" s="482"/>
      <c r="JHF32" s="482"/>
      <c r="JHG32" s="482"/>
      <c r="JHH32" s="482"/>
      <c r="JHI32" s="482"/>
      <c r="JHJ32" s="482"/>
      <c r="JHK32" s="482"/>
      <c r="JHL32" s="482"/>
      <c r="JHM32" s="482"/>
      <c r="JHN32" s="482"/>
      <c r="JHO32" s="482"/>
      <c r="JHP32" s="482"/>
      <c r="JHQ32" s="482"/>
      <c r="JHR32" s="482"/>
      <c r="JHS32" s="482"/>
      <c r="JHT32" s="482"/>
      <c r="JHU32" s="482"/>
      <c r="JHV32" s="482"/>
      <c r="JHW32" s="482"/>
      <c r="JHX32" s="482"/>
      <c r="JHY32" s="482"/>
      <c r="JHZ32" s="482"/>
      <c r="JIA32" s="482"/>
      <c r="JIB32" s="482"/>
      <c r="JIC32" s="482"/>
      <c r="JID32" s="482"/>
      <c r="JIE32" s="482"/>
      <c r="JIF32" s="482"/>
      <c r="JIG32" s="482"/>
      <c r="JIH32" s="482"/>
      <c r="JII32" s="482"/>
      <c r="JIJ32" s="482"/>
      <c r="JIK32" s="482"/>
      <c r="JIL32" s="482"/>
      <c r="JIM32" s="482"/>
      <c r="JIN32" s="482"/>
      <c r="JIO32" s="482"/>
      <c r="JIP32" s="482"/>
      <c r="JIQ32" s="482"/>
      <c r="JIR32" s="482"/>
      <c r="JIS32" s="482"/>
      <c r="JIT32" s="482"/>
      <c r="JIU32" s="482"/>
      <c r="JIV32" s="482"/>
      <c r="JIW32" s="482"/>
      <c r="JIX32" s="482"/>
      <c r="JIY32" s="482"/>
      <c r="JIZ32" s="482"/>
      <c r="JJA32" s="482"/>
      <c r="JJB32" s="482"/>
      <c r="JJC32" s="482"/>
      <c r="JJD32" s="482"/>
      <c r="JJE32" s="482"/>
      <c r="JJF32" s="482"/>
      <c r="JJG32" s="482"/>
      <c r="JJH32" s="482"/>
      <c r="JJI32" s="482"/>
      <c r="JJJ32" s="482"/>
      <c r="JJK32" s="482"/>
      <c r="JJL32" s="482"/>
      <c r="JJM32" s="482"/>
      <c r="JJN32" s="482"/>
      <c r="JJO32" s="482"/>
      <c r="JJP32" s="482"/>
      <c r="JJQ32" s="482"/>
      <c r="JJR32" s="482"/>
      <c r="JJS32" s="482"/>
      <c r="JJT32" s="482"/>
      <c r="JJU32" s="482"/>
      <c r="JJV32" s="482"/>
      <c r="JJW32" s="482"/>
      <c r="JJX32" s="482"/>
      <c r="JJY32" s="482"/>
      <c r="JJZ32" s="482"/>
      <c r="JKA32" s="482"/>
      <c r="JKB32" s="482"/>
      <c r="JKC32" s="482"/>
      <c r="JKD32" s="482"/>
      <c r="JKE32" s="482"/>
      <c r="JKF32" s="482"/>
      <c r="JKG32" s="482"/>
      <c r="JKH32" s="482"/>
      <c r="JKI32" s="482"/>
      <c r="JKJ32" s="482"/>
      <c r="JKK32" s="482"/>
      <c r="JKL32" s="482"/>
      <c r="JKM32" s="482"/>
      <c r="JKN32" s="482"/>
      <c r="JKO32" s="482"/>
      <c r="JKP32" s="482"/>
      <c r="JKQ32" s="482"/>
      <c r="JKR32" s="482"/>
      <c r="JKS32" s="482"/>
      <c r="JKT32" s="482"/>
      <c r="JKU32" s="482"/>
      <c r="JKV32" s="482"/>
      <c r="JKW32" s="482"/>
      <c r="JKX32" s="482"/>
      <c r="JKY32" s="482"/>
      <c r="JKZ32" s="482"/>
      <c r="JLA32" s="482"/>
      <c r="JLB32" s="482"/>
      <c r="JLC32" s="482"/>
      <c r="JLD32" s="482"/>
      <c r="JLE32" s="482"/>
      <c r="JLF32" s="482"/>
      <c r="JLG32" s="482"/>
      <c r="JLH32" s="482"/>
      <c r="JLI32" s="482"/>
      <c r="JLJ32" s="482"/>
      <c r="JLK32" s="482"/>
      <c r="JLL32" s="482"/>
      <c r="JLM32" s="482"/>
      <c r="JLN32" s="482"/>
      <c r="JLO32" s="482"/>
      <c r="JLP32" s="482"/>
      <c r="JLQ32" s="482"/>
      <c r="JLR32" s="482"/>
      <c r="JLS32" s="482"/>
      <c r="JLT32" s="482"/>
      <c r="JLU32" s="482"/>
      <c r="JLV32" s="482"/>
      <c r="JLW32" s="482"/>
      <c r="JLX32" s="482"/>
      <c r="JLY32" s="482"/>
      <c r="JLZ32" s="482"/>
      <c r="JMA32" s="482"/>
      <c r="JMB32" s="482"/>
      <c r="JMC32" s="482"/>
      <c r="JMD32" s="482"/>
      <c r="JME32" s="482"/>
      <c r="JMF32" s="482"/>
      <c r="JMG32" s="482"/>
      <c r="JMH32" s="482"/>
      <c r="JMI32" s="482"/>
      <c r="JMJ32" s="482"/>
      <c r="JMK32" s="482"/>
      <c r="JML32" s="482"/>
      <c r="JMM32" s="482"/>
      <c r="JMN32" s="482"/>
      <c r="JMO32" s="482"/>
      <c r="JMP32" s="482"/>
      <c r="JMQ32" s="482"/>
      <c r="JMR32" s="482"/>
      <c r="JMS32" s="482"/>
      <c r="JMT32" s="482"/>
      <c r="JMU32" s="482"/>
      <c r="JMV32" s="482"/>
      <c r="JMW32" s="482"/>
      <c r="JMX32" s="482"/>
      <c r="JMY32" s="482"/>
      <c r="JMZ32" s="482"/>
      <c r="JNA32" s="482"/>
      <c r="JNB32" s="482"/>
      <c r="JNC32" s="482"/>
      <c r="JND32" s="482"/>
      <c r="JNE32" s="482"/>
      <c r="JNF32" s="482"/>
      <c r="JNG32" s="482"/>
      <c r="JNH32" s="482"/>
      <c r="JNI32" s="482"/>
      <c r="JNJ32" s="482"/>
      <c r="JNK32" s="482"/>
      <c r="JNL32" s="482"/>
      <c r="JNM32" s="482"/>
      <c r="JNN32" s="482"/>
      <c r="JNO32" s="482"/>
      <c r="JNP32" s="482"/>
      <c r="JNQ32" s="482"/>
      <c r="JNR32" s="482"/>
      <c r="JNS32" s="482"/>
      <c r="JNT32" s="482"/>
      <c r="JNU32" s="482"/>
      <c r="JNV32" s="482"/>
      <c r="JNW32" s="482"/>
      <c r="JNX32" s="482"/>
      <c r="JNY32" s="482"/>
      <c r="JNZ32" s="482"/>
      <c r="JOA32" s="482"/>
      <c r="JOB32" s="482"/>
      <c r="JOC32" s="482"/>
      <c r="JOD32" s="482"/>
      <c r="JOE32" s="482"/>
      <c r="JOF32" s="482"/>
      <c r="JOG32" s="482"/>
      <c r="JOH32" s="482"/>
      <c r="JOI32" s="482"/>
      <c r="JOJ32" s="482"/>
      <c r="JOK32" s="482"/>
      <c r="JOL32" s="482"/>
      <c r="JOM32" s="482"/>
      <c r="JON32" s="482"/>
      <c r="JOO32" s="482"/>
      <c r="JOP32" s="482"/>
      <c r="JOQ32" s="482"/>
      <c r="JOR32" s="482"/>
      <c r="JOS32" s="482"/>
      <c r="JOT32" s="482"/>
      <c r="JOU32" s="482"/>
      <c r="JOV32" s="482"/>
      <c r="JOW32" s="482"/>
      <c r="JOX32" s="482"/>
      <c r="JOY32" s="482"/>
      <c r="JOZ32" s="482"/>
      <c r="JPA32" s="482"/>
      <c r="JPB32" s="482"/>
      <c r="JPC32" s="482"/>
      <c r="JPD32" s="482"/>
      <c r="JPE32" s="482"/>
      <c r="JPF32" s="482"/>
      <c r="JPG32" s="482"/>
      <c r="JPH32" s="482"/>
      <c r="JPI32" s="482"/>
      <c r="JPJ32" s="482"/>
      <c r="JPK32" s="482"/>
      <c r="JPL32" s="482"/>
      <c r="JPM32" s="482"/>
      <c r="JPN32" s="482"/>
      <c r="JPO32" s="482"/>
      <c r="JPP32" s="482"/>
      <c r="JPQ32" s="482"/>
      <c r="JPR32" s="482"/>
      <c r="JPS32" s="482"/>
      <c r="JPT32" s="482"/>
      <c r="JPU32" s="482"/>
      <c r="JPV32" s="482"/>
      <c r="JPW32" s="482"/>
      <c r="JPX32" s="482"/>
      <c r="JPY32" s="482"/>
      <c r="JPZ32" s="482"/>
      <c r="JQA32" s="482"/>
      <c r="JQB32" s="482"/>
      <c r="JQC32" s="482"/>
      <c r="JQD32" s="482"/>
      <c r="JQE32" s="482"/>
      <c r="JQF32" s="482"/>
      <c r="JQG32" s="482"/>
      <c r="JQH32" s="482"/>
      <c r="JQI32" s="482"/>
      <c r="JQJ32" s="482"/>
      <c r="JQK32" s="482"/>
      <c r="JQL32" s="482"/>
      <c r="JQM32" s="482"/>
      <c r="JQN32" s="482"/>
      <c r="JQO32" s="482"/>
      <c r="JQP32" s="482"/>
      <c r="JQQ32" s="482"/>
      <c r="JQR32" s="482"/>
      <c r="JQS32" s="482"/>
      <c r="JQT32" s="482"/>
      <c r="JQU32" s="482"/>
      <c r="JQV32" s="482"/>
      <c r="JQW32" s="482"/>
      <c r="JQX32" s="482"/>
      <c r="JQY32" s="482"/>
      <c r="JQZ32" s="482"/>
      <c r="JRA32" s="482"/>
      <c r="JRB32" s="482"/>
      <c r="JRC32" s="482"/>
      <c r="JRD32" s="482"/>
      <c r="JRE32" s="482"/>
      <c r="JRF32" s="482"/>
      <c r="JRG32" s="482"/>
      <c r="JRH32" s="482"/>
      <c r="JRI32" s="482"/>
      <c r="JRJ32" s="482"/>
      <c r="JRK32" s="482"/>
      <c r="JRL32" s="482"/>
      <c r="JRM32" s="482"/>
      <c r="JRN32" s="482"/>
      <c r="JRO32" s="482"/>
      <c r="JRP32" s="482"/>
      <c r="JRQ32" s="482"/>
      <c r="JRR32" s="482"/>
      <c r="JRS32" s="482"/>
      <c r="JRT32" s="482"/>
      <c r="JRU32" s="482"/>
      <c r="JRV32" s="482"/>
      <c r="JRW32" s="482"/>
      <c r="JRX32" s="482"/>
      <c r="JRY32" s="482"/>
      <c r="JRZ32" s="482"/>
      <c r="JSA32" s="482"/>
      <c r="JSB32" s="482"/>
      <c r="JSC32" s="482"/>
      <c r="JSD32" s="482"/>
      <c r="JSE32" s="482"/>
      <c r="JSF32" s="482"/>
      <c r="JSG32" s="482"/>
      <c r="JSH32" s="482"/>
      <c r="JSI32" s="482"/>
      <c r="JSJ32" s="482"/>
      <c r="JSK32" s="482"/>
      <c r="JSL32" s="482"/>
      <c r="JSM32" s="482"/>
      <c r="JSN32" s="482"/>
      <c r="JSO32" s="482"/>
      <c r="JSP32" s="482"/>
      <c r="JSQ32" s="482"/>
      <c r="JSR32" s="482"/>
      <c r="JSS32" s="482"/>
      <c r="JST32" s="482"/>
      <c r="JSU32" s="482"/>
      <c r="JSV32" s="482"/>
      <c r="JSW32" s="482"/>
      <c r="JSX32" s="482"/>
      <c r="JSY32" s="482"/>
      <c r="JSZ32" s="482"/>
      <c r="JTA32" s="482"/>
      <c r="JTB32" s="482"/>
      <c r="JTC32" s="482"/>
      <c r="JTD32" s="482"/>
      <c r="JTE32" s="482"/>
      <c r="JTF32" s="482"/>
      <c r="JTG32" s="482"/>
      <c r="JTH32" s="482"/>
      <c r="JTI32" s="482"/>
      <c r="JTJ32" s="482"/>
      <c r="JTK32" s="482"/>
      <c r="JTL32" s="482"/>
      <c r="JTM32" s="482"/>
      <c r="JTN32" s="482"/>
      <c r="JTO32" s="482"/>
      <c r="JTP32" s="482"/>
      <c r="JTQ32" s="482"/>
      <c r="JTR32" s="482"/>
      <c r="JTS32" s="482"/>
      <c r="JTT32" s="482"/>
      <c r="JTU32" s="482"/>
      <c r="JTV32" s="482"/>
      <c r="JTW32" s="482"/>
      <c r="JTX32" s="482"/>
      <c r="JTY32" s="482"/>
      <c r="JTZ32" s="482"/>
      <c r="JUA32" s="482"/>
      <c r="JUB32" s="482"/>
      <c r="JUC32" s="482"/>
      <c r="JUD32" s="482"/>
      <c r="JUE32" s="482"/>
      <c r="JUF32" s="482"/>
      <c r="JUG32" s="482"/>
      <c r="JUH32" s="482"/>
      <c r="JUI32" s="482"/>
      <c r="JUJ32" s="482"/>
      <c r="JUK32" s="482"/>
      <c r="JUL32" s="482"/>
      <c r="JUM32" s="482"/>
      <c r="JUN32" s="482"/>
      <c r="JUO32" s="482"/>
      <c r="JUP32" s="482"/>
      <c r="JUQ32" s="482"/>
      <c r="JUR32" s="482"/>
      <c r="JUS32" s="482"/>
      <c r="JUT32" s="482"/>
      <c r="JUU32" s="482"/>
      <c r="JUV32" s="482"/>
      <c r="JUW32" s="482"/>
      <c r="JUX32" s="482"/>
      <c r="JUY32" s="482"/>
      <c r="JUZ32" s="482"/>
      <c r="JVA32" s="482"/>
      <c r="JVB32" s="482"/>
      <c r="JVC32" s="482"/>
      <c r="JVD32" s="482"/>
      <c r="JVE32" s="482"/>
      <c r="JVF32" s="482"/>
      <c r="JVG32" s="482"/>
      <c r="JVH32" s="482"/>
      <c r="JVI32" s="482"/>
      <c r="JVJ32" s="482"/>
      <c r="JVK32" s="482"/>
      <c r="JVL32" s="482"/>
      <c r="JVM32" s="482"/>
      <c r="JVN32" s="482"/>
      <c r="JVO32" s="482"/>
      <c r="JVP32" s="482"/>
      <c r="JVQ32" s="482"/>
      <c r="JVR32" s="482"/>
      <c r="JVS32" s="482"/>
      <c r="JVT32" s="482"/>
      <c r="JVU32" s="482"/>
      <c r="JVV32" s="482"/>
      <c r="JVW32" s="482"/>
      <c r="JVX32" s="482"/>
      <c r="JVY32" s="482"/>
      <c r="JVZ32" s="482"/>
      <c r="JWA32" s="482"/>
      <c r="JWB32" s="482"/>
      <c r="JWC32" s="482"/>
      <c r="JWD32" s="482"/>
      <c r="JWE32" s="482"/>
      <c r="JWF32" s="482"/>
      <c r="JWG32" s="482"/>
      <c r="JWH32" s="482"/>
      <c r="JWI32" s="482"/>
      <c r="JWJ32" s="482"/>
      <c r="JWK32" s="482"/>
      <c r="JWL32" s="482"/>
      <c r="JWM32" s="482"/>
      <c r="JWN32" s="482"/>
      <c r="JWO32" s="482"/>
      <c r="JWP32" s="482"/>
      <c r="JWQ32" s="482"/>
      <c r="JWR32" s="482"/>
      <c r="JWS32" s="482"/>
      <c r="JWT32" s="482"/>
      <c r="JWU32" s="482"/>
      <c r="JWV32" s="482"/>
      <c r="JWW32" s="482"/>
      <c r="JWX32" s="482"/>
      <c r="JWY32" s="482"/>
      <c r="JWZ32" s="482"/>
      <c r="JXA32" s="482"/>
      <c r="JXB32" s="482"/>
      <c r="JXC32" s="482"/>
      <c r="JXD32" s="482"/>
      <c r="JXE32" s="482"/>
      <c r="JXF32" s="482"/>
      <c r="JXG32" s="482"/>
      <c r="JXH32" s="482"/>
      <c r="JXI32" s="482"/>
      <c r="JXJ32" s="482"/>
      <c r="JXK32" s="482"/>
      <c r="JXL32" s="482"/>
      <c r="JXM32" s="482"/>
      <c r="JXN32" s="482"/>
      <c r="JXO32" s="482"/>
      <c r="JXP32" s="482"/>
      <c r="JXQ32" s="482"/>
      <c r="JXR32" s="482"/>
      <c r="JXS32" s="482"/>
      <c r="JXT32" s="482"/>
      <c r="JXU32" s="482"/>
      <c r="JXV32" s="482"/>
      <c r="JXW32" s="482"/>
      <c r="JXX32" s="482"/>
      <c r="JXY32" s="482"/>
      <c r="JXZ32" s="482"/>
      <c r="JYA32" s="482"/>
      <c r="JYB32" s="482"/>
      <c r="JYC32" s="482"/>
      <c r="JYD32" s="482"/>
      <c r="JYE32" s="482"/>
      <c r="JYF32" s="482"/>
      <c r="JYG32" s="482"/>
      <c r="JYH32" s="482"/>
      <c r="JYI32" s="482"/>
      <c r="JYJ32" s="482"/>
      <c r="JYK32" s="482"/>
      <c r="JYL32" s="482"/>
      <c r="JYM32" s="482"/>
      <c r="JYN32" s="482"/>
      <c r="JYO32" s="482"/>
      <c r="JYP32" s="482"/>
      <c r="JYQ32" s="482"/>
      <c r="JYR32" s="482"/>
      <c r="JYS32" s="482"/>
      <c r="JYT32" s="482"/>
      <c r="JYU32" s="482"/>
      <c r="JYV32" s="482"/>
      <c r="JYW32" s="482"/>
      <c r="JYX32" s="482"/>
      <c r="JYY32" s="482"/>
      <c r="JYZ32" s="482"/>
      <c r="JZA32" s="482"/>
      <c r="JZB32" s="482"/>
      <c r="JZC32" s="482"/>
      <c r="JZD32" s="482"/>
      <c r="JZE32" s="482"/>
      <c r="JZF32" s="482"/>
      <c r="JZG32" s="482"/>
      <c r="JZH32" s="482"/>
      <c r="JZI32" s="482"/>
      <c r="JZJ32" s="482"/>
      <c r="JZK32" s="482"/>
      <c r="JZL32" s="482"/>
      <c r="JZM32" s="482"/>
      <c r="JZN32" s="482"/>
      <c r="JZO32" s="482"/>
      <c r="JZP32" s="482"/>
      <c r="JZQ32" s="482"/>
      <c r="JZR32" s="482"/>
      <c r="JZS32" s="482"/>
      <c r="JZT32" s="482"/>
      <c r="JZU32" s="482"/>
      <c r="JZV32" s="482"/>
      <c r="JZW32" s="482"/>
      <c r="JZX32" s="482"/>
      <c r="JZY32" s="482"/>
      <c r="JZZ32" s="482"/>
      <c r="KAA32" s="482"/>
      <c r="KAB32" s="482"/>
      <c r="KAC32" s="482"/>
      <c r="KAD32" s="482"/>
      <c r="KAE32" s="482"/>
      <c r="KAF32" s="482"/>
      <c r="KAG32" s="482"/>
      <c r="KAH32" s="482"/>
      <c r="KAI32" s="482"/>
      <c r="KAJ32" s="482"/>
      <c r="KAK32" s="482"/>
      <c r="KAL32" s="482"/>
      <c r="KAM32" s="482"/>
      <c r="KAN32" s="482"/>
      <c r="KAO32" s="482"/>
      <c r="KAP32" s="482"/>
      <c r="KAQ32" s="482"/>
      <c r="KAR32" s="482"/>
      <c r="KAS32" s="482"/>
      <c r="KAT32" s="482"/>
      <c r="KAU32" s="482"/>
      <c r="KAV32" s="482"/>
      <c r="KAW32" s="482"/>
      <c r="KAX32" s="482"/>
      <c r="KAY32" s="482"/>
      <c r="KAZ32" s="482"/>
      <c r="KBA32" s="482"/>
      <c r="KBB32" s="482"/>
      <c r="KBC32" s="482"/>
      <c r="KBD32" s="482"/>
      <c r="KBE32" s="482"/>
      <c r="KBF32" s="482"/>
      <c r="KBG32" s="482"/>
      <c r="KBH32" s="482"/>
      <c r="KBI32" s="482"/>
      <c r="KBJ32" s="482"/>
      <c r="KBK32" s="482"/>
      <c r="KBL32" s="482"/>
      <c r="KBM32" s="482"/>
      <c r="KBN32" s="482"/>
      <c r="KBO32" s="482"/>
      <c r="KBP32" s="482"/>
      <c r="KBQ32" s="482"/>
      <c r="KBR32" s="482"/>
      <c r="KBS32" s="482"/>
      <c r="KBT32" s="482"/>
      <c r="KBU32" s="482"/>
      <c r="KBV32" s="482"/>
      <c r="KBW32" s="482"/>
      <c r="KBX32" s="482"/>
      <c r="KBY32" s="482"/>
      <c r="KBZ32" s="482"/>
      <c r="KCA32" s="482"/>
      <c r="KCB32" s="482"/>
      <c r="KCC32" s="482"/>
      <c r="KCD32" s="482"/>
      <c r="KCE32" s="482"/>
      <c r="KCF32" s="482"/>
      <c r="KCG32" s="482"/>
      <c r="KCH32" s="482"/>
      <c r="KCI32" s="482"/>
      <c r="KCJ32" s="482"/>
      <c r="KCK32" s="482"/>
      <c r="KCL32" s="482"/>
      <c r="KCM32" s="482"/>
      <c r="KCN32" s="482"/>
      <c r="KCO32" s="482"/>
      <c r="KCP32" s="482"/>
      <c r="KCQ32" s="482"/>
      <c r="KCR32" s="482"/>
      <c r="KCS32" s="482"/>
      <c r="KCT32" s="482"/>
      <c r="KCU32" s="482"/>
      <c r="KCV32" s="482"/>
      <c r="KCW32" s="482"/>
      <c r="KCX32" s="482"/>
      <c r="KCY32" s="482"/>
      <c r="KCZ32" s="482"/>
      <c r="KDA32" s="482"/>
      <c r="KDB32" s="482"/>
      <c r="KDC32" s="482"/>
      <c r="KDD32" s="482"/>
      <c r="KDE32" s="482"/>
      <c r="KDF32" s="482"/>
      <c r="KDG32" s="482"/>
      <c r="KDH32" s="482"/>
      <c r="KDI32" s="482"/>
      <c r="KDJ32" s="482"/>
      <c r="KDK32" s="482"/>
      <c r="KDL32" s="482"/>
      <c r="KDM32" s="482"/>
      <c r="KDN32" s="482"/>
      <c r="KDO32" s="482"/>
      <c r="KDP32" s="482"/>
      <c r="KDQ32" s="482"/>
      <c r="KDR32" s="482"/>
      <c r="KDS32" s="482"/>
      <c r="KDT32" s="482"/>
      <c r="KDU32" s="482"/>
      <c r="KDV32" s="482"/>
      <c r="KDW32" s="482"/>
      <c r="KDX32" s="482"/>
      <c r="KDY32" s="482"/>
      <c r="KDZ32" s="482"/>
      <c r="KEA32" s="482"/>
      <c r="KEB32" s="482"/>
      <c r="KEC32" s="482"/>
      <c r="KED32" s="482"/>
      <c r="KEE32" s="482"/>
      <c r="KEF32" s="482"/>
      <c r="KEG32" s="482"/>
      <c r="KEH32" s="482"/>
      <c r="KEI32" s="482"/>
      <c r="KEJ32" s="482"/>
      <c r="KEK32" s="482"/>
      <c r="KEL32" s="482"/>
      <c r="KEM32" s="482"/>
      <c r="KEN32" s="482"/>
      <c r="KEO32" s="482"/>
      <c r="KEP32" s="482"/>
      <c r="KEQ32" s="482"/>
      <c r="KER32" s="482"/>
      <c r="KES32" s="482"/>
      <c r="KET32" s="482"/>
      <c r="KEU32" s="482"/>
      <c r="KEV32" s="482"/>
      <c r="KEW32" s="482"/>
      <c r="KEX32" s="482"/>
      <c r="KEY32" s="482"/>
      <c r="KEZ32" s="482"/>
      <c r="KFA32" s="482"/>
      <c r="KFB32" s="482"/>
      <c r="KFC32" s="482"/>
      <c r="KFD32" s="482"/>
      <c r="KFE32" s="482"/>
      <c r="KFF32" s="482"/>
      <c r="KFG32" s="482"/>
      <c r="KFH32" s="482"/>
      <c r="KFI32" s="482"/>
      <c r="KFJ32" s="482"/>
      <c r="KFK32" s="482"/>
      <c r="KFL32" s="482"/>
      <c r="KFM32" s="482"/>
      <c r="KFN32" s="482"/>
      <c r="KFO32" s="482"/>
      <c r="KFP32" s="482"/>
      <c r="KFQ32" s="482"/>
      <c r="KFR32" s="482"/>
      <c r="KFS32" s="482"/>
      <c r="KFT32" s="482"/>
      <c r="KFU32" s="482"/>
      <c r="KFV32" s="482"/>
      <c r="KFW32" s="482"/>
      <c r="KFX32" s="482"/>
      <c r="KFY32" s="482"/>
      <c r="KFZ32" s="482"/>
      <c r="KGA32" s="482"/>
      <c r="KGB32" s="482"/>
      <c r="KGC32" s="482"/>
      <c r="KGD32" s="482"/>
      <c r="KGE32" s="482"/>
      <c r="KGF32" s="482"/>
      <c r="KGG32" s="482"/>
      <c r="KGH32" s="482"/>
      <c r="KGI32" s="482"/>
      <c r="KGJ32" s="482"/>
      <c r="KGK32" s="482"/>
      <c r="KGL32" s="482"/>
      <c r="KGM32" s="482"/>
      <c r="KGN32" s="482"/>
      <c r="KGO32" s="482"/>
      <c r="KGP32" s="482"/>
      <c r="KGQ32" s="482"/>
      <c r="KGR32" s="482"/>
      <c r="KGS32" s="482"/>
      <c r="KGT32" s="482"/>
      <c r="KGU32" s="482"/>
      <c r="KGV32" s="482"/>
      <c r="KGW32" s="482"/>
      <c r="KGX32" s="482"/>
      <c r="KGY32" s="482"/>
      <c r="KGZ32" s="482"/>
      <c r="KHA32" s="482"/>
      <c r="KHB32" s="482"/>
      <c r="KHC32" s="482"/>
      <c r="KHD32" s="482"/>
      <c r="KHE32" s="482"/>
      <c r="KHF32" s="482"/>
      <c r="KHG32" s="482"/>
      <c r="KHH32" s="482"/>
      <c r="KHI32" s="482"/>
      <c r="KHJ32" s="482"/>
      <c r="KHK32" s="482"/>
      <c r="KHL32" s="482"/>
      <c r="KHM32" s="482"/>
      <c r="KHN32" s="482"/>
      <c r="KHO32" s="482"/>
      <c r="KHP32" s="482"/>
      <c r="KHQ32" s="482"/>
      <c r="KHR32" s="482"/>
      <c r="KHS32" s="482"/>
      <c r="KHT32" s="482"/>
      <c r="KHU32" s="482"/>
      <c r="KHV32" s="482"/>
      <c r="KHW32" s="482"/>
      <c r="KHX32" s="482"/>
      <c r="KHY32" s="482"/>
      <c r="KHZ32" s="482"/>
      <c r="KIA32" s="482"/>
      <c r="KIB32" s="482"/>
      <c r="KIC32" s="482"/>
      <c r="KID32" s="482"/>
      <c r="KIE32" s="482"/>
      <c r="KIF32" s="482"/>
      <c r="KIG32" s="482"/>
      <c r="KIH32" s="482"/>
      <c r="KII32" s="482"/>
      <c r="KIJ32" s="482"/>
      <c r="KIK32" s="482"/>
      <c r="KIL32" s="482"/>
      <c r="KIM32" s="482"/>
      <c r="KIN32" s="482"/>
      <c r="KIO32" s="482"/>
      <c r="KIP32" s="482"/>
      <c r="KIQ32" s="482"/>
      <c r="KIR32" s="482"/>
      <c r="KIS32" s="482"/>
      <c r="KIT32" s="482"/>
      <c r="KIU32" s="482"/>
      <c r="KIV32" s="482"/>
      <c r="KIW32" s="482"/>
      <c r="KIX32" s="482"/>
      <c r="KIY32" s="482"/>
      <c r="KIZ32" s="482"/>
      <c r="KJA32" s="482"/>
      <c r="KJB32" s="482"/>
      <c r="KJC32" s="482"/>
      <c r="KJD32" s="482"/>
      <c r="KJE32" s="482"/>
      <c r="KJF32" s="482"/>
      <c r="KJG32" s="482"/>
      <c r="KJH32" s="482"/>
      <c r="KJI32" s="482"/>
      <c r="KJJ32" s="482"/>
      <c r="KJK32" s="482"/>
      <c r="KJL32" s="482"/>
      <c r="KJM32" s="482"/>
      <c r="KJN32" s="482"/>
      <c r="KJO32" s="482"/>
      <c r="KJP32" s="482"/>
      <c r="KJQ32" s="482"/>
      <c r="KJR32" s="482"/>
      <c r="KJS32" s="482"/>
      <c r="KJT32" s="482"/>
      <c r="KJU32" s="482"/>
      <c r="KJV32" s="482"/>
      <c r="KJW32" s="482"/>
      <c r="KJX32" s="482"/>
      <c r="KJY32" s="482"/>
      <c r="KJZ32" s="482"/>
      <c r="KKA32" s="482"/>
      <c r="KKB32" s="482"/>
      <c r="KKC32" s="482"/>
      <c r="KKD32" s="482"/>
      <c r="KKE32" s="482"/>
      <c r="KKF32" s="482"/>
      <c r="KKG32" s="482"/>
      <c r="KKH32" s="482"/>
      <c r="KKI32" s="482"/>
      <c r="KKJ32" s="482"/>
      <c r="KKK32" s="482"/>
      <c r="KKL32" s="482"/>
      <c r="KKM32" s="482"/>
      <c r="KKN32" s="482"/>
      <c r="KKO32" s="482"/>
      <c r="KKP32" s="482"/>
      <c r="KKQ32" s="482"/>
      <c r="KKR32" s="482"/>
      <c r="KKS32" s="482"/>
      <c r="KKT32" s="482"/>
      <c r="KKU32" s="482"/>
      <c r="KKV32" s="482"/>
      <c r="KKW32" s="482"/>
      <c r="KKX32" s="482"/>
      <c r="KKY32" s="482"/>
      <c r="KKZ32" s="482"/>
      <c r="KLA32" s="482"/>
      <c r="KLB32" s="482"/>
      <c r="KLC32" s="482"/>
      <c r="KLD32" s="482"/>
      <c r="KLE32" s="482"/>
      <c r="KLF32" s="482"/>
      <c r="KLG32" s="482"/>
      <c r="KLH32" s="482"/>
      <c r="KLI32" s="482"/>
      <c r="KLJ32" s="482"/>
      <c r="KLK32" s="482"/>
      <c r="KLL32" s="482"/>
      <c r="KLM32" s="482"/>
      <c r="KLN32" s="482"/>
      <c r="KLO32" s="482"/>
      <c r="KLP32" s="482"/>
      <c r="KLQ32" s="482"/>
      <c r="KLR32" s="482"/>
      <c r="KLS32" s="482"/>
      <c r="KLT32" s="482"/>
      <c r="KLU32" s="482"/>
      <c r="KLV32" s="482"/>
      <c r="KLW32" s="482"/>
      <c r="KLX32" s="482"/>
      <c r="KLY32" s="482"/>
      <c r="KLZ32" s="482"/>
      <c r="KMA32" s="482"/>
      <c r="KMB32" s="482"/>
      <c r="KMC32" s="482"/>
      <c r="KMD32" s="482"/>
      <c r="KME32" s="482"/>
      <c r="KMF32" s="482"/>
      <c r="KMG32" s="482"/>
      <c r="KMH32" s="482"/>
      <c r="KMI32" s="482"/>
      <c r="KMJ32" s="482"/>
      <c r="KMK32" s="482"/>
      <c r="KML32" s="482"/>
      <c r="KMM32" s="482"/>
      <c r="KMN32" s="482"/>
      <c r="KMO32" s="482"/>
      <c r="KMP32" s="482"/>
      <c r="KMQ32" s="482"/>
      <c r="KMR32" s="482"/>
      <c r="KMS32" s="482"/>
      <c r="KMT32" s="482"/>
      <c r="KMU32" s="482"/>
      <c r="KMV32" s="482"/>
      <c r="KMW32" s="482"/>
      <c r="KMX32" s="482"/>
      <c r="KMY32" s="482"/>
      <c r="KMZ32" s="482"/>
      <c r="KNA32" s="482"/>
      <c r="KNB32" s="482"/>
      <c r="KNC32" s="482"/>
      <c r="KND32" s="482"/>
      <c r="KNE32" s="482"/>
      <c r="KNF32" s="482"/>
      <c r="KNG32" s="482"/>
      <c r="KNH32" s="482"/>
      <c r="KNI32" s="482"/>
      <c r="KNJ32" s="482"/>
      <c r="KNK32" s="482"/>
      <c r="KNL32" s="482"/>
      <c r="KNM32" s="482"/>
      <c r="KNN32" s="482"/>
      <c r="KNO32" s="482"/>
      <c r="KNP32" s="482"/>
      <c r="KNQ32" s="482"/>
      <c r="KNR32" s="482"/>
      <c r="KNS32" s="482"/>
      <c r="KNT32" s="482"/>
      <c r="KNU32" s="482"/>
      <c r="KNV32" s="482"/>
      <c r="KNW32" s="482"/>
      <c r="KNX32" s="482"/>
      <c r="KNY32" s="482"/>
      <c r="KNZ32" s="482"/>
      <c r="KOA32" s="482"/>
      <c r="KOB32" s="482"/>
      <c r="KOC32" s="482"/>
      <c r="KOD32" s="482"/>
      <c r="KOE32" s="482"/>
      <c r="KOF32" s="482"/>
      <c r="KOG32" s="482"/>
      <c r="KOH32" s="482"/>
      <c r="KOI32" s="482"/>
      <c r="KOJ32" s="482"/>
      <c r="KOK32" s="482"/>
      <c r="KOL32" s="482"/>
      <c r="KOM32" s="482"/>
      <c r="KON32" s="482"/>
      <c r="KOO32" s="482"/>
      <c r="KOP32" s="482"/>
      <c r="KOQ32" s="482"/>
      <c r="KOR32" s="482"/>
      <c r="KOS32" s="482"/>
      <c r="KOT32" s="482"/>
      <c r="KOU32" s="482"/>
      <c r="KOV32" s="482"/>
      <c r="KOW32" s="482"/>
      <c r="KOX32" s="482"/>
      <c r="KOY32" s="482"/>
      <c r="KOZ32" s="482"/>
      <c r="KPA32" s="482"/>
      <c r="KPB32" s="482"/>
      <c r="KPC32" s="482"/>
      <c r="KPD32" s="482"/>
      <c r="KPE32" s="482"/>
      <c r="KPF32" s="482"/>
      <c r="KPG32" s="482"/>
      <c r="KPH32" s="482"/>
      <c r="KPI32" s="482"/>
      <c r="KPJ32" s="482"/>
      <c r="KPK32" s="482"/>
      <c r="KPL32" s="482"/>
      <c r="KPM32" s="482"/>
      <c r="KPN32" s="482"/>
      <c r="KPO32" s="482"/>
      <c r="KPP32" s="482"/>
      <c r="KPQ32" s="482"/>
      <c r="KPR32" s="482"/>
      <c r="KPS32" s="482"/>
      <c r="KPT32" s="482"/>
      <c r="KPU32" s="482"/>
      <c r="KPV32" s="482"/>
      <c r="KPW32" s="482"/>
      <c r="KPX32" s="482"/>
      <c r="KPY32" s="482"/>
      <c r="KPZ32" s="482"/>
      <c r="KQA32" s="482"/>
      <c r="KQB32" s="482"/>
      <c r="KQC32" s="482"/>
      <c r="KQD32" s="482"/>
      <c r="KQE32" s="482"/>
      <c r="KQF32" s="482"/>
      <c r="KQG32" s="482"/>
      <c r="KQH32" s="482"/>
      <c r="KQI32" s="482"/>
      <c r="KQJ32" s="482"/>
      <c r="KQK32" s="482"/>
      <c r="KQL32" s="482"/>
      <c r="KQM32" s="482"/>
      <c r="KQN32" s="482"/>
      <c r="KQO32" s="482"/>
      <c r="KQP32" s="482"/>
      <c r="KQQ32" s="482"/>
      <c r="KQR32" s="482"/>
      <c r="KQS32" s="482"/>
      <c r="KQT32" s="482"/>
      <c r="KQU32" s="482"/>
      <c r="KQV32" s="482"/>
      <c r="KQW32" s="482"/>
      <c r="KQX32" s="482"/>
      <c r="KQY32" s="482"/>
      <c r="KQZ32" s="482"/>
      <c r="KRA32" s="482"/>
      <c r="KRB32" s="482"/>
      <c r="KRC32" s="482"/>
      <c r="KRD32" s="482"/>
      <c r="KRE32" s="482"/>
      <c r="KRF32" s="482"/>
      <c r="KRG32" s="482"/>
      <c r="KRH32" s="482"/>
      <c r="KRI32" s="482"/>
      <c r="KRJ32" s="482"/>
      <c r="KRK32" s="482"/>
      <c r="KRL32" s="482"/>
      <c r="KRM32" s="482"/>
      <c r="KRN32" s="482"/>
      <c r="KRO32" s="482"/>
      <c r="KRP32" s="482"/>
      <c r="KRQ32" s="482"/>
      <c r="KRR32" s="482"/>
      <c r="KRS32" s="482"/>
      <c r="KRT32" s="482"/>
      <c r="KRU32" s="482"/>
      <c r="KRV32" s="482"/>
      <c r="KRW32" s="482"/>
      <c r="KRX32" s="482"/>
      <c r="KRY32" s="482"/>
      <c r="KRZ32" s="482"/>
      <c r="KSA32" s="482"/>
      <c r="KSB32" s="482"/>
      <c r="KSC32" s="482"/>
      <c r="KSD32" s="482"/>
      <c r="KSE32" s="482"/>
      <c r="KSF32" s="482"/>
      <c r="KSG32" s="482"/>
      <c r="KSH32" s="482"/>
      <c r="KSI32" s="482"/>
      <c r="KSJ32" s="482"/>
      <c r="KSK32" s="482"/>
      <c r="KSL32" s="482"/>
      <c r="KSM32" s="482"/>
      <c r="KSN32" s="482"/>
      <c r="KSO32" s="482"/>
      <c r="KSP32" s="482"/>
      <c r="KSQ32" s="482"/>
      <c r="KSR32" s="482"/>
      <c r="KSS32" s="482"/>
      <c r="KST32" s="482"/>
      <c r="KSU32" s="482"/>
      <c r="KSV32" s="482"/>
      <c r="KSW32" s="482"/>
      <c r="KSX32" s="482"/>
      <c r="KSY32" s="482"/>
      <c r="KSZ32" s="482"/>
      <c r="KTA32" s="482"/>
      <c r="KTB32" s="482"/>
      <c r="KTC32" s="482"/>
      <c r="KTD32" s="482"/>
      <c r="KTE32" s="482"/>
      <c r="KTF32" s="482"/>
      <c r="KTG32" s="482"/>
      <c r="KTH32" s="482"/>
      <c r="KTI32" s="482"/>
      <c r="KTJ32" s="482"/>
      <c r="KTK32" s="482"/>
      <c r="KTL32" s="482"/>
      <c r="KTM32" s="482"/>
      <c r="KTN32" s="482"/>
      <c r="KTO32" s="482"/>
      <c r="KTP32" s="482"/>
      <c r="KTQ32" s="482"/>
      <c r="KTR32" s="482"/>
      <c r="KTS32" s="482"/>
      <c r="KTT32" s="482"/>
      <c r="KTU32" s="482"/>
      <c r="KTV32" s="482"/>
      <c r="KTW32" s="482"/>
      <c r="KTX32" s="482"/>
      <c r="KTY32" s="482"/>
      <c r="KTZ32" s="482"/>
      <c r="KUA32" s="482"/>
      <c r="KUB32" s="482"/>
      <c r="KUC32" s="482"/>
      <c r="KUD32" s="482"/>
      <c r="KUE32" s="482"/>
      <c r="KUF32" s="482"/>
      <c r="KUG32" s="482"/>
      <c r="KUH32" s="482"/>
      <c r="KUI32" s="482"/>
      <c r="KUJ32" s="482"/>
      <c r="KUK32" s="482"/>
      <c r="KUL32" s="482"/>
      <c r="KUM32" s="482"/>
      <c r="KUN32" s="482"/>
      <c r="KUO32" s="482"/>
      <c r="KUP32" s="482"/>
      <c r="KUQ32" s="482"/>
      <c r="KUR32" s="482"/>
      <c r="KUS32" s="482"/>
      <c r="KUT32" s="482"/>
      <c r="KUU32" s="482"/>
      <c r="KUV32" s="482"/>
      <c r="KUW32" s="482"/>
      <c r="KUX32" s="482"/>
      <c r="KUY32" s="482"/>
      <c r="KUZ32" s="482"/>
      <c r="KVA32" s="482"/>
      <c r="KVB32" s="482"/>
      <c r="KVC32" s="482"/>
      <c r="KVD32" s="482"/>
      <c r="KVE32" s="482"/>
      <c r="KVF32" s="482"/>
      <c r="KVG32" s="482"/>
      <c r="KVH32" s="482"/>
      <c r="KVI32" s="482"/>
      <c r="KVJ32" s="482"/>
      <c r="KVK32" s="482"/>
      <c r="KVL32" s="482"/>
      <c r="KVM32" s="482"/>
      <c r="KVN32" s="482"/>
      <c r="KVO32" s="482"/>
      <c r="KVP32" s="482"/>
      <c r="KVQ32" s="482"/>
      <c r="KVR32" s="482"/>
      <c r="KVS32" s="482"/>
      <c r="KVT32" s="482"/>
      <c r="KVU32" s="482"/>
      <c r="KVV32" s="482"/>
      <c r="KVW32" s="482"/>
      <c r="KVX32" s="482"/>
      <c r="KVY32" s="482"/>
      <c r="KVZ32" s="482"/>
      <c r="KWA32" s="482"/>
      <c r="KWB32" s="482"/>
      <c r="KWC32" s="482"/>
      <c r="KWD32" s="482"/>
      <c r="KWE32" s="482"/>
      <c r="KWF32" s="482"/>
      <c r="KWG32" s="482"/>
      <c r="KWH32" s="482"/>
      <c r="KWI32" s="482"/>
      <c r="KWJ32" s="482"/>
      <c r="KWK32" s="482"/>
      <c r="KWL32" s="482"/>
      <c r="KWM32" s="482"/>
      <c r="KWN32" s="482"/>
      <c r="KWO32" s="482"/>
      <c r="KWP32" s="482"/>
      <c r="KWQ32" s="482"/>
      <c r="KWR32" s="482"/>
      <c r="KWS32" s="482"/>
      <c r="KWT32" s="482"/>
      <c r="KWU32" s="482"/>
      <c r="KWV32" s="482"/>
      <c r="KWW32" s="482"/>
      <c r="KWX32" s="482"/>
      <c r="KWY32" s="482"/>
      <c r="KWZ32" s="482"/>
      <c r="KXA32" s="482"/>
      <c r="KXB32" s="482"/>
      <c r="KXC32" s="482"/>
      <c r="KXD32" s="482"/>
      <c r="KXE32" s="482"/>
      <c r="KXF32" s="482"/>
      <c r="KXG32" s="482"/>
      <c r="KXH32" s="482"/>
      <c r="KXI32" s="482"/>
      <c r="KXJ32" s="482"/>
      <c r="KXK32" s="482"/>
      <c r="KXL32" s="482"/>
      <c r="KXM32" s="482"/>
      <c r="KXN32" s="482"/>
      <c r="KXO32" s="482"/>
      <c r="KXP32" s="482"/>
      <c r="KXQ32" s="482"/>
      <c r="KXR32" s="482"/>
      <c r="KXS32" s="482"/>
      <c r="KXT32" s="482"/>
      <c r="KXU32" s="482"/>
      <c r="KXV32" s="482"/>
      <c r="KXW32" s="482"/>
      <c r="KXX32" s="482"/>
      <c r="KXY32" s="482"/>
      <c r="KXZ32" s="482"/>
      <c r="KYA32" s="482"/>
      <c r="KYB32" s="482"/>
      <c r="KYC32" s="482"/>
      <c r="KYD32" s="482"/>
      <c r="KYE32" s="482"/>
      <c r="KYF32" s="482"/>
      <c r="KYG32" s="482"/>
      <c r="KYH32" s="482"/>
      <c r="KYI32" s="482"/>
      <c r="KYJ32" s="482"/>
      <c r="KYK32" s="482"/>
      <c r="KYL32" s="482"/>
      <c r="KYM32" s="482"/>
      <c r="KYN32" s="482"/>
      <c r="KYO32" s="482"/>
      <c r="KYP32" s="482"/>
      <c r="KYQ32" s="482"/>
      <c r="KYR32" s="482"/>
      <c r="KYS32" s="482"/>
      <c r="KYT32" s="482"/>
      <c r="KYU32" s="482"/>
      <c r="KYV32" s="482"/>
      <c r="KYW32" s="482"/>
      <c r="KYX32" s="482"/>
      <c r="KYY32" s="482"/>
      <c r="KYZ32" s="482"/>
      <c r="KZA32" s="482"/>
      <c r="KZB32" s="482"/>
      <c r="KZC32" s="482"/>
      <c r="KZD32" s="482"/>
      <c r="KZE32" s="482"/>
      <c r="KZF32" s="482"/>
      <c r="KZG32" s="482"/>
      <c r="KZH32" s="482"/>
      <c r="KZI32" s="482"/>
      <c r="KZJ32" s="482"/>
      <c r="KZK32" s="482"/>
      <c r="KZL32" s="482"/>
      <c r="KZM32" s="482"/>
      <c r="KZN32" s="482"/>
      <c r="KZO32" s="482"/>
      <c r="KZP32" s="482"/>
      <c r="KZQ32" s="482"/>
      <c r="KZR32" s="482"/>
      <c r="KZS32" s="482"/>
      <c r="KZT32" s="482"/>
      <c r="KZU32" s="482"/>
      <c r="KZV32" s="482"/>
      <c r="KZW32" s="482"/>
      <c r="KZX32" s="482"/>
      <c r="KZY32" s="482"/>
      <c r="KZZ32" s="482"/>
      <c r="LAA32" s="482"/>
      <c r="LAB32" s="482"/>
      <c r="LAC32" s="482"/>
      <c r="LAD32" s="482"/>
      <c r="LAE32" s="482"/>
      <c r="LAF32" s="482"/>
      <c r="LAG32" s="482"/>
      <c r="LAH32" s="482"/>
      <c r="LAI32" s="482"/>
      <c r="LAJ32" s="482"/>
      <c r="LAK32" s="482"/>
      <c r="LAL32" s="482"/>
      <c r="LAM32" s="482"/>
      <c r="LAN32" s="482"/>
      <c r="LAO32" s="482"/>
      <c r="LAP32" s="482"/>
      <c r="LAQ32" s="482"/>
      <c r="LAR32" s="482"/>
      <c r="LAS32" s="482"/>
      <c r="LAT32" s="482"/>
      <c r="LAU32" s="482"/>
      <c r="LAV32" s="482"/>
      <c r="LAW32" s="482"/>
      <c r="LAX32" s="482"/>
      <c r="LAY32" s="482"/>
      <c r="LAZ32" s="482"/>
      <c r="LBA32" s="482"/>
      <c r="LBB32" s="482"/>
      <c r="LBC32" s="482"/>
      <c r="LBD32" s="482"/>
      <c r="LBE32" s="482"/>
      <c r="LBF32" s="482"/>
      <c r="LBG32" s="482"/>
      <c r="LBH32" s="482"/>
      <c r="LBI32" s="482"/>
      <c r="LBJ32" s="482"/>
      <c r="LBK32" s="482"/>
      <c r="LBL32" s="482"/>
      <c r="LBM32" s="482"/>
      <c r="LBN32" s="482"/>
      <c r="LBO32" s="482"/>
      <c r="LBP32" s="482"/>
      <c r="LBQ32" s="482"/>
      <c r="LBR32" s="482"/>
      <c r="LBS32" s="482"/>
      <c r="LBT32" s="482"/>
      <c r="LBU32" s="482"/>
      <c r="LBV32" s="482"/>
      <c r="LBW32" s="482"/>
      <c r="LBX32" s="482"/>
      <c r="LBY32" s="482"/>
      <c r="LBZ32" s="482"/>
      <c r="LCA32" s="482"/>
      <c r="LCB32" s="482"/>
      <c r="LCC32" s="482"/>
      <c r="LCD32" s="482"/>
      <c r="LCE32" s="482"/>
      <c r="LCF32" s="482"/>
      <c r="LCG32" s="482"/>
      <c r="LCH32" s="482"/>
      <c r="LCI32" s="482"/>
      <c r="LCJ32" s="482"/>
      <c r="LCK32" s="482"/>
      <c r="LCL32" s="482"/>
      <c r="LCM32" s="482"/>
      <c r="LCN32" s="482"/>
      <c r="LCO32" s="482"/>
      <c r="LCP32" s="482"/>
      <c r="LCQ32" s="482"/>
      <c r="LCR32" s="482"/>
      <c r="LCS32" s="482"/>
      <c r="LCT32" s="482"/>
      <c r="LCU32" s="482"/>
      <c r="LCV32" s="482"/>
      <c r="LCW32" s="482"/>
      <c r="LCX32" s="482"/>
      <c r="LCY32" s="482"/>
      <c r="LCZ32" s="482"/>
      <c r="LDA32" s="482"/>
      <c r="LDB32" s="482"/>
      <c r="LDC32" s="482"/>
      <c r="LDD32" s="482"/>
      <c r="LDE32" s="482"/>
      <c r="LDF32" s="482"/>
      <c r="LDG32" s="482"/>
      <c r="LDH32" s="482"/>
      <c r="LDI32" s="482"/>
      <c r="LDJ32" s="482"/>
      <c r="LDK32" s="482"/>
      <c r="LDL32" s="482"/>
      <c r="LDM32" s="482"/>
      <c r="LDN32" s="482"/>
      <c r="LDO32" s="482"/>
      <c r="LDP32" s="482"/>
      <c r="LDQ32" s="482"/>
      <c r="LDR32" s="482"/>
      <c r="LDS32" s="482"/>
      <c r="LDT32" s="482"/>
      <c r="LDU32" s="482"/>
      <c r="LDV32" s="482"/>
      <c r="LDW32" s="482"/>
      <c r="LDX32" s="482"/>
      <c r="LDY32" s="482"/>
      <c r="LDZ32" s="482"/>
      <c r="LEA32" s="482"/>
      <c r="LEB32" s="482"/>
      <c r="LEC32" s="482"/>
      <c r="LED32" s="482"/>
      <c r="LEE32" s="482"/>
      <c r="LEF32" s="482"/>
      <c r="LEG32" s="482"/>
      <c r="LEH32" s="482"/>
      <c r="LEI32" s="482"/>
      <c r="LEJ32" s="482"/>
      <c r="LEK32" s="482"/>
      <c r="LEL32" s="482"/>
      <c r="LEM32" s="482"/>
      <c r="LEN32" s="482"/>
      <c r="LEO32" s="482"/>
      <c r="LEP32" s="482"/>
      <c r="LEQ32" s="482"/>
      <c r="LER32" s="482"/>
      <c r="LES32" s="482"/>
      <c r="LET32" s="482"/>
      <c r="LEU32" s="482"/>
      <c r="LEV32" s="482"/>
      <c r="LEW32" s="482"/>
      <c r="LEX32" s="482"/>
      <c r="LEY32" s="482"/>
      <c r="LEZ32" s="482"/>
      <c r="LFA32" s="482"/>
      <c r="LFB32" s="482"/>
      <c r="LFC32" s="482"/>
      <c r="LFD32" s="482"/>
      <c r="LFE32" s="482"/>
      <c r="LFF32" s="482"/>
      <c r="LFG32" s="482"/>
      <c r="LFH32" s="482"/>
      <c r="LFI32" s="482"/>
      <c r="LFJ32" s="482"/>
      <c r="LFK32" s="482"/>
      <c r="LFL32" s="482"/>
      <c r="LFM32" s="482"/>
      <c r="LFN32" s="482"/>
      <c r="LFO32" s="482"/>
      <c r="LFP32" s="482"/>
      <c r="LFQ32" s="482"/>
      <c r="LFR32" s="482"/>
      <c r="LFS32" s="482"/>
      <c r="LFT32" s="482"/>
      <c r="LFU32" s="482"/>
      <c r="LFV32" s="482"/>
      <c r="LFW32" s="482"/>
      <c r="LFX32" s="482"/>
      <c r="LFY32" s="482"/>
      <c r="LFZ32" s="482"/>
      <c r="LGA32" s="482"/>
      <c r="LGB32" s="482"/>
      <c r="LGC32" s="482"/>
      <c r="LGD32" s="482"/>
      <c r="LGE32" s="482"/>
      <c r="LGF32" s="482"/>
      <c r="LGG32" s="482"/>
      <c r="LGH32" s="482"/>
      <c r="LGI32" s="482"/>
      <c r="LGJ32" s="482"/>
      <c r="LGK32" s="482"/>
      <c r="LGL32" s="482"/>
      <c r="LGM32" s="482"/>
      <c r="LGN32" s="482"/>
      <c r="LGO32" s="482"/>
      <c r="LGP32" s="482"/>
      <c r="LGQ32" s="482"/>
      <c r="LGR32" s="482"/>
      <c r="LGS32" s="482"/>
      <c r="LGT32" s="482"/>
      <c r="LGU32" s="482"/>
      <c r="LGV32" s="482"/>
      <c r="LGW32" s="482"/>
      <c r="LGX32" s="482"/>
      <c r="LGY32" s="482"/>
      <c r="LGZ32" s="482"/>
      <c r="LHA32" s="482"/>
      <c r="LHB32" s="482"/>
      <c r="LHC32" s="482"/>
      <c r="LHD32" s="482"/>
      <c r="LHE32" s="482"/>
      <c r="LHF32" s="482"/>
      <c r="LHG32" s="482"/>
      <c r="LHH32" s="482"/>
      <c r="LHI32" s="482"/>
      <c r="LHJ32" s="482"/>
      <c r="LHK32" s="482"/>
      <c r="LHL32" s="482"/>
      <c r="LHM32" s="482"/>
      <c r="LHN32" s="482"/>
      <c r="LHO32" s="482"/>
      <c r="LHP32" s="482"/>
      <c r="LHQ32" s="482"/>
      <c r="LHR32" s="482"/>
      <c r="LHS32" s="482"/>
      <c r="LHT32" s="482"/>
      <c r="LHU32" s="482"/>
      <c r="LHV32" s="482"/>
      <c r="LHW32" s="482"/>
      <c r="LHX32" s="482"/>
      <c r="LHY32" s="482"/>
      <c r="LHZ32" s="482"/>
      <c r="LIA32" s="482"/>
      <c r="LIB32" s="482"/>
      <c r="LIC32" s="482"/>
      <c r="LID32" s="482"/>
      <c r="LIE32" s="482"/>
      <c r="LIF32" s="482"/>
      <c r="LIG32" s="482"/>
      <c r="LIH32" s="482"/>
      <c r="LII32" s="482"/>
      <c r="LIJ32" s="482"/>
      <c r="LIK32" s="482"/>
      <c r="LIL32" s="482"/>
      <c r="LIM32" s="482"/>
      <c r="LIN32" s="482"/>
      <c r="LIO32" s="482"/>
      <c r="LIP32" s="482"/>
      <c r="LIQ32" s="482"/>
      <c r="LIR32" s="482"/>
      <c r="LIS32" s="482"/>
      <c r="LIT32" s="482"/>
      <c r="LIU32" s="482"/>
      <c r="LIV32" s="482"/>
      <c r="LIW32" s="482"/>
      <c r="LIX32" s="482"/>
      <c r="LIY32" s="482"/>
      <c r="LIZ32" s="482"/>
      <c r="LJA32" s="482"/>
      <c r="LJB32" s="482"/>
      <c r="LJC32" s="482"/>
      <c r="LJD32" s="482"/>
      <c r="LJE32" s="482"/>
      <c r="LJF32" s="482"/>
      <c r="LJG32" s="482"/>
      <c r="LJH32" s="482"/>
      <c r="LJI32" s="482"/>
      <c r="LJJ32" s="482"/>
      <c r="LJK32" s="482"/>
      <c r="LJL32" s="482"/>
      <c r="LJM32" s="482"/>
      <c r="LJN32" s="482"/>
      <c r="LJO32" s="482"/>
      <c r="LJP32" s="482"/>
      <c r="LJQ32" s="482"/>
      <c r="LJR32" s="482"/>
      <c r="LJS32" s="482"/>
      <c r="LJT32" s="482"/>
      <c r="LJU32" s="482"/>
      <c r="LJV32" s="482"/>
      <c r="LJW32" s="482"/>
      <c r="LJX32" s="482"/>
      <c r="LJY32" s="482"/>
      <c r="LJZ32" s="482"/>
      <c r="LKA32" s="482"/>
      <c r="LKB32" s="482"/>
      <c r="LKC32" s="482"/>
      <c r="LKD32" s="482"/>
      <c r="LKE32" s="482"/>
      <c r="LKF32" s="482"/>
      <c r="LKG32" s="482"/>
      <c r="LKH32" s="482"/>
      <c r="LKI32" s="482"/>
      <c r="LKJ32" s="482"/>
      <c r="LKK32" s="482"/>
      <c r="LKL32" s="482"/>
      <c r="LKM32" s="482"/>
      <c r="LKN32" s="482"/>
      <c r="LKO32" s="482"/>
      <c r="LKP32" s="482"/>
      <c r="LKQ32" s="482"/>
      <c r="LKR32" s="482"/>
      <c r="LKS32" s="482"/>
      <c r="LKT32" s="482"/>
      <c r="LKU32" s="482"/>
      <c r="LKV32" s="482"/>
      <c r="LKW32" s="482"/>
      <c r="LKX32" s="482"/>
      <c r="LKY32" s="482"/>
      <c r="LKZ32" s="482"/>
      <c r="LLA32" s="482"/>
      <c r="LLB32" s="482"/>
      <c r="LLC32" s="482"/>
      <c r="LLD32" s="482"/>
      <c r="LLE32" s="482"/>
      <c r="LLF32" s="482"/>
      <c r="LLG32" s="482"/>
      <c r="LLH32" s="482"/>
      <c r="LLI32" s="482"/>
      <c r="LLJ32" s="482"/>
      <c r="LLK32" s="482"/>
      <c r="LLL32" s="482"/>
      <c r="LLM32" s="482"/>
      <c r="LLN32" s="482"/>
      <c r="LLO32" s="482"/>
      <c r="LLP32" s="482"/>
      <c r="LLQ32" s="482"/>
      <c r="LLR32" s="482"/>
      <c r="LLS32" s="482"/>
      <c r="LLT32" s="482"/>
      <c r="LLU32" s="482"/>
      <c r="LLV32" s="482"/>
      <c r="LLW32" s="482"/>
      <c r="LLX32" s="482"/>
      <c r="LLY32" s="482"/>
      <c r="LLZ32" s="482"/>
      <c r="LMA32" s="482"/>
      <c r="LMB32" s="482"/>
      <c r="LMC32" s="482"/>
      <c r="LMD32" s="482"/>
      <c r="LME32" s="482"/>
      <c r="LMF32" s="482"/>
      <c r="LMG32" s="482"/>
      <c r="LMH32" s="482"/>
      <c r="LMI32" s="482"/>
      <c r="LMJ32" s="482"/>
      <c r="LMK32" s="482"/>
      <c r="LML32" s="482"/>
      <c r="LMM32" s="482"/>
      <c r="LMN32" s="482"/>
      <c r="LMO32" s="482"/>
      <c r="LMP32" s="482"/>
      <c r="LMQ32" s="482"/>
      <c r="LMR32" s="482"/>
      <c r="LMS32" s="482"/>
      <c r="LMT32" s="482"/>
      <c r="LMU32" s="482"/>
      <c r="LMV32" s="482"/>
      <c r="LMW32" s="482"/>
      <c r="LMX32" s="482"/>
      <c r="LMY32" s="482"/>
      <c r="LMZ32" s="482"/>
      <c r="LNA32" s="482"/>
      <c r="LNB32" s="482"/>
      <c r="LNC32" s="482"/>
      <c r="LND32" s="482"/>
      <c r="LNE32" s="482"/>
      <c r="LNF32" s="482"/>
      <c r="LNG32" s="482"/>
      <c r="LNH32" s="482"/>
      <c r="LNI32" s="482"/>
      <c r="LNJ32" s="482"/>
      <c r="LNK32" s="482"/>
      <c r="LNL32" s="482"/>
      <c r="LNM32" s="482"/>
      <c r="LNN32" s="482"/>
      <c r="LNO32" s="482"/>
      <c r="LNP32" s="482"/>
      <c r="LNQ32" s="482"/>
      <c r="LNR32" s="482"/>
      <c r="LNS32" s="482"/>
      <c r="LNT32" s="482"/>
      <c r="LNU32" s="482"/>
      <c r="LNV32" s="482"/>
      <c r="LNW32" s="482"/>
      <c r="LNX32" s="482"/>
      <c r="LNY32" s="482"/>
      <c r="LNZ32" s="482"/>
      <c r="LOA32" s="482"/>
      <c r="LOB32" s="482"/>
      <c r="LOC32" s="482"/>
      <c r="LOD32" s="482"/>
      <c r="LOE32" s="482"/>
      <c r="LOF32" s="482"/>
      <c r="LOG32" s="482"/>
      <c r="LOH32" s="482"/>
      <c r="LOI32" s="482"/>
      <c r="LOJ32" s="482"/>
      <c r="LOK32" s="482"/>
      <c r="LOL32" s="482"/>
      <c r="LOM32" s="482"/>
      <c r="LON32" s="482"/>
      <c r="LOO32" s="482"/>
      <c r="LOP32" s="482"/>
      <c r="LOQ32" s="482"/>
      <c r="LOR32" s="482"/>
      <c r="LOS32" s="482"/>
      <c r="LOT32" s="482"/>
      <c r="LOU32" s="482"/>
      <c r="LOV32" s="482"/>
      <c r="LOW32" s="482"/>
      <c r="LOX32" s="482"/>
      <c r="LOY32" s="482"/>
      <c r="LOZ32" s="482"/>
      <c r="LPA32" s="482"/>
      <c r="LPB32" s="482"/>
      <c r="LPC32" s="482"/>
      <c r="LPD32" s="482"/>
      <c r="LPE32" s="482"/>
      <c r="LPF32" s="482"/>
      <c r="LPG32" s="482"/>
      <c r="LPH32" s="482"/>
      <c r="LPI32" s="482"/>
      <c r="LPJ32" s="482"/>
      <c r="LPK32" s="482"/>
      <c r="LPL32" s="482"/>
      <c r="LPM32" s="482"/>
      <c r="LPN32" s="482"/>
      <c r="LPO32" s="482"/>
      <c r="LPP32" s="482"/>
      <c r="LPQ32" s="482"/>
      <c r="LPR32" s="482"/>
      <c r="LPS32" s="482"/>
      <c r="LPT32" s="482"/>
      <c r="LPU32" s="482"/>
      <c r="LPV32" s="482"/>
      <c r="LPW32" s="482"/>
      <c r="LPX32" s="482"/>
      <c r="LPY32" s="482"/>
      <c r="LPZ32" s="482"/>
      <c r="LQA32" s="482"/>
      <c r="LQB32" s="482"/>
      <c r="LQC32" s="482"/>
      <c r="LQD32" s="482"/>
      <c r="LQE32" s="482"/>
      <c r="LQF32" s="482"/>
      <c r="LQG32" s="482"/>
      <c r="LQH32" s="482"/>
      <c r="LQI32" s="482"/>
      <c r="LQJ32" s="482"/>
      <c r="LQK32" s="482"/>
      <c r="LQL32" s="482"/>
      <c r="LQM32" s="482"/>
      <c r="LQN32" s="482"/>
      <c r="LQO32" s="482"/>
      <c r="LQP32" s="482"/>
      <c r="LQQ32" s="482"/>
      <c r="LQR32" s="482"/>
      <c r="LQS32" s="482"/>
      <c r="LQT32" s="482"/>
      <c r="LQU32" s="482"/>
      <c r="LQV32" s="482"/>
      <c r="LQW32" s="482"/>
      <c r="LQX32" s="482"/>
      <c r="LQY32" s="482"/>
      <c r="LQZ32" s="482"/>
      <c r="LRA32" s="482"/>
      <c r="LRB32" s="482"/>
      <c r="LRC32" s="482"/>
      <c r="LRD32" s="482"/>
      <c r="LRE32" s="482"/>
      <c r="LRF32" s="482"/>
      <c r="LRG32" s="482"/>
      <c r="LRH32" s="482"/>
      <c r="LRI32" s="482"/>
      <c r="LRJ32" s="482"/>
      <c r="LRK32" s="482"/>
      <c r="LRL32" s="482"/>
      <c r="LRM32" s="482"/>
      <c r="LRN32" s="482"/>
      <c r="LRO32" s="482"/>
      <c r="LRP32" s="482"/>
      <c r="LRQ32" s="482"/>
      <c r="LRR32" s="482"/>
      <c r="LRS32" s="482"/>
      <c r="LRT32" s="482"/>
      <c r="LRU32" s="482"/>
      <c r="LRV32" s="482"/>
      <c r="LRW32" s="482"/>
      <c r="LRX32" s="482"/>
      <c r="LRY32" s="482"/>
      <c r="LRZ32" s="482"/>
      <c r="LSA32" s="482"/>
      <c r="LSB32" s="482"/>
      <c r="LSC32" s="482"/>
      <c r="LSD32" s="482"/>
      <c r="LSE32" s="482"/>
      <c r="LSF32" s="482"/>
      <c r="LSG32" s="482"/>
      <c r="LSH32" s="482"/>
      <c r="LSI32" s="482"/>
      <c r="LSJ32" s="482"/>
      <c r="LSK32" s="482"/>
      <c r="LSL32" s="482"/>
      <c r="LSM32" s="482"/>
      <c r="LSN32" s="482"/>
      <c r="LSO32" s="482"/>
      <c r="LSP32" s="482"/>
      <c r="LSQ32" s="482"/>
      <c r="LSR32" s="482"/>
      <c r="LSS32" s="482"/>
      <c r="LST32" s="482"/>
      <c r="LSU32" s="482"/>
      <c r="LSV32" s="482"/>
      <c r="LSW32" s="482"/>
      <c r="LSX32" s="482"/>
      <c r="LSY32" s="482"/>
      <c r="LSZ32" s="482"/>
      <c r="LTA32" s="482"/>
      <c r="LTB32" s="482"/>
      <c r="LTC32" s="482"/>
      <c r="LTD32" s="482"/>
      <c r="LTE32" s="482"/>
      <c r="LTF32" s="482"/>
      <c r="LTG32" s="482"/>
      <c r="LTH32" s="482"/>
      <c r="LTI32" s="482"/>
      <c r="LTJ32" s="482"/>
      <c r="LTK32" s="482"/>
      <c r="LTL32" s="482"/>
      <c r="LTM32" s="482"/>
      <c r="LTN32" s="482"/>
      <c r="LTO32" s="482"/>
      <c r="LTP32" s="482"/>
      <c r="LTQ32" s="482"/>
      <c r="LTR32" s="482"/>
      <c r="LTS32" s="482"/>
      <c r="LTT32" s="482"/>
      <c r="LTU32" s="482"/>
      <c r="LTV32" s="482"/>
      <c r="LTW32" s="482"/>
      <c r="LTX32" s="482"/>
      <c r="LTY32" s="482"/>
      <c r="LTZ32" s="482"/>
      <c r="LUA32" s="482"/>
      <c r="LUB32" s="482"/>
      <c r="LUC32" s="482"/>
      <c r="LUD32" s="482"/>
      <c r="LUE32" s="482"/>
      <c r="LUF32" s="482"/>
      <c r="LUG32" s="482"/>
      <c r="LUH32" s="482"/>
      <c r="LUI32" s="482"/>
      <c r="LUJ32" s="482"/>
      <c r="LUK32" s="482"/>
      <c r="LUL32" s="482"/>
      <c r="LUM32" s="482"/>
      <c r="LUN32" s="482"/>
      <c r="LUO32" s="482"/>
      <c r="LUP32" s="482"/>
      <c r="LUQ32" s="482"/>
      <c r="LUR32" s="482"/>
      <c r="LUS32" s="482"/>
      <c r="LUT32" s="482"/>
      <c r="LUU32" s="482"/>
      <c r="LUV32" s="482"/>
      <c r="LUW32" s="482"/>
      <c r="LUX32" s="482"/>
      <c r="LUY32" s="482"/>
      <c r="LUZ32" s="482"/>
      <c r="LVA32" s="482"/>
      <c r="LVB32" s="482"/>
      <c r="LVC32" s="482"/>
      <c r="LVD32" s="482"/>
      <c r="LVE32" s="482"/>
      <c r="LVF32" s="482"/>
      <c r="LVG32" s="482"/>
      <c r="LVH32" s="482"/>
      <c r="LVI32" s="482"/>
      <c r="LVJ32" s="482"/>
      <c r="LVK32" s="482"/>
      <c r="LVL32" s="482"/>
      <c r="LVM32" s="482"/>
      <c r="LVN32" s="482"/>
      <c r="LVO32" s="482"/>
      <c r="LVP32" s="482"/>
      <c r="LVQ32" s="482"/>
      <c r="LVR32" s="482"/>
      <c r="LVS32" s="482"/>
      <c r="LVT32" s="482"/>
      <c r="LVU32" s="482"/>
      <c r="LVV32" s="482"/>
      <c r="LVW32" s="482"/>
      <c r="LVX32" s="482"/>
      <c r="LVY32" s="482"/>
      <c r="LVZ32" s="482"/>
      <c r="LWA32" s="482"/>
      <c r="LWB32" s="482"/>
      <c r="LWC32" s="482"/>
      <c r="LWD32" s="482"/>
      <c r="LWE32" s="482"/>
      <c r="LWF32" s="482"/>
      <c r="LWG32" s="482"/>
      <c r="LWH32" s="482"/>
      <c r="LWI32" s="482"/>
      <c r="LWJ32" s="482"/>
      <c r="LWK32" s="482"/>
      <c r="LWL32" s="482"/>
      <c r="LWM32" s="482"/>
      <c r="LWN32" s="482"/>
      <c r="LWO32" s="482"/>
      <c r="LWP32" s="482"/>
      <c r="LWQ32" s="482"/>
      <c r="LWR32" s="482"/>
      <c r="LWS32" s="482"/>
      <c r="LWT32" s="482"/>
      <c r="LWU32" s="482"/>
      <c r="LWV32" s="482"/>
      <c r="LWW32" s="482"/>
      <c r="LWX32" s="482"/>
      <c r="LWY32" s="482"/>
      <c r="LWZ32" s="482"/>
      <c r="LXA32" s="482"/>
      <c r="LXB32" s="482"/>
      <c r="LXC32" s="482"/>
      <c r="LXD32" s="482"/>
      <c r="LXE32" s="482"/>
      <c r="LXF32" s="482"/>
      <c r="LXG32" s="482"/>
      <c r="LXH32" s="482"/>
      <c r="LXI32" s="482"/>
      <c r="LXJ32" s="482"/>
      <c r="LXK32" s="482"/>
      <c r="LXL32" s="482"/>
      <c r="LXM32" s="482"/>
      <c r="LXN32" s="482"/>
      <c r="LXO32" s="482"/>
      <c r="LXP32" s="482"/>
      <c r="LXQ32" s="482"/>
      <c r="LXR32" s="482"/>
      <c r="LXS32" s="482"/>
      <c r="LXT32" s="482"/>
      <c r="LXU32" s="482"/>
      <c r="LXV32" s="482"/>
      <c r="LXW32" s="482"/>
      <c r="LXX32" s="482"/>
      <c r="LXY32" s="482"/>
      <c r="LXZ32" s="482"/>
      <c r="LYA32" s="482"/>
      <c r="LYB32" s="482"/>
      <c r="LYC32" s="482"/>
      <c r="LYD32" s="482"/>
      <c r="LYE32" s="482"/>
      <c r="LYF32" s="482"/>
      <c r="LYG32" s="482"/>
      <c r="LYH32" s="482"/>
      <c r="LYI32" s="482"/>
      <c r="LYJ32" s="482"/>
      <c r="LYK32" s="482"/>
      <c r="LYL32" s="482"/>
      <c r="LYM32" s="482"/>
      <c r="LYN32" s="482"/>
      <c r="LYO32" s="482"/>
      <c r="LYP32" s="482"/>
      <c r="LYQ32" s="482"/>
      <c r="LYR32" s="482"/>
      <c r="LYS32" s="482"/>
      <c r="LYT32" s="482"/>
      <c r="LYU32" s="482"/>
      <c r="LYV32" s="482"/>
      <c r="LYW32" s="482"/>
      <c r="LYX32" s="482"/>
      <c r="LYY32" s="482"/>
      <c r="LYZ32" s="482"/>
      <c r="LZA32" s="482"/>
      <c r="LZB32" s="482"/>
      <c r="LZC32" s="482"/>
      <c r="LZD32" s="482"/>
      <c r="LZE32" s="482"/>
      <c r="LZF32" s="482"/>
      <c r="LZG32" s="482"/>
      <c r="LZH32" s="482"/>
      <c r="LZI32" s="482"/>
      <c r="LZJ32" s="482"/>
      <c r="LZK32" s="482"/>
      <c r="LZL32" s="482"/>
      <c r="LZM32" s="482"/>
      <c r="LZN32" s="482"/>
      <c r="LZO32" s="482"/>
      <c r="LZP32" s="482"/>
      <c r="LZQ32" s="482"/>
      <c r="LZR32" s="482"/>
      <c r="LZS32" s="482"/>
      <c r="LZT32" s="482"/>
      <c r="LZU32" s="482"/>
      <c r="LZV32" s="482"/>
      <c r="LZW32" s="482"/>
      <c r="LZX32" s="482"/>
      <c r="LZY32" s="482"/>
      <c r="LZZ32" s="482"/>
      <c r="MAA32" s="482"/>
      <c r="MAB32" s="482"/>
      <c r="MAC32" s="482"/>
      <c r="MAD32" s="482"/>
      <c r="MAE32" s="482"/>
      <c r="MAF32" s="482"/>
      <c r="MAG32" s="482"/>
      <c r="MAH32" s="482"/>
      <c r="MAI32" s="482"/>
      <c r="MAJ32" s="482"/>
      <c r="MAK32" s="482"/>
      <c r="MAL32" s="482"/>
      <c r="MAM32" s="482"/>
      <c r="MAN32" s="482"/>
      <c r="MAO32" s="482"/>
      <c r="MAP32" s="482"/>
      <c r="MAQ32" s="482"/>
      <c r="MAR32" s="482"/>
      <c r="MAS32" s="482"/>
      <c r="MAT32" s="482"/>
      <c r="MAU32" s="482"/>
      <c r="MAV32" s="482"/>
      <c r="MAW32" s="482"/>
      <c r="MAX32" s="482"/>
      <c r="MAY32" s="482"/>
      <c r="MAZ32" s="482"/>
      <c r="MBA32" s="482"/>
      <c r="MBB32" s="482"/>
      <c r="MBC32" s="482"/>
      <c r="MBD32" s="482"/>
      <c r="MBE32" s="482"/>
      <c r="MBF32" s="482"/>
      <c r="MBG32" s="482"/>
      <c r="MBH32" s="482"/>
      <c r="MBI32" s="482"/>
      <c r="MBJ32" s="482"/>
      <c r="MBK32" s="482"/>
      <c r="MBL32" s="482"/>
      <c r="MBM32" s="482"/>
      <c r="MBN32" s="482"/>
      <c r="MBO32" s="482"/>
      <c r="MBP32" s="482"/>
      <c r="MBQ32" s="482"/>
      <c r="MBR32" s="482"/>
      <c r="MBS32" s="482"/>
      <c r="MBT32" s="482"/>
      <c r="MBU32" s="482"/>
      <c r="MBV32" s="482"/>
      <c r="MBW32" s="482"/>
      <c r="MBX32" s="482"/>
      <c r="MBY32" s="482"/>
      <c r="MBZ32" s="482"/>
      <c r="MCA32" s="482"/>
      <c r="MCB32" s="482"/>
      <c r="MCC32" s="482"/>
      <c r="MCD32" s="482"/>
      <c r="MCE32" s="482"/>
      <c r="MCF32" s="482"/>
      <c r="MCG32" s="482"/>
      <c r="MCH32" s="482"/>
      <c r="MCI32" s="482"/>
      <c r="MCJ32" s="482"/>
      <c r="MCK32" s="482"/>
      <c r="MCL32" s="482"/>
      <c r="MCM32" s="482"/>
      <c r="MCN32" s="482"/>
      <c r="MCO32" s="482"/>
      <c r="MCP32" s="482"/>
      <c r="MCQ32" s="482"/>
      <c r="MCR32" s="482"/>
      <c r="MCS32" s="482"/>
      <c r="MCT32" s="482"/>
      <c r="MCU32" s="482"/>
      <c r="MCV32" s="482"/>
      <c r="MCW32" s="482"/>
      <c r="MCX32" s="482"/>
      <c r="MCY32" s="482"/>
      <c r="MCZ32" s="482"/>
      <c r="MDA32" s="482"/>
      <c r="MDB32" s="482"/>
      <c r="MDC32" s="482"/>
      <c r="MDD32" s="482"/>
      <c r="MDE32" s="482"/>
      <c r="MDF32" s="482"/>
      <c r="MDG32" s="482"/>
      <c r="MDH32" s="482"/>
      <c r="MDI32" s="482"/>
      <c r="MDJ32" s="482"/>
      <c r="MDK32" s="482"/>
      <c r="MDL32" s="482"/>
      <c r="MDM32" s="482"/>
      <c r="MDN32" s="482"/>
      <c r="MDO32" s="482"/>
      <c r="MDP32" s="482"/>
      <c r="MDQ32" s="482"/>
      <c r="MDR32" s="482"/>
      <c r="MDS32" s="482"/>
      <c r="MDT32" s="482"/>
      <c r="MDU32" s="482"/>
      <c r="MDV32" s="482"/>
      <c r="MDW32" s="482"/>
      <c r="MDX32" s="482"/>
      <c r="MDY32" s="482"/>
      <c r="MDZ32" s="482"/>
      <c r="MEA32" s="482"/>
      <c r="MEB32" s="482"/>
      <c r="MEC32" s="482"/>
      <c r="MED32" s="482"/>
      <c r="MEE32" s="482"/>
      <c r="MEF32" s="482"/>
      <c r="MEG32" s="482"/>
      <c r="MEH32" s="482"/>
      <c r="MEI32" s="482"/>
      <c r="MEJ32" s="482"/>
      <c r="MEK32" s="482"/>
      <c r="MEL32" s="482"/>
      <c r="MEM32" s="482"/>
      <c r="MEN32" s="482"/>
      <c r="MEO32" s="482"/>
      <c r="MEP32" s="482"/>
      <c r="MEQ32" s="482"/>
      <c r="MER32" s="482"/>
      <c r="MES32" s="482"/>
      <c r="MET32" s="482"/>
      <c r="MEU32" s="482"/>
      <c r="MEV32" s="482"/>
      <c r="MEW32" s="482"/>
      <c r="MEX32" s="482"/>
      <c r="MEY32" s="482"/>
      <c r="MEZ32" s="482"/>
      <c r="MFA32" s="482"/>
      <c r="MFB32" s="482"/>
      <c r="MFC32" s="482"/>
      <c r="MFD32" s="482"/>
      <c r="MFE32" s="482"/>
      <c r="MFF32" s="482"/>
      <c r="MFG32" s="482"/>
      <c r="MFH32" s="482"/>
      <c r="MFI32" s="482"/>
      <c r="MFJ32" s="482"/>
      <c r="MFK32" s="482"/>
      <c r="MFL32" s="482"/>
      <c r="MFM32" s="482"/>
      <c r="MFN32" s="482"/>
      <c r="MFO32" s="482"/>
      <c r="MFP32" s="482"/>
      <c r="MFQ32" s="482"/>
      <c r="MFR32" s="482"/>
      <c r="MFS32" s="482"/>
      <c r="MFT32" s="482"/>
      <c r="MFU32" s="482"/>
      <c r="MFV32" s="482"/>
      <c r="MFW32" s="482"/>
      <c r="MFX32" s="482"/>
      <c r="MFY32" s="482"/>
      <c r="MFZ32" s="482"/>
      <c r="MGA32" s="482"/>
      <c r="MGB32" s="482"/>
      <c r="MGC32" s="482"/>
      <c r="MGD32" s="482"/>
      <c r="MGE32" s="482"/>
      <c r="MGF32" s="482"/>
      <c r="MGG32" s="482"/>
      <c r="MGH32" s="482"/>
      <c r="MGI32" s="482"/>
      <c r="MGJ32" s="482"/>
      <c r="MGK32" s="482"/>
      <c r="MGL32" s="482"/>
      <c r="MGM32" s="482"/>
      <c r="MGN32" s="482"/>
      <c r="MGO32" s="482"/>
      <c r="MGP32" s="482"/>
      <c r="MGQ32" s="482"/>
      <c r="MGR32" s="482"/>
      <c r="MGS32" s="482"/>
      <c r="MGT32" s="482"/>
      <c r="MGU32" s="482"/>
      <c r="MGV32" s="482"/>
      <c r="MGW32" s="482"/>
      <c r="MGX32" s="482"/>
      <c r="MGY32" s="482"/>
      <c r="MGZ32" s="482"/>
      <c r="MHA32" s="482"/>
      <c r="MHB32" s="482"/>
      <c r="MHC32" s="482"/>
      <c r="MHD32" s="482"/>
      <c r="MHE32" s="482"/>
      <c r="MHF32" s="482"/>
      <c r="MHG32" s="482"/>
      <c r="MHH32" s="482"/>
      <c r="MHI32" s="482"/>
      <c r="MHJ32" s="482"/>
      <c r="MHK32" s="482"/>
      <c r="MHL32" s="482"/>
      <c r="MHM32" s="482"/>
      <c r="MHN32" s="482"/>
      <c r="MHO32" s="482"/>
      <c r="MHP32" s="482"/>
      <c r="MHQ32" s="482"/>
      <c r="MHR32" s="482"/>
      <c r="MHS32" s="482"/>
      <c r="MHT32" s="482"/>
      <c r="MHU32" s="482"/>
      <c r="MHV32" s="482"/>
      <c r="MHW32" s="482"/>
      <c r="MHX32" s="482"/>
      <c r="MHY32" s="482"/>
      <c r="MHZ32" s="482"/>
      <c r="MIA32" s="482"/>
      <c r="MIB32" s="482"/>
      <c r="MIC32" s="482"/>
      <c r="MID32" s="482"/>
      <c r="MIE32" s="482"/>
      <c r="MIF32" s="482"/>
      <c r="MIG32" s="482"/>
      <c r="MIH32" s="482"/>
      <c r="MII32" s="482"/>
      <c r="MIJ32" s="482"/>
      <c r="MIK32" s="482"/>
      <c r="MIL32" s="482"/>
      <c r="MIM32" s="482"/>
      <c r="MIN32" s="482"/>
      <c r="MIO32" s="482"/>
      <c r="MIP32" s="482"/>
      <c r="MIQ32" s="482"/>
      <c r="MIR32" s="482"/>
      <c r="MIS32" s="482"/>
      <c r="MIT32" s="482"/>
      <c r="MIU32" s="482"/>
      <c r="MIV32" s="482"/>
      <c r="MIW32" s="482"/>
      <c r="MIX32" s="482"/>
      <c r="MIY32" s="482"/>
      <c r="MIZ32" s="482"/>
      <c r="MJA32" s="482"/>
      <c r="MJB32" s="482"/>
      <c r="MJC32" s="482"/>
      <c r="MJD32" s="482"/>
      <c r="MJE32" s="482"/>
      <c r="MJF32" s="482"/>
      <c r="MJG32" s="482"/>
      <c r="MJH32" s="482"/>
      <c r="MJI32" s="482"/>
      <c r="MJJ32" s="482"/>
      <c r="MJK32" s="482"/>
      <c r="MJL32" s="482"/>
      <c r="MJM32" s="482"/>
      <c r="MJN32" s="482"/>
      <c r="MJO32" s="482"/>
      <c r="MJP32" s="482"/>
      <c r="MJQ32" s="482"/>
      <c r="MJR32" s="482"/>
      <c r="MJS32" s="482"/>
      <c r="MJT32" s="482"/>
      <c r="MJU32" s="482"/>
      <c r="MJV32" s="482"/>
      <c r="MJW32" s="482"/>
      <c r="MJX32" s="482"/>
      <c r="MJY32" s="482"/>
      <c r="MJZ32" s="482"/>
      <c r="MKA32" s="482"/>
      <c r="MKB32" s="482"/>
      <c r="MKC32" s="482"/>
      <c r="MKD32" s="482"/>
      <c r="MKE32" s="482"/>
      <c r="MKF32" s="482"/>
      <c r="MKG32" s="482"/>
      <c r="MKH32" s="482"/>
      <c r="MKI32" s="482"/>
      <c r="MKJ32" s="482"/>
      <c r="MKK32" s="482"/>
      <c r="MKL32" s="482"/>
      <c r="MKM32" s="482"/>
      <c r="MKN32" s="482"/>
      <c r="MKO32" s="482"/>
      <c r="MKP32" s="482"/>
      <c r="MKQ32" s="482"/>
      <c r="MKR32" s="482"/>
      <c r="MKS32" s="482"/>
      <c r="MKT32" s="482"/>
      <c r="MKU32" s="482"/>
      <c r="MKV32" s="482"/>
      <c r="MKW32" s="482"/>
      <c r="MKX32" s="482"/>
      <c r="MKY32" s="482"/>
      <c r="MKZ32" s="482"/>
      <c r="MLA32" s="482"/>
      <c r="MLB32" s="482"/>
      <c r="MLC32" s="482"/>
      <c r="MLD32" s="482"/>
      <c r="MLE32" s="482"/>
      <c r="MLF32" s="482"/>
      <c r="MLG32" s="482"/>
      <c r="MLH32" s="482"/>
      <c r="MLI32" s="482"/>
      <c r="MLJ32" s="482"/>
      <c r="MLK32" s="482"/>
      <c r="MLL32" s="482"/>
      <c r="MLM32" s="482"/>
      <c r="MLN32" s="482"/>
      <c r="MLO32" s="482"/>
      <c r="MLP32" s="482"/>
      <c r="MLQ32" s="482"/>
      <c r="MLR32" s="482"/>
      <c r="MLS32" s="482"/>
      <c r="MLT32" s="482"/>
      <c r="MLU32" s="482"/>
      <c r="MLV32" s="482"/>
      <c r="MLW32" s="482"/>
      <c r="MLX32" s="482"/>
      <c r="MLY32" s="482"/>
      <c r="MLZ32" s="482"/>
      <c r="MMA32" s="482"/>
      <c r="MMB32" s="482"/>
      <c r="MMC32" s="482"/>
      <c r="MMD32" s="482"/>
      <c r="MME32" s="482"/>
      <c r="MMF32" s="482"/>
      <c r="MMG32" s="482"/>
      <c r="MMH32" s="482"/>
      <c r="MMI32" s="482"/>
      <c r="MMJ32" s="482"/>
      <c r="MMK32" s="482"/>
      <c r="MML32" s="482"/>
      <c r="MMM32" s="482"/>
      <c r="MMN32" s="482"/>
      <c r="MMO32" s="482"/>
      <c r="MMP32" s="482"/>
      <c r="MMQ32" s="482"/>
      <c r="MMR32" s="482"/>
      <c r="MMS32" s="482"/>
      <c r="MMT32" s="482"/>
      <c r="MMU32" s="482"/>
      <c r="MMV32" s="482"/>
      <c r="MMW32" s="482"/>
      <c r="MMX32" s="482"/>
      <c r="MMY32" s="482"/>
      <c r="MMZ32" s="482"/>
      <c r="MNA32" s="482"/>
      <c r="MNB32" s="482"/>
      <c r="MNC32" s="482"/>
      <c r="MND32" s="482"/>
      <c r="MNE32" s="482"/>
      <c r="MNF32" s="482"/>
      <c r="MNG32" s="482"/>
      <c r="MNH32" s="482"/>
      <c r="MNI32" s="482"/>
      <c r="MNJ32" s="482"/>
      <c r="MNK32" s="482"/>
      <c r="MNL32" s="482"/>
      <c r="MNM32" s="482"/>
      <c r="MNN32" s="482"/>
      <c r="MNO32" s="482"/>
      <c r="MNP32" s="482"/>
      <c r="MNQ32" s="482"/>
      <c r="MNR32" s="482"/>
      <c r="MNS32" s="482"/>
      <c r="MNT32" s="482"/>
      <c r="MNU32" s="482"/>
      <c r="MNV32" s="482"/>
      <c r="MNW32" s="482"/>
      <c r="MNX32" s="482"/>
      <c r="MNY32" s="482"/>
      <c r="MNZ32" s="482"/>
      <c r="MOA32" s="482"/>
      <c r="MOB32" s="482"/>
      <c r="MOC32" s="482"/>
      <c r="MOD32" s="482"/>
      <c r="MOE32" s="482"/>
      <c r="MOF32" s="482"/>
      <c r="MOG32" s="482"/>
      <c r="MOH32" s="482"/>
      <c r="MOI32" s="482"/>
      <c r="MOJ32" s="482"/>
      <c r="MOK32" s="482"/>
      <c r="MOL32" s="482"/>
      <c r="MOM32" s="482"/>
      <c r="MON32" s="482"/>
      <c r="MOO32" s="482"/>
      <c r="MOP32" s="482"/>
      <c r="MOQ32" s="482"/>
      <c r="MOR32" s="482"/>
      <c r="MOS32" s="482"/>
      <c r="MOT32" s="482"/>
      <c r="MOU32" s="482"/>
      <c r="MOV32" s="482"/>
      <c r="MOW32" s="482"/>
      <c r="MOX32" s="482"/>
      <c r="MOY32" s="482"/>
      <c r="MOZ32" s="482"/>
      <c r="MPA32" s="482"/>
      <c r="MPB32" s="482"/>
      <c r="MPC32" s="482"/>
      <c r="MPD32" s="482"/>
      <c r="MPE32" s="482"/>
      <c r="MPF32" s="482"/>
      <c r="MPG32" s="482"/>
      <c r="MPH32" s="482"/>
      <c r="MPI32" s="482"/>
      <c r="MPJ32" s="482"/>
      <c r="MPK32" s="482"/>
      <c r="MPL32" s="482"/>
      <c r="MPM32" s="482"/>
      <c r="MPN32" s="482"/>
      <c r="MPO32" s="482"/>
      <c r="MPP32" s="482"/>
      <c r="MPQ32" s="482"/>
      <c r="MPR32" s="482"/>
      <c r="MPS32" s="482"/>
      <c r="MPT32" s="482"/>
      <c r="MPU32" s="482"/>
      <c r="MPV32" s="482"/>
      <c r="MPW32" s="482"/>
      <c r="MPX32" s="482"/>
      <c r="MPY32" s="482"/>
      <c r="MPZ32" s="482"/>
      <c r="MQA32" s="482"/>
      <c r="MQB32" s="482"/>
      <c r="MQC32" s="482"/>
      <c r="MQD32" s="482"/>
      <c r="MQE32" s="482"/>
      <c r="MQF32" s="482"/>
      <c r="MQG32" s="482"/>
      <c r="MQH32" s="482"/>
      <c r="MQI32" s="482"/>
      <c r="MQJ32" s="482"/>
      <c r="MQK32" s="482"/>
      <c r="MQL32" s="482"/>
      <c r="MQM32" s="482"/>
      <c r="MQN32" s="482"/>
      <c r="MQO32" s="482"/>
      <c r="MQP32" s="482"/>
      <c r="MQQ32" s="482"/>
      <c r="MQR32" s="482"/>
      <c r="MQS32" s="482"/>
      <c r="MQT32" s="482"/>
      <c r="MQU32" s="482"/>
      <c r="MQV32" s="482"/>
      <c r="MQW32" s="482"/>
      <c r="MQX32" s="482"/>
      <c r="MQY32" s="482"/>
      <c r="MQZ32" s="482"/>
      <c r="MRA32" s="482"/>
      <c r="MRB32" s="482"/>
      <c r="MRC32" s="482"/>
      <c r="MRD32" s="482"/>
      <c r="MRE32" s="482"/>
      <c r="MRF32" s="482"/>
      <c r="MRG32" s="482"/>
      <c r="MRH32" s="482"/>
      <c r="MRI32" s="482"/>
      <c r="MRJ32" s="482"/>
      <c r="MRK32" s="482"/>
      <c r="MRL32" s="482"/>
      <c r="MRM32" s="482"/>
      <c r="MRN32" s="482"/>
      <c r="MRO32" s="482"/>
      <c r="MRP32" s="482"/>
      <c r="MRQ32" s="482"/>
      <c r="MRR32" s="482"/>
      <c r="MRS32" s="482"/>
      <c r="MRT32" s="482"/>
      <c r="MRU32" s="482"/>
      <c r="MRV32" s="482"/>
      <c r="MRW32" s="482"/>
      <c r="MRX32" s="482"/>
      <c r="MRY32" s="482"/>
      <c r="MRZ32" s="482"/>
      <c r="MSA32" s="482"/>
      <c r="MSB32" s="482"/>
      <c r="MSC32" s="482"/>
      <c r="MSD32" s="482"/>
      <c r="MSE32" s="482"/>
      <c r="MSF32" s="482"/>
      <c r="MSG32" s="482"/>
      <c r="MSH32" s="482"/>
      <c r="MSI32" s="482"/>
      <c r="MSJ32" s="482"/>
      <c r="MSK32" s="482"/>
      <c r="MSL32" s="482"/>
      <c r="MSM32" s="482"/>
      <c r="MSN32" s="482"/>
      <c r="MSO32" s="482"/>
      <c r="MSP32" s="482"/>
      <c r="MSQ32" s="482"/>
      <c r="MSR32" s="482"/>
      <c r="MSS32" s="482"/>
      <c r="MST32" s="482"/>
      <c r="MSU32" s="482"/>
      <c r="MSV32" s="482"/>
      <c r="MSW32" s="482"/>
      <c r="MSX32" s="482"/>
      <c r="MSY32" s="482"/>
      <c r="MSZ32" s="482"/>
      <c r="MTA32" s="482"/>
      <c r="MTB32" s="482"/>
      <c r="MTC32" s="482"/>
      <c r="MTD32" s="482"/>
      <c r="MTE32" s="482"/>
      <c r="MTF32" s="482"/>
      <c r="MTG32" s="482"/>
      <c r="MTH32" s="482"/>
      <c r="MTI32" s="482"/>
      <c r="MTJ32" s="482"/>
      <c r="MTK32" s="482"/>
      <c r="MTL32" s="482"/>
      <c r="MTM32" s="482"/>
      <c r="MTN32" s="482"/>
      <c r="MTO32" s="482"/>
      <c r="MTP32" s="482"/>
      <c r="MTQ32" s="482"/>
      <c r="MTR32" s="482"/>
      <c r="MTS32" s="482"/>
      <c r="MTT32" s="482"/>
      <c r="MTU32" s="482"/>
      <c r="MTV32" s="482"/>
      <c r="MTW32" s="482"/>
      <c r="MTX32" s="482"/>
      <c r="MTY32" s="482"/>
      <c r="MTZ32" s="482"/>
      <c r="MUA32" s="482"/>
      <c r="MUB32" s="482"/>
      <c r="MUC32" s="482"/>
      <c r="MUD32" s="482"/>
      <c r="MUE32" s="482"/>
      <c r="MUF32" s="482"/>
      <c r="MUG32" s="482"/>
      <c r="MUH32" s="482"/>
      <c r="MUI32" s="482"/>
      <c r="MUJ32" s="482"/>
      <c r="MUK32" s="482"/>
      <c r="MUL32" s="482"/>
      <c r="MUM32" s="482"/>
      <c r="MUN32" s="482"/>
      <c r="MUO32" s="482"/>
      <c r="MUP32" s="482"/>
      <c r="MUQ32" s="482"/>
      <c r="MUR32" s="482"/>
      <c r="MUS32" s="482"/>
      <c r="MUT32" s="482"/>
      <c r="MUU32" s="482"/>
      <c r="MUV32" s="482"/>
      <c r="MUW32" s="482"/>
      <c r="MUX32" s="482"/>
      <c r="MUY32" s="482"/>
      <c r="MUZ32" s="482"/>
      <c r="MVA32" s="482"/>
      <c r="MVB32" s="482"/>
      <c r="MVC32" s="482"/>
      <c r="MVD32" s="482"/>
      <c r="MVE32" s="482"/>
      <c r="MVF32" s="482"/>
      <c r="MVG32" s="482"/>
      <c r="MVH32" s="482"/>
      <c r="MVI32" s="482"/>
      <c r="MVJ32" s="482"/>
      <c r="MVK32" s="482"/>
      <c r="MVL32" s="482"/>
      <c r="MVM32" s="482"/>
      <c r="MVN32" s="482"/>
      <c r="MVO32" s="482"/>
      <c r="MVP32" s="482"/>
      <c r="MVQ32" s="482"/>
      <c r="MVR32" s="482"/>
      <c r="MVS32" s="482"/>
      <c r="MVT32" s="482"/>
      <c r="MVU32" s="482"/>
      <c r="MVV32" s="482"/>
      <c r="MVW32" s="482"/>
      <c r="MVX32" s="482"/>
      <c r="MVY32" s="482"/>
      <c r="MVZ32" s="482"/>
      <c r="MWA32" s="482"/>
      <c r="MWB32" s="482"/>
      <c r="MWC32" s="482"/>
      <c r="MWD32" s="482"/>
      <c r="MWE32" s="482"/>
      <c r="MWF32" s="482"/>
      <c r="MWG32" s="482"/>
      <c r="MWH32" s="482"/>
      <c r="MWI32" s="482"/>
      <c r="MWJ32" s="482"/>
      <c r="MWK32" s="482"/>
      <c r="MWL32" s="482"/>
      <c r="MWM32" s="482"/>
      <c r="MWN32" s="482"/>
      <c r="MWO32" s="482"/>
      <c r="MWP32" s="482"/>
      <c r="MWQ32" s="482"/>
      <c r="MWR32" s="482"/>
      <c r="MWS32" s="482"/>
      <c r="MWT32" s="482"/>
      <c r="MWU32" s="482"/>
      <c r="MWV32" s="482"/>
      <c r="MWW32" s="482"/>
      <c r="MWX32" s="482"/>
      <c r="MWY32" s="482"/>
      <c r="MWZ32" s="482"/>
      <c r="MXA32" s="482"/>
      <c r="MXB32" s="482"/>
      <c r="MXC32" s="482"/>
      <c r="MXD32" s="482"/>
      <c r="MXE32" s="482"/>
      <c r="MXF32" s="482"/>
      <c r="MXG32" s="482"/>
      <c r="MXH32" s="482"/>
      <c r="MXI32" s="482"/>
      <c r="MXJ32" s="482"/>
      <c r="MXK32" s="482"/>
      <c r="MXL32" s="482"/>
      <c r="MXM32" s="482"/>
      <c r="MXN32" s="482"/>
      <c r="MXO32" s="482"/>
      <c r="MXP32" s="482"/>
      <c r="MXQ32" s="482"/>
      <c r="MXR32" s="482"/>
      <c r="MXS32" s="482"/>
      <c r="MXT32" s="482"/>
      <c r="MXU32" s="482"/>
      <c r="MXV32" s="482"/>
      <c r="MXW32" s="482"/>
      <c r="MXX32" s="482"/>
      <c r="MXY32" s="482"/>
      <c r="MXZ32" s="482"/>
      <c r="MYA32" s="482"/>
      <c r="MYB32" s="482"/>
      <c r="MYC32" s="482"/>
      <c r="MYD32" s="482"/>
      <c r="MYE32" s="482"/>
      <c r="MYF32" s="482"/>
      <c r="MYG32" s="482"/>
      <c r="MYH32" s="482"/>
      <c r="MYI32" s="482"/>
      <c r="MYJ32" s="482"/>
      <c r="MYK32" s="482"/>
      <c r="MYL32" s="482"/>
      <c r="MYM32" s="482"/>
      <c r="MYN32" s="482"/>
      <c r="MYO32" s="482"/>
      <c r="MYP32" s="482"/>
      <c r="MYQ32" s="482"/>
      <c r="MYR32" s="482"/>
      <c r="MYS32" s="482"/>
      <c r="MYT32" s="482"/>
      <c r="MYU32" s="482"/>
      <c r="MYV32" s="482"/>
      <c r="MYW32" s="482"/>
      <c r="MYX32" s="482"/>
      <c r="MYY32" s="482"/>
      <c r="MYZ32" s="482"/>
      <c r="MZA32" s="482"/>
      <c r="MZB32" s="482"/>
      <c r="MZC32" s="482"/>
      <c r="MZD32" s="482"/>
      <c r="MZE32" s="482"/>
      <c r="MZF32" s="482"/>
      <c r="MZG32" s="482"/>
      <c r="MZH32" s="482"/>
      <c r="MZI32" s="482"/>
      <c r="MZJ32" s="482"/>
      <c r="MZK32" s="482"/>
      <c r="MZL32" s="482"/>
      <c r="MZM32" s="482"/>
      <c r="MZN32" s="482"/>
      <c r="MZO32" s="482"/>
      <c r="MZP32" s="482"/>
      <c r="MZQ32" s="482"/>
      <c r="MZR32" s="482"/>
      <c r="MZS32" s="482"/>
      <c r="MZT32" s="482"/>
      <c r="MZU32" s="482"/>
      <c r="MZV32" s="482"/>
      <c r="MZW32" s="482"/>
      <c r="MZX32" s="482"/>
      <c r="MZY32" s="482"/>
      <c r="MZZ32" s="482"/>
      <c r="NAA32" s="482"/>
      <c r="NAB32" s="482"/>
      <c r="NAC32" s="482"/>
      <c r="NAD32" s="482"/>
      <c r="NAE32" s="482"/>
      <c r="NAF32" s="482"/>
      <c r="NAG32" s="482"/>
      <c r="NAH32" s="482"/>
      <c r="NAI32" s="482"/>
      <c r="NAJ32" s="482"/>
      <c r="NAK32" s="482"/>
      <c r="NAL32" s="482"/>
      <c r="NAM32" s="482"/>
      <c r="NAN32" s="482"/>
      <c r="NAO32" s="482"/>
      <c r="NAP32" s="482"/>
      <c r="NAQ32" s="482"/>
      <c r="NAR32" s="482"/>
      <c r="NAS32" s="482"/>
      <c r="NAT32" s="482"/>
      <c r="NAU32" s="482"/>
      <c r="NAV32" s="482"/>
      <c r="NAW32" s="482"/>
      <c r="NAX32" s="482"/>
      <c r="NAY32" s="482"/>
      <c r="NAZ32" s="482"/>
      <c r="NBA32" s="482"/>
      <c r="NBB32" s="482"/>
      <c r="NBC32" s="482"/>
      <c r="NBD32" s="482"/>
      <c r="NBE32" s="482"/>
      <c r="NBF32" s="482"/>
      <c r="NBG32" s="482"/>
      <c r="NBH32" s="482"/>
      <c r="NBI32" s="482"/>
      <c r="NBJ32" s="482"/>
      <c r="NBK32" s="482"/>
      <c r="NBL32" s="482"/>
      <c r="NBM32" s="482"/>
      <c r="NBN32" s="482"/>
      <c r="NBO32" s="482"/>
      <c r="NBP32" s="482"/>
      <c r="NBQ32" s="482"/>
      <c r="NBR32" s="482"/>
      <c r="NBS32" s="482"/>
      <c r="NBT32" s="482"/>
      <c r="NBU32" s="482"/>
      <c r="NBV32" s="482"/>
      <c r="NBW32" s="482"/>
      <c r="NBX32" s="482"/>
      <c r="NBY32" s="482"/>
      <c r="NBZ32" s="482"/>
      <c r="NCA32" s="482"/>
      <c r="NCB32" s="482"/>
      <c r="NCC32" s="482"/>
      <c r="NCD32" s="482"/>
      <c r="NCE32" s="482"/>
      <c r="NCF32" s="482"/>
      <c r="NCG32" s="482"/>
      <c r="NCH32" s="482"/>
      <c r="NCI32" s="482"/>
      <c r="NCJ32" s="482"/>
      <c r="NCK32" s="482"/>
      <c r="NCL32" s="482"/>
      <c r="NCM32" s="482"/>
      <c r="NCN32" s="482"/>
      <c r="NCO32" s="482"/>
      <c r="NCP32" s="482"/>
      <c r="NCQ32" s="482"/>
      <c r="NCR32" s="482"/>
      <c r="NCS32" s="482"/>
      <c r="NCT32" s="482"/>
      <c r="NCU32" s="482"/>
      <c r="NCV32" s="482"/>
      <c r="NCW32" s="482"/>
      <c r="NCX32" s="482"/>
      <c r="NCY32" s="482"/>
      <c r="NCZ32" s="482"/>
      <c r="NDA32" s="482"/>
      <c r="NDB32" s="482"/>
      <c r="NDC32" s="482"/>
      <c r="NDD32" s="482"/>
      <c r="NDE32" s="482"/>
      <c r="NDF32" s="482"/>
      <c r="NDG32" s="482"/>
      <c r="NDH32" s="482"/>
      <c r="NDI32" s="482"/>
      <c r="NDJ32" s="482"/>
      <c r="NDK32" s="482"/>
      <c r="NDL32" s="482"/>
      <c r="NDM32" s="482"/>
      <c r="NDN32" s="482"/>
      <c r="NDO32" s="482"/>
      <c r="NDP32" s="482"/>
      <c r="NDQ32" s="482"/>
      <c r="NDR32" s="482"/>
      <c r="NDS32" s="482"/>
      <c r="NDT32" s="482"/>
      <c r="NDU32" s="482"/>
      <c r="NDV32" s="482"/>
      <c r="NDW32" s="482"/>
      <c r="NDX32" s="482"/>
      <c r="NDY32" s="482"/>
      <c r="NDZ32" s="482"/>
      <c r="NEA32" s="482"/>
      <c r="NEB32" s="482"/>
      <c r="NEC32" s="482"/>
      <c r="NED32" s="482"/>
      <c r="NEE32" s="482"/>
      <c r="NEF32" s="482"/>
      <c r="NEG32" s="482"/>
      <c r="NEH32" s="482"/>
      <c r="NEI32" s="482"/>
      <c r="NEJ32" s="482"/>
      <c r="NEK32" s="482"/>
      <c r="NEL32" s="482"/>
      <c r="NEM32" s="482"/>
      <c r="NEN32" s="482"/>
      <c r="NEO32" s="482"/>
      <c r="NEP32" s="482"/>
      <c r="NEQ32" s="482"/>
      <c r="NER32" s="482"/>
      <c r="NES32" s="482"/>
      <c r="NET32" s="482"/>
      <c r="NEU32" s="482"/>
      <c r="NEV32" s="482"/>
      <c r="NEW32" s="482"/>
      <c r="NEX32" s="482"/>
      <c r="NEY32" s="482"/>
      <c r="NEZ32" s="482"/>
      <c r="NFA32" s="482"/>
      <c r="NFB32" s="482"/>
      <c r="NFC32" s="482"/>
      <c r="NFD32" s="482"/>
      <c r="NFE32" s="482"/>
      <c r="NFF32" s="482"/>
      <c r="NFG32" s="482"/>
      <c r="NFH32" s="482"/>
      <c r="NFI32" s="482"/>
      <c r="NFJ32" s="482"/>
      <c r="NFK32" s="482"/>
      <c r="NFL32" s="482"/>
      <c r="NFM32" s="482"/>
      <c r="NFN32" s="482"/>
      <c r="NFO32" s="482"/>
      <c r="NFP32" s="482"/>
      <c r="NFQ32" s="482"/>
      <c r="NFR32" s="482"/>
      <c r="NFS32" s="482"/>
      <c r="NFT32" s="482"/>
      <c r="NFU32" s="482"/>
      <c r="NFV32" s="482"/>
      <c r="NFW32" s="482"/>
      <c r="NFX32" s="482"/>
      <c r="NFY32" s="482"/>
      <c r="NFZ32" s="482"/>
      <c r="NGA32" s="482"/>
      <c r="NGB32" s="482"/>
      <c r="NGC32" s="482"/>
      <c r="NGD32" s="482"/>
      <c r="NGE32" s="482"/>
      <c r="NGF32" s="482"/>
      <c r="NGG32" s="482"/>
      <c r="NGH32" s="482"/>
      <c r="NGI32" s="482"/>
      <c r="NGJ32" s="482"/>
      <c r="NGK32" s="482"/>
      <c r="NGL32" s="482"/>
      <c r="NGM32" s="482"/>
      <c r="NGN32" s="482"/>
      <c r="NGO32" s="482"/>
      <c r="NGP32" s="482"/>
      <c r="NGQ32" s="482"/>
      <c r="NGR32" s="482"/>
      <c r="NGS32" s="482"/>
      <c r="NGT32" s="482"/>
      <c r="NGU32" s="482"/>
      <c r="NGV32" s="482"/>
      <c r="NGW32" s="482"/>
      <c r="NGX32" s="482"/>
      <c r="NGY32" s="482"/>
      <c r="NGZ32" s="482"/>
      <c r="NHA32" s="482"/>
      <c r="NHB32" s="482"/>
      <c r="NHC32" s="482"/>
      <c r="NHD32" s="482"/>
      <c r="NHE32" s="482"/>
      <c r="NHF32" s="482"/>
      <c r="NHG32" s="482"/>
      <c r="NHH32" s="482"/>
      <c r="NHI32" s="482"/>
      <c r="NHJ32" s="482"/>
      <c r="NHK32" s="482"/>
      <c r="NHL32" s="482"/>
      <c r="NHM32" s="482"/>
      <c r="NHN32" s="482"/>
      <c r="NHO32" s="482"/>
      <c r="NHP32" s="482"/>
      <c r="NHQ32" s="482"/>
      <c r="NHR32" s="482"/>
      <c r="NHS32" s="482"/>
      <c r="NHT32" s="482"/>
      <c r="NHU32" s="482"/>
      <c r="NHV32" s="482"/>
      <c r="NHW32" s="482"/>
      <c r="NHX32" s="482"/>
      <c r="NHY32" s="482"/>
      <c r="NHZ32" s="482"/>
      <c r="NIA32" s="482"/>
      <c r="NIB32" s="482"/>
      <c r="NIC32" s="482"/>
      <c r="NID32" s="482"/>
      <c r="NIE32" s="482"/>
      <c r="NIF32" s="482"/>
      <c r="NIG32" s="482"/>
      <c r="NIH32" s="482"/>
      <c r="NII32" s="482"/>
      <c r="NIJ32" s="482"/>
      <c r="NIK32" s="482"/>
      <c r="NIL32" s="482"/>
      <c r="NIM32" s="482"/>
      <c r="NIN32" s="482"/>
      <c r="NIO32" s="482"/>
      <c r="NIP32" s="482"/>
      <c r="NIQ32" s="482"/>
      <c r="NIR32" s="482"/>
      <c r="NIS32" s="482"/>
      <c r="NIT32" s="482"/>
      <c r="NIU32" s="482"/>
      <c r="NIV32" s="482"/>
      <c r="NIW32" s="482"/>
      <c r="NIX32" s="482"/>
      <c r="NIY32" s="482"/>
      <c r="NIZ32" s="482"/>
      <c r="NJA32" s="482"/>
      <c r="NJB32" s="482"/>
      <c r="NJC32" s="482"/>
      <c r="NJD32" s="482"/>
      <c r="NJE32" s="482"/>
      <c r="NJF32" s="482"/>
      <c r="NJG32" s="482"/>
      <c r="NJH32" s="482"/>
      <c r="NJI32" s="482"/>
      <c r="NJJ32" s="482"/>
      <c r="NJK32" s="482"/>
      <c r="NJL32" s="482"/>
      <c r="NJM32" s="482"/>
      <c r="NJN32" s="482"/>
      <c r="NJO32" s="482"/>
      <c r="NJP32" s="482"/>
      <c r="NJQ32" s="482"/>
      <c r="NJR32" s="482"/>
      <c r="NJS32" s="482"/>
      <c r="NJT32" s="482"/>
      <c r="NJU32" s="482"/>
      <c r="NJV32" s="482"/>
      <c r="NJW32" s="482"/>
      <c r="NJX32" s="482"/>
      <c r="NJY32" s="482"/>
      <c r="NJZ32" s="482"/>
      <c r="NKA32" s="482"/>
      <c r="NKB32" s="482"/>
      <c r="NKC32" s="482"/>
      <c r="NKD32" s="482"/>
      <c r="NKE32" s="482"/>
      <c r="NKF32" s="482"/>
      <c r="NKG32" s="482"/>
      <c r="NKH32" s="482"/>
      <c r="NKI32" s="482"/>
      <c r="NKJ32" s="482"/>
      <c r="NKK32" s="482"/>
      <c r="NKL32" s="482"/>
      <c r="NKM32" s="482"/>
      <c r="NKN32" s="482"/>
      <c r="NKO32" s="482"/>
      <c r="NKP32" s="482"/>
      <c r="NKQ32" s="482"/>
      <c r="NKR32" s="482"/>
      <c r="NKS32" s="482"/>
      <c r="NKT32" s="482"/>
      <c r="NKU32" s="482"/>
      <c r="NKV32" s="482"/>
      <c r="NKW32" s="482"/>
      <c r="NKX32" s="482"/>
      <c r="NKY32" s="482"/>
      <c r="NKZ32" s="482"/>
      <c r="NLA32" s="482"/>
      <c r="NLB32" s="482"/>
      <c r="NLC32" s="482"/>
      <c r="NLD32" s="482"/>
      <c r="NLE32" s="482"/>
      <c r="NLF32" s="482"/>
      <c r="NLG32" s="482"/>
      <c r="NLH32" s="482"/>
      <c r="NLI32" s="482"/>
      <c r="NLJ32" s="482"/>
      <c r="NLK32" s="482"/>
      <c r="NLL32" s="482"/>
      <c r="NLM32" s="482"/>
      <c r="NLN32" s="482"/>
      <c r="NLO32" s="482"/>
      <c r="NLP32" s="482"/>
      <c r="NLQ32" s="482"/>
      <c r="NLR32" s="482"/>
      <c r="NLS32" s="482"/>
      <c r="NLT32" s="482"/>
      <c r="NLU32" s="482"/>
      <c r="NLV32" s="482"/>
      <c r="NLW32" s="482"/>
      <c r="NLX32" s="482"/>
      <c r="NLY32" s="482"/>
      <c r="NLZ32" s="482"/>
      <c r="NMA32" s="482"/>
      <c r="NMB32" s="482"/>
      <c r="NMC32" s="482"/>
      <c r="NMD32" s="482"/>
      <c r="NME32" s="482"/>
      <c r="NMF32" s="482"/>
      <c r="NMG32" s="482"/>
      <c r="NMH32" s="482"/>
      <c r="NMI32" s="482"/>
      <c r="NMJ32" s="482"/>
      <c r="NMK32" s="482"/>
      <c r="NML32" s="482"/>
      <c r="NMM32" s="482"/>
      <c r="NMN32" s="482"/>
      <c r="NMO32" s="482"/>
      <c r="NMP32" s="482"/>
      <c r="NMQ32" s="482"/>
      <c r="NMR32" s="482"/>
      <c r="NMS32" s="482"/>
      <c r="NMT32" s="482"/>
      <c r="NMU32" s="482"/>
      <c r="NMV32" s="482"/>
      <c r="NMW32" s="482"/>
      <c r="NMX32" s="482"/>
      <c r="NMY32" s="482"/>
      <c r="NMZ32" s="482"/>
      <c r="NNA32" s="482"/>
      <c r="NNB32" s="482"/>
      <c r="NNC32" s="482"/>
      <c r="NND32" s="482"/>
      <c r="NNE32" s="482"/>
      <c r="NNF32" s="482"/>
      <c r="NNG32" s="482"/>
      <c r="NNH32" s="482"/>
      <c r="NNI32" s="482"/>
      <c r="NNJ32" s="482"/>
      <c r="NNK32" s="482"/>
      <c r="NNL32" s="482"/>
      <c r="NNM32" s="482"/>
      <c r="NNN32" s="482"/>
      <c r="NNO32" s="482"/>
      <c r="NNP32" s="482"/>
      <c r="NNQ32" s="482"/>
      <c r="NNR32" s="482"/>
      <c r="NNS32" s="482"/>
      <c r="NNT32" s="482"/>
      <c r="NNU32" s="482"/>
      <c r="NNV32" s="482"/>
      <c r="NNW32" s="482"/>
      <c r="NNX32" s="482"/>
      <c r="NNY32" s="482"/>
      <c r="NNZ32" s="482"/>
      <c r="NOA32" s="482"/>
      <c r="NOB32" s="482"/>
      <c r="NOC32" s="482"/>
      <c r="NOD32" s="482"/>
      <c r="NOE32" s="482"/>
      <c r="NOF32" s="482"/>
      <c r="NOG32" s="482"/>
      <c r="NOH32" s="482"/>
      <c r="NOI32" s="482"/>
      <c r="NOJ32" s="482"/>
      <c r="NOK32" s="482"/>
      <c r="NOL32" s="482"/>
      <c r="NOM32" s="482"/>
      <c r="NON32" s="482"/>
      <c r="NOO32" s="482"/>
      <c r="NOP32" s="482"/>
      <c r="NOQ32" s="482"/>
      <c r="NOR32" s="482"/>
      <c r="NOS32" s="482"/>
      <c r="NOT32" s="482"/>
      <c r="NOU32" s="482"/>
      <c r="NOV32" s="482"/>
      <c r="NOW32" s="482"/>
      <c r="NOX32" s="482"/>
      <c r="NOY32" s="482"/>
      <c r="NOZ32" s="482"/>
      <c r="NPA32" s="482"/>
      <c r="NPB32" s="482"/>
      <c r="NPC32" s="482"/>
      <c r="NPD32" s="482"/>
      <c r="NPE32" s="482"/>
      <c r="NPF32" s="482"/>
      <c r="NPG32" s="482"/>
      <c r="NPH32" s="482"/>
      <c r="NPI32" s="482"/>
      <c r="NPJ32" s="482"/>
      <c r="NPK32" s="482"/>
      <c r="NPL32" s="482"/>
      <c r="NPM32" s="482"/>
      <c r="NPN32" s="482"/>
      <c r="NPO32" s="482"/>
      <c r="NPP32" s="482"/>
      <c r="NPQ32" s="482"/>
      <c r="NPR32" s="482"/>
      <c r="NPS32" s="482"/>
      <c r="NPT32" s="482"/>
      <c r="NPU32" s="482"/>
      <c r="NPV32" s="482"/>
      <c r="NPW32" s="482"/>
      <c r="NPX32" s="482"/>
      <c r="NPY32" s="482"/>
      <c r="NPZ32" s="482"/>
      <c r="NQA32" s="482"/>
      <c r="NQB32" s="482"/>
      <c r="NQC32" s="482"/>
      <c r="NQD32" s="482"/>
      <c r="NQE32" s="482"/>
      <c r="NQF32" s="482"/>
      <c r="NQG32" s="482"/>
      <c r="NQH32" s="482"/>
      <c r="NQI32" s="482"/>
      <c r="NQJ32" s="482"/>
      <c r="NQK32" s="482"/>
      <c r="NQL32" s="482"/>
      <c r="NQM32" s="482"/>
      <c r="NQN32" s="482"/>
      <c r="NQO32" s="482"/>
      <c r="NQP32" s="482"/>
      <c r="NQQ32" s="482"/>
      <c r="NQR32" s="482"/>
      <c r="NQS32" s="482"/>
      <c r="NQT32" s="482"/>
      <c r="NQU32" s="482"/>
      <c r="NQV32" s="482"/>
      <c r="NQW32" s="482"/>
      <c r="NQX32" s="482"/>
      <c r="NQY32" s="482"/>
      <c r="NQZ32" s="482"/>
      <c r="NRA32" s="482"/>
      <c r="NRB32" s="482"/>
      <c r="NRC32" s="482"/>
      <c r="NRD32" s="482"/>
      <c r="NRE32" s="482"/>
      <c r="NRF32" s="482"/>
      <c r="NRG32" s="482"/>
      <c r="NRH32" s="482"/>
      <c r="NRI32" s="482"/>
      <c r="NRJ32" s="482"/>
      <c r="NRK32" s="482"/>
      <c r="NRL32" s="482"/>
      <c r="NRM32" s="482"/>
      <c r="NRN32" s="482"/>
      <c r="NRO32" s="482"/>
      <c r="NRP32" s="482"/>
      <c r="NRQ32" s="482"/>
      <c r="NRR32" s="482"/>
      <c r="NRS32" s="482"/>
      <c r="NRT32" s="482"/>
      <c r="NRU32" s="482"/>
      <c r="NRV32" s="482"/>
      <c r="NRW32" s="482"/>
      <c r="NRX32" s="482"/>
      <c r="NRY32" s="482"/>
      <c r="NRZ32" s="482"/>
      <c r="NSA32" s="482"/>
      <c r="NSB32" s="482"/>
      <c r="NSC32" s="482"/>
      <c r="NSD32" s="482"/>
      <c r="NSE32" s="482"/>
      <c r="NSF32" s="482"/>
      <c r="NSG32" s="482"/>
      <c r="NSH32" s="482"/>
      <c r="NSI32" s="482"/>
      <c r="NSJ32" s="482"/>
      <c r="NSK32" s="482"/>
      <c r="NSL32" s="482"/>
      <c r="NSM32" s="482"/>
      <c r="NSN32" s="482"/>
      <c r="NSO32" s="482"/>
      <c r="NSP32" s="482"/>
      <c r="NSQ32" s="482"/>
      <c r="NSR32" s="482"/>
      <c r="NSS32" s="482"/>
      <c r="NST32" s="482"/>
      <c r="NSU32" s="482"/>
      <c r="NSV32" s="482"/>
      <c r="NSW32" s="482"/>
      <c r="NSX32" s="482"/>
      <c r="NSY32" s="482"/>
      <c r="NSZ32" s="482"/>
      <c r="NTA32" s="482"/>
      <c r="NTB32" s="482"/>
      <c r="NTC32" s="482"/>
      <c r="NTD32" s="482"/>
      <c r="NTE32" s="482"/>
      <c r="NTF32" s="482"/>
      <c r="NTG32" s="482"/>
      <c r="NTH32" s="482"/>
      <c r="NTI32" s="482"/>
      <c r="NTJ32" s="482"/>
      <c r="NTK32" s="482"/>
      <c r="NTL32" s="482"/>
      <c r="NTM32" s="482"/>
      <c r="NTN32" s="482"/>
      <c r="NTO32" s="482"/>
      <c r="NTP32" s="482"/>
      <c r="NTQ32" s="482"/>
      <c r="NTR32" s="482"/>
      <c r="NTS32" s="482"/>
      <c r="NTT32" s="482"/>
      <c r="NTU32" s="482"/>
      <c r="NTV32" s="482"/>
      <c r="NTW32" s="482"/>
      <c r="NTX32" s="482"/>
      <c r="NTY32" s="482"/>
      <c r="NTZ32" s="482"/>
      <c r="NUA32" s="482"/>
      <c r="NUB32" s="482"/>
      <c r="NUC32" s="482"/>
      <c r="NUD32" s="482"/>
      <c r="NUE32" s="482"/>
      <c r="NUF32" s="482"/>
      <c r="NUG32" s="482"/>
      <c r="NUH32" s="482"/>
      <c r="NUI32" s="482"/>
      <c r="NUJ32" s="482"/>
      <c r="NUK32" s="482"/>
      <c r="NUL32" s="482"/>
      <c r="NUM32" s="482"/>
      <c r="NUN32" s="482"/>
      <c r="NUO32" s="482"/>
      <c r="NUP32" s="482"/>
      <c r="NUQ32" s="482"/>
      <c r="NUR32" s="482"/>
      <c r="NUS32" s="482"/>
      <c r="NUT32" s="482"/>
      <c r="NUU32" s="482"/>
      <c r="NUV32" s="482"/>
      <c r="NUW32" s="482"/>
      <c r="NUX32" s="482"/>
      <c r="NUY32" s="482"/>
      <c r="NUZ32" s="482"/>
      <c r="NVA32" s="482"/>
      <c r="NVB32" s="482"/>
      <c r="NVC32" s="482"/>
      <c r="NVD32" s="482"/>
      <c r="NVE32" s="482"/>
      <c r="NVF32" s="482"/>
      <c r="NVG32" s="482"/>
      <c r="NVH32" s="482"/>
      <c r="NVI32" s="482"/>
      <c r="NVJ32" s="482"/>
      <c r="NVK32" s="482"/>
      <c r="NVL32" s="482"/>
      <c r="NVM32" s="482"/>
      <c r="NVN32" s="482"/>
      <c r="NVO32" s="482"/>
      <c r="NVP32" s="482"/>
      <c r="NVQ32" s="482"/>
      <c r="NVR32" s="482"/>
      <c r="NVS32" s="482"/>
      <c r="NVT32" s="482"/>
      <c r="NVU32" s="482"/>
      <c r="NVV32" s="482"/>
      <c r="NVW32" s="482"/>
      <c r="NVX32" s="482"/>
      <c r="NVY32" s="482"/>
      <c r="NVZ32" s="482"/>
      <c r="NWA32" s="482"/>
      <c r="NWB32" s="482"/>
      <c r="NWC32" s="482"/>
      <c r="NWD32" s="482"/>
      <c r="NWE32" s="482"/>
      <c r="NWF32" s="482"/>
      <c r="NWG32" s="482"/>
      <c r="NWH32" s="482"/>
      <c r="NWI32" s="482"/>
      <c r="NWJ32" s="482"/>
      <c r="NWK32" s="482"/>
      <c r="NWL32" s="482"/>
      <c r="NWM32" s="482"/>
      <c r="NWN32" s="482"/>
      <c r="NWO32" s="482"/>
      <c r="NWP32" s="482"/>
      <c r="NWQ32" s="482"/>
      <c r="NWR32" s="482"/>
      <c r="NWS32" s="482"/>
      <c r="NWT32" s="482"/>
      <c r="NWU32" s="482"/>
      <c r="NWV32" s="482"/>
      <c r="NWW32" s="482"/>
      <c r="NWX32" s="482"/>
      <c r="NWY32" s="482"/>
      <c r="NWZ32" s="482"/>
      <c r="NXA32" s="482"/>
      <c r="NXB32" s="482"/>
      <c r="NXC32" s="482"/>
      <c r="NXD32" s="482"/>
      <c r="NXE32" s="482"/>
      <c r="NXF32" s="482"/>
      <c r="NXG32" s="482"/>
      <c r="NXH32" s="482"/>
      <c r="NXI32" s="482"/>
      <c r="NXJ32" s="482"/>
      <c r="NXK32" s="482"/>
      <c r="NXL32" s="482"/>
      <c r="NXM32" s="482"/>
      <c r="NXN32" s="482"/>
      <c r="NXO32" s="482"/>
      <c r="NXP32" s="482"/>
      <c r="NXQ32" s="482"/>
      <c r="NXR32" s="482"/>
      <c r="NXS32" s="482"/>
      <c r="NXT32" s="482"/>
      <c r="NXU32" s="482"/>
      <c r="NXV32" s="482"/>
      <c r="NXW32" s="482"/>
      <c r="NXX32" s="482"/>
      <c r="NXY32" s="482"/>
      <c r="NXZ32" s="482"/>
      <c r="NYA32" s="482"/>
      <c r="NYB32" s="482"/>
      <c r="NYC32" s="482"/>
      <c r="NYD32" s="482"/>
      <c r="NYE32" s="482"/>
      <c r="NYF32" s="482"/>
      <c r="NYG32" s="482"/>
      <c r="NYH32" s="482"/>
      <c r="NYI32" s="482"/>
      <c r="NYJ32" s="482"/>
      <c r="NYK32" s="482"/>
      <c r="NYL32" s="482"/>
      <c r="NYM32" s="482"/>
      <c r="NYN32" s="482"/>
      <c r="NYO32" s="482"/>
      <c r="NYP32" s="482"/>
      <c r="NYQ32" s="482"/>
      <c r="NYR32" s="482"/>
      <c r="NYS32" s="482"/>
      <c r="NYT32" s="482"/>
      <c r="NYU32" s="482"/>
      <c r="NYV32" s="482"/>
      <c r="NYW32" s="482"/>
      <c r="NYX32" s="482"/>
      <c r="NYY32" s="482"/>
      <c r="NYZ32" s="482"/>
      <c r="NZA32" s="482"/>
      <c r="NZB32" s="482"/>
      <c r="NZC32" s="482"/>
      <c r="NZD32" s="482"/>
      <c r="NZE32" s="482"/>
      <c r="NZF32" s="482"/>
      <c r="NZG32" s="482"/>
      <c r="NZH32" s="482"/>
      <c r="NZI32" s="482"/>
      <c r="NZJ32" s="482"/>
      <c r="NZK32" s="482"/>
      <c r="NZL32" s="482"/>
      <c r="NZM32" s="482"/>
      <c r="NZN32" s="482"/>
      <c r="NZO32" s="482"/>
      <c r="NZP32" s="482"/>
      <c r="NZQ32" s="482"/>
      <c r="NZR32" s="482"/>
      <c r="NZS32" s="482"/>
      <c r="NZT32" s="482"/>
      <c r="NZU32" s="482"/>
      <c r="NZV32" s="482"/>
      <c r="NZW32" s="482"/>
      <c r="NZX32" s="482"/>
      <c r="NZY32" s="482"/>
      <c r="NZZ32" s="482"/>
      <c r="OAA32" s="482"/>
      <c r="OAB32" s="482"/>
      <c r="OAC32" s="482"/>
      <c r="OAD32" s="482"/>
      <c r="OAE32" s="482"/>
      <c r="OAF32" s="482"/>
      <c r="OAG32" s="482"/>
      <c r="OAH32" s="482"/>
      <c r="OAI32" s="482"/>
      <c r="OAJ32" s="482"/>
      <c r="OAK32" s="482"/>
      <c r="OAL32" s="482"/>
      <c r="OAM32" s="482"/>
      <c r="OAN32" s="482"/>
      <c r="OAO32" s="482"/>
      <c r="OAP32" s="482"/>
      <c r="OAQ32" s="482"/>
      <c r="OAR32" s="482"/>
      <c r="OAS32" s="482"/>
      <c r="OAT32" s="482"/>
      <c r="OAU32" s="482"/>
      <c r="OAV32" s="482"/>
      <c r="OAW32" s="482"/>
      <c r="OAX32" s="482"/>
      <c r="OAY32" s="482"/>
      <c r="OAZ32" s="482"/>
      <c r="OBA32" s="482"/>
      <c r="OBB32" s="482"/>
      <c r="OBC32" s="482"/>
      <c r="OBD32" s="482"/>
      <c r="OBE32" s="482"/>
      <c r="OBF32" s="482"/>
      <c r="OBG32" s="482"/>
      <c r="OBH32" s="482"/>
      <c r="OBI32" s="482"/>
      <c r="OBJ32" s="482"/>
      <c r="OBK32" s="482"/>
      <c r="OBL32" s="482"/>
      <c r="OBM32" s="482"/>
      <c r="OBN32" s="482"/>
      <c r="OBO32" s="482"/>
      <c r="OBP32" s="482"/>
      <c r="OBQ32" s="482"/>
      <c r="OBR32" s="482"/>
      <c r="OBS32" s="482"/>
      <c r="OBT32" s="482"/>
      <c r="OBU32" s="482"/>
      <c r="OBV32" s="482"/>
      <c r="OBW32" s="482"/>
      <c r="OBX32" s="482"/>
      <c r="OBY32" s="482"/>
      <c r="OBZ32" s="482"/>
      <c r="OCA32" s="482"/>
      <c r="OCB32" s="482"/>
      <c r="OCC32" s="482"/>
      <c r="OCD32" s="482"/>
      <c r="OCE32" s="482"/>
      <c r="OCF32" s="482"/>
      <c r="OCG32" s="482"/>
      <c r="OCH32" s="482"/>
      <c r="OCI32" s="482"/>
      <c r="OCJ32" s="482"/>
      <c r="OCK32" s="482"/>
      <c r="OCL32" s="482"/>
      <c r="OCM32" s="482"/>
      <c r="OCN32" s="482"/>
      <c r="OCO32" s="482"/>
      <c r="OCP32" s="482"/>
      <c r="OCQ32" s="482"/>
      <c r="OCR32" s="482"/>
      <c r="OCS32" s="482"/>
      <c r="OCT32" s="482"/>
      <c r="OCU32" s="482"/>
      <c r="OCV32" s="482"/>
      <c r="OCW32" s="482"/>
      <c r="OCX32" s="482"/>
      <c r="OCY32" s="482"/>
      <c r="OCZ32" s="482"/>
      <c r="ODA32" s="482"/>
      <c r="ODB32" s="482"/>
      <c r="ODC32" s="482"/>
      <c r="ODD32" s="482"/>
      <c r="ODE32" s="482"/>
      <c r="ODF32" s="482"/>
      <c r="ODG32" s="482"/>
      <c r="ODH32" s="482"/>
      <c r="ODI32" s="482"/>
      <c r="ODJ32" s="482"/>
      <c r="ODK32" s="482"/>
      <c r="ODL32" s="482"/>
      <c r="ODM32" s="482"/>
      <c r="ODN32" s="482"/>
      <c r="ODO32" s="482"/>
      <c r="ODP32" s="482"/>
      <c r="ODQ32" s="482"/>
      <c r="ODR32" s="482"/>
      <c r="ODS32" s="482"/>
      <c r="ODT32" s="482"/>
      <c r="ODU32" s="482"/>
      <c r="ODV32" s="482"/>
      <c r="ODW32" s="482"/>
      <c r="ODX32" s="482"/>
      <c r="ODY32" s="482"/>
      <c r="ODZ32" s="482"/>
      <c r="OEA32" s="482"/>
      <c r="OEB32" s="482"/>
      <c r="OEC32" s="482"/>
      <c r="OED32" s="482"/>
      <c r="OEE32" s="482"/>
      <c r="OEF32" s="482"/>
      <c r="OEG32" s="482"/>
      <c r="OEH32" s="482"/>
      <c r="OEI32" s="482"/>
      <c r="OEJ32" s="482"/>
      <c r="OEK32" s="482"/>
      <c r="OEL32" s="482"/>
      <c r="OEM32" s="482"/>
      <c r="OEN32" s="482"/>
      <c r="OEO32" s="482"/>
      <c r="OEP32" s="482"/>
      <c r="OEQ32" s="482"/>
      <c r="OER32" s="482"/>
      <c r="OES32" s="482"/>
      <c r="OET32" s="482"/>
      <c r="OEU32" s="482"/>
      <c r="OEV32" s="482"/>
      <c r="OEW32" s="482"/>
      <c r="OEX32" s="482"/>
      <c r="OEY32" s="482"/>
      <c r="OEZ32" s="482"/>
      <c r="OFA32" s="482"/>
      <c r="OFB32" s="482"/>
      <c r="OFC32" s="482"/>
      <c r="OFD32" s="482"/>
      <c r="OFE32" s="482"/>
      <c r="OFF32" s="482"/>
      <c r="OFG32" s="482"/>
      <c r="OFH32" s="482"/>
      <c r="OFI32" s="482"/>
      <c r="OFJ32" s="482"/>
      <c r="OFK32" s="482"/>
      <c r="OFL32" s="482"/>
      <c r="OFM32" s="482"/>
      <c r="OFN32" s="482"/>
      <c r="OFO32" s="482"/>
      <c r="OFP32" s="482"/>
      <c r="OFQ32" s="482"/>
      <c r="OFR32" s="482"/>
      <c r="OFS32" s="482"/>
      <c r="OFT32" s="482"/>
      <c r="OFU32" s="482"/>
      <c r="OFV32" s="482"/>
      <c r="OFW32" s="482"/>
      <c r="OFX32" s="482"/>
      <c r="OFY32" s="482"/>
      <c r="OFZ32" s="482"/>
      <c r="OGA32" s="482"/>
      <c r="OGB32" s="482"/>
      <c r="OGC32" s="482"/>
      <c r="OGD32" s="482"/>
      <c r="OGE32" s="482"/>
      <c r="OGF32" s="482"/>
      <c r="OGG32" s="482"/>
      <c r="OGH32" s="482"/>
      <c r="OGI32" s="482"/>
      <c r="OGJ32" s="482"/>
      <c r="OGK32" s="482"/>
      <c r="OGL32" s="482"/>
      <c r="OGM32" s="482"/>
      <c r="OGN32" s="482"/>
      <c r="OGO32" s="482"/>
      <c r="OGP32" s="482"/>
      <c r="OGQ32" s="482"/>
      <c r="OGR32" s="482"/>
      <c r="OGS32" s="482"/>
      <c r="OGT32" s="482"/>
      <c r="OGU32" s="482"/>
      <c r="OGV32" s="482"/>
      <c r="OGW32" s="482"/>
      <c r="OGX32" s="482"/>
      <c r="OGY32" s="482"/>
      <c r="OGZ32" s="482"/>
      <c r="OHA32" s="482"/>
      <c r="OHB32" s="482"/>
      <c r="OHC32" s="482"/>
      <c r="OHD32" s="482"/>
      <c r="OHE32" s="482"/>
      <c r="OHF32" s="482"/>
      <c r="OHG32" s="482"/>
      <c r="OHH32" s="482"/>
      <c r="OHI32" s="482"/>
      <c r="OHJ32" s="482"/>
      <c r="OHK32" s="482"/>
      <c r="OHL32" s="482"/>
      <c r="OHM32" s="482"/>
      <c r="OHN32" s="482"/>
      <c r="OHO32" s="482"/>
      <c r="OHP32" s="482"/>
      <c r="OHQ32" s="482"/>
      <c r="OHR32" s="482"/>
      <c r="OHS32" s="482"/>
      <c r="OHT32" s="482"/>
      <c r="OHU32" s="482"/>
      <c r="OHV32" s="482"/>
      <c r="OHW32" s="482"/>
      <c r="OHX32" s="482"/>
      <c r="OHY32" s="482"/>
      <c r="OHZ32" s="482"/>
      <c r="OIA32" s="482"/>
      <c r="OIB32" s="482"/>
      <c r="OIC32" s="482"/>
      <c r="OID32" s="482"/>
      <c r="OIE32" s="482"/>
      <c r="OIF32" s="482"/>
      <c r="OIG32" s="482"/>
      <c r="OIH32" s="482"/>
      <c r="OII32" s="482"/>
      <c r="OIJ32" s="482"/>
      <c r="OIK32" s="482"/>
      <c r="OIL32" s="482"/>
      <c r="OIM32" s="482"/>
      <c r="OIN32" s="482"/>
      <c r="OIO32" s="482"/>
      <c r="OIP32" s="482"/>
      <c r="OIQ32" s="482"/>
      <c r="OIR32" s="482"/>
      <c r="OIS32" s="482"/>
      <c r="OIT32" s="482"/>
      <c r="OIU32" s="482"/>
      <c r="OIV32" s="482"/>
      <c r="OIW32" s="482"/>
      <c r="OIX32" s="482"/>
      <c r="OIY32" s="482"/>
      <c r="OIZ32" s="482"/>
      <c r="OJA32" s="482"/>
      <c r="OJB32" s="482"/>
      <c r="OJC32" s="482"/>
      <c r="OJD32" s="482"/>
      <c r="OJE32" s="482"/>
      <c r="OJF32" s="482"/>
      <c r="OJG32" s="482"/>
      <c r="OJH32" s="482"/>
      <c r="OJI32" s="482"/>
      <c r="OJJ32" s="482"/>
      <c r="OJK32" s="482"/>
      <c r="OJL32" s="482"/>
      <c r="OJM32" s="482"/>
      <c r="OJN32" s="482"/>
      <c r="OJO32" s="482"/>
      <c r="OJP32" s="482"/>
      <c r="OJQ32" s="482"/>
      <c r="OJR32" s="482"/>
      <c r="OJS32" s="482"/>
      <c r="OJT32" s="482"/>
      <c r="OJU32" s="482"/>
      <c r="OJV32" s="482"/>
      <c r="OJW32" s="482"/>
      <c r="OJX32" s="482"/>
      <c r="OJY32" s="482"/>
      <c r="OJZ32" s="482"/>
      <c r="OKA32" s="482"/>
      <c r="OKB32" s="482"/>
      <c r="OKC32" s="482"/>
      <c r="OKD32" s="482"/>
      <c r="OKE32" s="482"/>
      <c r="OKF32" s="482"/>
      <c r="OKG32" s="482"/>
      <c r="OKH32" s="482"/>
      <c r="OKI32" s="482"/>
      <c r="OKJ32" s="482"/>
      <c r="OKK32" s="482"/>
      <c r="OKL32" s="482"/>
      <c r="OKM32" s="482"/>
      <c r="OKN32" s="482"/>
      <c r="OKO32" s="482"/>
      <c r="OKP32" s="482"/>
      <c r="OKQ32" s="482"/>
      <c r="OKR32" s="482"/>
      <c r="OKS32" s="482"/>
      <c r="OKT32" s="482"/>
      <c r="OKU32" s="482"/>
      <c r="OKV32" s="482"/>
      <c r="OKW32" s="482"/>
      <c r="OKX32" s="482"/>
      <c r="OKY32" s="482"/>
      <c r="OKZ32" s="482"/>
      <c r="OLA32" s="482"/>
      <c r="OLB32" s="482"/>
      <c r="OLC32" s="482"/>
      <c r="OLD32" s="482"/>
      <c r="OLE32" s="482"/>
      <c r="OLF32" s="482"/>
      <c r="OLG32" s="482"/>
      <c r="OLH32" s="482"/>
      <c r="OLI32" s="482"/>
      <c r="OLJ32" s="482"/>
      <c r="OLK32" s="482"/>
      <c r="OLL32" s="482"/>
      <c r="OLM32" s="482"/>
      <c r="OLN32" s="482"/>
      <c r="OLO32" s="482"/>
      <c r="OLP32" s="482"/>
      <c r="OLQ32" s="482"/>
      <c r="OLR32" s="482"/>
      <c r="OLS32" s="482"/>
      <c r="OLT32" s="482"/>
      <c r="OLU32" s="482"/>
      <c r="OLV32" s="482"/>
      <c r="OLW32" s="482"/>
      <c r="OLX32" s="482"/>
      <c r="OLY32" s="482"/>
      <c r="OLZ32" s="482"/>
      <c r="OMA32" s="482"/>
      <c r="OMB32" s="482"/>
      <c r="OMC32" s="482"/>
      <c r="OMD32" s="482"/>
      <c r="OME32" s="482"/>
      <c r="OMF32" s="482"/>
      <c r="OMG32" s="482"/>
      <c r="OMH32" s="482"/>
      <c r="OMI32" s="482"/>
      <c r="OMJ32" s="482"/>
      <c r="OMK32" s="482"/>
      <c r="OML32" s="482"/>
      <c r="OMM32" s="482"/>
      <c r="OMN32" s="482"/>
      <c r="OMO32" s="482"/>
      <c r="OMP32" s="482"/>
      <c r="OMQ32" s="482"/>
      <c r="OMR32" s="482"/>
      <c r="OMS32" s="482"/>
      <c r="OMT32" s="482"/>
      <c r="OMU32" s="482"/>
      <c r="OMV32" s="482"/>
      <c r="OMW32" s="482"/>
      <c r="OMX32" s="482"/>
      <c r="OMY32" s="482"/>
      <c r="OMZ32" s="482"/>
      <c r="ONA32" s="482"/>
      <c r="ONB32" s="482"/>
      <c r="ONC32" s="482"/>
      <c r="OND32" s="482"/>
      <c r="ONE32" s="482"/>
      <c r="ONF32" s="482"/>
      <c r="ONG32" s="482"/>
      <c r="ONH32" s="482"/>
      <c r="ONI32" s="482"/>
      <c r="ONJ32" s="482"/>
      <c r="ONK32" s="482"/>
      <c r="ONL32" s="482"/>
      <c r="ONM32" s="482"/>
      <c r="ONN32" s="482"/>
      <c r="ONO32" s="482"/>
      <c r="ONP32" s="482"/>
      <c r="ONQ32" s="482"/>
      <c r="ONR32" s="482"/>
      <c r="ONS32" s="482"/>
      <c r="ONT32" s="482"/>
      <c r="ONU32" s="482"/>
      <c r="ONV32" s="482"/>
      <c r="ONW32" s="482"/>
      <c r="ONX32" s="482"/>
      <c r="ONY32" s="482"/>
      <c r="ONZ32" s="482"/>
      <c r="OOA32" s="482"/>
      <c r="OOB32" s="482"/>
      <c r="OOC32" s="482"/>
      <c r="OOD32" s="482"/>
      <c r="OOE32" s="482"/>
      <c r="OOF32" s="482"/>
      <c r="OOG32" s="482"/>
      <c r="OOH32" s="482"/>
      <c r="OOI32" s="482"/>
      <c r="OOJ32" s="482"/>
      <c r="OOK32" s="482"/>
      <c r="OOL32" s="482"/>
      <c r="OOM32" s="482"/>
      <c r="OON32" s="482"/>
      <c r="OOO32" s="482"/>
      <c r="OOP32" s="482"/>
      <c r="OOQ32" s="482"/>
      <c r="OOR32" s="482"/>
      <c r="OOS32" s="482"/>
      <c r="OOT32" s="482"/>
      <c r="OOU32" s="482"/>
      <c r="OOV32" s="482"/>
      <c r="OOW32" s="482"/>
      <c r="OOX32" s="482"/>
      <c r="OOY32" s="482"/>
      <c r="OOZ32" s="482"/>
      <c r="OPA32" s="482"/>
      <c r="OPB32" s="482"/>
      <c r="OPC32" s="482"/>
      <c r="OPD32" s="482"/>
      <c r="OPE32" s="482"/>
      <c r="OPF32" s="482"/>
      <c r="OPG32" s="482"/>
      <c r="OPH32" s="482"/>
      <c r="OPI32" s="482"/>
      <c r="OPJ32" s="482"/>
      <c r="OPK32" s="482"/>
      <c r="OPL32" s="482"/>
      <c r="OPM32" s="482"/>
      <c r="OPN32" s="482"/>
      <c r="OPO32" s="482"/>
      <c r="OPP32" s="482"/>
      <c r="OPQ32" s="482"/>
      <c r="OPR32" s="482"/>
      <c r="OPS32" s="482"/>
      <c r="OPT32" s="482"/>
      <c r="OPU32" s="482"/>
      <c r="OPV32" s="482"/>
      <c r="OPW32" s="482"/>
      <c r="OPX32" s="482"/>
      <c r="OPY32" s="482"/>
      <c r="OPZ32" s="482"/>
      <c r="OQA32" s="482"/>
      <c r="OQB32" s="482"/>
      <c r="OQC32" s="482"/>
      <c r="OQD32" s="482"/>
      <c r="OQE32" s="482"/>
      <c r="OQF32" s="482"/>
      <c r="OQG32" s="482"/>
      <c r="OQH32" s="482"/>
      <c r="OQI32" s="482"/>
      <c r="OQJ32" s="482"/>
      <c r="OQK32" s="482"/>
      <c r="OQL32" s="482"/>
      <c r="OQM32" s="482"/>
      <c r="OQN32" s="482"/>
      <c r="OQO32" s="482"/>
      <c r="OQP32" s="482"/>
      <c r="OQQ32" s="482"/>
      <c r="OQR32" s="482"/>
      <c r="OQS32" s="482"/>
      <c r="OQT32" s="482"/>
      <c r="OQU32" s="482"/>
      <c r="OQV32" s="482"/>
      <c r="OQW32" s="482"/>
      <c r="OQX32" s="482"/>
      <c r="OQY32" s="482"/>
      <c r="OQZ32" s="482"/>
      <c r="ORA32" s="482"/>
      <c r="ORB32" s="482"/>
      <c r="ORC32" s="482"/>
      <c r="ORD32" s="482"/>
      <c r="ORE32" s="482"/>
      <c r="ORF32" s="482"/>
      <c r="ORG32" s="482"/>
      <c r="ORH32" s="482"/>
      <c r="ORI32" s="482"/>
      <c r="ORJ32" s="482"/>
      <c r="ORK32" s="482"/>
      <c r="ORL32" s="482"/>
      <c r="ORM32" s="482"/>
      <c r="ORN32" s="482"/>
      <c r="ORO32" s="482"/>
      <c r="ORP32" s="482"/>
      <c r="ORQ32" s="482"/>
      <c r="ORR32" s="482"/>
      <c r="ORS32" s="482"/>
      <c r="ORT32" s="482"/>
      <c r="ORU32" s="482"/>
      <c r="ORV32" s="482"/>
      <c r="ORW32" s="482"/>
      <c r="ORX32" s="482"/>
      <c r="ORY32" s="482"/>
      <c r="ORZ32" s="482"/>
      <c r="OSA32" s="482"/>
      <c r="OSB32" s="482"/>
      <c r="OSC32" s="482"/>
      <c r="OSD32" s="482"/>
      <c r="OSE32" s="482"/>
      <c r="OSF32" s="482"/>
      <c r="OSG32" s="482"/>
      <c r="OSH32" s="482"/>
      <c r="OSI32" s="482"/>
      <c r="OSJ32" s="482"/>
      <c r="OSK32" s="482"/>
      <c r="OSL32" s="482"/>
      <c r="OSM32" s="482"/>
      <c r="OSN32" s="482"/>
      <c r="OSO32" s="482"/>
      <c r="OSP32" s="482"/>
      <c r="OSQ32" s="482"/>
      <c r="OSR32" s="482"/>
      <c r="OSS32" s="482"/>
      <c r="OST32" s="482"/>
      <c r="OSU32" s="482"/>
      <c r="OSV32" s="482"/>
      <c r="OSW32" s="482"/>
      <c r="OSX32" s="482"/>
      <c r="OSY32" s="482"/>
      <c r="OSZ32" s="482"/>
      <c r="OTA32" s="482"/>
      <c r="OTB32" s="482"/>
      <c r="OTC32" s="482"/>
      <c r="OTD32" s="482"/>
      <c r="OTE32" s="482"/>
      <c r="OTF32" s="482"/>
      <c r="OTG32" s="482"/>
      <c r="OTH32" s="482"/>
      <c r="OTI32" s="482"/>
      <c r="OTJ32" s="482"/>
      <c r="OTK32" s="482"/>
      <c r="OTL32" s="482"/>
      <c r="OTM32" s="482"/>
      <c r="OTN32" s="482"/>
      <c r="OTO32" s="482"/>
      <c r="OTP32" s="482"/>
      <c r="OTQ32" s="482"/>
      <c r="OTR32" s="482"/>
      <c r="OTS32" s="482"/>
      <c r="OTT32" s="482"/>
      <c r="OTU32" s="482"/>
      <c r="OTV32" s="482"/>
      <c r="OTW32" s="482"/>
      <c r="OTX32" s="482"/>
      <c r="OTY32" s="482"/>
      <c r="OTZ32" s="482"/>
      <c r="OUA32" s="482"/>
      <c r="OUB32" s="482"/>
      <c r="OUC32" s="482"/>
      <c r="OUD32" s="482"/>
      <c r="OUE32" s="482"/>
      <c r="OUF32" s="482"/>
      <c r="OUG32" s="482"/>
      <c r="OUH32" s="482"/>
      <c r="OUI32" s="482"/>
      <c r="OUJ32" s="482"/>
      <c r="OUK32" s="482"/>
      <c r="OUL32" s="482"/>
      <c r="OUM32" s="482"/>
      <c r="OUN32" s="482"/>
      <c r="OUO32" s="482"/>
      <c r="OUP32" s="482"/>
      <c r="OUQ32" s="482"/>
      <c r="OUR32" s="482"/>
      <c r="OUS32" s="482"/>
      <c r="OUT32" s="482"/>
      <c r="OUU32" s="482"/>
      <c r="OUV32" s="482"/>
      <c r="OUW32" s="482"/>
      <c r="OUX32" s="482"/>
      <c r="OUY32" s="482"/>
      <c r="OUZ32" s="482"/>
      <c r="OVA32" s="482"/>
      <c r="OVB32" s="482"/>
      <c r="OVC32" s="482"/>
      <c r="OVD32" s="482"/>
      <c r="OVE32" s="482"/>
      <c r="OVF32" s="482"/>
      <c r="OVG32" s="482"/>
      <c r="OVH32" s="482"/>
      <c r="OVI32" s="482"/>
      <c r="OVJ32" s="482"/>
      <c r="OVK32" s="482"/>
      <c r="OVL32" s="482"/>
      <c r="OVM32" s="482"/>
      <c r="OVN32" s="482"/>
      <c r="OVO32" s="482"/>
      <c r="OVP32" s="482"/>
      <c r="OVQ32" s="482"/>
      <c r="OVR32" s="482"/>
      <c r="OVS32" s="482"/>
      <c r="OVT32" s="482"/>
      <c r="OVU32" s="482"/>
      <c r="OVV32" s="482"/>
      <c r="OVW32" s="482"/>
      <c r="OVX32" s="482"/>
      <c r="OVY32" s="482"/>
      <c r="OVZ32" s="482"/>
      <c r="OWA32" s="482"/>
      <c r="OWB32" s="482"/>
      <c r="OWC32" s="482"/>
      <c r="OWD32" s="482"/>
      <c r="OWE32" s="482"/>
      <c r="OWF32" s="482"/>
      <c r="OWG32" s="482"/>
      <c r="OWH32" s="482"/>
      <c r="OWI32" s="482"/>
      <c r="OWJ32" s="482"/>
      <c r="OWK32" s="482"/>
      <c r="OWL32" s="482"/>
      <c r="OWM32" s="482"/>
      <c r="OWN32" s="482"/>
      <c r="OWO32" s="482"/>
      <c r="OWP32" s="482"/>
      <c r="OWQ32" s="482"/>
      <c r="OWR32" s="482"/>
      <c r="OWS32" s="482"/>
      <c r="OWT32" s="482"/>
      <c r="OWU32" s="482"/>
      <c r="OWV32" s="482"/>
      <c r="OWW32" s="482"/>
      <c r="OWX32" s="482"/>
      <c r="OWY32" s="482"/>
      <c r="OWZ32" s="482"/>
      <c r="OXA32" s="482"/>
      <c r="OXB32" s="482"/>
      <c r="OXC32" s="482"/>
      <c r="OXD32" s="482"/>
      <c r="OXE32" s="482"/>
      <c r="OXF32" s="482"/>
      <c r="OXG32" s="482"/>
      <c r="OXH32" s="482"/>
      <c r="OXI32" s="482"/>
      <c r="OXJ32" s="482"/>
      <c r="OXK32" s="482"/>
      <c r="OXL32" s="482"/>
      <c r="OXM32" s="482"/>
      <c r="OXN32" s="482"/>
      <c r="OXO32" s="482"/>
      <c r="OXP32" s="482"/>
      <c r="OXQ32" s="482"/>
      <c r="OXR32" s="482"/>
      <c r="OXS32" s="482"/>
      <c r="OXT32" s="482"/>
      <c r="OXU32" s="482"/>
      <c r="OXV32" s="482"/>
      <c r="OXW32" s="482"/>
      <c r="OXX32" s="482"/>
      <c r="OXY32" s="482"/>
      <c r="OXZ32" s="482"/>
      <c r="OYA32" s="482"/>
      <c r="OYB32" s="482"/>
      <c r="OYC32" s="482"/>
      <c r="OYD32" s="482"/>
      <c r="OYE32" s="482"/>
      <c r="OYF32" s="482"/>
      <c r="OYG32" s="482"/>
      <c r="OYH32" s="482"/>
      <c r="OYI32" s="482"/>
      <c r="OYJ32" s="482"/>
      <c r="OYK32" s="482"/>
      <c r="OYL32" s="482"/>
      <c r="OYM32" s="482"/>
      <c r="OYN32" s="482"/>
      <c r="OYO32" s="482"/>
      <c r="OYP32" s="482"/>
      <c r="OYQ32" s="482"/>
      <c r="OYR32" s="482"/>
      <c r="OYS32" s="482"/>
      <c r="OYT32" s="482"/>
      <c r="OYU32" s="482"/>
      <c r="OYV32" s="482"/>
      <c r="OYW32" s="482"/>
      <c r="OYX32" s="482"/>
      <c r="OYY32" s="482"/>
      <c r="OYZ32" s="482"/>
      <c r="OZA32" s="482"/>
      <c r="OZB32" s="482"/>
      <c r="OZC32" s="482"/>
      <c r="OZD32" s="482"/>
      <c r="OZE32" s="482"/>
      <c r="OZF32" s="482"/>
      <c r="OZG32" s="482"/>
      <c r="OZH32" s="482"/>
      <c r="OZI32" s="482"/>
      <c r="OZJ32" s="482"/>
      <c r="OZK32" s="482"/>
      <c r="OZL32" s="482"/>
      <c r="OZM32" s="482"/>
      <c r="OZN32" s="482"/>
      <c r="OZO32" s="482"/>
      <c r="OZP32" s="482"/>
      <c r="OZQ32" s="482"/>
      <c r="OZR32" s="482"/>
      <c r="OZS32" s="482"/>
      <c r="OZT32" s="482"/>
      <c r="OZU32" s="482"/>
      <c r="OZV32" s="482"/>
      <c r="OZW32" s="482"/>
      <c r="OZX32" s="482"/>
      <c r="OZY32" s="482"/>
      <c r="OZZ32" s="482"/>
      <c r="PAA32" s="482"/>
      <c r="PAB32" s="482"/>
      <c r="PAC32" s="482"/>
      <c r="PAD32" s="482"/>
      <c r="PAE32" s="482"/>
      <c r="PAF32" s="482"/>
      <c r="PAG32" s="482"/>
      <c r="PAH32" s="482"/>
      <c r="PAI32" s="482"/>
      <c r="PAJ32" s="482"/>
      <c r="PAK32" s="482"/>
      <c r="PAL32" s="482"/>
      <c r="PAM32" s="482"/>
      <c r="PAN32" s="482"/>
      <c r="PAO32" s="482"/>
      <c r="PAP32" s="482"/>
      <c r="PAQ32" s="482"/>
      <c r="PAR32" s="482"/>
      <c r="PAS32" s="482"/>
      <c r="PAT32" s="482"/>
      <c r="PAU32" s="482"/>
      <c r="PAV32" s="482"/>
      <c r="PAW32" s="482"/>
      <c r="PAX32" s="482"/>
      <c r="PAY32" s="482"/>
      <c r="PAZ32" s="482"/>
      <c r="PBA32" s="482"/>
      <c r="PBB32" s="482"/>
      <c r="PBC32" s="482"/>
      <c r="PBD32" s="482"/>
      <c r="PBE32" s="482"/>
      <c r="PBF32" s="482"/>
      <c r="PBG32" s="482"/>
      <c r="PBH32" s="482"/>
      <c r="PBI32" s="482"/>
      <c r="PBJ32" s="482"/>
      <c r="PBK32" s="482"/>
      <c r="PBL32" s="482"/>
      <c r="PBM32" s="482"/>
      <c r="PBN32" s="482"/>
      <c r="PBO32" s="482"/>
      <c r="PBP32" s="482"/>
      <c r="PBQ32" s="482"/>
      <c r="PBR32" s="482"/>
      <c r="PBS32" s="482"/>
      <c r="PBT32" s="482"/>
      <c r="PBU32" s="482"/>
      <c r="PBV32" s="482"/>
      <c r="PBW32" s="482"/>
      <c r="PBX32" s="482"/>
      <c r="PBY32" s="482"/>
      <c r="PBZ32" s="482"/>
      <c r="PCA32" s="482"/>
      <c r="PCB32" s="482"/>
      <c r="PCC32" s="482"/>
      <c r="PCD32" s="482"/>
      <c r="PCE32" s="482"/>
      <c r="PCF32" s="482"/>
      <c r="PCG32" s="482"/>
      <c r="PCH32" s="482"/>
      <c r="PCI32" s="482"/>
      <c r="PCJ32" s="482"/>
      <c r="PCK32" s="482"/>
      <c r="PCL32" s="482"/>
      <c r="PCM32" s="482"/>
      <c r="PCN32" s="482"/>
      <c r="PCO32" s="482"/>
      <c r="PCP32" s="482"/>
      <c r="PCQ32" s="482"/>
      <c r="PCR32" s="482"/>
      <c r="PCS32" s="482"/>
      <c r="PCT32" s="482"/>
      <c r="PCU32" s="482"/>
      <c r="PCV32" s="482"/>
      <c r="PCW32" s="482"/>
      <c r="PCX32" s="482"/>
      <c r="PCY32" s="482"/>
      <c r="PCZ32" s="482"/>
      <c r="PDA32" s="482"/>
      <c r="PDB32" s="482"/>
      <c r="PDC32" s="482"/>
      <c r="PDD32" s="482"/>
      <c r="PDE32" s="482"/>
      <c r="PDF32" s="482"/>
      <c r="PDG32" s="482"/>
      <c r="PDH32" s="482"/>
      <c r="PDI32" s="482"/>
      <c r="PDJ32" s="482"/>
      <c r="PDK32" s="482"/>
      <c r="PDL32" s="482"/>
      <c r="PDM32" s="482"/>
      <c r="PDN32" s="482"/>
      <c r="PDO32" s="482"/>
      <c r="PDP32" s="482"/>
      <c r="PDQ32" s="482"/>
      <c r="PDR32" s="482"/>
      <c r="PDS32" s="482"/>
      <c r="PDT32" s="482"/>
      <c r="PDU32" s="482"/>
      <c r="PDV32" s="482"/>
      <c r="PDW32" s="482"/>
      <c r="PDX32" s="482"/>
      <c r="PDY32" s="482"/>
      <c r="PDZ32" s="482"/>
      <c r="PEA32" s="482"/>
      <c r="PEB32" s="482"/>
      <c r="PEC32" s="482"/>
      <c r="PED32" s="482"/>
      <c r="PEE32" s="482"/>
      <c r="PEF32" s="482"/>
      <c r="PEG32" s="482"/>
      <c r="PEH32" s="482"/>
      <c r="PEI32" s="482"/>
      <c r="PEJ32" s="482"/>
      <c r="PEK32" s="482"/>
      <c r="PEL32" s="482"/>
      <c r="PEM32" s="482"/>
      <c r="PEN32" s="482"/>
      <c r="PEO32" s="482"/>
      <c r="PEP32" s="482"/>
      <c r="PEQ32" s="482"/>
      <c r="PER32" s="482"/>
      <c r="PES32" s="482"/>
      <c r="PET32" s="482"/>
      <c r="PEU32" s="482"/>
      <c r="PEV32" s="482"/>
      <c r="PEW32" s="482"/>
      <c r="PEX32" s="482"/>
      <c r="PEY32" s="482"/>
      <c r="PEZ32" s="482"/>
      <c r="PFA32" s="482"/>
      <c r="PFB32" s="482"/>
      <c r="PFC32" s="482"/>
      <c r="PFD32" s="482"/>
      <c r="PFE32" s="482"/>
      <c r="PFF32" s="482"/>
      <c r="PFG32" s="482"/>
      <c r="PFH32" s="482"/>
      <c r="PFI32" s="482"/>
      <c r="PFJ32" s="482"/>
      <c r="PFK32" s="482"/>
      <c r="PFL32" s="482"/>
      <c r="PFM32" s="482"/>
      <c r="PFN32" s="482"/>
      <c r="PFO32" s="482"/>
      <c r="PFP32" s="482"/>
      <c r="PFQ32" s="482"/>
      <c r="PFR32" s="482"/>
      <c r="PFS32" s="482"/>
      <c r="PFT32" s="482"/>
      <c r="PFU32" s="482"/>
      <c r="PFV32" s="482"/>
      <c r="PFW32" s="482"/>
      <c r="PFX32" s="482"/>
      <c r="PFY32" s="482"/>
      <c r="PFZ32" s="482"/>
      <c r="PGA32" s="482"/>
      <c r="PGB32" s="482"/>
      <c r="PGC32" s="482"/>
      <c r="PGD32" s="482"/>
      <c r="PGE32" s="482"/>
      <c r="PGF32" s="482"/>
      <c r="PGG32" s="482"/>
      <c r="PGH32" s="482"/>
      <c r="PGI32" s="482"/>
      <c r="PGJ32" s="482"/>
      <c r="PGK32" s="482"/>
      <c r="PGL32" s="482"/>
      <c r="PGM32" s="482"/>
      <c r="PGN32" s="482"/>
      <c r="PGO32" s="482"/>
      <c r="PGP32" s="482"/>
      <c r="PGQ32" s="482"/>
      <c r="PGR32" s="482"/>
      <c r="PGS32" s="482"/>
      <c r="PGT32" s="482"/>
      <c r="PGU32" s="482"/>
      <c r="PGV32" s="482"/>
      <c r="PGW32" s="482"/>
      <c r="PGX32" s="482"/>
      <c r="PGY32" s="482"/>
      <c r="PGZ32" s="482"/>
      <c r="PHA32" s="482"/>
      <c r="PHB32" s="482"/>
      <c r="PHC32" s="482"/>
      <c r="PHD32" s="482"/>
      <c r="PHE32" s="482"/>
      <c r="PHF32" s="482"/>
      <c r="PHG32" s="482"/>
      <c r="PHH32" s="482"/>
      <c r="PHI32" s="482"/>
      <c r="PHJ32" s="482"/>
      <c r="PHK32" s="482"/>
      <c r="PHL32" s="482"/>
      <c r="PHM32" s="482"/>
      <c r="PHN32" s="482"/>
      <c r="PHO32" s="482"/>
      <c r="PHP32" s="482"/>
      <c r="PHQ32" s="482"/>
      <c r="PHR32" s="482"/>
      <c r="PHS32" s="482"/>
      <c r="PHT32" s="482"/>
      <c r="PHU32" s="482"/>
      <c r="PHV32" s="482"/>
      <c r="PHW32" s="482"/>
      <c r="PHX32" s="482"/>
      <c r="PHY32" s="482"/>
      <c r="PHZ32" s="482"/>
      <c r="PIA32" s="482"/>
      <c r="PIB32" s="482"/>
      <c r="PIC32" s="482"/>
      <c r="PID32" s="482"/>
      <c r="PIE32" s="482"/>
      <c r="PIF32" s="482"/>
      <c r="PIG32" s="482"/>
      <c r="PIH32" s="482"/>
      <c r="PII32" s="482"/>
      <c r="PIJ32" s="482"/>
      <c r="PIK32" s="482"/>
      <c r="PIL32" s="482"/>
      <c r="PIM32" s="482"/>
      <c r="PIN32" s="482"/>
      <c r="PIO32" s="482"/>
      <c r="PIP32" s="482"/>
      <c r="PIQ32" s="482"/>
      <c r="PIR32" s="482"/>
      <c r="PIS32" s="482"/>
      <c r="PIT32" s="482"/>
      <c r="PIU32" s="482"/>
      <c r="PIV32" s="482"/>
      <c r="PIW32" s="482"/>
      <c r="PIX32" s="482"/>
      <c r="PIY32" s="482"/>
      <c r="PIZ32" s="482"/>
      <c r="PJA32" s="482"/>
      <c r="PJB32" s="482"/>
      <c r="PJC32" s="482"/>
      <c r="PJD32" s="482"/>
      <c r="PJE32" s="482"/>
      <c r="PJF32" s="482"/>
      <c r="PJG32" s="482"/>
      <c r="PJH32" s="482"/>
      <c r="PJI32" s="482"/>
      <c r="PJJ32" s="482"/>
      <c r="PJK32" s="482"/>
      <c r="PJL32" s="482"/>
      <c r="PJM32" s="482"/>
      <c r="PJN32" s="482"/>
      <c r="PJO32" s="482"/>
      <c r="PJP32" s="482"/>
      <c r="PJQ32" s="482"/>
      <c r="PJR32" s="482"/>
      <c r="PJS32" s="482"/>
      <c r="PJT32" s="482"/>
      <c r="PJU32" s="482"/>
      <c r="PJV32" s="482"/>
      <c r="PJW32" s="482"/>
      <c r="PJX32" s="482"/>
      <c r="PJY32" s="482"/>
      <c r="PJZ32" s="482"/>
      <c r="PKA32" s="482"/>
      <c r="PKB32" s="482"/>
      <c r="PKC32" s="482"/>
      <c r="PKD32" s="482"/>
      <c r="PKE32" s="482"/>
      <c r="PKF32" s="482"/>
      <c r="PKG32" s="482"/>
      <c r="PKH32" s="482"/>
      <c r="PKI32" s="482"/>
      <c r="PKJ32" s="482"/>
      <c r="PKK32" s="482"/>
      <c r="PKL32" s="482"/>
      <c r="PKM32" s="482"/>
      <c r="PKN32" s="482"/>
      <c r="PKO32" s="482"/>
      <c r="PKP32" s="482"/>
      <c r="PKQ32" s="482"/>
      <c r="PKR32" s="482"/>
      <c r="PKS32" s="482"/>
      <c r="PKT32" s="482"/>
      <c r="PKU32" s="482"/>
      <c r="PKV32" s="482"/>
      <c r="PKW32" s="482"/>
      <c r="PKX32" s="482"/>
      <c r="PKY32" s="482"/>
      <c r="PKZ32" s="482"/>
      <c r="PLA32" s="482"/>
      <c r="PLB32" s="482"/>
      <c r="PLC32" s="482"/>
      <c r="PLD32" s="482"/>
      <c r="PLE32" s="482"/>
      <c r="PLF32" s="482"/>
      <c r="PLG32" s="482"/>
      <c r="PLH32" s="482"/>
      <c r="PLI32" s="482"/>
      <c r="PLJ32" s="482"/>
      <c r="PLK32" s="482"/>
      <c r="PLL32" s="482"/>
      <c r="PLM32" s="482"/>
      <c r="PLN32" s="482"/>
      <c r="PLO32" s="482"/>
      <c r="PLP32" s="482"/>
      <c r="PLQ32" s="482"/>
      <c r="PLR32" s="482"/>
      <c r="PLS32" s="482"/>
      <c r="PLT32" s="482"/>
      <c r="PLU32" s="482"/>
      <c r="PLV32" s="482"/>
      <c r="PLW32" s="482"/>
      <c r="PLX32" s="482"/>
      <c r="PLY32" s="482"/>
      <c r="PLZ32" s="482"/>
      <c r="PMA32" s="482"/>
      <c r="PMB32" s="482"/>
      <c r="PMC32" s="482"/>
      <c r="PMD32" s="482"/>
      <c r="PME32" s="482"/>
      <c r="PMF32" s="482"/>
      <c r="PMG32" s="482"/>
      <c r="PMH32" s="482"/>
      <c r="PMI32" s="482"/>
      <c r="PMJ32" s="482"/>
      <c r="PMK32" s="482"/>
      <c r="PML32" s="482"/>
      <c r="PMM32" s="482"/>
      <c r="PMN32" s="482"/>
      <c r="PMO32" s="482"/>
      <c r="PMP32" s="482"/>
      <c r="PMQ32" s="482"/>
      <c r="PMR32" s="482"/>
      <c r="PMS32" s="482"/>
      <c r="PMT32" s="482"/>
      <c r="PMU32" s="482"/>
      <c r="PMV32" s="482"/>
      <c r="PMW32" s="482"/>
      <c r="PMX32" s="482"/>
      <c r="PMY32" s="482"/>
      <c r="PMZ32" s="482"/>
      <c r="PNA32" s="482"/>
      <c r="PNB32" s="482"/>
      <c r="PNC32" s="482"/>
      <c r="PND32" s="482"/>
      <c r="PNE32" s="482"/>
      <c r="PNF32" s="482"/>
      <c r="PNG32" s="482"/>
      <c r="PNH32" s="482"/>
      <c r="PNI32" s="482"/>
      <c r="PNJ32" s="482"/>
      <c r="PNK32" s="482"/>
      <c r="PNL32" s="482"/>
      <c r="PNM32" s="482"/>
      <c r="PNN32" s="482"/>
      <c r="PNO32" s="482"/>
      <c r="PNP32" s="482"/>
      <c r="PNQ32" s="482"/>
      <c r="PNR32" s="482"/>
      <c r="PNS32" s="482"/>
      <c r="PNT32" s="482"/>
      <c r="PNU32" s="482"/>
      <c r="PNV32" s="482"/>
      <c r="PNW32" s="482"/>
      <c r="PNX32" s="482"/>
      <c r="PNY32" s="482"/>
      <c r="PNZ32" s="482"/>
      <c r="POA32" s="482"/>
      <c r="POB32" s="482"/>
      <c r="POC32" s="482"/>
      <c r="POD32" s="482"/>
      <c r="POE32" s="482"/>
      <c r="POF32" s="482"/>
      <c r="POG32" s="482"/>
      <c r="POH32" s="482"/>
      <c r="POI32" s="482"/>
      <c r="POJ32" s="482"/>
      <c r="POK32" s="482"/>
      <c r="POL32" s="482"/>
      <c r="POM32" s="482"/>
      <c r="PON32" s="482"/>
      <c r="POO32" s="482"/>
      <c r="POP32" s="482"/>
      <c r="POQ32" s="482"/>
      <c r="POR32" s="482"/>
      <c r="POS32" s="482"/>
      <c r="POT32" s="482"/>
      <c r="POU32" s="482"/>
      <c r="POV32" s="482"/>
      <c r="POW32" s="482"/>
      <c r="POX32" s="482"/>
      <c r="POY32" s="482"/>
      <c r="POZ32" s="482"/>
      <c r="PPA32" s="482"/>
      <c r="PPB32" s="482"/>
      <c r="PPC32" s="482"/>
      <c r="PPD32" s="482"/>
      <c r="PPE32" s="482"/>
      <c r="PPF32" s="482"/>
      <c r="PPG32" s="482"/>
      <c r="PPH32" s="482"/>
      <c r="PPI32" s="482"/>
      <c r="PPJ32" s="482"/>
      <c r="PPK32" s="482"/>
      <c r="PPL32" s="482"/>
      <c r="PPM32" s="482"/>
      <c r="PPN32" s="482"/>
      <c r="PPO32" s="482"/>
      <c r="PPP32" s="482"/>
      <c r="PPQ32" s="482"/>
      <c r="PPR32" s="482"/>
      <c r="PPS32" s="482"/>
      <c r="PPT32" s="482"/>
      <c r="PPU32" s="482"/>
      <c r="PPV32" s="482"/>
      <c r="PPW32" s="482"/>
      <c r="PPX32" s="482"/>
      <c r="PPY32" s="482"/>
      <c r="PPZ32" s="482"/>
      <c r="PQA32" s="482"/>
      <c r="PQB32" s="482"/>
      <c r="PQC32" s="482"/>
      <c r="PQD32" s="482"/>
      <c r="PQE32" s="482"/>
      <c r="PQF32" s="482"/>
      <c r="PQG32" s="482"/>
      <c r="PQH32" s="482"/>
      <c r="PQI32" s="482"/>
      <c r="PQJ32" s="482"/>
      <c r="PQK32" s="482"/>
      <c r="PQL32" s="482"/>
      <c r="PQM32" s="482"/>
      <c r="PQN32" s="482"/>
      <c r="PQO32" s="482"/>
      <c r="PQP32" s="482"/>
      <c r="PQQ32" s="482"/>
      <c r="PQR32" s="482"/>
      <c r="PQS32" s="482"/>
      <c r="PQT32" s="482"/>
      <c r="PQU32" s="482"/>
      <c r="PQV32" s="482"/>
      <c r="PQW32" s="482"/>
      <c r="PQX32" s="482"/>
      <c r="PQY32" s="482"/>
      <c r="PQZ32" s="482"/>
      <c r="PRA32" s="482"/>
      <c r="PRB32" s="482"/>
      <c r="PRC32" s="482"/>
      <c r="PRD32" s="482"/>
      <c r="PRE32" s="482"/>
      <c r="PRF32" s="482"/>
      <c r="PRG32" s="482"/>
      <c r="PRH32" s="482"/>
      <c r="PRI32" s="482"/>
      <c r="PRJ32" s="482"/>
      <c r="PRK32" s="482"/>
      <c r="PRL32" s="482"/>
      <c r="PRM32" s="482"/>
      <c r="PRN32" s="482"/>
      <c r="PRO32" s="482"/>
      <c r="PRP32" s="482"/>
      <c r="PRQ32" s="482"/>
      <c r="PRR32" s="482"/>
      <c r="PRS32" s="482"/>
      <c r="PRT32" s="482"/>
      <c r="PRU32" s="482"/>
      <c r="PRV32" s="482"/>
      <c r="PRW32" s="482"/>
      <c r="PRX32" s="482"/>
      <c r="PRY32" s="482"/>
      <c r="PRZ32" s="482"/>
      <c r="PSA32" s="482"/>
      <c r="PSB32" s="482"/>
      <c r="PSC32" s="482"/>
      <c r="PSD32" s="482"/>
      <c r="PSE32" s="482"/>
      <c r="PSF32" s="482"/>
      <c r="PSG32" s="482"/>
      <c r="PSH32" s="482"/>
      <c r="PSI32" s="482"/>
      <c r="PSJ32" s="482"/>
      <c r="PSK32" s="482"/>
      <c r="PSL32" s="482"/>
      <c r="PSM32" s="482"/>
      <c r="PSN32" s="482"/>
      <c r="PSO32" s="482"/>
      <c r="PSP32" s="482"/>
      <c r="PSQ32" s="482"/>
      <c r="PSR32" s="482"/>
      <c r="PSS32" s="482"/>
      <c r="PST32" s="482"/>
      <c r="PSU32" s="482"/>
      <c r="PSV32" s="482"/>
      <c r="PSW32" s="482"/>
      <c r="PSX32" s="482"/>
      <c r="PSY32" s="482"/>
      <c r="PSZ32" s="482"/>
      <c r="PTA32" s="482"/>
      <c r="PTB32" s="482"/>
      <c r="PTC32" s="482"/>
      <c r="PTD32" s="482"/>
      <c r="PTE32" s="482"/>
      <c r="PTF32" s="482"/>
      <c r="PTG32" s="482"/>
      <c r="PTH32" s="482"/>
      <c r="PTI32" s="482"/>
      <c r="PTJ32" s="482"/>
      <c r="PTK32" s="482"/>
      <c r="PTL32" s="482"/>
      <c r="PTM32" s="482"/>
      <c r="PTN32" s="482"/>
      <c r="PTO32" s="482"/>
      <c r="PTP32" s="482"/>
      <c r="PTQ32" s="482"/>
      <c r="PTR32" s="482"/>
      <c r="PTS32" s="482"/>
      <c r="PTT32" s="482"/>
      <c r="PTU32" s="482"/>
      <c r="PTV32" s="482"/>
      <c r="PTW32" s="482"/>
      <c r="PTX32" s="482"/>
      <c r="PTY32" s="482"/>
      <c r="PTZ32" s="482"/>
      <c r="PUA32" s="482"/>
      <c r="PUB32" s="482"/>
      <c r="PUC32" s="482"/>
      <c r="PUD32" s="482"/>
      <c r="PUE32" s="482"/>
      <c r="PUF32" s="482"/>
      <c r="PUG32" s="482"/>
      <c r="PUH32" s="482"/>
      <c r="PUI32" s="482"/>
      <c r="PUJ32" s="482"/>
      <c r="PUK32" s="482"/>
      <c r="PUL32" s="482"/>
      <c r="PUM32" s="482"/>
      <c r="PUN32" s="482"/>
      <c r="PUO32" s="482"/>
      <c r="PUP32" s="482"/>
      <c r="PUQ32" s="482"/>
      <c r="PUR32" s="482"/>
      <c r="PUS32" s="482"/>
      <c r="PUT32" s="482"/>
      <c r="PUU32" s="482"/>
      <c r="PUV32" s="482"/>
      <c r="PUW32" s="482"/>
      <c r="PUX32" s="482"/>
      <c r="PUY32" s="482"/>
      <c r="PUZ32" s="482"/>
      <c r="PVA32" s="482"/>
      <c r="PVB32" s="482"/>
      <c r="PVC32" s="482"/>
      <c r="PVD32" s="482"/>
      <c r="PVE32" s="482"/>
      <c r="PVF32" s="482"/>
      <c r="PVG32" s="482"/>
      <c r="PVH32" s="482"/>
      <c r="PVI32" s="482"/>
      <c r="PVJ32" s="482"/>
      <c r="PVK32" s="482"/>
      <c r="PVL32" s="482"/>
      <c r="PVM32" s="482"/>
      <c r="PVN32" s="482"/>
      <c r="PVO32" s="482"/>
      <c r="PVP32" s="482"/>
      <c r="PVQ32" s="482"/>
      <c r="PVR32" s="482"/>
      <c r="PVS32" s="482"/>
      <c r="PVT32" s="482"/>
      <c r="PVU32" s="482"/>
      <c r="PVV32" s="482"/>
      <c r="PVW32" s="482"/>
      <c r="PVX32" s="482"/>
      <c r="PVY32" s="482"/>
      <c r="PVZ32" s="482"/>
      <c r="PWA32" s="482"/>
      <c r="PWB32" s="482"/>
      <c r="PWC32" s="482"/>
      <c r="PWD32" s="482"/>
      <c r="PWE32" s="482"/>
      <c r="PWF32" s="482"/>
      <c r="PWG32" s="482"/>
      <c r="PWH32" s="482"/>
      <c r="PWI32" s="482"/>
      <c r="PWJ32" s="482"/>
      <c r="PWK32" s="482"/>
      <c r="PWL32" s="482"/>
      <c r="PWM32" s="482"/>
      <c r="PWN32" s="482"/>
      <c r="PWO32" s="482"/>
      <c r="PWP32" s="482"/>
      <c r="PWQ32" s="482"/>
      <c r="PWR32" s="482"/>
      <c r="PWS32" s="482"/>
      <c r="PWT32" s="482"/>
      <c r="PWU32" s="482"/>
      <c r="PWV32" s="482"/>
      <c r="PWW32" s="482"/>
      <c r="PWX32" s="482"/>
      <c r="PWY32" s="482"/>
      <c r="PWZ32" s="482"/>
      <c r="PXA32" s="482"/>
      <c r="PXB32" s="482"/>
      <c r="PXC32" s="482"/>
      <c r="PXD32" s="482"/>
      <c r="PXE32" s="482"/>
      <c r="PXF32" s="482"/>
      <c r="PXG32" s="482"/>
      <c r="PXH32" s="482"/>
      <c r="PXI32" s="482"/>
      <c r="PXJ32" s="482"/>
      <c r="PXK32" s="482"/>
      <c r="PXL32" s="482"/>
      <c r="PXM32" s="482"/>
      <c r="PXN32" s="482"/>
      <c r="PXO32" s="482"/>
      <c r="PXP32" s="482"/>
      <c r="PXQ32" s="482"/>
      <c r="PXR32" s="482"/>
      <c r="PXS32" s="482"/>
      <c r="PXT32" s="482"/>
      <c r="PXU32" s="482"/>
      <c r="PXV32" s="482"/>
      <c r="PXW32" s="482"/>
      <c r="PXX32" s="482"/>
      <c r="PXY32" s="482"/>
      <c r="PXZ32" s="482"/>
      <c r="PYA32" s="482"/>
      <c r="PYB32" s="482"/>
      <c r="PYC32" s="482"/>
      <c r="PYD32" s="482"/>
      <c r="PYE32" s="482"/>
      <c r="PYF32" s="482"/>
      <c r="PYG32" s="482"/>
      <c r="PYH32" s="482"/>
      <c r="PYI32" s="482"/>
      <c r="PYJ32" s="482"/>
      <c r="PYK32" s="482"/>
      <c r="PYL32" s="482"/>
      <c r="PYM32" s="482"/>
      <c r="PYN32" s="482"/>
      <c r="PYO32" s="482"/>
      <c r="PYP32" s="482"/>
      <c r="PYQ32" s="482"/>
      <c r="PYR32" s="482"/>
      <c r="PYS32" s="482"/>
      <c r="PYT32" s="482"/>
      <c r="PYU32" s="482"/>
      <c r="PYV32" s="482"/>
      <c r="PYW32" s="482"/>
      <c r="PYX32" s="482"/>
      <c r="PYY32" s="482"/>
      <c r="PYZ32" s="482"/>
      <c r="PZA32" s="482"/>
      <c r="PZB32" s="482"/>
      <c r="PZC32" s="482"/>
      <c r="PZD32" s="482"/>
      <c r="PZE32" s="482"/>
      <c r="PZF32" s="482"/>
      <c r="PZG32" s="482"/>
      <c r="PZH32" s="482"/>
      <c r="PZI32" s="482"/>
      <c r="PZJ32" s="482"/>
      <c r="PZK32" s="482"/>
      <c r="PZL32" s="482"/>
      <c r="PZM32" s="482"/>
      <c r="PZN32" s="482"/>
      <c r="PZO32" s="482"/>
      <c r="PZP32" s="482"/>
      <c r="PZQ32" s="482"/>
      <c r="PZR32" s="482"/>
      <c r="PZS32" s="482"/>
      <c r="PZT32" s="482"/>
      <c r="PZU32" s="482"/>
      <c r="PZV32" s="482"/>
      <c r="PZW32" s="482"/>
      <c r="PZX32" s="482"/>
      <c r="PZY32" s="482"/>
      <c r="PZZ32" s="482"/>
      <c r="QAA32" s="482"/>
      <c r="QAB32" s="482"/>
      <c r="QAC32" s="482"/>
      <c r="QAD32" s="482"/>
      <c r="QAE32" s="482"/>
      <c r="QAF32" s="482"/>
      <c r="QAG32" s="482"/>
      <c r="QAH32" s="482"/>
      <c r="QAI32" s="482"/>
      <c r="QAJ32" s="482"/>
      <c r="QAK32" s="482"/>
      <c r="QAL32" s="482"/>
      <c r="QAM32" s="482"/>
      <c r="QAN32" s="482"/>
      <c r="QAO32" s="482"/>
      <c r="QAP32" s="482"/>
      <c r="QAQ32" s="482"/>
      <c r="QAR32" s="482"/>
      <c r="QAS32" s="482"/>
      <c r="QAT32" s="482"/>
      <c r="QAU32" s="482"/>
      <c r="QAV32" s="482"/>
      <c r="QAW32" s="482"/>
      <c r="QAX32" s="482"/>
      <c r="QAY32" s="482"/>
      <c r="QAZ32" s="482"/>
      <c r="QBA32" s="482"/>
      <c r="QBB32" s="482"/>
      <c r="QBC32" s="482"/>
      <c r="QBD32" s="482"/>
      <c r="QBE32" s="482"/>
      <c r="QBF32" s="482"/>
      <c r="QBG32" s="482"/>
      <c r="QBH32" s="482"/>
      <c r="QBI32" s="482"/>
      <c r="QBJ32" s="482"/>
      <c r="QBK32" s="482"/>
      <c r="QBL32" s="482"/>
      <c r="QBM32" s="482"/>
      <c r="QBN32" s="482"/>
      <c r="QBO32" s="482"/>
      <c r="QBP32" s="482"/>
      <c r="QBQ32" s="482"/>
      <c r="QBR32" s="482"/>
      <c r="QBS32" s="482"/>
      <c r="QBT32" s="482"/>
      <c r="QBU32" s="482"/>
      <c r="QBV32" s="482"/>
      <c r="QBW32" s="482"/>
      <c r="QBX32" s="482"/>
      <c r="QBY32" s="482"/>
      <c r="QBZ32" s="482"/>
      <c r="QCA32" s="482"/>
      <c r="QCB32" s="482"/>
      <c r="QCC32" s="482"/>
      <c r="QCD32" s="482"/>
      <c r="QCE32" s="482"/>
      <c r="QCF32" s="482"/>
      <c r="QCG32" s="482"/>
      <c r="QCH32" s="482"/>
      <c r="QCI32" s="482"/>
      <c r="QCJ32" s="482"/>
      <c r="QCK32" s="482"/>
      <c r="QCL32" s="482"/>
      <c r="QCM32" s="482"/>
      <c r="QCN32" s="482"/>
      <c r="QCO32" s="482"/>
      <c r="QCP32" s="482"/>
      <c r="QCQ32" s="482"/>
      <c r="QCR32" s="482"/>
      <c r="QCS32" s="482"/>
      <c r="QCT32" s="482"/>
      <c r="QCU32" s="482"/>
      <c r="QCV32" s="482"/>
      <c r="QCW32" s="482"/>
      <c r="QCX32" s="482"/>
      <c r="QCY32" s="482"/>
      <c r="QCZ32" s="482"/>
      <c r="QDA32" s="482"/>
      <c r="QDB32" s="482"/>
      <c r="QDC32" s="482"/>
      <c r="QDD32" s="482"/>
      <c r="QDE32" s="482"/>
      <c r="QDF32" s="482"/>
      <c r="QDG32" s="482"/>
      <c r="QDH32" s="482"/>
      <c r="QDI32" s="482"/>
      <c r="QDJ32" s="482"/>
      <c r="QDK32" s="482"/>
      <c r="QDL32" s="482"/>
      <c r="QDM32" s="482"/>
      <c r="QDN32" s="482"/>
      <c r="QDO32" s="482"/>
      <c r="QDP32" s="482"/>
      <c r="QDQ32" s="482"/>
      <c r="QDR32" s="482"/>
      <c r="QDS32" s="482"/>
      <c r="QDT32" s="482"/>
      <c r="QDU32" s="482"/>
      <c r="QDV32" s="482"/>
      <c r="QDW32" s="482"/>
      <c r="QDX32" s="482"/>
      <c r="QDY32" s="482"/>
      <c r="QDZ32" s="482"/>
      <c r="QEA32" s="482"/>
      <c r="QEB32" s="482"/>
      <c r="QEC32" s="482"/>
      <c r="QED32" s="482"/>
      <c r="QEE32" s="482"/>
      <c r="QEF32" s="482"/>
      <c r="QEG32" s="482"/>
      <c r="QEH32" s="482"/>
      <c r="QEI32" s="482"/>
      <c r="QEJ32" s="482"/>
      <c r="QEK32" s="482"/>
      <c r="QEL32" s="482"/>
      <c r="QEM32" s="482"/>
      <c r="QEN32" s="482"/>
      <c r="QEO32" s="482"/>
      <c r="QEP32" s="482"/>
      <c r="QEQ32" s="482"/>
      <c r="QER32" s="482"/>
      <c r="QES32" s="482"/>
      <c r="QET32" s="482"/>
      <c r="QEU32" s="482"/>
      <c r="QEV32" s="482"/>
      <c r="QEW32" s="482"/>
      <c r="QEX32" s="482"/>
      <c r="QEY32" s="482"/>
      <c r="QEZ32" s="482"/>
      <c r="QFA32" s="482"/>
      <c r="QFB32" s="482"/>
      <c r="QFC32" s="482"/>
      <c r="QFD32" s="482"/>
      <c r="QFE32" s="482"/>
      <c r="QFF32" s="482"/>
      <c r="QFG32" s="482"/>
      <c r="QFH32" s="482"/>
      <c r="QFI32" s="482"/>
      <c r="QFJ32" s="482"/>
      <c r="QFK32" s="482"/>
      <c r="QFL32" s="482"/>
      <c r="QFM32" s="482"/>
      <c r="QFN32" s="482"/>
      <c r="QFO32" s="482"/>
      <c r="QFP32" s="482"/>
      <c r="QFQ32" s="482"/>
      <c r="QFR32" s="482"/>
      <c r="QFS32" s="482"/>
      <c r="QFT32" s="482"/>
      <c r="QFU32" s="482"/>
      <c r="QFV32" s="482"/>
      <c r="QFW32" s="482"/>
      <c r="QFX32" s="482"/>
      <c r="QFY32" s="482"/>
      <c r="QFZ32" s="482"/>
      <c r="QGA32" s="482"/>
      <c r="QGB32" s="482"/>
      <c r="QGC32" s="482"/>
      <c r="QGD32" s="482"/>
      <c r="QGE32" s="482"/>
      <c r="QGF32" s="482"/>
      <c r="QGG32" s="482"/>
      <c r="QGH32" s="482"/>
      <c r="QGI32" s="482"/>
      <c r="QGJ32" s="482"/>
      <c r="QGK32" s="482"/>
      <c r="QGL32" s="482"/>
      <c r="QGM32" s="482"/>
      <c r="QGN32" s="482"/>
      <c r="QGO32" s="482"/>
      <c r="QGP32" s="482"/>
      <c r="QGQ32" s="482"/>
      <c r="QGR32" s="482"/>
      <c r="QGS32" s="482"/>
      <c r="QGT32" s="482"/>
      <c r="QGU32" s="482"/>
      <c r="QGV32" s="482"/>
      <c r="QGW32" s="482"/>
      <c r="QGX32" s="482"/>
      <c r="QGY32" s="482"/>
      <c r="QGZ32" s="482"/>
      <c r="QHA32" s="482"/>
      <c r="QHB32" s="482"/>
      <c r="QHC32" s="482"/>
      <c r="QHD32" s="482"/>
      <c r="QHE32" s="482"/>
      <c r="QHF32" s="482"/>
      <c r="QHG32" s="482"/>
      <c r="QHH32" s="482"/>
      <c r="QHI32" s="482"/>
      <c r="QHJ32" s="482"/>
      <c r="QHK32" s="482"/>
      <c r="QHL32" s="482"/>
      <c r="QHM32" s="482"/>
      <c r="QHN32" s="482"/>
      <c r="QHO32" s="482"/>
      <c r="QHP32" s="482"/>
      <c r="QHQ32" s="482"/>
      <c r="QHR32" s="482"/>
      <c r="QHS32" s="482"/>
      <c r="QHT32" s="482"/>
      <c r="QHU32" s="482"/>
      <c r="QHV32" s="482"/>
      <c r="QHW32" s="482"/>
      <c r="QHX32" s="482"/>
      <c r="QHY32" s="482"/>
      <c r="QHZ32" s="482"/>
      <c r="QIA32" s="482"/>
      <c r="QIB32" s="482"/>
      <c r="QIC32" s="482"/>
      <c r="QID32" s="482"/>
      <c r="QIE32" s="482"/>
      <c r="QIF32" s="482"/>
      <c r="QIG32" s="482"/>
      <c r="QIH32" s="482"/>
      <c r="QII32" s="482"/>
      <c r="QIJ32" s="482"/>
      <c r="QIK32" s="482"/>
      <c r="QIL32" s="482"/>
      <c r="QIM32" s="482"/>
      <c r="QIN32" s="482"/>
      <c r="QIO32" s="482"/>
      <c r="QIP32" s="482"/>
      <c r="QIQ32" s="482"/>
      <c r="QIR32" s="482"/>
      <c r="QIS32" s="482"/>
      <c r="QIT32" s="482"/>
      <c r="QIU32" s="482"/>
      <c r="QIV32" s="482"/>
      <c r="QIW32" s="482"/>
      <c r="QIX32" s="482"/>
      <c r="QIY32" s="482"/>
      <c r="QIZ32" s="482"/>
      <c r="QJA32" s="482"/>
      <c r="QJB32" s="482"/>
      <c r="QJC32" s="482"/>
      <c r="QJD32" s="482"/>
      <c r="QJE32" s="482"/>
      <c r="QJF32" s="482"/>
      <c r="QJG32" s="482"/>
      <c r="QJH32" s="482"/>
      <c r="QJI32" s="482"/>
      <c r="QJJ32" s="482"/>
      <c r="QJK32" s="482"/>
      <c r="QJL32" s="482"/>
      <c r="QJM32" s="482"/>
      <c r="QJN32" s="482"/>
      <c r="QJO32" s="482"/>
      <c r="QJP32" s="482"/>
      <c r="QJQ32" s="482"/>
      <c r="QJR32" s="482"/>
      <c r="QJS32" s="482"/>
      <c r="QJT32" s="482"/>
      <c r="QJU32" s="482"/>
      <c r="QJV32" s="482"/>
      <c r="QJW32" s="482"/>
      <c r="QJX32" s="482"/>
      <c r="QJY32" s="482"/>
      <c r="QJZ32" s="482"/>
      <c r="QKA32" s="482"/>
      <c r="QKB32" s="482"/>
      <c r="QKC32" s="482"/>
      <c r="QKD32" s="482"/>
      <c r="QKE32" s="482"/>
      <c r="QKF32" s="482"/>
      <c r="QKG32" s="482"/>
      <c r="QKH32" s="482"/>
      <c r="QKI32" s="482"/>
      <c r="QKJ32" s="482"/>
      <c r="QKK32" s="482"/>
      <c r="QKL32" s="482"/>
      <c r="QKM32" s="482"/>
      <c r="QKN32" s="482"/>
      <c r="QKO32" s="482"/>
      <c r="QKP32" s="482"/>
      <c r="QKQ32" s="482"/>
      <c r="QKR32" s="482"/>
      <c r="QKS32" s="482"/>
      <c r="QKT32" s="482"/>
      <c r="QKU32" s="482"/>
      <c r="QKV32" s="482"/>
      <c r="QKW32" s="482"/>
      <c r="QKX32" s="482"/>
      <c r="QKY32" s="482"/>
      <c r="QKZ32" s="482"/>
      <c r="QLA32" s="482"/>
      <c r="QLB32" s="482"/>
      <c r="QLC32" s="482"/>
      <c r="QLD32" s="482"/>
      <c r="QLE32" s="482"/>
      <c r="QLF32" s="482"/>
      <c r="QLG32" s="482"/>
      <c r="QLH32" s="482"/>
      <c r="QLI32" s="482"/>
      <c r="QLJ32" s="482"/>
      <c r="QLK32" s="482"/>
      <c r="QLL32" s="482"/>
      <c r="QLM32" s="482"/>
      <c r="QLN32" s="482"/>
      <c r="QLO32" s="482"/>
      <c r="QLP32" s="482"/>
      <c r="QLQ32" s="482"/>
      <c r="QLR32" s="482"/>
      <c r="QLS32" s="482"/>
      <c r="QLT32" s="482"/>
      <c r="QLU32" s="482"/>
      <c r="QLV32" s="482"/>
      <c r="QLW32" s="482"/>
      <c r="QLX32" s="482"/>
      <c r="QLY32" s="482"/>
      <c r="QLZ32" s="482"/>
      <c r="QMA32" s="482"/>
      <c r="QMB32" s="482"/>
      <c r="QMC32" s="482"/>
      <c r="QMD32" s="482"/>
      <c r="QME32" s="482"/>
      <c r="QMF32" s="482"/>
      <c r="QMG32" s="482"/>
      <c r="QMH32" s="482"/>
      <c r="QMI32" s="482"/>
      <c r="QMJ32" s="482"/>
      <c r="QMK32" s="482"/>
      <c r="QML32" s="482"/>
      <c r="QMM32" s="482"/>
      <c r="QMN32" s="482"/>
      <c r="QMO32" s="482"/>
      <c r="QMP32" s="482"/>
      <c r="QMQ32" s="482"/>
      <c r="QMR32" s="482"/>
      <c r="QMS32" s="482"/>
      <c r="QMT32" s="482"/>
      <c r="QMU32" s="482"/>
      <c r="QMV32" s="482"/>
      <c r="QMW32" s="482"/>
      <c r="QMX32" s="482"/>
      <c r="QMY32" s="482"/>
      <c r="QMZ32" s="482"/>
      <c r="QNA32" s="482"/>
      <c r="QNB32" s="482"/>
      <c r="QNC32" s="482"/>
      <c r="QND32" s="482"/>
      <c r="QNE32" s="482"/>
      <c r="QNF32" s="482"/>
      <c r="QNG32" s="482"/>
      <c r="QNH32" s="482"/>
      <c r="QNI32" s="482"/>
      <c r="QNJ32" s="482"/>
      <c r="QNK32" s="482"/>
      <c r="QNL32" s="482"/>
      <c r="QNM32" s="482"/>
      <c r="QNN32" s="482"/>
      <c r="QNO32" s="482"/>
      <c r="QNP32" s="482"/>
      <c r="QNQ32" s="482"/>
      <c r="QNR32" s="482"/>
      <c r="QNS32" s="482"/>
      <c r="QNT32" s="482"/>
      <c r="QNU32" s="482"/>
      <c r="QNV32" s="482"/>
      <c r="QNW32" s="482"/>
      <c r="QNX32" s="482"/>
      <c r="QNY32" s="482"/>
      <c r="QNZ32" s="482"/>
      <c r="QOA32" s="482"/>
      <c r="QOB32" s="482"/>
      <c r="QOC32" s="482"/>
      <c r="QOD32" s="482"/>
      <c r="QOE32" s="482"/>
      <c r="QOF32" s="482"/>
      <c r="QOG32" s="482"/>
      <c r="QOH32" s="482"/>
      <c r="QOI32" s="482"/>
      <c r="QOJ32" s="482"/>
      <c r="QOK32" s="482"/>
      <c r="QOL32" s="482"/>
      <c r="QOM32" s="482"/>
      <c r="QON32" s="482"/>
      <c r="QOO32" s="482"/>
      <c r="QOP32" s="482"/>
      <c r="QOQ32" s="482"/>
      <c r="QOR32" s="482"/>
      <c r="QOS32" s="482"/>
      <c r="QOT32" s="482"/>
      <c r="QOU32" s="482"/>
      <c r="QOV32" s="482"/>
      <c r="QOW32" s="482"/>
      <c r="QOX32" s="482"/>
      <c r="QOY32" s="482"/>
      <c r="QOZ32" s="482"/>
      <c r="QPA32" s="482"/>
      <c r="QPB32" s="482"/>
      <c r="QPC32" s="482"/>
      <c r="QPD32" s="482"/>
      <c r="QPE32" s="482"/>
      <c r="QPF32" s="482"/>
      <c r="QPG32" s="482"/>
      <c r="QPH32" s="482"/>
      <c r="QPI32" s="482"/>
      <c r="QPJ32" s="482"/>
      <c r="QPK32" s="482"/>
      <c r="QPL32" s="482"/>
      <c r="QPM32" s="482"/>
      <c r="QPN32" s="482"/>
      <c r="QPO32" s="482"/>
      <c r="QPP32" s="482"/>
      <c r="QPQ32" s="482"/>
      <c r="QPR32" s="482"/>
      <c r="QPS32" s="482"/>
      <c r="QPT32" s="482"/>
      <c r="QPU32" s="482"/>
      <c r="QPV32" s="482"/>
      <c r="QPW32" s="482"/>
      <c r="QPX32" s="482"/>
      <c r="QPY32" s="482"/>
      <c r="QPZ32" s="482"/>
      <c r="QQA32" s="482"/>
      <c r="QQB32" s="482"/>
      <c r="QQC32" s="482"/>
      <c r="QQD32" s="482"/>
      <c r="QQE32" s="482"/>
      <c r="QQF32" s="482"/>
      <c r="QQG32" s="482"/>
      <c r="QQH32" s="482"/>
      <c r="QQI32" s="482"/>
      <c r="QQJ32" s="482"/>
      <c r="QQK32" s="482"/>
      <c r="QQL32" s="482"/>
      <c r="QQM32" s="482"/>
      <c r="QQN32" s="482"/>
      <c r="QQO32" s="482"/>
      <c r="QQP32" s="482"/>
      <c r="QQQ32" s="482"/>
      <c r="QQR32" s="482"/>
      <c r="QQS32" s="482"/>
      <c r="QQT32" s="482"/>
      <c r="QQU32" s="482"/>
      <c r="QQV32" s="482"/>
      <c r="QQW32" s="482"/>
      <c r="QQX32" s="482"/>
      <c r="QQY32" s="482"/>
      <c r="QQZ32" s="482"/>
      <c r="QRA32" s="482"/>
      <c r="QRB32" s="482"/>
      <c r="QRC32" s="482"/>
      <c r="QRD32" s="482"/>
      <c r="QRE32" s="482"/>
      <c r="QRF32" s="482"/>
      <c r="QRG32" s="482"/>
      <c r="QRH32" s="482"/>
      <c r="QRI32" s="482"/>
      <c r="QRJ32" s="482"/>
      <c r="QRK32" s="482"/>
      <c r="QRL32" s="482"/>
      <c r="QRM32" s="482"/>
      <c r="QRN32" s="482"/>
      <c r="QRO32" s="482"/>
      <c r="QRP32" s="482"/>
      <c r="QRQ32" s="482"/>
      <c r="QRR32" s="482"/>
      <c r="QRS32" s="482"/>
      <c r="QRT32" s="482"/>
      <c r="QRU32" s="482"/>
      <c r="QRV32" s="482"/>
      <c r="QRW32" s="482"/>
      <c r="QRX32" s="482"/>
      <c r="QRY32" s="482"/>
      <c r="QRZ32" s="482"/>
      <c r="QSA32" s="482"/>
      <c r="QSB32" s="482"/>
      <c r="QSC32" s="482"/>
      <c r="QSD32" s="482"/>
      <c r="QSE32" s="482"/>
      <c r="QSF32" s="482"/>
      <c r="QSG32" s="482"/>
      <c r="QSH32" s="482"/>
      <c r="QSI32" s="482"/>
      <c r="QSJ32" s="482"/>
      <c r="QSK32" s="482"/>
      <c r="QSL32" s="482"/>
      <c r="QSM32" s="482"/>
      <c r="QSN32" s="482"/>
      <c r="QSO32" s="482"/>
      <c r="QSP32" s="482"/>
      <c r="QSQ32" s="482"/>
      <c r="QSR32" s="482"/>
      <c r="QSS32" s="482"/>
      <c r="QST32" s="482"/>
      <c r="QSU32" s="482"/>
      <c r="QSV32" s="482"/>
      <c r="QSW32" s="482"/>
      <c r="QSX32" s="482"/>
      <c r="QSY32" s="482"/>
      <c r="QSZ32" s="482"/>
      <c r="QTA32" s="482"/>
      <c r="QTB32" s="482"/>
      <c r="QTC32" s="482"/>
      <c r="QTD32" s="482"/>
      <c r="QTE32" s="482"/>
      <c r="QTF32" s="482"/>
      <c r="QTG32" s="482"/>
      <c r="QTH32" s="482"/>
      <c r="QTI32" s="482"/>
      <c r="QTJ32" s="482"/>
      <c r="QTK32" s="482"/>
      <c r="QTL32" s="482"/>
      <c r="QTM32" s="482"/>
      <c r="QTN32" s="482"/>
      <c r="QTO32" s="482"/>
      <c r="QTP32" s="482"/>
      <c r="QTQ32" s="482"/>
      <c r="QTR32" s="482"/>
      <c r="QTS32" s="482"/>
      <c r="QTT32" s="482"/>
      <c r="QTU32" s="482"/>
      <c r="QTV32" s="482"/>
      <c r="QTW32" s="482"/>
      <c r="QTX32" s="482"/>
      <c r="QTY32" s="482"/>
      <c r="QTZ32" s="482"/>
      <c r="QUA32" s="482"/>
      <c r="QUB32" s="482"/>
      <c r="QUC32" s="482"/>
      <c r="QUD32" s="482"/>
      <c r="QUE32" s="482"/>
      <c r="QUF32" s="482"/>
      <c r="QUG32" s="482"/>
      <c r="QUH32" s="482"/>
      <c r="QUI32" s="482"/>
      <c r="QUJ32" s="482"/>
      <c r="QUK32" s="482"/>
      <c r="QUL32" s="482"/>
      <c r="QUM32" s="482"/>
      <c r="QUN32" s="482"/>
      <c r="QUO32" s="482"/>
      <c r="QUP32" s="482"/>
      <c r="QUQ32" s="482"/>
      <c r="QUR32" s="482"/>
      <c r="QUS32" s="482"/>
      <c r="QUT32" s="482"/>
      <c r="QUU32" s="482"/>
      <c r="QUV32" s="482"/>
      <c r="QUW32" s="482"/>
      <c r="QUX32" s="482"/>
      <c r="QUY32" s="482"/>
      <c r="QUZ32" s="482"/>
      <c r="QVA32" s="482"/>
      <c r="QVB32" s="482"/>
      <c r="QVC32" s="482"/>
      <c r="QVD32" s="482"/>
      <c r="QVE32" s="482"/>
      <c r="QVF32" s="482"/>
      <c r="QVG32" s="482"/>
      <c r="QVH32" s="482"/>
      <c r="QVI32" s="482"/>
      <c r="QVJ32" s="482"/>
      <c r="QVK32" s="482"/>
      <c r="QVL32" s="482"/>
      <c r="QVM32" s="482"/>
      <c r="QVN32" s="482"/>
      <c r="QVO32" s="482"/>
      <c r="QVP32" s="482"/>
      <c r="QVQ32" s="482"/>
      <c r="QVR32" s="482"/>
      <c r="QVS32" s="482"/>
      <c r="QVT32" s="482"/>
      <c r="QVU32" s="482"/>
      <c r="QVV32" s="482"/>
      <c r="QVW32" s="482"/>
      <c r="QVX32" s="482"/>
      <c r="QVY32" s="482"/>
      <c r="QVZ32" s="482"/>
      <c r="QWA32" s="482"/>
      <c r="QWB32" s="482"/>
      <c r="QWC32" s="482"/>
      <c r="QWD32" s="482"/>
      <c r="QWE32" s="482"/>
      <c r="QWF32" s="482"/>
      <c r="QWG32" s="482"/>
      <c r="QWH32" s="482"/>
      <c r="QWI32" s="482"/>
      <c r="QWJ32" s="482"/>
      <c r="QWK32" s="482"/>
      <c r="QWL32" s="482"/>
      <c r="QWM32" s="482"/>
      <c r="QWN32" s="482"/>
      <c r="QWO32" s="482"/>
      <c r="QWP32" s="482"/>
      <c r="QWQ32" s="482"/>
      <c r="QWR32" s="482"/>
      <c r="QWS32" s="482"/>
      <c r="QWT32" s="482"/>
      <c r="QWU32" s="482"/>
      <c r="QWV32" s="482"/>
      <c r="QWW32" s="482"/>
      <c r="QWX32" s="482"/>
      <c r="QWY32" s="482"/>
      <c r="QWZ32" s="482"/>
      <c r="QXA32" s="482"/>
      <c r="QXB32" s="482"/>
      <c r="QXC32" s="482"/>
      <c r="QXD32" s="482"/>
      <c r="QXE32" s="482"/>
      <c r="QXF32" s="482"/>
      <c r="QXG32" s="482"/>
      <c r="QXH32" s="482"/>
      <c r="QXI32" s="482"/>
      <c r="QXJ32" s="482"/>
      <c r="QXK32" s="482"/>
      <c r="QXL32" s="482"/>
      <c r="QXM32" s="482"/>
      <c r="QXN32" s="482"/>
      <c r="QXO32" s="482"/>
      <c r="QXP32" s="482"/>
      <c r="QXQ32" s="482"/>
      <c r="QXR32" s="482"/>
      <c r="QXS32" s="482"/>
      <c r="QXT32" s="482"/>
      <c r="QXU32" s="482"/>
      <c r="QXV32" s="482"/>
      <c r="QXW32" s="482"/>
      <c r="QXX32" s="482"/>
      <c r="QXY32" s="482"/>
      <c r="QXZ32" s="482"/>
      <c r="QYA32" s="482"/>
      <c r="QYB32" s="482"/>
      <c r="QYC32" s="482"/>
      <c r="QYD32" s="482"/>
      <c r="QYE32" s="482"/>
      <c r="QYF32" s="482"/>
      <c r="QYG32" s="482"/>
      <c r="QYH32" s="482"/>
      <c r="QYI32" s="482"/>
      <c r="QYJ32" s="482"/>
      <c r="QYK32" s="482"/>
      <c r="QYL32" s="482"/>
      <c r="QYM32" s="482"/>
      <c r="QYN32" s="482"/>
      <c r="QYO32" s="482"/>
      <c r="QYP32" s="482"/>
      <c r="QYQ32" s="482"/>
      <c r="QYR32" s="482"/>
      <c r="QYS32" s="482"/>
      <c r="QYT32" s="482"/>
      <c r="QYU32" s="482"/>
      <c r="QYV32" s="482"/>
      <c r="QYW32" s="482"/>
      <c r="QYX32" s="482"/>
      <c r="QYY32" s="482"/>
      <c r="QYZ32" s="482"/>
      <c r="QZA32" s="482"/>
      <c r="QZB32" s="482"/>
      <c r="QZC32" s="482"/>
      <c r="QZD32" s="482"/>
      <c r="QZE32" s="482"/>
      <c r="QZF32" s="482"/>
      <c r="QZG32" s="482"/>
      <c r="QZH32" s="482"/>
      <c r="QZI32" s="482"/>
      <c r="QZJ32" s="482"/>
      <c r="QZK32" s="482"/>
      <c r="QZL32" s="482"/>
      <c r="QZM32" s="482"/>
      <c r="QZN32" s="482"/>
      <c r="QZO32" s="482"/>
      <c r="QZP32" s="482"/>
      <c r="QZQ32" s="482"/>
      <c r="QZR32" s="482"/>
      <c r="QZS32" s="482"/>
      <c r="QZT32" s="482"/>
      <c r="QZU32" s="482"/>
      <c r="QZV32" s="482"/>
      <c r="QZW32" s="482"/>
      <c r="QZX32" s="482"/>
      <c r="QZY32" s="482"/>
      <c r="QZZ32" s="482"/>
      <c r="RAA32" s="482"/>
      <c r="RAB32" s="482"/>
      <c r="RAC32" s="482"/>
      <c r="RAD32" s="482"/>
      <c r="RAE32" s="482"/>
      <c r="RAF32" s="482"/>
      <c r="RAG32" s="482"/>
      <c r="RAH32" s="482"/>
      <c r="RAI32" s="482"/>
      <c r="RAJ32" s="482"/>
      <c r="RAK32" s="482"/>
      <c r="RAL32" s="482"/>
      <c r="RAM32" s="482"/>
      <c r="RAN32" s="482"/>
      <c r="RAO32" s="482"/>
      <c r="RAP32" s="482"/>
      <c r="RAQ32" s="482"/>
      <c r="RAR32" s="482"/>
      <c r="RAS32" s="482"/>
      <c r="RAT32" s="482"/>
      <c r="RAU32" s="482"/>
      <c r="RAV32" s="482"/>
      <c r="RAW32" s="482"/>
      <c r="RAX32" s="482"/>
      <c r="RAY32" s="482"/>
      <c r="RAZ32" s="482"/>
      <c r="RBA32" s="482"/>
      <c r="RBB32" s="482"/>
      <c r="RBC32" s="482"/>
      <c r="RBD32" s="482"/>
      <c r="RBE32" s="482"/>
      <c r="RBF32" s="482"/>
      <c r="RBG32" s="482"/>
      <c r="RBH32" s="482"/>
      <c r="RBI32" s="482"/>
      <c r="RBJ32" s="482"/>
      <c r="RBK32" s="482"/>
      <c r="RBL32" s="482"/>
      <c r="RBM32" s="482"/>
      <c r="RBN32" s="482"/>
      <c r="RBO32" s="482"/>
      <c r="RBP32" s="482"/>
      <c r="RBQ32" s="482"/>
      <c r="RBR32" s="482"/>
      <c r="RBS32" s="482"/>
      <c r="RBT32" s="482"/>
      <c r="RBU32" s="482"/>
      <c r="RBV32" s="482"/>
      <c r="RBW32" s="482"/>
      <c r="RBX32" s="482"/>
      <c r="RBY32" s="482"/>
      <c r="RBZ32" s="482"/>
      <c r="RCA32" s="482"/>
      <c r="RCB32" s="482"/>
      <c r="RCC32" s="482"/>
      <c r="RCD32" s="482"/>
      <c r="RCE32" s="482"/>
      <c r="RCF32" s="482"/>
      <c r="RCG32" s="482"/>
      <c r="RCH32" s="482"/>
      <c r="RCI32" s="482"/>
      <c r="RCJ32" s="482"/>
      <c r="RCK32" s="482"/>
      <c r="RCL32" s="482"/>
      <c r="RCM32" s="482"/>
      <c r="RCN32" s="482"/>
      <c r="RCO32" s="482"/>
      <c r="RCP32" s="482"/>
      <c r="RCQ32" s="482"/>
      <c r="RCR32" s="482"/>
      <c r="RCS32" s="482"/>
      <c r="RCT32" s="482"/>
      <c r="RCU32" s="482"/>
      <c r="RCV32" s="482"/>
      <c r="RCW32" s="482"/>
      <c r="RCX32" s="482"/>
      <c r="RCY32" s="482"/>
      <c r="RCZ32" s="482"/>
      <c r="RDA32" s="482"/>
      <c r="RDB32" s="482"/>
      <c r="RDC32" s="482"/>
      <c r="RDD32" s="482"/>
      <c r="RDE32" s="482"/>
      <c r="RDF32" s="482"/>
      <c r="RDG32" s="482"/>
      <c r="RDH32" s="482"/>
      <c r="RDI32" s="482"/>
      <c r="RDJ32" s="482"/>
      <c r="RDK32" s="482"/>
      <c r="RDL32" s="482"/>
      <c r="RDM32" s="482"/>
      <c r="RDN32" s="482"/>
      <c r="RDO32" s="482"/>
      <c r="RDP32" s="482"/>
      <c r="RDQ32" s="482"/>
      <c r="RDR32" s="482"/>
      <c r="RDS32" s="482"/>
      <c r="RDT32" s="482"/>
      <c r="RDU32" s="482"/>
      <c r="RDV32" s="482"/>
      <c r="RDW32" s="482"/>
      <c r="RDX32" s="482"/>
      <c r="RDY32" s="482"/>
      <c r="RDZ32" s="482"/>
      <c r="REA32" s="482"/>
      <c r="REB32" s="482"/>
      <c r="REC32" s="482"/>
      <c r="RED32" s="482"/>
      <c r="REE32" s="482"/>
      <c r="REF32" s="482"/>
      <c r="REG32" s="482"/>
      <c r="REH32" s="482"/>
      <c r="REI32" s="482"/>
      <c r="REJ32" s="482"/>
      <c r="REK32" s="482"/>
      <c r="REL32" s="482"/>
      <c r="REM32" s="482"/>
      <c r="REN32" s="482"/>
      <c r="REO32" s="482"/>
      <c r="REP32" s="482"/>
      <c r="REQ32" s="482"/>
      <c r="RER32" s="482"/>
      <c r="RES32" s="482"/>
      <c r="RET32" s="482"/>
      <c r="REU32" s="482"/>
      <c r="REV32" s="482"/>
      <c r="REW32" s="482"/>
      <c r="REX32" s="482"/>
      <c r="REY32" s="482"/>
      <c r="REZ32" s="482"/>
      <c r="RFA32" s="482"/>
      <c r="RFB32" s="482"/>
      <c r="RFC32" s="482"/>
      <c r="RFD32" s="482"/>
      <c r="RFE32" s="482"/>
      <c r="RFF32" s="482"/>
      <c r="RFG32" s="482"/>
      <c r="RFH32" s="482"/>
      <c r="RFI32" s="482"/>
      <c r="RFJ32" s="482"/>
      <c r="RFK32" s="482"/>
      <c r="RFL32" s="482"/>
      <c r="RFM32" s="482"/>
      <c r="RFN32" s="482"/>
      <c r="RFO32" s="482"/>
      <c r="RFP32" s="482"/>
      <c r="RFQ32" s="482"/>
      <c r="RFR32" s="482"/>
      <c r="RFS32" s="482"/>
      <c r="RFT32" s="482"/>
      <c r="RFU32" s="482"/>
      <c r="RFV32" s="482"/>
      <c r="RFW32" s="482"/>
      <c r="RFX32" s="482"/>
      <c r="RFY32" s="482"/>
      <c r="RFZ32" s="482"/>
      <c r="RGA32" s="482"/>
      <c r="RGB32" s="482"/>
      <c r="RGC32" s="482"/>
      <c r="RGD32" s="482"/>
      <c r="RGE32" s="482"/>
      <c r="RGF32" s="482"/>
      <c r="RGG32" s="482"/>
      <c r="RGH32" s="482"/>
      <c r="RGI32" s="482"/>
      <c r="RGJ32" s="482"/>
      <c r="RGK32" s="482"/>
      <c r="RGL32" s="482"/>
      <c r="RGM32" s="482"/>
      <c r="RGN32" s="482"/>
      <c r="RGO32" s="482"/>
      <c r="RGP32" s="482"/>
      <c r="RGQ32" s="482"/>
      <c r="RGR32" s="482"/>
      <c r="RGS32" s="482"/>
      <c r="RGT32" s="482"/>
      <c r="RGU32" s="482"/>
      <c r="RGV32" s="482"/>
      <c r="RGW32" s="482"/>
      <c r="RGX32" s="482"/>
      <c r="RGY32" s="482"/>
      <c r="RGZ32" s="482"/>
      <c r="RHA32" s="482"/>
      <c r="RHB32" s="482"/>
      <c r="RHC32" s="482"/>
      <c r="RHD32" s="482"/>
      <c r="RHE32" s="482"/>
      <c r="RHF32" s="482"/>
      <c r="RHG32" s="482"/>
      <c r="RHH32" s="482"/>
      <c r="RHI32" s="482"/>
      <c r="RHJ32" s="482"/>
      <c r="RHK32" s="482"/>
      <c r="RHL32" s="482"/>
      <c r="RHM32" s="482"/>
      <c r="RHN32" s="482"/>
      <c r="RHO32" s="482"/>
      <c r="RHP32" s="482"/>
      <c r="RHQ32" s="482"/>
      <c r="RHR32" s="482"/>
      <c r="RHS32" s="482"/>
      <c r="RHT32" s="482"/>
      <c r="RHU32" s="482"/>
      <c r="RHV32" s="482"/>
      <c r="RHW32" s="482"/>
      <c r="RHX32" s="482"/>
      <c r="RHY32" s="482"/>
      <c r="RHZ32" s="482"/>
      <c r="RIA32" s="482"/>
      <c r="RIB32" s="482"/>
      <c r="RIC32" s="482"/>
      <c r="RID32" s="482"/>
      <c r="RIE32" s="482"/>
      <c r="RIF32" s="482"/>
      <c r="RIG32" s="482"/>
      <c r="RIH32" s="482"/>
      <c r="RII32" s="482"/>
      <c r="RIJ32" s="482"/>
      <c r="RIK32" s="482"/>
      <c r="RIL32" s="482"/>
      <c r="RIM32" s="482"/>
      <c r="RIN32" s="482"/>
      <c r="RIO32" s="482"/>
      <c r="RIP32" s="482"/>
      <c r="RIQ32" s="482"/>
      <c r="RIR32" s="482"/>
      <c r="RIS32" s="482"/>
      <c r="RIT32" s="482"/>
      <c r="RIU32" s="482"/>
      <c r="RIV32" s="482"/>
      <c r="RIW32" s="482"/>
      <c r="RIX32" s="482"/>
      <c r="RIY32" s="482"/>
      <c r="RIZ32" s="482"/>
      <c r="RJA32" s="482"/>
      <c r="RJB32" s="482"/>
      <c r="RJC32" s="482"/>
      <c r="RJD32" s="482"/>
      <c r="RJE32" s="482"/>
      <c r="RJF32" s="482"/>
      <c r="RJG32" s="482"/>
      <c r="RJH32" s="482"/>
      <c r="RJI32" s="482"/>
      <c r="RJJ32" s="482"/>
      <c r="RJK32" s="482"/>
      <c r="RJL32" s="482"/>
      <c r="RJM32" s="482"/>
      <c r="RJN32" s="482"/>
      <c r="RJO32" s="482"/>
      <c r="RJP32" s="482"/>
      <c r="RJQ32" s="482"/>
      <c r="RJR32" s="482"/>
      <c r="RJS32" s="482"/>
      <c r="RJT32" s="482"/>
      <c r="RJU32" s="482"/>
      <c r="RJV32" s="482"/>
      <c r="RJW32" s="482"/>
      <c r="RJX32" s="482"/>
      <c r="RJY32" s="482"/>
      <c r="RJZ32" s="482"/>
      <c r="RKA32" s="482"/>
      <c r="RKB32" s="482"/>
      <c r="RKC32" s="482"/>
      <c r="RKD32" s="482"/>
      <c r="RKE32" s="482"/>
      <c r="RKF32" s="482"/>
      <c r="RKG32" s="482"/>
      <c r="RKH32" s="482"/>
      <c r="RKI32" s="482"/>
      <c r="RKJ32" s="482"/>
      <c r="RKK32" s="482"/>
      <c r="RKL32" s="482"/>
      <c r="RKM32" s="482"/>
      <c r="RKN32" s="482"/>
      <c r="RKO32" s="482"/>
      <c r="RKP32" s="482"/>
      <c r="RKQ32" s="482"/>
      <c r="RKR32" s="482"/>
      <c r="RKS32" s="482"/>
      <c r="RKT32" s="482"/>
      <c r="RKU32" s="482"/>
      <c r="RKV32" s="482"/>
      <c r="RKW32" s="482"/>
      <c r="RKX32" s="482"/>
      <c r="RKY32" s="482"/>
      <c r="RKZ32" s="482"/>
      <c r="RLA32" s="482"/>
      <c r="RLB32" s="482"/>
      <c r="RLC32" s="482"/>
      <c r="RLD32" s="482"/>
      <c r="RLE32" s="482"/>
      <c r="RLF32" s="482"/>
      <c r="RLG32" s="482"/>
      <c r="RLH32" s="482"/>
      <c r="RLI32" s="482"/>
      <c r="RLJ32" s="482"/>
      <c r="RLK32" s="482"/>
      <c r="RLL32" s="482"/>
      <c r="RLM32" s="482"/>
      <c r="RLN32" s="482"/>
      <c r="RLO32" s="482"/>
      <c r="RLP32" s="482"/>
      <c r="RLQ32" s="482"/>
      <c r="RLR32" s="482"/>
      <c r="RLS32" s="482"/>
      <c r="RLT32" s="482"/>
      <c r="RLU32" s="482"/>
      <c r="RLV32" s="482"/>
      <c r="RLW32" s="482"/>
      <c r="RLX32" s="482"/>
      <c r="RLY32" s="482"/>
      <c r="RLZ32" s="482"/>
      <c r="RMA32" s="482"/>
      <c r="RMB32" s="482"/>
      <c r="RMC32" s="482"/>
      <c r="RMD32" s="482"/>
      <c r="RME32" s="482"/>
      <c r="RMF32" s="482"/>
      <c r="RMG32" s="482"/>
      <c r="RMH32" s="482"/>
      <c r="RMI32" s="482"/>
      <c r="RMJ32" s="482"/>
      <c r="RMK32" s="482"/>
      <c r="RML32" s="482"/>
      <c r="RMM32" s="482"/>
      <c r="RMN32" s="482"/>
      <c r="RMO32" s="482"/>
      <c r="RMP32" s="482"/>
      <c r="RMQ32" s="482"/>
      <c r="RMR32" s="482"/>
      <c r="RMS32" s="482"/>
      <c r="RMT32" s="482"/>
      <c r="RMU32" s="482"/>
      <c r="RMV32" s="482"/>
      <c r="RMW32" s="482"/>
      <c r="RMX32" s="482"/>
      <c r="RMY32" s="482"/>
      <c r="RMZ32" s="482"/>
      <c r="RNA32" s="482"/>
      <c r="RNB32" s="482"/>
      <c r="RNC32" s="482"/>
      <c r="RND32" s="482"/>
      <c r="RNE32" s="482"/>
      <c r="RNF32" s="482"/>
      <c r="RNG32" s="482"/>
      <c r="RNH32" s="482"/>
      <c r="RNI32" s="482"/>
      <c r="RNJ32" s="482"/>
      <c r="RNK32" s="482"/>
      <c r="RNL32" s="482"/>
      <c r="RNM32" s="482"/>
      <c r="RNN32" s="482"/>
      <c r="RNO32" s="482"/>
      <c r="RNP32" s="482"/>
      <c r="RNQ32" s="482"/>
      <c r="RNR32" s="482"/>
      <c r="RNS32" s="482"/>
      <c r="RNT32" s="482"/>
      <c r="RNU32" s="482"/>
      <c r="RNV32" s="482"/>
      <c r="RNW32" s="482"/>
      <c r="RNX32" s="482"/>
      <c r="RNY32" s="482"/>
      <c r="RNZ32" s="482"/>
      <c r="ROA32" s="482"/>
      <c r="ROB32" s="482"/>
      <c r="ROC32" s="482"/>
      <c r="ROD32" s="482"/>
      <c r="ROE32" s="482"/>
      <c r="ROF32" s="482"/>
      <c r="ROG32" s="482"/>
      <c r="ROH32" s="482"/>
      <c r="ROI32" s="482"/>
      <c r="ROJ32" s="482"/>
      <c r="ROK32" s="482"/>
      <c r="ROL32" s="482"/>
      <c r="ROM32" s="482"/>
      <c r="RON32" s="482"/>
      <c r="ROO32" s="482"/>
      <c r="ROP32" s="482"/>
      <c r="ROQ32" s="482"/>
      <c r="ROR32" s="482"/>
      <c r="ROS32" s="482"/>
      <c r="ROT32" s="482"/>
      <c r="ROU32" s="482"/>
      <c r="ROV32" s="482"/>
      <c r="ROW32" s="482"/>
      <c r="ROX32" s="482"/>
      <c r="ROY32" s="482"/>
      <c r="ROZ32" s="482"/>
      <c r="RPA32" s="482"/>
      <c r="RPB32" s="482"/>
      <c r="RPC32" s="482"/>
      <c r="RPD32" s="482"/>
      <c r="RPE32" s="482"/>
      <c r="RPF32" s="482"/>
      <c r="RPG32" s="482"/>
      <c r="RPH32" s="482"/>
      <c r="RPI32" s="482"/>
      <c r="RPJ32" s="482"/>
      <c r="RPK32" s="482"/>
      <c r="RPL32" s="482"/>
      <c r="RPM32" s="482"/>
      <c r="RPN32" s="482"/>
      <c r="RPO32" s="482"/>
      <c r="RPP32" s="482"/>
      <c r="RPQ32" s="482"/>
      <c r="RPR32" s="482"/>
      <c r="RPS32" s="482"/>
      <c r="RPT32" s="482"/>
      <c r="RPU32" s="482"/>
      <c r="RPV32" s="482"/>
      <c r="RPW32" s="482"/>
      <c r="RPX32" s="482"/>
      <c r="RPY32" s="482"/>
      <c r="RPZ32" s="482"/>
      <c r="RQA32" s="482"/>
      <c r="RQB32" s="482"/>
      <c r="RQC32" s="482"/>
      <c r="RQD32" s="482"/>
      <c r="RQE32" s="482"/>
      <c r="RQF32" s="482"/>
      <c r="RQG32" s="482"/>
      <c r="RQH32" s="482"/>
      <c r="RQI32" s="482"/>
      <c r="RQJ32" s="482"/>
      <c r="RQK32" s="482"/>
      <c r="RQL32" s="482"/>
      <c r="RQM32" s="482"/>
      <c r="RQN32" s="482"/>
      <c r="RQO32" s="482"/>
      <c r="RQP32" s="482"/>
      <c r="RQQ32" s="482"/>
      <c r="RQR32" s="482"/>
      <c r="RQS32" s="482"/>
      <c r="RQT32" s="482"/>
      <c r="RQU32" s="482"/>
      <c r="RQV32" s="482"/>
      <c r="RQW32" s="482"/>
      <c r="RQX32" s="482"/>
      <c r="RQY32" s="482"/>
      <c r="RQZ32" s="482"/>
      <c r="RRA32" s="482"/>
      <c r="RRB32" s="482"/>
      <c r="RRC32" s="482"/>
      <c r="RRD32" s="482"/>
      <c r="RRE32" s="482"/>
      <c r="RRF32" s="482"/>
      <c r="RRG32" s="482"/>
      <c r="RRH32" s="482"/>
      <c r="RRI32" s="482"/>
      <c r="RRJ32" s="482"/>
      <c r="RRK32" s="482"/>
      <c r="RRL32" s="482"/>
      <c r="RRM32" s="482"/>
      <c r="RRN32" s="482"/>
      <c r="RRO32" s="482"/>
      <c r="RRP32" s="482"/>
      <c r="RRQ32" s="482"/>
      <c r="RRR32" s="482"/>
      <c r="RRS32" s="482"/>
      <c r="RRT32" s="482"/>
      <c r="RRU32" s="482"/>
      <c r="RRV32" s="482"/>
      <c r="RRW32" s="482"/>
      <c r="RRX32" s="482"/>
      <c r="RRY32" s="482"/>
      <c r="RRZ32" s="482"/>
      <c r="RSA32" s="482"/>
      <c r="RSB32" s="482"/>
      <c r="RSC32" s="482"/>
      <c r="RSD32" s="482"/>
      <c r="RSE32" s="482"/>
      <c r="RSF32" s="482"/>
      <c r="RSG32" s="482"/>
      <c r="RSH32" s="482"/>
      <c r="RSI32" s="482"/>
      <c r="RSJ32" s="482"/>
      <c r="RSK32" s="482"/>
      <c r="RSL32" s="482"/>
      <c r="RSM32" s="482"/>
      <c r="RSN32" s="482"/>
      <c r="RSO32" s="482"/>
      <c r="RSP32" s="482"/>
      <c r="RSQ32" s="482"/>
      <c r="RSR32" s="482"/>
      <c r="RSS32" s="482"/>
      <c r="RST32" s="482"/>
      <c r="RSU32" s="482"/>
      <c r="RSV32" s="482"/>
      <c r="RSW32" s="482"/>
      <c r="RSX32" s="482"/>
      <c r="RSY32" s="482"/>
      <c r="RSZ32" s="482"/>
      <c r="RTA32" s="482"/>
      <c r="RTB32" s="482"/>
      <c r="RTC32" s="482"/>
      <c r="RTD32" s="482"/>
      <c r="RTE32" s="482"/>
      <c r="RTF32" s="482"/>
      <c r="RTG32" s="482"/>
      <c r="RTH32" s="482"/>
      <c r="RTI32" s="482"/>
      <c r="RTJ32" s="482"/>
      <c r="RTK32" s="482"/>
      <c r="RTL32" s="482"/>
      <c r="RTM32" s="482"/>
      <c r="RTN32" s="482"/>
      <c r="RTO32" s="482"/>
      <c r="RTP32" s="482"/>
      <c r="RTQ32" s="482"/>
      <c r="RTR32" s="482"/>
      <c r="RTS32" s="482"/>
      <c r="RTT32" s="482"/>
      <c r="RTU32" s="482"/>
      <c r="RTV32" s="482"/>
      <c r="RTW32" s="482"/>
      <c r="RTX32" s="482"/>
      <c r="RTY32" s="482"/>
      <c r="RTZ32" s="482"/>
      <c r="RUA32" s="482"/>
      <c r="RUB32" s="482"/>
      <c r="RUC32" s="482"/>
      <c r="RUD32" s="482"/>
      <c r="RUE32" s="482"/>
      <c r="RUF32" s="482"/>
      <c r="RUG32" s="482"/>
      <c r="RUH32" s="482"/>
      <c r="RUI32" s="482"/>
      <c r="RUJ32" s="482"/>
      <c r="RUK32" s="482"/>
      <c r="RUL32" s="482"/>
      <c r="RUM32" s="482"/>
      <c r="RUN32" s="482"/>
      <c r="RUO32" s="482"/>
      <c r="RUP32" s="482"/>
      <c r="RUQ32" s="482"/>
      <c r="RUR32" s="482"/>
      <c r="RUS32" s="482"/>
      <c r="RUT32" s="482"/>
      <c r="RUU32" s="482"/>
      <c r="RUV32" s="482"/>
      <c r="RUW32" s="482"/>
      <c r="RUX32" s="482"/>
      <c r="RUY32" s="482"/>
      <c r="RUZ32" s="482"/>
      <c r="RVA32" s="482"/>
      <c r="RVB32" s="482"/>
      <c r="RVC32" s="482"/>
      <c r="RVD32" s="482"/>
      <c r="RVE32" s="482"/>
      <c r="RVF32" s="482"/>
      <c r="RVG32" s="482"/>
      <c r="RVH32" s="482"/>
      <c r="RVI32" s="482"/>
      <c r="RVJ32" s="482"/>
      <c r="RVK32" s="482"/>
      <c r="RVL32" s="482"/>
      <c r="RVM32" s="482"/>
      <c r="RVN32" s="482"/>
      <c r="RVO32" s="482"/>
      <c r="RVP32" s="482"/>
      <c r="RVQ32" s="482"/>
      <c r="RVR32" s="482"/>
      <c r="RVS32" s="482"/>
      <c r="RVT32" s="482"/>
      <c r="RVU32" s="482"/>
      <c r="RVV32" s="482"/>
      <c r="RVW32" s="482"/>
      <c r="RVX32" s="482"/>
      <c r="RVY32" s="482"/>
      <c r="RVZ32" s="482"/>
      <c r="RWA32" s="482"/>
      <c r="RWB32" s="482"/>
      <c r="RWC32" s="482"/>
      <c r="RWD32" s="482"/>
      <c r="RWE32" s="482"/>
      <c r="RWF32" s="482"/>
      <c r="RWG32" s="482"/>
      <c r="RWH32" s="482"/>
      <c r="RWI32" s="482"/>
      <c r="RWJ32" s="482"/>
      <c r="RWK32" s="482"/>
      <c r="RWL32" s="482"/>
      <c r="RWM32" s="482"/>
      <c r="RWN32" s="482"/>
      <c r="RWO32" s="482"/>
      <c r="RWP32" s="482"/>
      <c r="RWQ32" s="482"/>
      <c r="RWR32" s="482"/>
      <c r="RWS32" s="482"/>
      <c r="RWT32" s="482"/>
      <c r="RWU32" s="482"/>
      <c r="RWV32" s="482"/>
      <c r="RWW32" s="482"/>
      <c r="RWX32" s="482"/>
      <c r="RWY32" s="482"/>
      <c r="RWZ32" s="482"/>
      <c r="RXA32" s="482"/>
      <c r="RXB32" s="482"/>
      <c r="RXC32" s="482"/>
      <c r="RXD32" s="482"/>
      <c r="RXE32" s="482"/>
      <c r="RXF32" s="482"/>
      <c r="RXG32" s="482"/>
      <c r="RXH32" s="482"/>
      <c r="RXI32" s="482"/>
      <c r="RXJ32" s="482"/>
      <c r="RXK32" s="482"/>
      <c r="RXL32" s="482"/>
      <c r="RXM32" s="482"/>
      <c r="RXN32" s="482"/>
      <c r="RXO32" s="482"/>
      <c r="RXP32" s="482"/>
      <c r="RXQ32" s="482"/>
      <c r="RXR32" s="482"/>
      <c r="RXS32" s="482"/>
      <c r="RXT32" s="482"/>
      <c r="RXU32" s="482"/>
      <c r="RXV32" s="482"/>
      <c r="RXW32" s="482"/>
      <c r="RXX32" s="482"/>
      <c r="RXY32" s="482"/>
      <c r="RXZ32" s="482"/>
      <c r="RYA32" s="482"/>
      <c r="RYB32" s="482"/>
      <c r="RYC32" s="482"/>
      <c r="RYD32" s="482"/>
      <c r="RYE32" s="482"/>
      <c r="RYF32" s="482"/>
      <c r="RYG32" s="482"/>
      <c r="RYH32" s="482"/>
      <c r="RYI32" s="482"/>
      <c r="RYJ32" s="482"/>
      <c r="RYK32" s="482"/>
      <c r="RYL32" s="482"/>
      <c r="RYM32" s="482"/>
      <c r="RYN32" s="482"/>
      <c r="RYO32" s="482"/>
      <c r="RYP32" s="482"/>
      <c r="RYQ32" s="482"/>
      <c r="RYR32" s="482"/>
      <c r="RYS32" s="482"/>
      <c r="RYT32" s="482"/>
      <c r="RYU32" s="482"/>
      <c r="RYV32" s="482"/>
      <c r="RYW32" s="482"/>
      <c r="RYX32" s="482"/>
      <c r="RYY32" s="482"/>
      <c r="RYZ32" s="482"/>
      <c r="RZA32" s="482"/>
      <c r="RZB32" s="482"/>
      <c r="RZC32" s="482"/>
      <c r="RZD32" s="482"/>
      <c r="RZE32" s="482"/>
      <c r="RZF32" s="482"/>
      <c r="RZG32" s="482"/>
      <c r="RZH32" s="482"/>
      <c r="RZI32" s="482"/>
      <c r="RZJ32" s="482"/>
      <c r="RZK32" s="482"/>
      <c r="RZL32" s="482"/>
      <c r="RZM32" s="482"/>
      <c r="RZN32" s="482"/>
      <c r="RZO32" s="482"/>
      <c r="RZP32" s="482"/>
      <c r="RZQ32" s="482"/>
      <c r="RZR32" s="482"/>
      <c r="RZS32" s="482"/>
      <c r="RZT32" s="482"/>
      <c r="RZU32" s="482"/>
      <c r="RZV32" s="482"/>
      <c r="RZW32" s="482"/>
      <c r="RZX32" s="482"/>
      <c r="RZY32" s="482"/>
      <c r="RZZ32" s="482"/>
      <c r="SAA32" s="482"/>
      <c r="SAB32" s="482"/>
      <c r="SAC32" s="482"/>
      <c r="SAD32" s="482"/>
      <c r="SAE32" s="482"/>
      <c r="SAF32" s="482"/>
      <c r="SAG32" s="482"/>
      <c r="SAH32" s="482"/>
      <c r="SAI32" s="482"/>
      <c r="SAJ32" s="482"/>
      <c r="SAK32" s="482"/>
      <c r="SAL32" s="482"/>
      <c r="SAM32" s="482"/>
      <c r="SAN32" s="482"/>
      <c r="SAO32" s="482"/>
      <c r="SAP32" s="482"/>
      <c r="SAQ32" s="482"/>
      <c r="SAR32" s="482"/>
      <c r="SAS32" s="482"/>
      <c r="SAT32" s="482"/>
      <c r="SAU32" s="482"/>
      <c r="SAV32" s="482"/>
      <c r="SAW32" s="482"/>
      <c r="SAX32" s="482"/>
      <c r="SAY32" s="482"/>
      <c r="SAZ32" s="482"/>
      <c r="SBA32" s="482"/>
      <c r="SBB32" s="482"/>
      <c r="SBC32" s="482"/>
      <c r="SBD32" s="482"/>
      <c r="SBE32" s="482"/>
      <c r="SBF32" s="482"/>
      <c r="SBG32" s="482"/>
      <c r="SBH32" s="482"/>
      <c r="SBI32" s="482"/>
      <c r="SBJ32" s="482"/>
      <c r="SBK32" s="482"/>
      <c r="SBL32" s="482"/>
      <c r="SBM32" s="482"/>
      <c r="SBN32" s="482"/>
      <c r="SBO32" s="482"/>
      <c r="SBP32" s="482"/>
      <c r="SBQ32" s="482"/>
      <c r="SBR32" s="482"/>
      <c r="SBS32" s="482"/>
      <c r="SBT32" s="482"/>
      <c r="SBU32" s="482"/>
      <c r="SBV32" s="482"/>
      <c r="SBW32" s="482"/>
      <c r="SBX32" s="482"/>
      <c r="SBY32" s="482"/>
      <c r="SBZ32" s="482"/>
      <c r="SCA32" s="482"/>
      <c r="SCB32" s="482"/>
      <c r="SCC32" s="482"/>
      <c r="SCD32" s="482"/>
      <c r="SCE32" s="482"/>
      <c r="SCF32" s="482"/>
      <c r="SCG32" s="482"/>
      <c r="SCH32" s="482"/>
      <c r="SCI32" s="482"/>
      <c r="SCJ32" s="482"/>
      <c r="SCK32" s="482"/>
      <c r="SCL32" s="482"/>
      <c r="SCM32" s="482"/>
      <c r="SCN32" s="482"/>
      <c r="SCO32" s="482"/>
      <c r="SCP32" s="482"/>
      <c r="SCQ32" s="482"/>
      <c r="SCR32" s="482"/>
      <c r="SCS32" s="482"/>
      <c r="SCT32" s="482"/>
      <c r="SCU32" s="482"/>
      <c r="SCV32" s="482"/>
      <c r="SCW32" s="482"/>
      <c r="SCX32" s="482"/>
      <c r="SCY32" s="482"/>
      <c r="SCZ32" s="482"/>
      <c r="SDA32" s="482"/>
      <c r="SDB32" s="482"/>
      <c r="SDC32" s="482"/>
      <c r="SDD32" s="482"/>
      <c r="SDE32" s="482"/>
      <c r="SDF32" s="482"/>
      <c r="SDG32" s="482"/>
      <c r="SDH32" s="482"/>
      <c r="SDI32" s="482"/>
      <c r="SDJ32" s="482"/>
      <c r="SDK32" s="482"/>
      <c r="SDL32" s="482"/>
      <c r="SDM32" s="482"/>
      <c r="SDN32" s="482"/>
      <c r="SDO32" s="482"/>
      <c r="SDP32" s="482"/>
      <c r="SDQ32" s="482"/>
      <c r="SDR32" s="482"/>
      <c r="SDS32" s="482"/>
      <c r="SDT32" s="482"/>
      <c r="SDU32" s="482"/>
      <c r="SDV32" s="482"/>
      <c r="SDW32" s="482"/>
      <c r="SDX32" s="482"/>
      <c r="SDY32" s="482"/>
      <c r="SDZ32" s="482"/>
      <c r="SEA32" s="482"/>
      <c r="SEB32" s="482"/>
      <c r="SEC32" s="482"/>
      <c r="SED32" s="482"/>
      <c r="SEE32" s="482"/>
      <c r="SEF32" s="482"/>
      <c r="SEG32" s="482"/>
      <c r="SEH32" s="482"/>
      <c r="SEI32" s="482"/>
      <c r="SEJ32" s="482"/>
      <c r="SEK32" s="482"/>
      <c r="SEL32" s="482"/>
      <c r="SEM32" s="482"/>
      <c r="SEN32" s="482"/>
      <c r="SEO32" s="482"/>
      <c r="SEP32" s="482"/>
      <c r="SEQ32" s="482"/>
      <c r="SER32" s="482"/>
      <c r="SES32" s="482"/>
      <c r="SET32" s="482"/>
      <c r="SEU32" s="482"/>
      <c r="SEV32" s="482"/>
      <c r="SEW32" s="482"/>
      <c r="SEX32" s="482"/>
      <c r="SEY32" s="482"/>
      <c r="SEZ32" s="482"/>
      <c r="SFA32" s="482"/>
      <c r="SFB32" s="482"/>
      <c r="SFC32" s="482"/>
      <c r="SFD32" s="482"/>
      <c r="SFE32" s="482"/>
      <c r="SFF32" s="482"/>
      <c r="SFG32" s="482"/>
      <c r="SFH32" s="482"/>
      <c r="SFI32" s="482"/>
      <c r="SFJ32" s="482"/>
      <c r="SFK32" s="482"/>
      <c r="SFL32" s="482"/>
      <c r="SFM32" s="482"/>
      <c r="SFN32" s="482"/>
      <c r="SFO32" s="482"/>
      <c r="SFP32" s="482"/>
      <c r="SFQ32" s="482"/>
      <c r="SFR32" s="482"/>
      <c r="SFS32" s="482"/>
      <c r="SFT32" s="482"/>
      <c r="SFU32" s="482"/>
      <c r="SFV32" s="482"/>
      <c r="SFW32" s="482"/>
      <c r="SFX32" s="482"/>
      <c r="SFY32" s="482"/>
      <c r="SFZ32" s="482"/>
      <c r="SGA32" s="482"/>
      <c r="SGB32" s="482"/>
      <c r="SGC32" s="482"/>
      <c r="SGD32" s="482"/>
      <c r="SGE32" s="482"/>
      <c r="SGF32" s="482"/>
      <c r="SGG32" s="482"/>
      <c r="SGH32" s="482"/>
      <c r="SGI32" s="482"/>
      <c r="SGJ32" s="482"/>
      <c r="SGK32" s="482"/>
      <c r="SGL32" s="482"/>
      <c r="SGM32" s="482"/>
      <c r="SGN32" s="482"/>
      <c r="SGO32" s="482"/>
      <c r="SGP32" s="482"/>
      <c r="SGQ32" s="482"/>
      <c r="SGR32" s="482"/>
      <c r="SGS32" s="482"/>
      <c r="SGT32" s="482"/>
      <c r="SGU32" s="482"/>
      <c r="SGV32" s="482"/>
      <c r="SGW32" s="482"/>
      <c r="SGX32" s="482"/>
      <c r="SGY32" s="482"/>
      <c r="SGZ32" s="482"/>
      <c r="SHA32" s="482"/>
      <c r="SHB32" s="482"/>
      <c r="SHC32" s="482"/>
      <c r="SHD32" s="482"/>
      <c r="SHE32" s="482"/>
      <c r="SHF32" s="482"/>
      <c r="SHG32" s="482"/>
      <c r="SHH32" s="482"/>
      <c r="SHI32" s="482"/>
      <c r="SHJ32" s="482"/>
      <c r="SHK32" s="482"/>
      <c r="SHL32" s="482"/>
      <c r="SHM32" s="482"/>
      <c r="SHN32" s="482"/>
      <c r="SHO32" s="482"/>
      <c r="SHP32" s="482"/>
      <c r="SHQ32" s="482"/>
      <c r="SHR32" s="482"/>
      <c r="SHS32" s="482"/>
      <c r="SHT32" s="482"/>
      <c r="SHU32" s="482"/>
      <c r="SHV32" s="482"/>
      <c r="SHW32" s="482"/>
      <c r="SHX32" s="482"/>
      <c r="SHY32" s="482"/>
      <c r="SHZ32" s="482"/>
      <c r="SIA32" s="482"/>
      <c r="SIB32" s="482"/>
      <c r="SIC32" s="482"/>
      <c r="SID32" s="482"/>
      <c r="SIE32" s="482"/>
      <c r="SIF32" s="482"/>
      <c r="SIG32" s="482"/>
      <c r="SIH32" s="482"/>
      <c r="SII32" s="482"/>
      <c r="SIJ32" s="482"/>
      <c r="SIK32" s="482"/>
      <c r="SIL32" s="482"/>
      <c r="SIM32" s="482"/>
      <c r="SIN32" s="482"/>
      <c r="SIO32" s="482"/>
      <c r="SIP32" s="482"/>
      <c r="SIQ32" s="482"/>
      <c r="SIR32" s="482"/>
      <c r="SIS32" s="482"/>
      <c r="SIT32" s="482"/>
      <c r="SIU32" s="482"/>
      <c r="SIV32" s="482"/>
      <c r="SIW32" s="482"/>
      <c r="SIX32" s="482"/>
      <c r="SIY32" s="482"/>
      <c r="SIZ32" s="482"/>
      <c r="SJA32" s="482"/>
      <c r="SJB32" s="482"/>
      <c r="SJC32" s="482"/>
      <c r="SJD32" s="482"/>
      <c r="SJE32" s="482"/>
      <c r="SJF32" s="482"/>
      <c r="SJG32" s="482"/>
      <c r="SJH32" s="482"/>
      <c r="SJI32" s="482"/>
      <c r="SJJ32" s="482"/>
      <c r="SJK32" s="482"/>
      <c r="SJL32" s="482"/>
      <c r="SJM32" s="482"/>
      <c r="SJN32" s="482"/>
      <c r="SJO32" s="482"/>
      <c r="SJP32" s="482"/>
      <c r="SJQ32" s="482"/>
      <c r="SJR32" s="482"/>
      <c r="SJS32" s="482"/>
      <c r="SJT32" s="482"/>
      <c r="SJU32" s="482"/>
      <c r="SJV32" s="482"/>
      <c r="SJW32" s="482"/>
      <c r="SJX32" s="482"/>
      <c r="SJY32" s="482"/>
      <c r="SJZ32" s="482"/>
      <c r="SKA32" s="482"/>
      <c r="SKB32" s="482"/>
      <c r="SKC32" s="482"/>
      <c r="SKD32" s="482"/>
      <c r="SKE32" s="482"/>
      <c r="SKF32" s="482"/>
      <c r="SKG32" s="482"/>
      <c r="SKH32" s="482"/>
      <c r="SKI32" s="482"/>
      <c r="SKJ32" s="482"/>
      <c r="SKK32" s="482"/>
      <c r="SKL32" s="482"/>
      <c r="SKM32" s="482"/>
      <c r="SKN32" s="482"/>
      <c r="SKO32" s="482"/>
      <c r="SKP32" s="482"/>
      <c r="SKQ32" s="482"/>
      <c r="SKR32" s="482"/>
      <c r="SKS32" s="482"/>
      <c r="SKT32" s="482"/>
      <c r="SKU32" s="482"/>
      <c r="SKV32" s="482"/>
      <c r="SKW32" s="482"/>
      <c r="SKX32" s="482"/>
      <c r="SKY32" s="482"/>
      <c r="SKZ32" s="482"/>
      <c r="SLA32" s="482"/>
      <c r="SLB32" s="482"/>
      <c r="SLC32" s="482"/>
      <c r="SLD32" s="482"/>
      <c r="SLE32" s="482"/>
      <c r="SLF32" s="482"/>
      <c r="SLG32" s="482"/>
      <c r="SLH32" s="482"/>
      <c r="SLI32" s="482"/>
      <c r="SLJ32" s="482"/>
      <c r="SLK32" s="482"/>
      <c r="SLL32" s="482"/>
      <c r="SLM32" s="482"/>
      <c r="SLN32" s="482"/>
      <c r="SLO32" s="482"/>
      <c r="SLP32" s="482"/>
      <c r="SLQ32" s="482"/>
      <c r="SLR32" s="482"/>
      <c r="SLS32" s="482"/>
      <c r="SLT32" s="482"/>
      <c r="SLU32" s="482"/>
      <c r="SLV32" s="482"/>
      <c r="SLW32" s="482"/>
      <c r="SLX32" s="482"/>
      <c r="SLY32" s="482"/>
      <c r="SLZ32" s="482"/>
      <c r="SMA32" s="482"/>
      <c r="SMB32" s="482"/>
      <c r="SMC32" s="482"/>
      <c r="SMD32" s="482"/>
      <c r="SME32" s="482"/>
      <c r="SMF32" s="482"/>
      <c r="SMG32" s="482"/>
      <c r="SMH32" s="482"/>
      <c r="SMI32" s="482"/>
      <c r="SMJ32" s="482"/>
      <c r="SMK32" s="482"/>
      <c r="SML32" s="482"/>
      <c r="SMM32" s="482"/>
      <c r="SMN32" s="482"/>
      <c r="SMO32" s="482"/>
      <c r="SMP32" s="482"/>
      <c r="SMQ32" s="482"/>
      <c r="SMR32" s="482"/>
      <c r="SMS32" s="482"/>
      <c r="SMT32" s="482"/>
      <c r="SMU32" s="482"/>
      <c r="SMV32" s="482"/>
      <c r="SMW32" s="482"/>
      <c r="SMX32" s="482"/>
      <c r="SMY32" s="482"/>
      <c r="SMZ32" s="482"/>
      <c r="SNA32" s="482"/>
      <c r="SNB32" s="482"/>
      <c r="SNC32" s="482"/>
      <c r="SND32" s="482"/>
      <c r="SNE32" s="482"/>
      <c r="SNF32" s="482"/>
      <c r="SNG32" s="482"/>
      <c r="SNH32" s="482"/>
      <c r="SNI32" s="482"/>
      <c r="SNJ32" s="482"/>
      <c r="SNK32" s="482"/>
      <c r="SNL32" s="482"/>
      <c r="SNM32" s="482"/>
      <c r="SNN32" s="482"/>
      <c r="SNO32" s="482"/>
      <c r="SNP32" s="482"/>
      <c r="SNQ32" s="482"/>
      <c r="SNR32" s="482"/>
      <c r="SNS32" s="482"/>
      <c r="SNT32" s="482"/>
      <c r="SNU32" s="482"/>
      <c r="SNV32" s="482"/>
      <c r="SNW32" s="482"/>
      <c r="SNX32" s="482"/>
      <c r="SNY32" s="482"/>
      <c r="SNZ32" s="482"/>
      <c r="SOA32" s="482"/>
      <c r="SOB32" s="482"/>
      <c r="SOC32" s="482"/>
      <c r="SOD32" s="482"/>
      <c r="SOE32" s="482"/>
      <c r="SOF32" s="482"/>
      <c r="SOG32" s="482"/>
      <c r="SOH32" s="482"/>
      <c r="SOI32" s="482"/>
      <c r="SOJ32" s="482"/>
      <c r="SOK32" s="482"/>
      <c r="SOL32" s="482"/>
      <c r="SOM32" s="482"/>
      <c r="SON32" s="482"/>
      <c r="SOO32" s="482"/>
      <c r="SOP32" s="482"/>
      <c r="SOQ32" s="482"/>
      <c r="SOR32" s="482"/>
      <c r="SOS32" s="482"/>
      <c r="SOT32" s="482"/>
      <c r="SOU32" s="482"/>
      <c r="SOV32" s="482"/>
      <c r="SOW32" s="482"/>
      <c r="SOX32" s="482"/>
      <c r="SOY32" s="482"/>
      <c r="SOZ32" s="482"/>
      <c r="SPA32" s="482"/>
      <c r="SPB32" s="482"/>
      <c r="SPC32" s="482"/>
      <c r="SPD32" s="482"/>
      <c r="SPE32" s="482"/>
      <c r="SPF32" s="482"/>
      <c r="SPG32" s="482"/>
      <c r="SPH32" s="482"/>
      <c r="SPI32" s="482"/>
      <c r="SPJ32" s="482"/>
      <c r="SPK32" s="482"/>
      <c r="SPL32" s="482"/>
      <c r="SPM32" s="482"/>
      <c r="SPN32" s="482"/>
      <c r="SPO32" s="482"/>
      <c r="SPP32" s="482"/>
      <c r="SPQ32" s="482"/>
      <c r="SPR32" s="482"/>
      <c r="SPS32" s="482"/>
      <c r="SPT32" s="482"/>
      <c r="SPU32" s="482"/>
      <c r="SPV32" s="482"/>
      <c r="SPW32" s="482"/>
      <c r="SPX32" s="482"/>
      <c r="SPY32" s="482"/>
      <c r="SPZ32" s="482"/>
      <c r="SQA32" s="482"/>
      <c r="SQB32" s="482"/>
      <c r="SQC32" s="482"/>
      <c r="SQD32" s="482"/>
      <c r="SQE32" s="482"/>
      <c r="SQF32" s="482"/>
      <c r="SQG32" s="482"/>
      <c r="SQH32" s="482"/>
      <c r="SQI32" s="482"/>
      <c r="SQJ32" s="482"/>
      <c r="SQK32" s="482"/>
      <c r="SQL32" s="482"/>
      <c r="SQM32" s="482"/>
      <c r="SQN32" s="482"/>
      <c r="SQO32" s="482"/>
      <c r="SQP32" s="482"/>
      <c r="SQQ32" s="482"/>
      <c r="SQR32" s="482"/>
      <c r="SQS32" s="482"/>
      <c r="SQT32" s="482"/>
      <c r="SQU32" s="482"/>
      <c r="SQV32" s="482"/>
      <c r="SQW32" s="482"/>
      <c r="SQX32" s="482"/>
      <c r="SQY32" s="482"/>
      <c r="SQZ32" s="482"/>
      <c r="SRA32" s="482"/>
      <c r="SRB32" s="482"/>
      <c r="SRC32" s="482"/>
      <c r="SRD32" s="482"/>
      <c r="SRE32" s="482"/>
      <c r="SRF32" s="482"/>
      <c r="SRG32" s="482"/>
      <c r="SRH32" s="482"/>
      <c r="SRI32" s="482"/>
      <c r="SRJ32" s="482"/>
      <c r="SRK32" s="482"/>
      <c r="SRL32" s="482"/>
      <c r="SRM32" s="482"/>
      <c r="SRN32" s="482"/>
      <c r="SRO32" s="482"/>
      <c r="SRP32" s="482"/>
      <c r="SRQ32" s="482"/>
      <c r="SRR32" s="482"/>
      <c r="SRS32" s="482"/>
      <c r="SRT32" s="482"/>
      <c r="SRU32" s="482"/>
      <c r="SRV32" s="482"/>
      <c r="SRW32" s="482"/>
      <c r="SRX32" s="482"/>
      <c r="SRY32" s="482"/>
      <c r="SRZ32" s="482"/>
      <c r="SSA32" s="482"/>
      <c r="SSB32" s="482"/>
      <c r="SSC32" s="482"/>
      <c r="SSD32" s="482"/>
      <c r="SSE32" s="482"/>
      <c r="SSF32" s="482"/>
      <c r="SSG32" s="482"/>
      <c r="SSH32" s="482"/>
      <c r="SSI32" s="482"/>
      <c r="SSJ32" s="482"/>
      <c r="SSK32" s="482"/>
      <c r="SSL32" s="482"/>
      <c r="SSM32" s="482"/>
      <c r="SSN32" s="482"/>
      <c r="SSO32" s="482"/>
      <c r="SSP32" s="482"/>
      <c r="SSQ32" s="482"/>
      <c r="SSR32" s="482"/>
      <c r="SSS32" s="482"/>
      <c r="SST32" s="482"/>
      <c r="SSU32" s="482"/>
      <c r="SSV32" s="482"/>
      <c r="SSW32" s="482"/>
      <c r="SSX32" s="482"/>
      <c r="SSY32" s="482"/>
      <c r="SSZ32" s="482"/>
      <c r="STA32" s="482"/>
      <c r="STB32" s="482"/>
      <c r="STC32" s="482"/>
      <c r="STD32" s="482"/>
      <c r="STE32" s="482"/>
      <c r="STF32" s="482"/>
      <c r="STG32" s="482"/>
      <c r="STH32" s="482"/>
      <c r="STI32" s="482"/>
      <c r="STJ32" s="482"/>
      <c r="STK32" s="482"/>
      <c r="STL32" s="482"/>
      <c r="STM32" s="482"/>
      <c r="STN32" s="482"/>
      <c r="STO32" s="482"/>
      <c r="STP32" s="482"/>
      <c r="STQ32" s="482"/>
      <c r="STR32" s="482"/>
      <c r="STS32" s="482"/>
      <c r="STT32" s="482"/>
      <c r="STU32" s="482"/>
      <c r="STV32" s="482"/>
      <c r="STW32" s="482"/>
      <c r="STX32" s="482"/>
      <c r="STY32" s="482"/>
      <c r="STZ32" s="482"/>
      <c r="SUA32" s="482"/>
      <c r="SUB32" s="482"/>
      <c r="SUC32" s="482"/>
      <c r="SUD32" s="482"/>
      <c r="SUE32" s="482"/>
      <c r="SUF32" s="482"/>
      <c r="SUG32" s="482"/>
      <c r="SUH32" s="482"/>
      <c r="SUI32" s="482"/>
      <c r="SUJ32" s="482"/>
      <c r="SUK32" s="482"/>
      <c r="SUL32" s="482"/>
      <c r="SUM32" s="482"/>
      <c r="SUN32" s="482"/>
      <c r="SUO32" s="482"/>
      <c r="SUP32" s="482"/>
      <c r="SUQ32" s="482"/>
      <c r="SUR32" s="482"/>
      <c r="SUS32" s="482"/>
      <c r="SUT32" s="482"/>
      <c r="SUU32" s="482"/>
      <c r="SUV32" s="482"/>
      <c r="SUW32" s="482"/>
      <c r="SUX32" s="482"/>
      <c r="SUY32" s="482"/>
      <c r="SUZ32" s="482"/>
      <c r="SVA32" s="482"/>
      <c r="SVB32" s="482"/>
      <c r="SVC32" s="482"/>
      <c r="SVD32" s="482"/>
      <c r="SVE32" s="482"/>
      <c r="SVF32" s="482"/>
      <c r="SVG32" s="482"/>
      <c r="SVH32" s="482"/>
      <c r="SVI32" s="482"/>
      <c r="SVJ32" s="482"/>
      <c r="SVK32" s="482"/>
      <c r="SVL32" s="482"/>
      <c r="SVM32" s="482"/>
      <c r="SVN32" s="482"/>
      <c r="SVO32" s="482"/>
      <c r="SVP32" s="482"/>
      <c r="SVQ32" s="482"/>
      <c r="SVR32" s="482"/>
      <c r="SVS32" s="482"/>
      <c r="SVT32" s="482"/>
      <c r="SVU32" s="482"/>
      <c r="SVV32" s="482"/>
      <c r="SVW32" s="482"/>
      <c r="SVX32" s="482"/>
      <c r="SVY32" s="482"/>
      <c r="SVZ32" s="482"/>
      <c r="SWA32" s="482"/>
      <c r="SWB32" s="482"/>
      <c r="SWC32" s="482"/>
      <c r="SWD32" s="482"/>
      <c r="SWE32" s="482"/>
      <c r="SWF32" s="482"/>
      <c r="SWG32" s="482"/>
      <c r="SWH32" s="482"/>
      <c r="SWI32" s="482"/>
      <c r="SWJ32" s="482"/>
      <c r="SWK32" s="482"/>
      <c r="SWL32" s="482"/>
      <c r="SWM32" s="482"/>
      <c r="SWN32" s="482"/>
      <c r="SWO32" s="482"/>
      <c r="SWP32" s="482"/>
      <c r="SWQ32" s="482"/>
      <c r="SWR32" s="482"/>
      <c r="SWS32" s="482"/>
      <c r="SWT32" s="482"/>
      <c r="SWU32" s="482"/>
      <c r="SWV32" s="482"/>
      <c r="SWW32" s="482"/>
      <c r="SWX32" s="482"/>
      <c r="SWY32" s="482"/>
      <c r="SWZ32" s="482"/>
      <c r="SXA32" s="482"/>
      <c r="SXB32" s="482"/>
      <c r="SXC32" s="482"/>
      <c r="SXD32" s="482"/>
      <c r="SXE32" s="482"/>
      <c r="SXF32" s="482"/>
      <c r="SXG32" s="482"/>
      <c r="SXH32" s="482"/>
      <c r="SXI32" s="482"/>
      <c r="SXJ32" s="482"/>
      <c r="SXK32" s="482"/>
      <c r="SXL32" s="482"/>
      <c r="SXM32" s="482"/>
      <c r="SXN32" s="482"/>
      <c r="SXO32" s="482"/>
      <c r="SXP32" s="482"/>
      <c r="SXQ32" s="482"/>
      <c r="SXR32" s="482"/>
      <c r="SXS32" s="482"/>
      <c r="SXT32" s="482"/>
      <c r="SXU32" s="482"/>
      <c r="SXV32" s="482"/>
      <c r="SXW32" s="482"/>
      <c r="SXX32" s="482"/>
      <c r="SXY32" s="482"/>
      <c r="SXZ32" s="482"/>
      <c r="SYA32" s="482"/>
      <c r="SYB32" s="482"/>
      <c r="SYC32" s="482"/>
      <c r="SYD32" s="482"/>
      <c r="SYE32" s="482"/>
      <c r="SYF32" s="482"/>
      <c r="SYG32" s="482"/>
      <c r="SYH32" s="482"/>
      <c r="SYI32" s="482"/>
      <c r="SYJ32" s="482"/>
      <c r="SYK32" s="482"/>
      <c r="SYL32" s="482"/>
      <c r="SYM32" s="482"/>
      <c r="SYN32" s="482"/>
      <c r="SYO32" s="482"/>
      <c r="SYP32" s="482"/>
      <c r="SYQ32" s="482"/>
      <c r="SYR32" s="482"/>
      <c r="SYS32" s="482"/>
      <c r="SYT32" s="482"/>
      <c r="SYU32" s="482"/>
      <c r="SYV32" s="482"/>
      <c r="SYW32" s="482"/>
      <c r="SYX32" s="482"/>
      <c r="SYY32" s="482"/>
      <c r="SYZ32" s="482"/>
      <c r="SZA32" s="482"/>
      <c r="SZB32" s="482"/>
      <c r="SZC32" s="482"/>
      <c r="SZD32" s="482"/>
      <c r="SZE32" s="482"/>
      <c r="SZF32" s="482"/>
      <c r="SZG32" s="482"/>
      <c r="SZH32" s="482"/>
      <c r="SZI32" s="482"/>
      <c r="SZJ32" s="482"/>
      <c r="SZK32" s="482"/>
      <c r="SZL32" s="482"/>
      <c r="SZM32" s="482"/>
      <c r="SZN32" s="482"/>
      <c r="SZO32" s="482"/>
      <c r="SZP32" s="482"/>
      <c r="SZQ32" s="482"/>
      <c r="SZR32" s="482"/>
      <c r="SZS32" s="482"/>
      <c r="SZT32" s="482"/>
      <c r="SZU32" s="482"/>
      <c r="SZV32" s="482"/>
      <c r="SZW32" s="482"/>
      <c r="SZX32" s="482"/>
      <c r="SZY32" s="482"/>
      <c r="SZZ32" s="482"/>
      <c r="TAA32" s="482"/>
      <c r="TAB32" s="482"/>
      <c r="TAC32" s="482"/>
      <c r="TAD32" s="482"/>
      <c r="TAE32" s="482"/>
      <c r="TAF32" s="482"/>
      <c r="TAG32" s="482"/>
      <c r="TAH32" s="482"/>
      <c r="TAI32" s="482"/>
      <c r="TAJ32" s="482"/>
      <c r="TAK32" s="482"/>
      <c r="TAL32" s="482"/>
      <c r="TAM32" s="482"/>
      <c r="TAN32" s="482"/>
      <c r="TAO32" s="482"/>
      <c r="TAP32" s="482"/>
      <c r="TAQ32" s="482"/>
      <c r="TAR32" s="482"/>
      <c r="TAS32" s="482"/>
      <c r="TAT32" s="482"/>
      <c r="TAU32" s="482"/>
      <c r="TAV32" s="482"/>
      <c r="TAW32" s="482"/>
      <c r="TAX32" s="482"/>
      <c r="TAY32" s="482"/>
      <c r="TAZ32" s="482"/>
      <c r="TBA32" s="482"/>
      <c r="TBB32" s="482"/>
      <c r="TBC32" s="482"/>
      <c r="TBD32" s="482"/>
      <c r="TBE32" s="482"/>
      <c r="TBF32" s="482"/>
      <c r="TBG32" s="482"/>
      <c r="TBH32" s="482"/>
      <c r="TBI32" s="482"/>
      <c r="TBJ32" s="482"/>
      <c r="TBK32" s="482"/>
      <c r="TBL32" s="482"/>
      <c r="TBM32" s="482"/>
      <c r="TBN32" s="482"/>
      <c r="TBO32" s="482"/>
      <c r="TBP32" s="482"/>
      <c r="TBQ32" s="482"/>
      <c r="TBR32" s="482"/>
      <c r="TBS32" s="482"/>
      <c r="TBT32" s="482"/>
      <c r="TBU32" s="482"/>
      <c r="TBV32" s="482"/>
      <c r="TBW32" s="482"/>
      <c r="TBX32" s="482"/>
      <c r="TBY32" s="482"/>
      <c r="TBZ32" s="482"/>
      <c r="TCA32" s="482"/>
      <c r="TCB32" s="482"/>
      <c r="TCC32" s="482"/>
      <c r="TCD32" s="482"/>
      <c r="TCE32" s="482"/>
      <c r="TCF32" s="482"/>
      <c r="TCG32" s="482"/>
      <c r="TCH32" s="482"/>
      <c r="TCI32" s="482"/>
      <c r="TCJ32" s="482"/>
      <c r="TCK32" s="482"/>
      <c r="TCL32" s="482"/>
      <c r="TCM32" s="482"/>
      <c r="TCN32" s="482"/>
      <c r="TCO32" s="482"/>
      <c r="TCP32" s="482"/>
      <c r="TCQ32" s="482"/>
      <c r="TCR32" s="482"/>
      <c r="TCS32" s="482"/>
      <c r="TCT32" s="482"/>
      <c r="TCU32" s="482"/>
      <c r="TCV32" s="482"/>
      <c r="TCW32" s="482"/>
      <c r="TCX32" s="482"/>
      <c r="TCY32" s="482"/>
      <c r="TCZ32" s="482"/>
      <c r="TDA32" s="482"/>
      <c r="TDB32" s="482"/>
      <c r="TDC32" s="482"/>
      <c r="TDD32" s="482"/>
      <c r="TDE32" s="482"/>
      <c r="TDF32" s="482"/>
      <c r="TDG32" s="482"/>
      <c r="TDH32" s="482"/>
      <c r="TDI32" s="482"/>
      <c r="TDJ32" s="482"/>
      <c r="TDK32" s="482"/>
      <c r="TDL32" s="482"/>
      <c r="TDM32" s="482"/>
      <c r="TDN32" s="482"/>
      <c r="TDO32" s="482"/>
      <c r="TDP32" s="482"/>
      <c r="TDQ32" s="482"/>
      <c r="TDR32" s="482"/>
      <c r="TDS32" s="482"/>
      <c r="TDT32" s="482"/>
      <c r="TDU32" s="482"/>
      <c r="TDV32" s="482"/>
      <c r="TDW32" s="482"/>
      <c r="TDX32" s="482"/>
      <c r="TDY32" s="482"/>
      <c r="TDZ32" s="482"/>
      <c r="TEA32" s="482"/>
      <c r="TEB32" s="482"/>
      <c r="TEC32" s="482"/>
      <c r="TED32" s="482"/>
      <c r="TEE32" s="482"/>
      <c r="TEF32" s="482"/>
      <c r="TEG32" s="482"/>
      <c r="TEH32" s="482"/>
      <c r="TEI32" s="482"/>
      <c r="TEJ32" s="482"/>
      <c r="TEK32" s="482"/>
      <c r="TEL32" s="482"/>
      <c r="TEM32" s="482"/>
      <c r="TEN32" s="482"/>
      <c r="TEO32" s="482"/>
      <c r="TEP32" s="482"/>
      <c r="TEQ32" s="482"/>
      <c r="TER32" s="482"/>
      <c r="TES32" s="482"/>
      <c r="TET32" s="482"/>
      <c r="TEU32" s="482"/>
      <c r="TEV32" s="482"/>
      <c r="TEW32" s="482"/>
      <c r="TEX32" s="482"/>
      <c r="TEY32" s="482"/>
      <c r="TEZ32" s="482"/>
      <c r="TFA32" s="482"/>
      <c r="TFB32" s="482"/>
      <c r="TFC32" s="482"/>
      <c r="TFD32" s="482"/>
      <c r="TFE32" s="482"/>
      <c r="TFF32" s="482"/>
      <c r="TFG32" s="482"/>
      <c r="TFH32" s="482"/>
      <c r="TFI32" s="482"/>
      <c r="TFJ32" s="482"/>
      <c r="TFK32" s="482"/>
      <c r="TFL32" s="482"/>
      <c r="TFM32" s="482"/>
      <c r="TFN32" s="482"/>
      <c r="TFO32" s="482"/>
      <c r="TFP32" s="482"/>
      <c r="TFQ32" s="482"/>
      <c r="TFR32" s="482"/>
      <c r="TFS32" s="482"/>
      <c r="TFT32" s="482"/>
      <c r="TFU32" s="482"/>
      <c r="TFV32" s="482"/>
      <c r="TFW32" s="482"/>
      <c r="TFX32" s="482"/>
      <c r="TFY32" s="482"/>
      <c r="TFZ32" s="482"/>
      <c r="TGA32" s="482"/>
      <c r="TGB32" s="482"/>
      <c r="TGC32" s="482"/>
      <c r="TGD32" s="482"/>
      <c r="TGE32" s="482"/>
      <c r="TGF32" s="482"/>
      <c r="TGG32" s="482"/>
      <c r="TGH32" s="482"/>
      <c r="TGI32" s="482"/>
      <c r="TGJ32" s="482"/>
      <c r="TGK32" s="482"/>
      <c r="TGL32" s="482"/>
      <c r="TGM32" s="482"/>
      <c r="TGN32" s="482"/>
      <c r="TGO32" s="482"/>
      <c r="TGP32" s="482"/>
      <c r="TGQ32" s="482"/>
      <c r="TGR32" s="482"/>
      <c r="TGS32" s="482"/>
      <c r="TGT32" s="482"/>
      <c r="TGU32" s="482"/>
      <c r="TGV32" s="482"/>
      <c r="TGW32" s="482"/>
      <c r="TGX32" s="482"/>
      <c r="TGY32" s="482"/>
      <c r="TGZ32" s="482"/>
      <c r="THA32" s="482"/>
      <c r="THB32" s="482"/>
      <c r="THC32" s="482"/>
      <c r="THD32" s="482"/>
      <c r="THE32" s="482"/>
      <c r="THF32" s="482"/>
      <c r="THG32" s="482"/>
      <c r="THH32" s="482"/>
      <c r="THI32" s="482"/>
      <c r="THJ32" s="482"/>
      <c r="THK32" s="482"/>
      <c r="THL32" s="482"/>
      <c r="THM32" s="482"/>
      <c r="THN32" s="482"/>
      <c r="THO32" s="482"/>
      <c r="THP32" s="482"/>
      <c r="THQ32" s="482"/>
      <c r="THR32" s="482"/>
      <c r="THS32" s="482"/>
      <c r="THT32" s="482"/>
      <c r="THU32" s="482"/>
      <c r="THV32" s="482"/>
      <c r="THW32" s="482"/>
      <c r="THX32" s="482"/>
      <c r="THY32" s="482"/>
      <c r="THZ32" s="482"/>
      <c r="TIA32" s="482"/>
      <c r="TIB32" s="482"/>
      <c r="TIC32" s="482"/>
      <c r="TID32" s="482"/>
      <c r="TIE32" s="482"/>
      <c r="TIF32" s="482"/>
      <c r="TIG32" s="482"/>
      <c r="TIH32" s="482"/>
      <c r="TII32" s="482"/>
      <c r="TIJ32" s="482"/>
      <c r="TIK32" s="482"/>
      <c r="TIL32" s="482"/>
      <c r="TIM32" s="482"/>
      <c r="TIN32" s="482"/>
      <c r="TIO32" s="482"/>
      <c r="TIP32" s="482"/>
      <c r="TIQ32" s="482"/>
      <c r="TIR32" s="482"/>
      <c r="TIS32" s="482"/>
      <c r="TIT32" s="482"/>
      <c r="TIU32" s="482"/>
      <c r="TIV32" s="482"/>
      <c r="TIW32" s="482"/>
      <c r="TIX32" s="482"/>
      <c r="TIY32" s="482"/>
      <c r="TIZ32" s="482"/>
      <c r="TJA32" s="482"/>
      <c r="TJB32" s="482"/>
      <c r="TJC32" s="482"/>
      <c r="TJD32" s="482"/>
      <c r="TJE32" s="482"/>
      <c r="TJF32" s="482"/>
      <c r="TJG32" s="482"/>
      <c r="TJH32" s="482"/>
      <c r="TJI32" s="482"/>
      <c r="TJJ32" s="482"/>
      <c r="TJK32" s="482"/>
      <c r="TJL32" s="482"/>
      <c r="TJM32" s="482"/>
      <c r="TJN32" s="482"/>
      <c r="TJO32" s="482"/>
      <c r="TJP32" s="482"/>
      <c r="TJQ32" s="482"/>
      <c r="TJR32" s="482"/>
      <c r="TJS32" s="482"/>
      <c r="TJT32" s="482"/>
      <c r="TJU32" s="482"/>
      <c r="TJV32" s="482"/>
      <c r="TJW32" s="482"/>
      <c r="TJX32" s="482"/>
      <c r="TJY32" s="482"/>
      <c r="TJZ32" s="482"/>
      <c r="TKA32" s="482"/>
      <c r="TKB32" s="482"/>
      <c r="TKC32" s="482"/>
      <c r="TKD32" s="482"/>
      <c r="TKE32" s="482"/>
      <c r="TKF32" s="482"/>
      <c r="TKG32" s="482"/>
      <c r="TKH32" s="482"/>
      <c r="TKI32" s="482"/>
      <c r="TKJ32" s="482"/>
      <c r="TKK32" s="482"/>
      <c r="TKL32" s="482"/>
      <c r="TKM32" s="482"/>
      <c r="TKN32" s="482"/>
      <c r="TKO32" s="482"/>
      <c r="TKP32" s="482"/>
      <c r="TKQ32" s="482"/>
      <c r="TKR32" s="482"/>
      <c r="TKS32" s="482"/>
      <c r="TKT32" s="482"/>
      <c r="TKU32" s="482"/>
      <c r="TKV32" s="482"/>
      <c r="TKW32" s="482"/>
      <c r="TKX32" s="482"/>
      <c r="TKY32" s="482"/>
      <c r="TKZ32" s="482"/>
      <c r="TLA32" s="482"/>
      <c r="TLB32" s="482"/>
      <c r="TLC32" s="482"/>
      <c r="TLD32" s="482"/>
      <c r="TLE32" s="482"/>
      <c r="TLF32" s="482"/>
      <c r="TLG32" s="482"/>
      <c r="TLH32" s="482"/>
      <c r="TLI32" s="482"/>
      <c r="TLJ32" s="482"/>
      <c r="TLK32" s="482"/>
      <c r="TLL32" s="482"/>
      <c r="TLM32" s="482"/>
      <c r="TLN32" s="482"/>
      <c r="TLO32" s="482"/>
      <c r="TLP32" s="482"/>
      <c r="TLQ32" s="482"/>
      <c r="TLR32" s="482"/>
      <c r="TLS32" s="482"/>
      <c r="TLT32" s="482"/>
      <c r="TLU32" s="482"/>
      <c r="TLV32" s="482"/>
      <c r="TLW32" s="482"/>
      <c r="TLX32" s="482"/>
      <c r="TLY32" s="482"/>
      <c r="TLZ32" s="482"/>
      <c r="TMA32" s="482"/>
      <c r="TMB32" s="482"/>
      <c r="TMC32" s="482"/>
      <c r="TMD32" s="482"/>
      <c r="TME32" s="482"/>
      <c r="TMF32" s="482"/>
      <c r="TMG32" s="482"/>
      <c r="TMH32" s="482"/>
      <c r="TMI32" s="482"/>
      <c r="TMJ32" s="482"/>
      <c r="TMK32" s="482"/>
      <c r="TML32" s="482"/>
      <c r="TMM32" s="482"/>
      <c r="TMN32" s="482"/>
      <c r="TMO32" s="482"/>
      <c r="TMP32" s="482"/>
      <c r="TMQ32" s="482"/>
      <c r="TMR32" s="482"/>
      <c r="TMS32" s="482"/>
      <c r="TMT32" s="482"/>
      <c r="TMU32" s="482"/>
      <c r="TMV32" s="482"/>
      <c r="TMW32" s="482"/>
      <c r="TMX32" s="482"/>
      <c r="TMY32" s="482"/>
      <c r="TMZ32" s="482"/>
      <c r="TNA32" s="482"/>
      <c r="TNB32" s="482"/>
      <c r="TNC32" s="482"/>
      <c r="TND32" s="482"/>
      <c r="TNE32" s="482"/>
      <c r="TNF32" s="482"/>
      <c r="TNG32" s="482"/>
      <c r="TNH32" s="482"/>
      <c r="TNI32" s="482"/>
      <c r="TNJ32" s="482"/>
      <c r="TNK32" s="482"/>
      <c r="TNL32" s="482"/>
      <c r="TNM32" s="482"/>
      <c r="TNN32" s="482"/>
      <c r="TNO32" s="482"/>
      <c r="TNP32" s="482"/>
      <c r="TNQ32" s="482"/>
      <c r="TNR32" s="482"/>
      <c r="TNS32" s="482"/>
      <c r="TNT32" s="482"/>
      <c r="TNU32" s="482"/>
      <c r="TNV32" s="482"/>
      <c r="TNW32" s="482"/>
      <c r="TNX32" s="482"/>
      <c r="TNY32" s="482"/>
      <c r="TNZ32" s="482"/>
      <c r="TOA32" s="482"/>
      <c r="TOB32" s="482"/>
      <c r="TOC32" s="482"/>
      <c r="TOD32" s="482"/>
      <c r="TOE32" s="482"/>
      <c r="TOF32" s="482"/>
      <c r="TOG32" s="482"/>
      <c r="TOH32" s="482"/>
      <c r="TOI32" s="482"/>
      <c r="TOJ32" s="482"/>
      <c r="TOK32" s="482"/>
      <c r="TOL32" s="482"/>
      <c r="TOM32" s="482"/>
      <c r="TON32" s="482"/>
      <c r="TOO32" s="482"/>
      <c r="TOP32" s="482"/>
      <c r="TOQ32" s="482"/>
      <c r="TOR32" s="482"/>
      <c r="TOS32" s="482"/>
      <c r="TOT32" s="482"/>
      <c r="TOU32" s="482"/>
      <c r="TOV32" s="482"/>
      <c r="TOW32" s="482"/>
      <c r="TOX32" s="482"/>
      <c r="TOY32" s="482"/>
      <c r="TOZ32" s="482"/>
      <c r="TPA32" s="482"/>
      <c r="TPB32" s="482"/>
      <c r="TPC32" s="482"/>
      <c r="TPD32" s="482"/>
      <c r="TPE32" s="482"/>
      <c r="TPF32" s="482"/>
      <c r="TPG32" s="482"/>
      <c r="TPH32" s="482"/>
      <c r="TPI32" s="482"/>
      <c r="TPJ32" s="482"/>
      <c r="TPK32" s="482"/>
      <c r="TPL32" s="482"/>
      <c r="TPM32" s="482"/>
      <c r="TPN32" s="482"/>
      <c r="TPO32" s="482"/>
      <c r="TPP32" s="482"/>
      <c r="TPQ32" s="482"/>
      <c r="TPR32" s="482"/>
      <c r="TPS32" s="482"/>
      <c r="TPT32" s="482"/>
      <c r="TPU32" s="482"/>
      <c r="TPV32" s="482"/>
      <c r="TPW32" s="482"/>
      <c r="TPX32" s="482"/>
      <c r="TPY32" s="482"/>
      <c r="TPZ32" s="482"/>
      <c r="TQA32" s="482"/>
      <c r="TQB32" s="482"/>
      <c r="TQC32" s="482"/>
      <c r="TQD32" s="482"/>
      <c r="TQE32" s="482"/>
      <c r="TQF32" s="482"/>
      <c r="TQG32" s="482"/>
      <c r="TQH32" s="482"/>
      <c r="TQI32" s="482"/>
      <c r="TQJ32" s="482"/>
      <c r="TQK32" s="482"/>
      <c r="TQL32" s="482"/>
      <c r="TQM32" s="482"/>
      <c r="TQN32" s="482"/>
      <c r="TQO32" s="482"/>
      <c r="TQP32" s="482"/>
      <c r="TQQ32" s="482"/>
      <c r="TQR32" s="482"/>
      <c r="TQS32" s="482"/>
      <c r="TQT32" s="482"/>
      <c r="TQU32" s="482"/>
      <c r="TQV32" s="482"/>
      <c r="TQW32" s="482"/>
      <c r="TQX32" s="482"/>
      <c r="TQY32" s="482"/>
      <c r="TQZ32" s="482"/>
      <c r="TRA32" s="482"/>
      <c r="TRB32" s="482"/>
      <c r="TRC32" s="482"/>
      <c r="TRD32" s="482"/>
      <c r="TRE32" s="482"/>
      <c r="TRF32" s="482"/>
      <c r="TRG32" s="482"/>
      <c r="TRH32" s="482"/>
      <c r="TRI32" s="482"/>
      <c r="TRJ32" s="482"/>
      <c r="TRK32" s="482"/>
      <c r="TRL32" s="482"/>
      <c r="TRM32" s="482"/>
      <c r="TRN32" s="482"/>
      <c r="TRO32" s="482"/>
      <c r="TRP32" s="482"/>
      <c r="TRQ32" s="482"/>
      <c r="TRR32" s="482"/>
      <c r="TRS32" s="482"/>
      <c r="TRT32" s="482"/>
      <c r="TRU32" s="482"/>
      <c r="TRV32" s="482"/>
      <c r="TRW32" s="482"/>
      <c r="TRX32" s="482"/>
      <c r="TRY32" s="482"/>
      <c r="TRZ32" s="482"/>
      <c r="TSA32" s="482"/>
      <c r="TSB32" s="482"/>
      <c r="TSC32" s="482"/>
      <c r="TSD32" s="482"/>
      <c r="TSE32" s="482"/>
      <c r="TSF32" s="482"/>
      <c r="TSG32" s="482"/>
      <c r="TSH32" s="482"/>
      <c r="TSI32" s="482"/>
      <c r="TSJ32" s="482"/>
      <c r="TSK32" s="482"/>
      <c r="TSL32" s="482"/>
      <c r="TSM32" s="482"/>
      <c r="TSN32" s="482"/>
      <c r="TSO32" s="482"/>
      <c r="TSP32" s="482"/>
      <c r="TSQ32" s="482"/>
      <c r="TSR32" s="482"/>
      <c r="TSS32" s="482"/>
      <c r="TST32" s="482"/>
      <c r="TSU32" s="482"/>
      <c r="TSV32" s="482"/>
      <c r="TSW32" s="482"/>
      <c r="TSX32" s="482"/>
      <c r="TSY32" s="482"/>
      <c r="TSZ32" s="482"/>
      <c r="TTA32" s="482"/>
      <c r="TTB32" s="482"/>
      <c r="TTC32" s="482"/>
      <c r="TTD32" s="482"/>
      <c r="TTE32" s="482"/>
      <c r="TTF32" s="482"/>
      <c r="TTG32" s="482"/>
      <c r="TTH32" s="482"/>
      <c r="TTI32" s="482"/>
      <c r="TTJ32" s="482"/>
      <c r="TTK32" s="482"/>
      <c r="TTL32" s="482"/>
      <c r="TTM32" s="482"/>
      <c r="TTN32" s="482"/>
      <c r="TTO32" s="482"/>
      <c r="TTP32" s="482"/>
      <c r="TTQ32" s="482"/>
      <c r="TTR32" s="482"/>
      <c r="TTS32" s="482"/>
      <c r="TTT32" s="482"/>
      <c r="TTU32" s="482"/>
      <c r="TTV32" s="482"/>
      <c r="TTW32" s="482"/>
      <c r="TTX32" s="482"/>
      <c r="TTY32" s="482"/>
      <c r="TTZ32" s="482"/>
      <c r="TUA32" s="482"/>
      <c r="TUB32" s="482"/>
      <c r="TUC32" s="482"/>
      <c r="TUD32" s="482"/>
      <c r="TUE32" s="482"/>
      <c r="TUF32" s="482"/>
      <c r="TUG32" s="482"/>
      <c r="TUH32" s="482"/>
      <c r="TUI32" s="482"/>
      <c r="TUJ32" s="482"/>
      <c r="TUK32" s="482"/>
      <c r="TUL32" s="482"/>
      <c r="TUM32" s="482"/>
      <c r="TUN32" s="482"/>
      <c r="TUO32" s="482"/>
      <c r="TUP32" s="482"/>
      <c r="TUQ32" s="482"/>
      <c r="TUR32" s="482"/>
      <c r="TUS32" s="482"/>
      <c r="TUT32" s="482"/>
      <c r="TUU32" s="482"/>
      <c r="TUV32" s="482"/>
      <c r="TUW32" s="482"/>
      <c r="TUX32" s="482"/>
      <c r="TUY32" s="482"/>
      <c r="TUZ32" s="482"/>
      <c r="TVA32" s="482"/>
      <c r="TVB32" s="482"/>
      <c r="TVC32" s="482"/>
      <c r="TVD32" s="482"/>
      <c r="TVE32" s="482"/>
      <c r="TVF32" s="482"/>
      <c r="TVG32" s="482"/>
      <c r="TVH32" s="482"/>
      <c r="TVI32" s="482"/>
      <c r="TVJ32" s="482"/>
      <c r="TVK32" s="482"/>
      <c r="TVL32" s="482"/>
      <c r="TVM32" s="482"/>
      <c r="TVN32" s="482"/>
      <c r="TVO32" s="482"/>
      <c r="TVP32" s="482"/>
      <c r="TVQ32" s="482"/>
      <c r="TVR32" s="482"/>
      <c r="TVS32" s="482"/>
      <c r="TVT32" s="482"/>
      <c r="TVU32" s="482"/>
      <c r="TVV32" s="482"/>
      <c r="TVW32" s="482"/>
      <c r="TVX32" s="482"/>
      <c r="TVY32" s="482"/>
      <c r="TVZ32" s="482"/>
      <c r="TWA32" s="482"/>
      <c r="TWB32" s="482"/>
      <c r="TWC32" s="482"/>
      <c r="TWD32" s="482"/>
      <c r="TWE32" s="482"/>
      <c r="TWF32" s="482"/>
      <c r="TWG32" s="482"/>
      <c r="TWH32" s="482"/>
      <c r="TWI32" s="482"/>
      <c r="TWJ32" s="482"/>
      <c r="TWK32" s="482"/>
      <c r="TWL32" s="482"/>
      <c r="TWM32" s="482"/>
      <c r="TWN32" s="482"/>
      <c r="TWO32" s="482"/>
      <c r="TWP32" s="482"/>
      <c r="TWQ32" s="482"/>
      <c r="TWR32" s="482"/>
      <c r="TWS32" s="482"/>
      <c r="TWT32" s="482"/>
      <c r="TWU32" s="482"/>
      <c r="TWV32" s="482"/>
      <c r="TWW32" s="482"/>
      <c r="TWX32" s="482"/>
      <c r="TWY32" s="482"/>
      <c r="TWZ32" s="482"/>
      <c r="TXA32" s="482"/>
      <c r="TXB32" s="482"/>
      <c r="TXC32" s="482"/>
      <c r="TXD32" s="482"/>
      <c r="TXE32" s="482"/>
      <c r="TXF32" s="482"/>
      <c r="TXG32" s="482"/>
      <c r="TXH32" s="482"/>
      <c r="TXI32" s="482"/>
      <c r="TXJ32" s="482"/>
      <c r="TXK32" s="482"/>
      <c r="TXL32" s="482"/>
      <c r="TXM32" s="482"/>
      <c r="TXN32" s="482"/>
      <c r="TXO32" s="482"/>
      <c r="TXP32" s="482"/>
      <c r="TXQ32" s="482"/>
      <c r="TXR32" s="482"/>
      <c r="TXS32" s="482"/>
      <c r="TXT32" s="482"/>
      <c r="TXU32" s="482"/>
      <c r="TXV32" s="482"/>
      <c r="TXW32" s="482"/>
      <c r="TXX32" s="482"/>
      <c r="TXY32" s="482"/>
      <c r="TXZ32" s="482"/>
      <c r="TYA32" s="482"/>
      <c r="TYB32" s="482"/>
      <c r="TYC32" s="482"/>
      <c r="TYD32" s="482"/>
      <c r="TYE32" s="482"/>
      <c r="TYF32" s="482"/>
      <c r="TYG32" s="482"/>
      <c r="TYH32" s="482"/>
      <c r="TYI32" s="482"/>
      <c r="TYJ32" s="482"/>
      <c r="TYK32" s="482"/>
      <c r="TYL32" s="482"/>
      <c r="TYM32" s="482"/>
      <c r="TYN32" s="482"/>
      <c r="TYO32" s="482"/>
      <c r="TYP32" s="482"/>
      <c r="TYQ32" s="482"/>
      <c r="TYR32" s="482"/>
      <c r="TYS32" s="482"/>
      <c r="TYT32" s="482"/>
      <c r="TYU32" s="482"/>
      <c r="TYV32" s="482"/>
      <c r="TYW32" s="482"/>
      <c r="TYX32" s="482"/>
      <c r="TYY32" s="482"/>
      <c r="TYZ32" s="482"/>
      <c r="TZA32" s="482"/>
      <c r="TZB32" s="482"/>
      <c r="TZC32" s="482"/>
      <c r="TZD32" s="482"/>
      <c r="TZE32" s="482"/>
      <c r="TZF32" s="482"/>
      <c r="TZG32" s="482"/>
      <c r="TZH32" s="482"/>
      <c r="TZI32" s="482"/>
      <c r="TZJ32" s="482"/>
      <c r="TZK32" s="482"/>
      <c r="TZL32" s="482"/>
      <c r="TZM32" s="482"/>
      <c r="TZN32" s="482"/>
      <c r="TZO32" s="482"/>
      <c r="TZP32" s="482"/>
      <c r="TZQ32" s="482"/>
      <c r="TZR32" s="482"/>
      <c r="TZS32" s="482"/>
      <c r="TZT32" s="482"/>
      <c r="TZU32" s="482"/>
      <c r="TZV32" s="482"/>
      <c r="TZW32" s="482"/>
      <c r="TZX32" s="482"/>
      <c r="TZY32" s="482"/>
      <c r="TZZ32" s="482"/>
      <c r="UAA32" s="482"/>
      <c r="UAB32" s="482"/>
      <c r="UAC32" s="482"/>
      <c r="UAD32" s="482"/>
      <c r="UAE32" s="482"/>
      <c r="UAF32" s="482"/>
      <c r="UAG32" s="482"/>
      <c r="UAH32" s="482"/>
      <c r="UAI32" s="482"/>
      <c r="UAJ32" s="482"/>
      <c r="UAK32" s="482"/>
      <c r="UAL32" s="482"/>
      <c r="UAM32" s="482"/>
      <c r="UAN32" s="482"/>
      <c r="UAO32" s="482"/>
      <c r="UAP32" s="482"/>
      <c r="UAQ32" s="482"/>
      <c r="UAR32" s="482"/>
      <c r="UAS32" s="482"/>
      <c r="UAT32" s="482"/>
      <c r="UAU32" s="482"/>
      <c r="UAV32" s="482"/>
      <c r="UAW32" s="482"/>
      <c r="UAX32" s="482"/>
      <c r="UAY32" s="482"/>
      <c r="UAZ32" s="482"/>
      <c r="UBA32" s="482"/>
      <c r="UBB32" s="482"/>
      <c r="UBC32" s="482"/>
      <c r="UBD32" s="482"/>
      <c r="UBE32" s="482"/>
      <c r="UBF32" s="482"/>
      <c r="UBG32" s="482"/>
      <c r="UBH32" s="482"/>
      <c r="UBI32" s="482"/>
      <c r="UBJ32" s="482"/>
      <c r="UBK32" s="482"/>
      <c r="UBL32" s="482"/>
      <c r="UBM32" s="482"/>
      <c r="UBN32" s="482"/>
      <c r="UBO32" s="482"/>
      <c r="UBP32" s="482"/>
      <c r="UBQ32" s="482"/>
      <c r="UBR32" s="482"/>
      <c r="UBS32" s="482"/>
      <c r="UBT32" s="482"/>
      <c r="UBU32" s="482"/>
      <c r="UBV32" s="482"/>
      <c r="UBW32" s="482"/>
      <c r="UBX32" s="482"/>
      <c r="UBY32" s="482"/>
      <c r="UBZ32" s="482"/>
      <c r="UCA32" s="482"/>
      <c r="UCB32" s="482"/>
      <c r="UCC32" s="482"/>
      <c r="UCD32" s="482"/>
      <c r="UCE32" s="482"/>
      <c r="UCF32" s="482"/>
      <c r="UCG32" s="482"/>
      <c r="UCH32" s="482"/>
      <c r="UCI32" s="482"/>
      <c r="UCJ32" s="482"/>
      <c r="UCK32" s="482"/>
      <c r="UCL32" s="482"/>
      <c r="UCM32" s="482"/>
      <c r="UCN32" s="482"/>
      <c r="UCO32" s="482"/>
      <c r="UCP32" s="482"/>
      <c r="UCQ32" s="482"/>
      <c r="UCR32" s="482"/>
      <c r="UCS32" s="482"/>
      <c r="UCT32" s="482"/>
      <c r="UCU32" s="482"/>
      <c r="UCV32" s="482"/>
      <c r="UCW32" s="482"/>
      <c r="UCX32" s="482"/>
      <c r="UCY32" s="482"/>
      <c r="UCZ32" s="482"/>
      <c r="UDA32" s="482"/>
      <c r="UDB32" s="482"/>
      <c r="UDC32" s="482"/>
      <c r="UDD32" s="482"/>
      <c r="UDE32" s="482"/>
      <c r="UDF32" s="482"/>
      <c r="UDG32" s="482"/>
      <c r="UDH32" s="482"/>
      <c r="UDI32" s="482"/>
      <c r="UDJ32" s="482"/>
      <c r="UDK32" s="482"/>
      <c r="UDL32" s="482"/>
      <c r="UDM32" s="482"/>
      <c r="UDN32" s="482"/>
      <c r="UDO32" s="482"/>
      <c r="UDP32" s="482"/>
      <c r="UDQ32" s="482"/>
      <c r="UDR32" s="482"/>
      <c r="UDS32" s="482"/>
      <c r="UDT32" s="482"/>
      <c r="UDU32" s="482"/>
      <c r="UDV32" s="482"/>
      <c r="UDW32" s="482"/>
      <c r="UDX32" s="482"/>
      <c r="UDY32" s="482"/>
      <c r="UDZ32" s="482"/>
      <c r="UEA32" s="482"/>
      <c r="UEB32" s="482"/>
      <c r="UEC32" s="482"/>
      <c r="UED32" s="482"/>
      <c r="UEE32" s="482"/>
      <c r="UEF32" s="482"/>
      <c r="UEG32" s="482"/>
      <c r="UEH32" s="482"/>
      <c r="UEI32" s="482"/>
      <c r="UEJ32" s="482"/>
      <c r="UEK32" s="482"/>
      <c r="UEL32" s="482"/>
      <c r="UEM32" s="482"/>
      <c r="UEN32" s="482"/>
      <c r="UEO32" s="482"/>
      <c r="UEP32" s="482"/>
      <c r="UEQ32" s="482"/>
      <c r="UER32" s="482"/>
      <c r="UES32" s="482"/>
      <c r="UET32" s="482"/>
      <c r="UEU32" s="482"/>
      <c r="UEV32" s="482"/>
      <c r="UEW32" s="482"/>
      <c r="UEX32" s="482"/>
      <c r="UEY32" s="482"/>
      <c r="UEZ32" s="482"/>
      <c r="UFA32" s="482"/>
      <c r="UFB32" s="482"/>
      <c r="UFC32" s="482"/>
      <c r="UFD32" s="482"/>
      <c r="UFE32" s="482"/>
      <c r="UFF32" s="482"/>
      <c r="UFG32" s="482"/>
      <c r="UFH32" s="482"/>
      <c r="UFI32" s="482"/>
      <c r="UFJ32" s="482"/>
      <c r="UFK32" s="482"/>
      <c r="UFL32" s="482"/>
      <c r="UFM32" s="482"/>
      <c r="UFN32" s="482"/>
      <c r="UFO32" s="482"/>
      <c r="UFP32" s="482"/>
      <c r="UFQ32" s="482"/>
      <c r="UFR32" s="482"/>
      <c r="UFS32" s="482"/>
      <c r="UFT32" s="482"/>
      <c r="UFU32" s="482"/>
      <c r="UFV32" s="482"/>
      <c r="UFW32" s="482"/>
      <c r="UFX32" s="482"/>
      <c r="UFY32" s="482"/>
      <c r="UFZ32" s="482"/>
      <c r="UGA32" s="482"/>
      <c r="UGB32" s="482"/>
      <c r="UGC32" s="482"/>
      <c r="UGD32" s="482"/>
      <c r="UGE32" s="482"/>
      <c r="UGF32" s="482"/>
      <c r="UGG32" s="482"/>
      <c r="UGH32" s="482"/>
      <c r="UGI32" s="482"/>
      <c r="UGJ32" s="482"/>
      <c r="UGK32" s="482"/>
      <c r="UGL32" s="482"/>
      <c r="UGM32" s="482"/>
      <c r="UGN32" s="482"/>
      <c r="UGO32" s="482"/>
      <c r="UGP32" s="482"/>
      <c r="UGQ32" s="482"/>
      <c r="UGR32" s="482"/>
      <c r="UGS32" s="482"/>
      <c r="UGT32" s="482"/>
      <c r="UGU32" s="482"/>
      <c r="UGV32" s="482"/>
      <c r="UGW32" s="482"/>
      <c r="UGX32" s="482"/>
      <c r="UGY32" s="482"/>
      <c r="UGZ32" s="482"/>
      <c r="UHA32" s="482"/>
      <c r="UHB32" s="482"/>
      <c r="UHC32" s="482"/>
      <c r="UHD32" s="482"/>
      <c r="UHE32" s="482"/>
      <c r="UHF32" s="482"/>
      <c r="UHG32" s="482"/>
      <c r="UHH32" s="482"/>
      <c r="UHI32" s="482"/>
      <c r="UHJ32" s="482"/>
      <c r="UHK32" s="482"/>
      <c r="UHL32" s="482"/>
      <c r="UHM32" s="482"/>
      <c r="UHN32" s="482"/>
      <c r="UHO32" s="482"/>
      <c r="UHP32" s="482"/>
      <c r="UHQ32" s="482"/>
      <c r="UHR32" s="482"/>
      <c r="UHS32" s="482"/>
      <c r="UHT32" s="482"/>
      <c r="UHU32" s="482"/>
      <c r="UHV32" s="482"/>
      <c r="UHW32" s="482"/>
      <c r="UHX32" s="482"/>
      <c r="UHY32" s="482"/>
      <c r="UHZ32" s="482"/>
      <c r="UIA32" s="482"/>
      <c r="UIB32" s="482"/>
      <c r="UIC32" s="482"/>
      <c r="UID32" s="482"/>
      <c r="UIE32" s="482"/>
      <c r="UIF32" s="482"/>
      <c r="UIG32" s="482"/>
      <c r="UIH32" s="482"/>
      <c r="UII32" s="482"/>
      <c r="UIJ32" s="482"/>
      <c r="UIK32" s="482"/>
      <c r="UIL32" s="482"/>
      <c r="UIM32" s="482"/>
      <c r="UIN32" s="482"/>
      <c r="UIO32" s="482"/>
      <c r="UIP32" s="482"/>
      <c r="UIQ32" s="482"/>
      <c r="UIR32" s="482"/>
      <c r="UIS32" s="482"/>
      <c r="UIT32" s="482"/>
      <c r="UIU32" s="482"/>
      <c r="UIV32" s="482"/>
      <c r="UIW32" s="482"/>
      <c r="UIX32" s="482"/>
      <c r="UIY32" s="482"/>
      <c r="UIZ32" s="482"/>
      <c r="UJA32" s="482"/>
      <c r="UJB32" s="482"/>
      <c r="UJC32" s="482"/>
      <c r="UJD32" s="482"/>
      <c r="UJE32" s="482"/>
      <c r="UJF32" s="482"/>
      <c r="UJG32" s="482"/>
      <c r="UJH32" s="482"/>
      <c r="UJI32" s="482"/>
      <c r="UJJ32" s="482"/>
      <c r="UJK32" s="482"/>
      <c r="UJL32" s="482"/>
      <c r="UJM32" s="482"/>
      <c r="UJN32" s="482"/>
      <c r="UJO32" s="482"/>
      <c r="UJP32" s="482"/>
      <c r="UJQ32" s="482"/>
      <c r="UJR32" s="482"/>
      <c r="UJS32" s="482"/>
      <c r="UJT32" s="482"/>
      <c r="UJU32" s="482"/>
      <c r="UJV32" s="482"/>
      <c r="UJW32" s="482"/>
      <c r="UJX32" s="482"/>
      <c r="UJY32" s="482"/>
      <c r="UJZ32" s="482"/>
      <c r="UKA32" s="482"/>
      <c r="UKB32" s="482"/>
      <c r="UKC32" s="482"/>
      <c r="UKD32" s="482"/>
      <c r="UKE32" s="482"/>
      <c r="UKF32" s="482"/>
      <c r="UKG32" s="482"/>
      <c r="UKH32" s="482"/>
      <c r="UKI32" s="482"/>
      <c r="UKJ32" s="482"/>
      <c r="UKK32" s="482"/>
      <c r="UKL32" s="482"/>
      <c r="UKM32" s="482"/>
      <c r="UKN32" s="482"/>
      <c r="UKO32" s="482"/>
      <c r="UKP32" s="482"/>
      <c r="UKQ32" s="482"/>
      <c r="UKR32" s="482"/>
      <c r="UKS32" s="482"/>
      <c r="UKT32" s="482"/>
      <c r="UKU32" s="482"/>
      <c r="UKV32" s="482"/>
      <c r="UKW32" s="482"/>
      <c r="UKX32" s="482"/>
      <c r="UKY32" s="482"/>
      <c r="UKZ32" s="482"/>
      <c r="ULA32" s="482"/>
      <c r="ULB32" s="482"/>
      <c r="ULC32" s="482"/>
      <c r="ULD32" s="482"/>
      <c r="ULE32" s="482"/>
      <c r="ULF32" s="482"/>
      <c r="ULG32" s="482"/>
      <c r="ULH32" s="482"/>
      <c r="ULI32" s="482"/>
      <c r="ULJ32" s="482"/>
      <c r="ULK32" s="482"/>
      <c r="ULL32" s="482"/>
      <c r="ULM32" s="482"/>
      <c r="ULN32" s="482"/>
      <c r="ULO32" s="482"/>
      <c r="ULP32" s="482"/>
      <c r="ULQ32" s="482"/>
      <c r="ULR32" s="482"/>
      <c r="ULS32" s="482"/>
      <c r="ULT32" s="482"/>
      <c r="ULU32" s="482"/>
      <c r="ULV32" s="482"/>
      <c r="ULW32" s="482"/>
      <c r="ULX32" s="482"/>
      <c r="ULY32" s="482"/>
      <c r="ULZ32" s="482"/>
      <c r="UMA32" s="482"/>
      <c r="UMB32" s="482"/>
      <c r="UMC32" s="482"/>
      <c r="UMD32" s="482"/>
      <c r="UME32" s="482"/>
      <c r="UMF32" s="482"/>
      <c r="UMG32" s="482"/>
      <c r="UMH32" s="482"/>
      <c r="UMI32" s="482"/>
      <c r="UMJ32" s="482"/>
      <c r="UMK32" s="482"/>
      <c r="UML32" s="482"/>
      <c r="UMM32" s="482"/>
      <c r="UMN32" s="482"/>
      <c r="UMO32" s="482"/>
      <c r="UMP32" s="482"/>
      <c r="UMQ32" s="482"/>
      <c r="UMR32" s="482"/>
      <c r="UMS32" s="482"/>
      <c r="UMT32" s="482"/>
      <c r="UMU32" s="482"/>
      <c r="UMV32" s="482"/>
      <c r="UMW32" s="482"/>
      <c r="UMX32" s="482"/>
      <c r="UMY32" s="482"/>
      <c r="UMZ32" s="482"/>
      <c r="UNA32" s="482"/>
      <c r="UNB32" s="482"/>
      <c r="UNC32" s="482"/>
      <c r="UND32" s="482"/>
      <c r="UNE32" s="482"/>
      <c r="UNF32" s="482"/>
      <c r="UNG32" s="482"/>
      <c r="UNH32" s="482"/>
      <c r="UNI32" s="482"/>
      <c r="UNJ32" s="482"/>
      <c r="UNK32" s="482"/>
      <c r="UNL32" s="482"/>
      <c r="UNM32" s="482"/>
      <c r="UNN32" s="482"/>
      <c r="UNO32" s="482"/>
      <c r="UNP32" s="482"/>
      <c r="UNQ32" s="482"/>
      <c r="UNR32" s="482"/>
      <c r="UNS32" s="482"/>
      <c r="UNT32" s="482"/>
      <c r="UNU32" s="482"/>
      <c r="UNV32" s="482"/>
      <c r="UNW32" s="482"/>
      <c r="UNX32" s="482"/>
      <c r="UNY32" s="482"/>
      <c r="UNZ32" s="482"/>
      <c r="UOA32" s="482"/>
      <c r="UOB32" s="482"/>
      <c r="UOC32" s="482"/>
      <c r="UOD32" s="482"/>
      <c r="UOE32" s="482"/>
      <c r="UOF32" s="482"/>
      <c r="UOG32" s="482"/>
      <c r="UOH32" s="482"/>
      <c r="UOI32" s="482"/>
      <c r="UOJ32" s="482"/>
      <c r="UOK32" s="482"/>
      <c r="UOL32" s="482"/>
      <c r="UOM32" s="482"/>
      <c r="UON32" s="482"/>
      <c r="UOO32" s="482"/>
      <c r="UOP32" s="482"/>
      <c r="UOQ32" s="482"/>
      <c r="UOR32" s="482"/>
      <c r="UOS32" s="482"/>
      <c r="UOT32" s="482"/>
      <c r="UOU32" s="482"/>
      <c r="UOV32" s="482"/>
      <c r="UOW32" s="482"/>
      <c r="UOX32" s="482"/>
      <c r="UOY32" s="482"/>
      <c r="UOZ32" s="482"/>
      <c r="UPA32" s="482"/>
      <c r="UPB32" s="482"/>
      <c r="UPC32" s="482"/>
      <c r="UPD32" s="482"/>
      <c r="UPE32" s="482"/>
      <c r="UPF32" s="482"/>
      <c r="UPG32" s="482"/>
      <c r="UPH32" s="482"/>
      <c r="UPI32" s="482"/>
      <c r="UPJ32" s="482"/>
      <c r="UPK32" s="482"/>
      <c r="UPL32" s="482"/>
      <c r="UPM32" s="482"/>
      <c r="UPN32" s="482"/>
      <c r="UPO32" s="482"/>
      <c r="UPP32" s="482"/>
      <c r="UPQ32" s="482"/>
      <c r="UPR32" s="482"/>
      <c r="UPS32" s="482"/>
      <c r="UPT32" s="482"/>
      <c r="UPU32" s="482"/>
      <c r="UPV32" s="482"/>
      <c r="UPW32" s="482"/>
      <c r="UPX32" s="482"/>
      <c r="UPY32" s="482"/>
      <c r="UPZ32" s="482"/>
      <c r="UQA32" s="482"/>
      <c r="UQB32" s="482"/>
      <c r="UQC32" s="482"/>
      <c r="UQD32" s="482"/>
      <c r="UQE32" s="482"/>
      <c r="UQF32" s="482"/>
      <c r="UQG32" s="482"/>
      <c r="UQH32" s="482"/>
      <c r="UQI32" s="482"/>
      <c r="UQJ32" s="482"/>
      <c r="UQK32" s="482"/>
      <c r="UQL32" s="482"/>
      <c r="UQM32" s="482"/>
      <c r="UQN32" s="482"/>
      <c r="UQO32" s="482"/>
      <c r="UQP32" s="482"/>
      <c r="UQQ32" s="482"/>
      <c r="UQR32" s="482"/>
      <c r="UQS32" s="482"/>
      <c r="UQT32" s="482"/>
      <c r="UQU32" s="482"/>
      <c r="UQV32" s="482"/>
      <c r="UQW32" s="482"/>
      <c r="UQX32" s="482"/>
      <c r="UQY32" s="482"/>
      <c r="UQZ32" s="482"/>
      <c r="URA32" s="482"/>
      <c r="URB32" s="482"/>
      <c r="URC32" s="482"/>
      <c r="URD32" s="482"/>
      <c r="URE32" s="482"/>
      <c r="URF32" s="482"/>
      <c r="URG32" s="482"/>
      <c r="URH32" s="482"/>
      <c r="URI32" s="482"/>
      <c r="URJ32" s="482"/>
      <c r="URK32" s="482"/>
      <c r="URL32" s="482"/>
      <c r="URM32" s="482"/>
      <c r="URN32" s="482"/>
      <c r="URO32" s="482"/>
      <c r="URP32" s="482"/>
      <c r="URQ32" s="482"/>
      <c r="URR32" s="482"/>
      <c r="URS32" s="482"/>
      <c r="URT32" s="482"/>
      <c r="URU32" s="482"/>
      <c r="URV32" s="482"/>
      <c r="URW32" s="482"/>
      <c r="URX32" s="482"/>
      <c r="URY32" s="482"/>
      <c r="URZ32" s="482"/>
      <c r="USA32" s="482"/>
      <c r="USB32" s="482"/>
      <c r="USC32" s="482"/>
      <c r="USD32" s="482"/>
      <c r="USE32" s="482"/>
      <c r="USF32" s="482"/>
      <c r="USG32" s="482"/>
      <c r="USH32" s="482"/>
      <c r="USI32" s="482"/>
      <c r="USJ32" s="482"/>
      <c r="USK32" s="482"/>
      <c r="USL32" s="482"/>
      <c r="USM32" s="482"/>
      <c r="USN32" s="482"/>
      <c r="USO32" s="482"/>
      <c r="USP32" s="482"/>
      <c r="USQ32" s="482"/>
      <c r="USR32" s="482"/>
      <c r="USS32" s="482"/>
      <c r="UST32" s="482"/>
      <c r="USU32" s="482"/>
      <c r="USV32" s="482"/>
      <c r="USW32" s="482"/>
      <c r="USX32" s="482"/>
      <c r="USY32" s="482"/>
      <c r="USZ32" s="482"/>
      <c r="UTA32" s="482"/>
      <c r="UTB32" s="482"/>
      <c r="UTC32" s="482"/>
      <c r="UTD32" s="482"/>
      <c r="UTE32" s="482"/>
      <c r="UTF32" s="482"/>
      <c r="UTG32" s="482"/>
      <c r="UTH32" s="482"/>
      <c r="UTI32" s="482"/>
      <c r="UTJ32" s="482"/>
      <c r="UTK32" s="482"/>
      <c r="UTL32" s="482"/>
      <c r="UTM32" s="482"/>
      <c r="UTN32" s="482"/>
      <c r="UTO32" s="482"/>
      <c r="UTP32" s="482"/>
      <c r="UTQ32" s="482"/>
      <c r="UTR32" s="482"/>
      <c r="UTS32" s="482"/>
      <c r="UTT32" s="482"/>
      <c r="UTU32" s="482"/>
      <c r="UTV32" s="482"/>
      <c r="UTW32" s="482"/>
      <c r="UTX32" s="482"/>
      <c r="UTY32" s="482"/>
      <c r="UTZ32" s="482"/>
      <c r="UUA32" s="482"/>
      <c r="UUB32" s="482"/>
      <c r="UUC32" s="482"/>
      <c r="UUD32" s="482"/>
      <c r="UUE32" s="482"/>
      <c r="UUF32" s="482"/>
      <c r="UUG32" s="482"/>
      <c r="UUH32" s="482"/>
      <c r="UUI32" s="482"/>
      <c r="UUJ32" s="482"/>
      <c r="UUK32" s="482"/>
      <c r="UUL32" s="482"/>
      <c r="UUM32" s="482"/>
      <c r="UUN32" s="482"/>
      <c r="UUO32" s="482"/>
      <c r="UUP32" s="482"/>
      <c r="UUQ32" s="482"/>
      <c r="UUR32" s="482"/>
      <c r="UUS32" s="482"/>
      <c r="UUT32" s="482"/>
      <c r="UUU32" s="482"/>
      <c r="UUV32" s="482"/>
      <c r="UUW32" s="482"/>
      <c r="UUX32" s="482"/>
      <c r="UUY32" s="482"/>
      <c r="UUZ32" s="482"/>
      <c r="UVA32" s="482"/>
      <c r="UVB32" s="482"/>
      <c r="UVC32" s="482"/>
      <c r="UVD32" s="482"/>
      <c r="UVE32" s="482"/>
      <c r="UVF32" s="482"/>
      <c r="UVG32" s="482"/>
      <c r="UVH32" s="482"/>
      <c r="UVI32" s="482"/>
      <c r="UVJ32" s="482"/>
      <c r="UVK32" s="482"/>
      <c r="UVL32" s="482"/>
      <c r="UVM32" s="482"/>
      <c r="UVN32" s="482"/>
      <c r="UVO32" s="482"/>
      <c r="UVP32" s="482"/>
      <c r="UVQ32" s="482"/>
      <c r="UVR32" s="482"/>
      <c r="UVS32" s="482"/>
      <c r="UVT32" s="482"/>
      <c r="UVU32" s="482"/>
      <c r="UVV32" s="482"/>
      <c r="UVW32" s="482"/>
      <c r="UVX32" s="482"/>
      <c r="UVY32" s="482"/>
      <c r="UVZ32" s="482"/>
      <c r="UWA32" s="482"/>
      <c r="UWB32" s="482"/>
      <c r="UWC32" s="482"/>
      <c r="UWD32" s="482"/>
      <c r="UWE32" s="482"/>
      <c r="UWF32" s="482"/>
      <c r="UWG32" s="482"/>
      <c r="UWH32" s="482"/>
      <c r="UWI32" s="482"/>
      <c r="UWJ32" s="482"/>
      <c r="UWK32" s="482"/>
      <c r="UWL32" s="482"/>
      <c r="UWM32" s="482"/>
      <c r="UWN32" s="482"/>
      <c r="UWO32" s="482"/>
      <c r="UWP32" s="482"/>
      <c r="UWQ32" s="482"/>
      <c r="UWR32" s="482"/>
      <c r="UWS32" s="482"/>
      <c r="UWT32" s="482"/>
      <c r="UWU32" s="482"/>
      <c r="UWV32" s="482"/>
      <c r="UWW32" s="482"/>
      <c r="UWX32" s="482"/>
      <c r="UWY32" s="482"/>
      <c r="UWZ32" s="482"/>
      <c r="UXA32" s="482"/>
      <c r="UXB32" s="482"/>
      <c r="UXC32" s="482"/>
      <c r="UXD32" s="482"/>
      <c r="UXE32" s="482"/>
      <c r="UXF32" s="482"/>
      <c r="UXG32" s="482"/>
      <c r="UXH32" s="482"/>
      <c r="UXI32" s="482"/>
      <c r="UXJ32" s="482"/>
      <c r="UXK32" s="482"/>
      <c r="UXL32" s="482"/>
      <c r="UXM32" s="482"/>
      <c r="UXN32" s="482"/>
      <c r="UXO32" s="482"/>
      <c r="UXP32" s="482"/>
      <c r="UXQ32" s="482"/>
      <c r="UXR32" s="482"/>
      <c r="UXS32" s="482"/>
      <c r="UXT32" s="482"/>
      <c r="UXU32" s="482"/>
      <c r="UXV32" s="482"/>
      <c r="UXW32" s="482"/>
      <c r="UXX32" s="482"/>
      <c r="UXY32" s="482"/>
      <c r="UXZ32" s="482"/>
      <c r="UYA32" s="482"/>
      <c r="UYB32" s="482"/>
      <c r="UYC32" s="482"/>
      <c r="UYD32" s="482"/>
      <c r="UYE32" s="482"/>
      <c r="UYF32" s="482"/>
      <c r="UYG32" s="482"/>
      <c r="UYH32" s="482"/>
      <c r="UYI32" s="482"/>
      <c r="UYJ32" s="482"/>
      <c r="UYK32" s="482"/>
      <c r="UYL32" s="482"/>
      <c r="UYM32" s="482"/>
      <c r="UYN32" s="482"/>
      <c r="UYO32" s="482"/>
      <c r="UYP32" s="482"/>
      <c r="UYQ32" s="482"/>
      <c r="UYR32" s="482"/>
      <c r="UYS32" s="482"/>
      <c r="UYT32" s="482"/>
      <c r="UYU32" s="482"/>
      <c r="UYV32" s="482"/>
      <c r="UYW32" s="482"/>
      <c r="UYX32" s="482"/>
      <c r="UYY32" s="482"/>
      <c r="UYZ32" s="482"/>
      <c r="UZA32" s="482"/>
      <c r="UZB32" s="482"/>
      <c r="UZC32" s="482"/>
      <c r="UZD32" s="482"/>
      <c r="UZE32" s="482"/>
      <c r="UZF32" s="482"/>
      <c r="UZG32" s="482"/>
      <c r="UZH32" s="482"/>
      <c r="UZI32" s="482"/>
      <c r="UZJ32" s="482"/>
      <c r="UZK32" s="482"/>
      <c r="UZL32" s="482"/>
      <c r="UZM32" s="482"/>
      <c r="UZN32" s="482"/>
      <c r="UZO32" s="482"/>
      <c r="UZP32" s="482"/>
      <c r="UZQ32" s="482"/>
      <c r="UZR32" s="482"/>
      <c r="UZS32" s="482"/>
      <c r="UZT32" s="482"/>
      <c r="UZU32" s="482"/>
      <c r="UZV32" s="482"/>
      <c r="UZW32" s="482"/>
      <c r="UZX32" s="482"/>
      <c r="UZY32" s="482"/>
      <c r="UZZ32" s="482"/>
      <c r="VAA32" s="482"/>
      <c r="VAB32" s="482"/>
      <c r="VAC32" s="482"/>
      <c r="VAD32" s="482"/>
      <c r="VAE32" s="482"/>
      <c r="VAF32" s="482"/>
      <c r="VAG32" s="482"/>
      <c r="VAH32" s="482"/>
      <c r="VAI32" s="482"/>
      <c r="VAJ32" s="482"/>
      <c r="VAK32" s="482"/>
      <c r="VAL32" s="482"/>
      <c r="VAM32" s="482"/>
      <c r="VAN32" s="482"/>
      <c r="VAO32" s="482"/>
      <c r="VAP32" s="482"/>
      <c r="VAQ32" s="482"/>
      <c r="VAR32" s="482"/>
      <c r="VAS32" s="482"/>
      <c r="VAT32" s="482"/>
      <c r="VAU32" s="482"/>
      <c r="VAV32" s="482"/>
      <c r="VAW32" s="482"/>
      <c r="VAX32" s="482"/>
      <c r="VAY32" s="482"/>
      <c r="VAZ32" s="482"/>
      <c r="VBA32" s="482"/>
      <c r="VBB32" s="482"/>
      <c r="VBC32" s="482"/>
      <c r="VBD32" s="482"/>
      <c r="VBE32" s="482"/>
      <c r="VBF32" s="482"/>
      <c r="VBG32" s="482"/>
      <c r="VBH32" s="482"/>
      <c r="VBI32" s="482"/>
      <c r="VBJ32" s="482"/>
      <c r="VBK32" s="482"/>
      <c r="VBL32" s="482"/>
      <c r="VBM32" s="482"/>
      <c r="VBN32" s="482"/>
      <c r="VBO32" s="482"/>
      <c r="VBP32" s="482"/>
      <c r="VBQ32" s="482"/>
      <c r="VBR32" s="482"/>
      <c r="VBS32" s="482"/>
      <c r="VBT32" s="482"/>
      <c r="VBU32" s="482"/>
      <c r="VBV32" s="482"/>
      <c r="VBW32" s="482"/>
      <c r="VBX32" s="482"/>
      <c r="VBY32" s="482"/>
      <c r="VBZ32" s="482"/>
      <c r="VCA32" s="482"/>
      <c r="VCB32" s="482"/>
      <c r="VCC32" s="482"/>
      <c r="VCD32" s="482"/>
      <c r="VCE32" s="482"/>
      <c r="VCF32" s="482"/>
      <c r="VCG32" s="482"/>
      <c r="VCH32" s="482"/>
      <c r="VCI32" s="482"/>
      <c r="VCJ32" s="482"/>
      <c r="VCK32" s="482"/>
      <c r="VCL32" s="482"/>
      <c r="VCM32" s="482"/>
      <c r="VCN32" s="482"/>
      <c r="VCO32" s="482"/>
      <c r="VCP32" s="482"/>
      <c r="VCQ32" s="482"/>
      <c r="VCR32" s="482"/>
      <c r="VCS32" s="482"/>
      <c r="VCT32" s="482"/>
      <c r="VCU32" s="482"/>
      <c r="VCV32" s="482"/>
      <c r="VCW32" s="482"/>
      <c r="VCX32" s="482"/>
      <c r="VCY32" s="482"/>
      <c r="VCZ32" s="482"/>
      <c r="VDA32" s="482"/>
      <c r="VDB32" s="482"/>
      <c r="VDC32" s="482"/>
      <c r="VDD32" s="482"/>
      <c r="VDE32" s="482"/>
      <c r="VDF32" s="482"/>
      <c r="VDG32" s="482"/>
      <c r="VDH32" s="482"/>
      <c r="VDI32" s="482"/>
      <c r="VDJ32" s="482"/>
      <c r="VDK32" s="482"/>
      <c r="VDL32" s="482"/>
      <c r="VDM32" s="482"/>
      <c r="VDN32" s="482"/>
      <c r="VDO32" s="482"/>
      <c r="VDP32" s="482"/>
      <c r="VDQ32" s="482"/>
      <c r="VDR32" s="482"/>
      <c r="VDS32" s="482"/>
      <c r="VDT32" s="482"/>
      <c r="VDU32" s="482"/>
      <c r="VDV32" s="482"/>
      <c r="VDW32" s="482"/>
      <c r="VDX32" s="482"/>
      <c r="VDY32" s="482"/>
      <c r="VDZ32" s="482"/>
      <c r="VEA32" s="482"/>
      <c r="VEB32" s="482"/>
      <c r="VEC32" s="482"/>
      <c r="VED32" s="482"/>
      <c r="VEE32" s="482"/>
      <c r="VEF32" s="482"/>
      <c r="VEG32" s="482"/>
      <c r="VEH32" s="482"/>
      <c r="VEI32" s="482"/>
      <c r="VEJ32" s="482"/>
      <c r="VEK32" s="482"/>
      <c r="VEL32" s="482"/>
      <c r="VEM32" s="482"/>
      <c r="VEN32" s="482"/>
      <c r="VEO32" s="482"/>
      <c r="VEP32" s="482"/>
      <c r="VEQ32" s="482"/>
      <c r="VER32" s="482"/>
      <c r="VES32" s="482"/>
      <c r="VET32" s="482"/>
      <c r="VEU32" s="482"/>
      <c r="VEV32" s="482"/>
      <c r="VEW32" s="482"/>
      <c r="VEX32" s="482"/>
      <c r="VEY32" s="482"/>
      <c r="VEZ32" s="482"/>
      <c r="VFA32" s="482"/>
      <c r="VFB32" s="482"/>
      <c r="VFC32" s="482"/>
      <c r="VFD32" s="482"/>
      <c r="VFE32" s="482"/>
      <c r="VFF32" s="482"/>
      <c r="VFG32" s="482"/>
      <c r="VFH32" s="482"/>
      <c r="VFI32" s="482"/>
      <c r="VFJ32" s="482"/>
      <c r="VFK32" s="482"/>
      <c r="VFL32" s="482"/>
      <c r="VFM32" s="482"/>
      <c r="VFN32" s="482"/>
      <c r="VFO32" s="482"/>
      <c r="VFP32" s="482"/>
      <c r="VFQ32" s="482"/>
      <c r="VFR32" s="482"/>
      <c r="VFS32" s="482"/>
      <c r="VFT32" s="482"/>
      <c r="VFU32" s="482"/>
      <c r="VFV32" s="482"/>
      <c r="VFW32" s="482"/>
      <c r="VFX32" s="482"/>
      <c r="VFY32" s="482"/>
      <c r="VFZ32" s="482"/>
      <c r="VGA32" s="482"/>
      <c r="VGB32" s="482"/>
      <c r="VGC32" s="482"/>
      <c r="VGD32" s="482"/>
      <c r="VGE32" s="482"/>
      <c r="VGF32" s="482"/>
      <c r="VGG32" s="482"/>
      <c r="VGH32" s="482"/>
      <c r="VGI32" s="482"/>
      <c r="VGJ32" s="482"/>
      <c r="VGK32" s="482"/>
      <c r="VGL32" s="482"/>
      <c r="VGM32" s="482"/>
      <c r="VGN32" s="482"/>
      <c r="VGO32" s="482"/>
      <c r="VGP32" s="482"/>
      <c r="VGQ32" s="482"/>
      <c r="VGR32" s="482"/>
      <c r="VGS32" s="482"/>
      <c r="VGT32" s="482"/>
      <c r="VGU32" s="482"/>
      <c r="VGV32" s="482"/>
      <c r="VGW32" s="482"/>
      <c r="VGX32" s="482"/>
      <c r="VGY32" s="482"/>
      <c r="VGZ32" s="482"/>
      <c r="VHA32" s="482"/>
      <c r="VHB32" s="482"/>
      <c r="VHC32" s="482"/>
      <c r="VHD32" s="482"/>
      <c r="VHE32" s="482"/>
      <c r="VHF32" s="482"/>
      <c r="VHG32" s="482"/>
      <c r="VHH32" s="482"/>
      <c r="VHI32" s="482"/>
      <c r="VHJ32" s="482"/>
      <c r="VHK32" s="482"/>
      <c r="VHL32" s="482"/>
      <c r="VHM32" s="482"/>
      <c r="VHN32" s="482"/>
      <c r="VHO32" s="482"/>
      <c r="VHP32" s="482"/>
      <c r="VHQ32" s="482"/>
      <c r="VHR32" s="482"/>
      <c r="VHS32" s="482"/>
      <c r="VHT32" s="482"/>
      <c r="VHU32" s="482"/>
      <c r="VHV32" s="482"/>
      <c r="VHW32" s="482"/>
      <c r="VHX32" s="482"/>
      <c r="VHY32" s="482"/>
      <c r="VHZ32" s="482"/>
      <c r="VIA32" s="482"/>
      <c r="VIB32" s="482"/>
      <c r="VIC32" s="482"/>
      <c r="VID32" s="482"/>
      <c r="VIE32" s="482"/>
      <c r="VIF32" s="482"/>
      <c r="VIG32" s="482"/>
      <c r="VIH32" s="482"/>
      <c r="VII32" s="482"/>
      <c r="VIJ32" s="482"/>
      <c r="VIK32" s="482"/>
      <c r="VIL32" s="482"/>
      <c r="VIM32" s="482"/>
      <c r="VIN32" s="482"/>
      <c r="VIO32" s="482"/>
      <c r="VIP32" s="482"/>
      <c r="VIQ32" s="482"/>
      <c r="VIR32" s="482"/>
      <c r="VIS32" s="482"/>
      <c r="VIT32" s="482"/>
      <c r="VIU32" s="482"/>
      <c r="VIV32" s="482"/>
      <c r="VIW32" s="482"/>
      <c r="VIX32" s="482"/>
      <c r="VIY32" s="482"/>
      <c r="VIZ32" s="482"/>
      <c r="VJA32" s="482"/>
      <c r="VJB32" s="482"/>
      <c r="VJC32" s="482"/>
      <c r="VJD32" s="482"/>
      <c r="VJE32" s="482"/>
      <c r="VJF32" s="482"/>
      <c r="VJG32" s="482"/>
      <c r="VJH32" s="482"/>
      <c r="VJI32" s="482"/>
      <c r="VJJ32" s="482"/>
      <c r="VJK32" s="482"/>
      <c r="VJL32" s="482"/>
      <c r="VJM32" s="482"/>
      <c r="VJN32" s="482"/>
      <c r="VJO32" s="482"/>
      <c r="VJP32" s="482"/>
      <c r="VJQ32" s="482"/>
      <c r="VJR32" s="482"/>
      <c r="VJS32" s="482"/>
      <c r="VJT32" s="482"/>
      <c r="VJU32" s="482"/>
      <c r="VJV32" s="482"/>
      <c r="VJW32" s="482"/>
      <c r="VJX32" s="482"/>
      <c r="VJY32" s="482"/>
      <c r="VJZ32" s="482"/>
      <c r="VKA32" s="482"/>
      <c r="VKB32" s="482"/>
      <c r="VKC32" s="482"/>
      <c r="VKD32" s="482"/>
      <c r="VKE32" s="482"/>
      <c r="VKF32" s="482"/>
      <c r="VKG32" s="482"/>
      <c r="VKH32" s="482"/>
      <c r="VKI32" s="482"/>
      <c r="VKJ32" s="482"/>
      <c r="VKK32" s="482"/>
      <c r="VKL32" s="482"/>
      <c r="VKM32" s="482"/>
      <c r="VKN32" s="482"/>
      <c r="VKO32" s="482"/>
      <c r="VKP32" s="482"/>
      <c r="VKQ32" s="482"/>
      <c r="VKR32" s="482"/>
      <c r="VKS32" s="482"/>
      <c r="VKT32" s="482"/>
      <c r="VKU32" s="482"/>
      <c r="VKV32" s="482"/>
      <c r="VKW32" s="482"/>
      <c r="VKX32" s="482"/>
      <c r="VKY32" s="482"/>
      <c r="VKZ32" s="482"/>
      <c r="VLA32" s="482"/>
      <c r="VLB32" s="482"/>
      <c r="VLC32" s="482"/>
      <c r="VLD32" s="482"/>
      <c r="VLE32" s="482"/>
      <c r="VLF32" s="482"/>
      <c r="VLG32" s="482"/>
      <c r="VLH32" s="482"/>
      <c r="VLI32" s="482"/>
      <c r="VLJ32" s="482"/>
      <c r="VLK32" s="482"/>
      <c r="VLL32" s="482"/>
      <c r="VLM32" s="482"/>
      <c r="VLN32" s="482"/>
      <c r="VLO32" s="482"/>
      <c r="VLP32" s="482"/>
      <c r="VLQ32" s="482"/>
      <c r="VLR32" s="482"/>
      <c r="VLS32" s="482"/>
      <c r="VLT32" s="482"/>
      <c r="VLU32" s="482"/>
      <c r="VLV32" s="482"/>
      <c r="VLW32" s="482"/>
      <c r="VLX32" s="482"/>
      <c r="VLY32" s="482"/>
      <c r="VLZ32" s="482"/>
      <c r="VMA32" s="482"/>
      <c r="VMB32" s="482"/>
      <c r="VMC32" s="482"/>
      <c r="VMD32" s="482"/>
      <c r="VME32" s="482"/>
      <c r="VMF32" s="482"/>
      <c r="VMG32" s="482"/>
      <c r="VMH32" s="482"/>
      <c r="VMI32" s="482"/>
      <c r="VMJ32" s="482"/>
      <c r="VMK32" s="482"/>
      <c r="VML32" s="482"/>
      <c r="VMM32" s="482"/>
      <c r="VMN32" s="482"/>
      <c r="VMO32" s="482"/>
      <c r="VMP32" s="482"/>
      <c r="VMQ32" s="482"/>
      <c r="VMR32" s="482"/>
      <c r="VMS32" s="482"/>
      <c r="VMT32" s="482"/>
      <c r="VMU32" s="482"/>
      <c r="VMV32" s="482"/>
      <c r="VMW32" s="482"/>
      <c r="VMX32" s="482"/>
      <c r="VMY32" s="482"/>
      <c r="VMZ32" s="482"/>
      <c r="VNA32" s="482"/>
      <c r="VNB32" s="482"/>
      <c r="VNC32" s="482"/>
      <c r="VND32" s="482"/>
      <c r="VNE32" s="482"/>
      <c r="VNF32" s="482"/>
      <c r="VNG32" s="482"/>
      <c r="VNH32" s="482"/>
      <c r="VNI32" s="482"/>
      <c r="VNJ32" s="482"/>
      <c r="VNK32" s="482"/>
      <c r="VNL32" s="482"/>
      <c r="VNM32" s="482"/>
      <c r="VNN32" s="482"/>
      <c r="VNO32" s="482"/>
      <c r="VNP32" s="482"/>
      <c r="VNQ32" s="482"/>
      <c r="VNR32" s="482"/>
      <c r="VNS32" s="482"/>
      <c r="VNT32" s="482"/>
      <c r="VNU32" s="482"/>
      <c r="VNV32" s="482"/>
      <c r="VNW32" s="482"/>
      <c r="VNX32" s="482"/>
      <c r="VNY32" s="482"/>
      <c r="VNZ32" s="482"/>
      <c r="VOA32" s="482"/>
      <c r="VOB32" s="482"/>
      <c r="VOC32" s="482"/>
      <c r="VOD32" s="482"/>
      <c r="VOE32" s="482"/>
      <c r="VOF32" s="482"/>
      <c r="VOG32" s="482"/>
      <c r="VOH32" s="482"/>
      <c r="VOI32" s="482"/>
      <c r="VOJ32" s="482"/>
      <c r="VOK32" s="482"/>
      <c r="VOL32" s="482"/>
      <c r="VOM32" s="482"/>
      <c r="VON32" s="482"/>
      <c r="VOO32" s="482"/>
      <c r="VOP32" s="482"/>
      <c r="VOQ32" s="482"/>
      <c r="VOR32" s="482"/>
      <c r="VOS32" s="482"/>
      <c r="VOT32" s="482"/>
      <c r="VOU32" s="482"/>
      <c r="VOV32" s="482"/>
      <c r="VOW32" s="482"/>
      <c r="VOX32" s="482"/>
      <c r="VOY32" s="482"/>
      <c r="VOZ32" s="482"/>
      <c r="VPA32" s="482"/>
      <c r="VPB32" s="482"/>
      <c r="VPC32" s="482"/>
      <c r="VPD32" s="482"/>
      <c r="VPE32" s="482"/>
      <c r="VPF32" s="482"/>
      <c r="VPG32" s="482"/>
      <c r="VPH32" s="482"/>
      <c r="VPI32" s="482"/>
      <c r="VPJ32" s="482"/>
      <c r="VPK32" s="482"/>
      <c r="VPL32" s="482"/>
      <c r="VPM32" s="482"/>
      <c r="VPN32" s="482"/>
      <c r="VPO32" s="482"/>
      <c r="VPP32" s="482"/>
      <c r="VPQ32" s="482"/>
      <c r="VPR32" s="482"/>
      <c r="VPS32" s="482"/>
      <c r="VPT32" s="482"/>
      <c r="VPU32" s="482"/>
      <c r="VPV32" s="482"/>
      <c r="VPW32" s="482"/>
      <c r="VPX32" s="482"/>
      <c r="VPY32" s="482"/>
      <c r="VPZ32" s="482"/>
      <c r="VQA32" s="482"/>
      <c r="VQB32" s="482"/>
      <c r="VQC32" s="482"/>
      <c r="VQD32" s="482"/>
      <c r="VQE32" s="482"/>
      <c r="VQF32" s="482"/>
      <c r="VQG32" s="482"/>
      <c r="VQH32" s="482"/>
      <c r="VQI32" s="482"/>
      <c r="VQJ32" s="482"/>
      <c r="VQK32" s="482"/>
      <c r="VQL32" s="482"/>
      <c r="VQM32" s="482"/>
      <c r="VQN32" s="482"/>
      <c r="VQO32" s="482"/>
      <c r="VQP32" s="482"/>
      <c r="VQQ32" s="482"/>
      <c r="VQR32" s="482"/>
      <c r="VQS32" s="482"/>
      <c r="VQT32" s="482"/>
      <c r="VQU32" s="482"/>
      <c r="VQV32" s="482"/>
      <c r="VQW32" s="482"/>
      <c r="VQX32" s="482"/>
      <c r="VQY32" s="482"/>
      <c r="VQZ32" s="482"/>
      <c r="VRA32" s="482"/>
      <c r="VRB32" s="482"/>
      <c r="VRC32" s="482"/>
      <c r="VRD32" s="482"/>
      <c r="VRE32" s="482"/>
      <c r="VRF32" s="482"/>
      <c r="VRG32" s="482"/>
      <c r="VRH32" s="482"/>
      <c r="VRI32" s="482"/>
      <c r="VRJ32" s="482"/>
      <c r="VRK32" s="482"/>
      <c r="VRL32" s="482"/>
      <c r="VRM32" s="482"/>
      <c r="VRN32" s="482"/>
      <c r="VRO32" s="482"/>
      <c r="VRP32" s="482"/>
      <c r="VRQ32" s="482"/>
      <c r="VRR32" s="482"/>
      <c r="VRS32" s="482"/>
      <c r="VRT32" s="482"/>
      <c r="VRU32" s="482"/>
      <c r="VRV32" s="482"/>
      <c r="VRW32" s="482"/>
      <c r="VRX32" s="482"/>
      <c r="VRY32" s="482"/>
      <c r="VRZ32" s="482"/>
      <c r="VSA32" s="482"/>
      <c r="VSB32" s="482"/>
      <c r="VSC32" s="482"/>
      <c r="VSD32" s="482"/>
      <c r="VSE32" s="482"/>
      <c r="VSF32" s="482"/>
      <c r="VSG32" s="482"/>
      <c r="VSH32" s="482"/>
      <c r="VSI32" s="482"/>
      <c r="VSJ32" s="482"/>
      <c r="VSK32" s="482"/>
      <c r="VSL32" s="482"/>
      <c r="VSM32" s="482"/>
      <c r="VSN32" s="482"/>
      <c r="VSO32" s="482"/>
      <c r="VSP32" s="482"/>
      <c r="VSQ32" s="482"/>
      <c r="VSR32" s="482"/>
      <c r="VSS32" s="482"/>
      <c r="VST32" s="482"/>
      <c r="VSU32" s="482"/>
      <c r="VSV32" s="482"/>
      <c r="VSW32" s="482"/>
      <c r="VSX32" s="482"/>
      <c r="VSY32" s="482"/>
      <c r="VSZ32" s="482"/>
      <c r="VTA32" s="482"/>
      <c r="VTB32" s="482"/>
      <c r="VTC32" s="482"/>
      <c r="VTD32" s="482"/>
      <c r="VTE32" s="482"/>
      <c r="VTF32" s="482"/>
      <c r="VTG32" s="482"/>
      <c r="VTH32" s="482"/>
      <c r="VTI32" s="482"/>
      <c r="VTJ32" s="482"/>
      <c r="VTK32" s="482"/>
      <c r="VTL32" s="482"/>
      <c r="VTM32" s="482"/>
      <c r="VTN32" s="482"/>
      <c r="VTO32" s="482"/>
      <c r="VTP32" s="482"/>
      <c r="VTQ32" s="482"/>
      <c r="VTR32" s="482"/>
      <c r="VTS32" s="482"/>
      <c r="VTT32" s="482"/>
      <c r="VTU32" s="482"/>
      <c r="VTV32" s="482"/>
      <c r="VTW32" s="482"/>
      <c r="VTX32" s="482"/>
      <c r="VTY32" s="482"/>
      <c r="VTZ32" s="482"/>
      <c r="VUA32" s="482"/>
      <c r="VUB32" s="482"/>
      <c r="VUC32" s="482"/>
      <c r="VUD32" s="482"/>
      <c r="VUE32" s="482"/>
      <c r="VUF32" s="482"/>
      <c r="VUG32" s="482"/>
      <c r="VUH32" s="482"/>
      <c r="VUI32" s="482"/>
      <c r="VUJ32" s="482"/>
      <c r="VUK32" s="482"/>
      <c r="VUL32" s="482"/>
      <c r="VUM32" s="482"/>
      <c r="VUN32" s="482"/>
      <c r="VUO32" s="482"/>
      <c r="VUP32" s="482"/>
      <c r="VUQ32" s="482"/>
      <c r="VUR32" s="482"/>
      <c r="VUS32" s="482"/>
      <c r="VUT32" s="482"/>
      <c r="VUU32" s="482"/>
      <c r="VUV32" s="482"/>
      <c r="VUW32" s="482"/>
      <c r="VUX32" s="482"/>
      <c r="VUY32" s="482"/>
      <c r="VUZ32" s="482"/>
      <c r="VVA32" s="482"/>
      <c r="VVB32" s="482"/>
      <c r="VVC32" s="482"/>
      <c r="VVD32" s="482"/>
      <c r="VVE32" s="482"/>
      <c r="VVF32" s="482"/>
      <c r="VVG32" s="482"/>
      <c r="VVH32" s="482"/>
      <c r="VVI32" s="482"/>
      <c r="VVJ32" s="482"/>
      <c r="VVK32" s="482"/>
      <c r="VVL32" s="482"/>
      <c r="VVM32" s="482"/>
      <c r="VVN32" s="482"/>
      <c r="VVO32" s="482"/>
      <c r="VVP32" s="482"/>
      <c r="VVQ32" s="482"/>
      <c r="VVR32" s="482"/>
      <c r="VVS32" s="482"/>
      <c r="VVT32" s="482"/>
      <c r="VVU32" s="482"/>
      <c r="VVV32" s="482"/>
      <c r="VVW32" s="482"/>
      <c r="VVX32" s="482"/>
      <c r="VVY32" s="482"/>
      <c r="VVZ32" s="482"/>
      <c r="VWA32" s="482"/>
      <c r="VWB32" s="482"/>
      <c r="VWC32" s="482"/>
      <c r="VWD32" s="482"/>
      <c r="VWE32" s="482"/>
      <c r="VWF32" s="482"/>
      <c r="VWG32" s="482"/>
      <c r="VWH32" s="482"/>
      <c r="VWI32" s="482"/>
      <c r="VWJ32" s="482"/>
      <c r="VWK32" s="482"/>
      <c r="VWL32" s="482"/>
      <c r="VWM32" s="482"/>
      <c r="VWN32" s="482"/>
      <c r="VWO32" s="482"/>
      <c r="VWP32" s="482"/>
      <c r="VWQ32" s="482"/>
      <c r="VWR32" s="482"/>
      <c r="VWS32" s="482"/>
      <c r="VWT32" s="482"/>
      <c r="VWU32" s="482"/>
      <c r="VWV32" s="482"/>
      <c r="VWW32" s="482"/>
      <c r="VWX32" s="482"/>
      <c r="VWY32" s="482"/>
      <c r="VWZ32" s="482"/>
      <c r="VXA32" s="482"/>
      <c r="VXB32" s="482"/>
      <c r="VXC32" s="482"/>
      <c r="VXD32" s="482"/>
      <c r="VXE32" s="482"/>
      <c r="VXF32" s="482"/>
      <c r="VXG32" s="482"/>
      <c r="VXH32" s="482"/>
      <c r="VXI32" s="482"/>
      <c r="VXJ32" s="482"/>
      <c r="VXK32" s="482"/>
      <c r="VXL32" s="482"/>
      <c r="VXM32" s="482"/>
      <c r="VXN32" s="482"/>
      <c r="VXO32" s="482"/>
      <c r="VXP32" s="482"/>
      <c r="VXQ32" s="482"/>
      <c r="VXR32" s="482"/>
      <c r="VXS32" s="482"/>
      <c r="VXT32" s="482"/>
      <c r="VXU32" s="482"/>
      <c r="VXV32" s="482"/>
      <c r="VXW32" s="482"/>
      <c r="VXX32" s="482"/>
      <c r="VXY32" s="482"/>
      <c r="VXZ32" s="482"/>
      <c r="VYA32" s="482"/>
      <c r="VYB32" s="482"/>
      <c r="VYC32" s="482"/>
      <c r="VYD32" s="482"/>
      <c r="VYE32" s="482"/>
      <c r="VYF32" s="482"/>
      <c r="VYG32" s="482"/>
      <c r="VYH32" s="482"/>
      <c r="VYI32" s="482"/>
      <c r="VYJ32" s="482"/>
      <c r="VYK32" s="482"/>
      <c r="VYL32" s="482"/>
      <c r="VYM32" s="482"/>
      <c r="VYN32" s="482"/>
      <c r="VYO32" s="482"/>
      <c r="VYP32" s="482"/>
      <c r="VYQ32" s="482"/>
      <c r="VYR32" s="482"/>
      <c r="VYS32" s="482"/>
      <c r="VYT32" s="482"/>
      <c r="VYU32" s="482"/>
      <c r="VYV32" s="482"/>
      <c r="VYW32" s="482"/>
      <c r="VYX32" s="482"/>
      <c r="VYY32" s="482"/>
      <c r="VYZ32" s="482"/>
      <c r="VZA32" s="482"/>
      <c r="VZB32" s="482"/>
      <c r="VZC32" s="482"/>
      <c r="VZD32" s="482"/>
      <c r="VZE32" s="482"/>
      <c r="VZF32" s="482"/>
      <c r="VZG32" s="482"/>
      <c r="VZH32" s="482"/>
      <c r="VZI32" s="482"/>
      <c r="VZJ32" s="482"/>
      <c r="VZK32" s="482"/>
      <c r="VZL32" s="482"/>
      <c r="VZM32" s="482"/>
      <c r="VZN32" s="482"/>
      <c r="VZO32" s="482"/>
      <c r="VZP32" s="482"/>
      <c r="VZQ32" s="482"/>
      <c r="VZR32" s="482"/>
      <c r="VZS32" s="482"/>
      <c r="VZT32" s="482"/>
      <c r="VZU32" s="482"/>
      <c r="VZV32" s="482"/>
      <c r="VZW32" s="482"/>
      <c r="VZX32" s="482"/>
      <c r="VZY32" s="482"/>
      <c r="VZZ32" s="482"/>
      <c r="WAA32" s="482"/>
      <c r="WAB32" s="482"/>
      <c r="WAC32" s="482"/>
      <c r="WAD32" s="482"/>
      <c r="WAE32" s="482"/>
      <c r="WAF32" s="482"/>
      <c r="WAG32" s="482"/>
      <c r="WAH32" s="482"/>
      <c r="WAI32" s="482"/>
      <c r="WAJ32" s="482"/>
      <c r="WAK32" s="482"/>
      <c r="WAL32" s="482"/>
      <c r="WAM32" s="482"/>
      <c r="WAN32" s="482"/>
      <c r="WAO32" s="482"/>
      <c r="WAP32" s="482"/>
      <c r="WAQ32" s="482"/>
      <c r="WAR32" s="482"/>
      <c r="WAS32" s="482"/>
      <c r="WAT32" s="482"/>
      <c r="WAU32" s="482"/>
      <c r="WAV32" s="482"/>
      <c r="WAW32" s="482"/>
      <c r="WAX32" s="482"/>
      <c r="WAY32" s="482"/>
      <c r="WAZ32" s="482"/>
      <c r="WBA32" s="482"/>
      <c r="WBB32" s="482"/>
      <c r="WBC32" s="482"/>
      <c r="WBD32" s="482"/>
      <c r="WBE32" s="482"/>
      <c r="WBF32" s="482"/>
      <c r="WBG32" s="482"/>
      <c r="WBH32" s="482"/>
      <c r="WBI32" s="482"/>
      <c r="WBJ32" s="482"/>
      <c r="WBK32" s="482"/>
      <c r="WBL32" s="482"/>
      <c r="WBM32" s="482"/>
      <c r="WBN32" s="482"/>
      <c r="WBO32" s="482"/>
      <c r="WBP32" s="482"/>
      <c r="WBQ32" s="482"/>
      <c r="WBR32" s="482"/>
      <c r="WBS32" s="482"/>
      <c r="WBT32" s="482"/>
      <c r="WBU32" s="482"/>
      <c r="WBV32" s="482"/>
      <c r="WBW32" s="482"/>
      <c r="WBX32" s="482"/>
      <c r="WBY32" s="482"/>
      <c r="WBZ32" s="482"/>
      <c r="WCA32" s="482"/>
      <c r="WCB32" s="482"/>
      <c r="WCC32" s="482"/>
      <c r="WCD32" s="482"/>
      <c r="WCE32" s="482"/>
      <c r="WCF32" s="482"/>
      <c r="WCG32" s="482"/>
      <c r="WCH32" s="482"/>
      <c r="WCI32" s="482"/>
      <c r="WCJ32" s="482"/>
      <c r="WCK32" s="482"/>
      <c r="WCL32" s="482"/>
      <c r="WCM32" s="482"/>
      <c r="WCN32" s="482"/>
      <c r="WCO32" s="482"/>
      <c r="WCP32" s="482"/>
      <c r="WCQ32" s="482"/>
      <c r="WCR32" s="482"/>
      <c r="WCS32" s="482"/>
      <c r="WCT32" s="482"/>
      <c r="WCU32" s="482"/>
      <c r="WCV32" s="482"/>
      <c r="WCW32" s="482"/>
      <c r="WCX32" s="482"/>
      <c r="WCY32" s="482"/>
      <c r="WCZ32" s="482"/>
      <c r="WDA32" s="482"/>
      <c r="WDB32" s="482"/>
      <c r="WDC32" s="482"/>
      <c r="WDD32" s="482"/>
      <c r="WDE32" s="482"/>
      <c r="WDF32" s="482"/>
      <c r="WDG32" s="482"/>
      <c r="WDH32" s="482"/>
      <c r="WDI32" s="482"/>
      <c r="WDJ32" s="482"/>
      <c r="WDK32" s="482"/>
      <c r="WDL32" s="482"/>
      <c r="WDM32" s="482"/>
      <c r="WDN32" s="482"/>
      <c r="WDO32" s="482"/>
      <c r="WDP32" s="482"/>
      <c r="WDQ32" s="482"/>
      <c r="WDR32" s="482"/>
      <c r="WDS32" s="482"/>
      <c r="WDT32" s="482"/>
      <c r="WDU32" s="482"/>
      <c r="WDV32" s="482"/>
      <c r="WDW32" s="482"/>
      <c r="WDX32" s="482"/>
      <c r="WDY32" s="482"/>
      <c r="WDZ32" s="482"/>
      <c r="WEA32" s="482"/>
      <c r="WEB32" s="482"/>
      <c r="WEC32" s="482"/>
      <c r="WED32" s="482"/>
      <c r="WEE32" s="482"/>
      <c r="WEF32" s="482"/>
      <c r="WEG32" s="482"/>
      <c r="WEH32" s="482"/>
      <c r="WEI32" s="482"/>
      <c r="WEJ32" s="482"/>
      <c r="WEK32" s="482"/>
      <c r="WEL32" s="482"/>
      <c r="WEM32" s="482"/>
      <c r="WEN32" s="482"/>
      <c r="WEO32" s="482"/>
      <c r="WEP32" s="482"/>
      <c r="WEQ32" s="482"/>
      <c r="WER32" s="482"/>
      <c r="WES32" s="482"/>
      <c r="WET32" s="482"/>
      <c r="WEU32" s="482"/>
      <c r="WEV32" s="482"/>
      <c r="WEW32" s="482"/>
      <c r="WEX32" s="482"/>
      <c r="WEY32" s="482"/>
      <c r="WEZ32" s="482"/>
      <c r="WFA32" s="482"/>
      <c r="WFB32" s="482"/>
      <c r="WFC32" s="482"/>
      <c r="WFD32" s="482"/>
      <c r="WFE32" s="482"/>
      <c r="WFF32" s="482"/>
      <c r="WFG32" s="482"/>
      <c r="WFH32" s="482"/>
      <c r="WFI32" s="482"/>
      <c r="WFJ32" s="482"/>
      <c r="WFK32" s="482"/>
      <c r="WFL32" s="482"/>
      <c r="WFM32" s="482"/>
      <c r="WFN32" s="482"/>
      <c r="WFO32" s="482"/>
      <c r="WFP32" s="482"/>
      <c r="WFQ32" s="482"/>
      <c r="WFR32" s="482"/>
      <c r="WFS32" s="482"/>
      <c r="WFT32" s="482"/>
      <c r="WFU32" s="482"/>
      <c r="WFV32" s="482"/>
      <c r="WFW32" s="482"/>
      <c r="WFX32" s="482"/>
      <c r="WFY32" s="482"/>
      <c r="WFZ32" s="482"/>
      <c r="WGA32" s="482"/>
      <c r="WGB32" s="482"/>
      <c r="WGC32" s="482"/>
      <c r="WGD32" s="482"/>
      <c r="WGE32" s="482"/>
      <c r="WGF32" s="482"/>
      <c r="WGG32" s="482"/>
      <c r="WGH32" s="482"/>
      <c r="WGI32" s="482"/>
      <c r="WGJ32" s="482"/>
      <c r="WGK32" s="482"/>
      <c r="WGL32" s="482"/>
      <c r="WGM32" s="482"/>
      <c r="WGN32" s="482"/>
      <c r="WGO32" s="482"/>
      <c r="WGP32" s="482"/>
      <c r="WGQ32" s="482"/>
      <c r="WGR32" s="482"/>
      <c r="WGS32" s="482"/>
      <c r="WGT32" s="482"/>
      <c r="WGU32" s="482"/>
      <c r="WGV32" s="482"/>
      <c r="WGW32" s="482"/>
      <c r="WGX32" s="482"/>
      <c r="WGY32" s="482"/>
      <c r="WGZ32" s="482"/>
      <c r="WHA32" s="482"/>
      <c r="WHB32" s="482"/>
      <c r="WHC32" s="482"/>
      <c r="WHD32" s="482"/>
      <c r="WHE32" s="482"/>
      <c r="WHF32" s="482"/>
      <c r="WHG32" s="482"/>
      <c r="WHH32" s="482"/>
      <c r="WHI32" s="482"/>
      <c r="WHJ32" s="482"/>
      <c r="WHK32" s="482"/>
      <c r="WHL32" s="482"/>
      <c r="WHM32" s="482"/>
      <c r="WHN32" s="482"/>
      <c r="WHO32" s="482"/>
      <c r="WHP32" s="482"/>
      <c r="WHQ32" s="482"/>
      <c r="WHR32" s="482"/>
      <c r="WHS32" s="482"/>
      <c r="WHT32" s="482"/>
      <c r="WHU32" s="482"/>
      <c r="WHV32" s="482"/>
      <c r="WHW32" s="482"/>
      <c r="WHX32" s="482"/>
      <c r="WHY32" s="482"/>
      <c r="WHZ32" s="482"/>
      <c r="WIA32" s="482"/>
      <c r="WIB32" s="482"/>
      <c r="WIC32" s="482"/>
      <c r="WID32" s="482"/>
      <c r="WIE32" s="482"/>
      <c r="WIF32" s="482"/>
      <c r="WIG32" s="482"/>
      <c r="WIH32" s="482"/>
      <c r="WII32" s="482"/>
      <c r="WIJ32" s="482"/>
      <c r="WIK32" s="482"/>
      <c r="WIL32" s="482"/>
      <c r="WIM32" s="482"/>
      <c r="WIN32" s="482"/>
      <c r="WIO32" s="482"/>
      <c r="WIP32" s="482"/>
      <c r="WIQ32" s="482"/>
      <c r="WIR32" s="482"/>
      <c r="WIS32" s="482"/>
      <c r="WIT32" s="482"/>
      <c r="WIU32" s="482"/>
      <c r="WIV32" s="482"/>
      <c r="WIW32" s="482"/>
      <c r="WIX32" s="482"/>
      <c r="WIY32" s="482"/>
      <c r="WIZ32" s="482"/>
      <c r="WJA32" s="482"/>
      <c r="WJB32" s="482"/>
      <c r="WJC32" s="482"/>
      <c r="WJD32" s="482"/>
      <c r="WJE32" s="482"/>
      <c r="WJF32" s="482"/>
      <c r="WJG32" s="482"/>
      <c r="WJH32" s="482"/>
      <c r="WJI32" s="482"/>
      <c r="WJJ32" s="482"/>
      <c r="WJK32" s="482"/>
      <c r="WJL32" s="482"/>
      <c r="WJM32" s="482"/>
      <c r="WJN32" s="482"/>
      <c r="WJO32" s="482"/>
      <c r="WJP32" s="482"/>
      <c r="WJQ32" s="482"/>
      <c r="WJR32" s="482"/>
      <c r="WJS32" s="482"/>
      <c r="WJT32" s="482"/>
      <c r="WJU32" s="482"/>
      <c r="WJV32" s="482"/>
      <c r="WJW32" s="482"/>
      <c r="WJX32" s="482"/>
      <c r="WJY32" s="482"/>
      <c r="WJZ32" s="482"/>
      <c r="WKA32" s="482"/>
      <c r="WKB32" s="482"/>
      <c r="WKC32" s="482"/>
      <c r="WKD32" s="482"/>
      <c r="WKE32" s="482"/>
      <c r="WKF32" s="482"/>
      <c r="WKG32" s="482"/>
      <c r="WKH32" s="482"/>
      <c r="WKI32" s="482"/>
      <c r="WKJ32" s="482"/>
      <c r="WKK32" s="482"/>
      <c r="WKL32" s="482"/>
      <c r="WKM32" s="482"/>
      <c r="WKN32" s="482"/>
      <c r="WKO32" s="482"/>
      <c r="WKP32" s="482"/>
      <c r="WKQ32" s="482"/>
      <c r="WKR32" s="482"/>
      <c r="WKS32" s="482"/>
      <c r="WKT32" s="482"/>
      <c r="WKU32" s="482"/>
      <c r="WKV32" s="482"/>
      <c r="WKW32" s="482"/>
      <c r="WKX32" s="482"/>
      <c r="WKY32" s="482"/>
      <c r="WKZ32" s="482"/>
      <c r="WLA32" s="482"/>
      <c r="WLB32" s="482"/>
      <c r="WLC32" s="482"/>
      <c r="WLD32" s="482"/>
      <c r="WLE32" s="482"/>
      <c r="WLF32" s="482"/>
      <c r="WLG32" s="482"/>
      <c r="WLH32" s="482"/>
      <c r="WLI32" s="482"/>
      <c r="WLJ32" s="482"/>
      <c r="WLK32" s="482"/>
      <c r="WLL32" s="482"/>
      <c r="WLM32" s="482"/>
      <c r="WLN32" s="482"/>
      <c r="WLO32" s="482"/>
      <c r="WLP32" s="482"/>
      <c r="WLQ32" s="482"/>
      <c r="WLR32" s="482"/>
      <c r="WLS32" s="482"/>
      <c r="WLT32" s="482"/>
      <c r="WLU32" s="482"/>
      <c r="WLV32" s="482"/>
      <c r="WLW32" s="482"/>
      <c r="WLX32" s="482"/>
      <c r="WLY32" s="482"/>
      <c r="WLZ32" s="482"/>
      <c r="WMA32" s="482"/>
      <c r="WMB32" s="482"/>
      <c r="WMC32" s="482"/>
      <c r="WMD32" s="482"/>
      <c r="WME32" s="482"/>
      <c r="WMF32" s="482"/>
      <c r="WMG32" s="482"/>
      <c r="WMH32" s="482"/>
      <c r="WMI32" s="482"/>
      <c r="WMJ32" s="482"/>
      <c r="WMK32" s="482"/>
      <c r="WML32" s="482"/>
      <c r="WMM32" s="482"/>
      <c r="WMN32" s="482"/>
      <c r="WMO32" s="482"/>
      <c r="WMP32" s="482"/>
      <c r="WMQ32" s="482"/>
      <c r="WMR32" s="482"/>
      <c r="WMS32" s="482"/>
      <c r="WMT32" s="482"/>
      <c r="WMU32" s="482"/>
      <c r="WMV32" s="482"/>
      <c r="WMW32" s="482"/>
      <c r="WMX32" s="482"/>
      <c r="WMY32" s="482"/>
      <c r="WMZ32" s="482"/>
      <c r="WNA32" s="482"/>
      <c r="WNB32" s="482"/>
      <c r="WNC32" s="482"/>
      <c r="WND32" s="482"/>
      <c r="WNE32" s="482"/>
      <c r="WNF32" s="482"/>
      <c r="WNG32" s="482"/>
      <c r="WNH32" s="482"/>
      <c r="WNI32" s="482"/>
      <c r="WNJ32" s="482"/>
      <c r="WNK32" s="482"/>
      <c r="WNL32" s="482"/>
      <c r="WNM32" s="482"/>
      <c r="WNN32" s="482"/>
      <c r="WNO32" s="482"/>
      <c r="WNP32" s="482"/>
      <c r="WNQ32" s="482"/>
      <c r="WNR32" s="482"/>
      <c r="WNS32" s="482"/>
      <c r="WNT32" s="482"/>
      <c r="WNU32" s="482"/>
      <c r="WNV32" s="482"/>
      <c r="WNW32" s="482"/>
      <c r="WNX32" s="482"/>
      <c r="WNY32" s="482"/>
      <c r="WNZ32" s="482"/>
      <c r="WOA32" s="482"/>
      <c r="WOB32" s="482"/>
      <c r="WOC32" s="482"/>
      <c r="WOD32" s="482"/>
      <c r="WOE32" s="482"/>
      <c r="WOF32" s="482"/>
      <c r="WOG32" s="482"/>
      <c r="WOH32" s="482"/>
      <c r="WOI32" s="482"/>
      <c r="WOJ32" s="482"/>
      <c r="WOK32" s="482"/>
      <c r="WOL32" s="482"/>
      <c r="WOM32" s="482"/>
      <c r="WON32" s="482"/>
      <c r="WOO32" s="482"/>
      <c r="WOP32" s="482"/>
      <c r="WOQ32" s="482"/>
      <c r="WOR32" s="482"/>
      <c r="WOS32" s="482"/>
      <c r="WOT32" s="482"/>
      <c r="WOU32" s="482"/>
      <c r="WOV32" s="482"/>
      <c r="WOW32" s="482"/>
      <c r="WOX32" s="482"/>
      <c r="WOY32" s="482"/>
      <c r="WOZ32" s="482"/>
      <c r="WPA32" s="482"/>
      <c r="WPB32" s="482"/>
      <c r="WPC32" s="482"/>
      <c r="WPD32" s="482"/>
      <c r="WPE32" s="482"/>
      <c r="WPF32" s="482"/>
      <c r="WPG32" s="482"/>
      <c r="WPH32" s="482"/>
      <c r="WPI32" s="482"/>
      <c r="WPJ32" s="482"/>
      <c r="WPK32" s="482"/>
      <c r="WPL32" s="482"/>
      <c r="WPM32" s="482"/>
      <c r="WPN32" s="482"/>
      <c r="WPO32" s="482"/>
      <c r="WPP32" s="482"/>
      <c r="WPQ32" s="482"/>
      <c r="WPR32" s="482"/>
      <c r="WPS32" s="482"/>
      <c r="WPT32" s="482"/>
      <c r="WPU32" s="482"/>
      <c r="WPV32" s="482"/>
      <c r="WPW32" s="482"/>
      <c r="WPX32" s="482"/>
      <c r="WPY32" s="482"/>
      <c r="WPZ32" s="482"/>
      <c r="WQA32" s="482"/>
      <c r="WQB32" s="482"/>
      <c r="WQC32" s="482"/>
      <c r="WQD32" s="482"/>
      <c r="WQE32" s="482"/>
      <c r="WQF32" s="482"/>
      <c r="WQG32" s="482"/>
      <c r="WQH32" s="482"/>
      <c r="WQI32" s="482"/>
      <c r="WQJ32" s="482"/>
      <c r="WQK32" s="482"/>
      <c r="WQL32" s="482"/>
      <c r="WQM32" s="482"/>
      <c r="WQN32" s="482"/>
      <c r="WQO32" s="482"/>
      <c r="WQP32" s="482"/>
      <c r="WQQ32" s="482"/>
      <c r="WQR32" s="482"/>
      <c r="WQS32" s="482"/>
      <c r="WQT32" s="482"/>
      <c r="WQU32" s="482"/>
      <c r="WQV32" s="482"/>
      <c r="WQW32" s="482"/>
      <c r="WQX32" s="482"/>
      <c r="WQY32" s="482"/>
      <c r="WQZ32" s="482"/>
      <c r="WRA32" s="482"/>
      <c r="WRB32" s="482"/>
      <c r="WRC32" s="482"/>
      <c r="WRD32" s="482"/>
      <c r="WRE32" s="482"/>
      <c r="WRF32" s="482"/>
      <c r="WRG32" s="482"/>
      <c r="WRH32" s="482"/>
      <c r="WRI32" s="482"/>
      <c r="WRJ32" s="482"/>
      <c r="WRK32" s="482"/>
      <c r="WRL32" s="482"/>
      <c r="WRM32" s="482"/>
      <c r="WRN32" s="482"/>
      <c r="WRO32" s="482"/>
      <c r="WRP32" s="482"/>
      <c r="WRQ32" s="482"/>
      <c r="WRR32" s="482"/>
      <c r="WRS32" s="482"/>
      <c r="WRT32" s="482"/>
      <c r="WRU32" s="482"/>
      <c r="WRV32" s="482"/>
      <c r="WRW32" s="482"/>
      <c r="WRX32" s="482"/>
      <c r="WRY32" s="482"/>
      <c r="WRZ32" s="482"/>
      <c r="WSA32" s="482"/>
      <c r="WSB32" s="482"/>
      <c r="WSC32" s="482"/>
      <c r="WSD32" s="482"/>
      <c r="WSE32" s="482"/>
      <c r="WSF32" s="482"/>
      <c r="WSG32" s="482"/>
      <c r="WSH32" s="482"/>
      <c r="WSI32" s="482"/>
      <c r="WSJ32" s="482"/>
      <c r="WSK32" s="482"/>
      <c r="WSL32" s="482"/>
      <c r="WSM32" s="482"/>
      <c r="WSN32" s="482"/>
      <c r="WSO32" s="482"/>
      <c r="WSP32" s="482"/>
      <c r="WSQ32" s="482"/>
      <c r="WSR32" s="482"/>
      <c r="WSS32" s="482"/>
      <c r="WST32" s="482"/>
      <c r="WSU32" s="482"/>
      <c r="WSV32" s="482"/>
      <c r="WSW32" s="482"/>
      <c r="WSX32" s="482"/>
      <c r="WSY32" s="482"/>
      <c r="WSZ32" s="482"/>
      <c r="WTA32" s="482"/>
      <c r="WTB32" s="482"/>
      <c r="WTC32" s="482"/>
      <c r="WTD32" s="482"/>
      <c r="WTE32" s="482"/>
      <c r="WTF32" s="482"/>
      <c r="WTG32" s="482"/>
      <c r="WTH32" s="482"/>
      <c r="WTI32" s="482"/>
      <c r="WTJ32" s="482"/>
      <c r="WTK32" s="482"/>
      <c r="WTL32" s="482"/>
      <c r="WTM32" s="482"/>
      <c r="WTN32" s="482"/>
      <c r="WTO32" s="482"/>
      <c r="WTP32" s="482"/>
      <c r="WTQ32" s="482"/>
      <c r="WTR32" s="482"/>
      <c r="WTS32" s="482"/>
      <c r="WTT32" s="482"/>
      <c r="WTU32" s="482"/>
      <c r="WTV32" s="482"/>
      <c r="WTW32" s="482"/>
      <c r="WTX32" s="482"/>
      <c r="WTY32" s="482"/>
      <c r="WTZ32" s="482"/>
      <c r="WUA32" s="482"/>
      <c r="WUB32" s="482"/>
      <c r="WUC32" s="482"/>
      <c r="WUD32" s="482"/>
      <c r="WUE32" s="482"/>
      <c r="WUF32" s="482"/>
      <c r="WUG32" s="482"/>
      <c r="WUH32" s="482"/>
      <c r="WUI32" s="482"/>
      <c r="WUJ32" s="482"/>
      <c r="WUK32" s="482"/>
      <c r="WUL32" s="482"/>
      <c r="WUM32" s="482"/>
      <c r="WUN32" s="482"/>
      <c r="WUO32" s="482"/>
      <c r="WUP32" s="482"/>
      <c r="WUQ32" s="482"/>
      <c r="WUR32" s="482"/>
      <c r="WUS32" s="482"/>
      <c r="WUT32" s="482"/>
      <c r="WUU32" s="482"/>
      <c r="WUV32" s="482"/>
      <c r="WUW32" s="482"/>
      <c r="WUX32" s="482"/>
      <c r="WUY32" s="482"/>
      <c r="WUZ32" s="482"/>
      <c r="WVA32" s="482"/>
      <c r="WVB32" s="482"/>
      <c r="WVC32" s="482"/>
      <c r="WVD32" s="482"/>
      <c r="WVE32" s="482"/>
      <c r="WVF32" s="482"/>
      <c r="WVG32" s="482"/>
      <c r="WVH32" s="482"/>
      <c r="WVI32" s="482"/>
      <c r="WVJ32" s="482"/>
      <c r="WVK32" s="482"/>
      <c r="WVL32" s="482"/>
      <c r="WVM32" s="482"/>
      <c r="WVN32" s="482"/>
      <c r="WVO32" s="482"/>
      <c r="WVP32" s="482"/>
      <c r="WVQ32" s="482"/>
      <c r="WVR32" s="482"/>
      <c r="WVS32" s="482"/>
      <c r="WVT32" s="482"/>
      <c r="WVU32" s="482"/>
      <c r="WVV32" s="482"/>
      <c r="WVW32" s="482"/>
      <c r="WVX32" s="482"/>
      <c r="WVY32" s="482"/>
      <c r="WVZ32" s="482"/>
      <c r="WWA32" s="482"/>
      <c r="WWB32" s="482"/>
      <c r="WWC32" s="482"/>
      <c r="WWD32" s="482"/>
      <c r="WWE32" s="482"/>
      <c r="WWF32" s="482"/>
      <c r="WWG32" s="482"/>
      <c r="WWH32" s="482"/>
      <c r="WWI32" s="482"/>
      <c r="WWJ32" s="482"/>
      <c r="WWK32" s="482"/>
      <c r="WWL32" s="482"/>
      <c r="WWM32" s="482"/>
      <c r="WWN32" s="482"/>
      <c r="WWO32" s="482"/>
      <c r="WWP32" s="482"/>
      <c r="WWQ32" s="482"/>
      <c r="WWR32" s="482"/>
      <c r="WWS32" s="482"/>
      <c r="WWT32" s="482"/>
      <c r="WWU32" s="482"/>
      <c r="WWV32" s="482"/>
      <c r="WWW32" s="482"/>
      <c r="WWX32" s="482"/>
      <c r="WWY32" s="482"/>
      <c r="WWZ32" s="482"/>
      <c r="WXA32" s="482"/>
      <c r="WXB32" s="482"/>
      <c r="WXC32" s="482"/>
      <c r="WXD32" s="482"/>
      <c r="WXE32" s="482"/>
      <c r="WXF32" s="482"/>
      <c r="WXG32" s="482"/>
      <c r="WXH32" s="482"/>
      <c r="WXI32" s="482"/>
      <c r="WXJ32" s="482"/>
      <c r="WXK32" s="482"/>
      <c r="WXL32" s="482"/>
      <c r="WXM32" s="482"/>
      <c r="WXN32" s="482"/>
      <c r="WXO32" s="482"/>
      <c r="WXP32" s="482"/>
      <c r="WXQ32" s="482"/>
      <c r="WXR32" s="482"/>
      <c r="WXS32" s="482"/>
      <c r="WXT32" s="482"/>
      <c r="WXU32" s="482"/>
      <c r="WXV32" s="482"/>
      <c r="WXW32" s="482"/>
      <c r="WXX32" s="482"/>
      <c r="WXY32" s="482"/>
      <c r="WXZ32" s="482"/>
      <c r="WYA32" s="482"/>
      <c r="WYB32" s="482"/>
      <c r="WYC32" s="482"/>
      <c r="WYD32" s="482"/>
      <c r="WYE32" s="482"/>
      <c r="WYF32" s="482"/>
      <c r="WYG32" s="482"/>
      <c r="WYH32" s="482"/>
      <c r="WYI32" s="482"/>
      <c r="WYJ32" s="482"/>
      <c r="WYK32" s="482"/>
      <c r="WYL32" s="482"/>
      <c r="WYM32" s="482"/>
      <c r="WYN32" s="482"/>
      <c r="WYO32" s="482"/>
      <c r="WYP32" s="482"/>
      <c r="WYQ32" s="482"/>
      <c r="WYR32" s="482"/>
      <c r="WYS32" s="482"/>
      <c r="WYT32" s="482"/>
      <c r="WYU32" s="482"/>
      <c r="WYV32" s="482"/>
      <c r="WYW32" s="482"/>
      <c r="WYX32" s="482"/>
      <c r="WYY32" s="482"/>
      <c r="WYZ32" s="482"/>
      <c r="WZA32" s="482"/>
      <c r="WZB32" s="482"/>
      <c r="WZC32" s="482"/>
      <c r="WZD32" s="482"/>
      <c r="WZE32" s="482"/>
      <c r="WZF32" s="482"/>
      <c r="WZG32" s="482"/>
      <c r="WZH32" s="482"/>
      <c r="WZI32" s="482"/>
      <c r="WZJ32" s="482"/>
      <c r="WZK32" s="482"/>
      <c r="WZL32" s="482"/>
      <c r="WZM32" s="482"/>
      <c r="WZN32" s="482"/>
      <c r="WZO32" s="482"/>
      <c r="WZP32" s="482"/>
      <c r="WZQ32" s="482"/>
      <c r="WZR32" s="482"/>
      <c r="WZS32" s="482"/>
      <c r="WZT32" s="482"/>
      <c r="WZU32" s="482"/>
      <c r="WZV32" s="482"/>
      <c r="WZW32" s="482"/>
      <c r="WZX32" s="482"/>
      <c r="WZY32" s="482"/>
      <c r="WZZ32" s="482"/>
      <c r="XAA32" s="482"/>
      <c r="XAB32" s="482"/>
      <c r="XAC32" s="482"/>
      <c r="XAD32" s="482"/>
      <c r="XAE32" s="482"/>
      <c r="XAF32" s="482"/>
      <c r="XAG32" s="482"/>
      <c r="XAH32" s="482"/>
      <c r="XAI32" s="482"/>
      <c r="XAJ32" s="482"/>
      <c r="XAK32" s="482"/>
      <c r="XAL32" s="482"/>
      <c r="XAM32" s="482"/>
      <c r="XAN32" s="482"/>
      <c r="XAO32" s="482"/>
      <c r="XAP32" s="482"/>
      <c r="XAQ32" s="482"/>
      <c r="XAR32" s="482"/>
      <c r="XAS32" s="482"/>
      <c r="XAT32" s="482"/>
      <c r="XAU32" s="482"/>
      <c r="XAV32" s="482"/>
      <c r="XAW32" s="482"/>
      <c r="XAX32" s="482"/>
      <c r="XAY32" s="482"/>
      <c r="XAZ32" s="482"/>
      <c r="XBA32" s="482"/>
      <c r="XBB32" s="482"/>
      <c r="XBC32" s="482"/>
      <c r="XBD32" s="482"/>
      <c r="XBE32" s="482"/>
      <c r="XBF32" s="482"/>
      <c r="XBG32" s="482"/>
      <c r="XBH32" s="482"/>
      <c r="XBI32" s="482"/>
      <c r="XBJ32" s="482"/>
      <c r="XBK32" s="482"/>
      <c r="XBL32" s="482"/>
      <c r="XBM32" s="482"/>
      <c r="XBN32" s="482"/>
      <c r="XBO32" s="482"/>
      <c r="XBP32" s="482"/>
      <c r="XBQ32" s="482"/>
      <c r="XBR32" s="482"/>
      <c r="XBS32" s="482"/>
      <c r="XBT32" s="482"/>
      <c r="XBU32" s="482"/>
      <c r="XBV32" s="482"/>
      <c r="XBW32" s="482"/>
      <c r="XBX32" s="482"/>
      <c r="XBY32" s="482"/>
      <c r="XBZ32" s="482"/>
      <c r="XCA32" s="482"/>
      <c r="XCB32" s="482"/>
      <c r="XCC32" s="482"/>
      <c r="XCD32" s="482"/>
      <c r="XCE32" s="482"/>
      <c r="XCF32" s="482"/>
      <c r="XCG32" s="482"/>
      <c r="XCH32" s="482"/>
      <c r="XCI32" s="482"/>
      <c r="XCJ32" s="482"/>
      <c r="XCK32" s="482"/>
      <c r="XCL32" s="482"/>
      <c r="XCM32" s="482"/>
      <c r="XCN32" s="482"/>
      <c r="XCO32" s="482"/>
      <c r="XCP32" s="482"/>
      <c r="XCQ32" s="482"/>
      <c r="XCR32" s="482"/>
      <c r="XCS32" s="482"/>
      <c r="XCT32" s="482"/>
      <c r="XCU32" s="482"/>
      <c r="XCV32" s="482"/>
      <c r="XCW32" s="482"/>
      <c r="XCX32" s="482"/>
      <c r="XCY32" s="482"/>
      <c r="XCZ32" s="482"/>
      <c r="XDA32" s="482"/>
      <c r="XDB32" s="482"/>
      <c r="XDC32" s="482"/>
      <c r="XDD32" s="482"/>
      <c r="XDE32" s="482"/>
      <c r="XDF32" s="482"/>
      <c r="XDG32" s="482"/>
      <c r="XDH32" s="482"/>
      <c r="XDI32" s="482"/>
      <c r="XDJ32" s="482"/>
      <c r="XDK32" s="482"/>
      <c r="XDL32" s="482"/>
      <c r="XDM32" s="482"/>
      <c r="XDN32" s="482"/>
      <c r="XDO32" s="482"/>
      <c r="XDP32" s="482"/>
      <c r="XDQ32" s="482"/>
      <c r="XDR32" s="482"/>
      <c r="XDS32" s="482"/>
      <c r="XDT32" s="482"/>
      <c r="XDU32" s="482"/>
      <c r="XDV32" s="482"/>
      <c r="XDW32" s="482"/>
      <c r="XDX32" s="482"/>
      <c r="XDY32" s="482"/>
      <c r="XDZ32" s="482"/>
      <c r="XEA32" s="482"/>
      <c r="XEB32" s="482"/>
      <c r="XEC32" s="482"/>
      <c r="XED32" s="482"/>
      <c r="XEE32" s="482"/>
      <c r="XEF32" s="482"/>
      <c r="XEG32" s="482"/>
      <c r="XEH32" s="482"/>
      <c r="XEI32" s="482"/>
      <c r="XEJ32" s="482"/>
      <c r="XEK32" s="482"/>
      <c r="XEL32" s="482"/>
      <c r="XEM32" s="482"/>
      <c r="XEN32" s="482"/>
      <c r="XEO32" s="482"/>
      <c r="XEP32" s="482"/>
      <c r="XEQ32" s="482"/>
      <c r="XER32" s="482"/>
      <c r="XES32" s="482"/>
      <c r="XET32" s="482"/>
      <c r="XEU32" s="482"/>
      <c r="XEV32" s="482"/>
      <c r="XEW32" s="482"/>
      <c r="XEX32" s="482"/>
      <c r="XEY32" s="482"/>
      <c r="XEZ32" s="482"/>
      <c r="XFA32" s="482"/>
      <c r="XFB32" s="482"/>
      <c r="XFC32" s="482"/>
      <c r="XFD32" s="482"/>
    </row>
    <row r="33" spans="1:24" s="482" customFormat="1" ht="12.75" customHeight="1">
      <c r="A33" s="726" t="s">
        <v>1417</v>
      </c>
      <c r="B33" s="499" t="str">
        <f t="shared" si="15"/>
        <v>COM_200202</v>
      </c>
      <c r="C33" s="499">
        <v>1</v>
      </c>
      <c r="D33" s="499">
        <v>0</v>
      </c>
      <c r="E33" s="499">
        <f t="shared" si="16"/>
        <v>1</v>
      </c>
      <c r="F33" s="499">
        <v>3</v>
      </c>
      <c r="G33" s="499" t="b">
        <v>1</v>
      </c>
      <c r="H33" s="795" t="str">
        <f t="shared" si="17"/>
        <v>Commercial</v>
      </c>
      <c r="I33" s="502" t="s">
        <v>138</v>
      </c>
      <c r="J33" s="502" t="s">
        <v>453</v>
      </c>
      <c r="K33" s="502" t="s">
        <v>2437</v>
      </c>
      <c r="L33" s="24">
        <v>2020</v>
      </c>
      <c r="M33" s="511">
        <v>430100</v>
      </c>
      <c r="N33" s="512">
        <v>0</v>
      </c>
      <c r="O33" s="512">
        <v>0</v>
      </c>
      <c r="P33" s="318" t="s">
        <v>778</v>
      </c>
      <c r="Q33" s="505">
        <v>0.13985600000000001</v>
      </c>
      <c r="R33" s="862">
        <v>0.44898012999999998</v>
      </c>
      <c r="S33" s="111" t="s">
        <v>1917</v>
      </c>
      <c r="T33" s="507">
        <f t="shared" si="18"/>
        <v>3.0830002548922976E-3</v>
      </c>
      <c r="U33" s="508">
        <f t="shared" si="19"/>
        <v>0</v>
      </c>
      <c r="V33" s="796">
        <f t="shared" si="20"/>
        <v>3.0830002548922976E-3</v>
      </c>
    </row>
    <row r="34" spans="1:24" s="482" customFormat="1" ht="12.75" customHeight="1">
      <c r="A34" s="726" t="s">
        <v>23</v>
      </c>
      <c r="B34" s="499" t="str">
        <f t="shared" si="15"/>
        <v>COM_200202</v>
      </c>
      <c r="C34" s="499">
        <v>1</v>
      </c>
      <c r="D34" s="499">
        <v>0</v>
      </c>
      <c r="E34" s="499">
        <f t="shared" si="16"/>
        <v>1</v>
      </c>
      <c r="F34" s="499">
        <v>3</v>
      </c>
      <c r="G34" s="499" t="b">
        <v>1</v>
      </c>
      <c r="H34" s="795" t="str">
        <f t="shared" si="17"/>
        <v>Commercial</v>
      </c>
      <c r="I34" s="502" t="s">
        <v>138</v>
      </c>
      <c r="J34" s="502" t="s">
        <v>459</v>
      </c>
      <c r="K34" s="502" t="s">
        <v>528</v>
      </c>
      <c r="L34" s="24">
        <v>2020</v>
      </c>
      <c r="M34" s="511">
        <v>3352837.5</v>
      </c>
      <c r="N34" s="512">
        <v>0</v>
      </c>
      <c r="O34" s="512">
        <v>0</v>
      </c>
      <c r="P34" s="318" t="s">
        <v>778</v>
      </c>
      <c r="Q34" s="505">
        <v>0.14199999999999999</v>
      </c>
      <c r="R34" s="862">
        <v>0.25890120999999999</v>
      </c>
      <c r="S34" s="111" t="s">
        <v>1917</v>
      </c>
      <c r="T34" s="507">
        <f t="shared" si="18"/>
        <v>1.4071189882082103E-2</v>
      </c>
      <c r="U34" s="508">
        <f t="shared" si="19"/>
        <v>0</v>
      </c>
      <c r="V34" s="796">
        <f t="shared" si="20"/>
        <v>1.4071189882082103E-2</v>
      </c>
    </row>
    <row r="35" spans="1:24" s="968" customFormat="1" ht="12.75" customHeight="1">
      <c r="A35" s="726" t="s">
        <v>24</v>
      </c>
      <c r="B35" s="499" t="str">
        <f t="shared" si="15"/>
        <v>COM_200202</v>
      </c>
      <c r="C35" s="499">
        <v>1</v>
      </c>
      <c r="D35" s="499">
        <v>0</v>
      </c>
      <c r="E35" s="499">
        <f t="shared" si="16"/>
        <v>1</v>
      </c>
      <c r="F35" s="499">
        <v>3</v>
      </c>
      <c r="G35" s="499" t="b">
        <v>1</v>
      </c>
      <c r="H35" s="2652" t="str">
        <f t="shared" si="17"/>
        <v>Commercial</v>
      </c>
      <c r="I35" s="2653" t="s">
        <v>138</v>
      </c>
      <c r="J35" s="2653" t="s">
        <v>478</v>
      </c>
      <c r="K35" s="2653" t="s">
        <v>1425</v>
      </c>
      <c r="L35" s="2654">
        <v>2020</v>
      </c>
      <c r="M35" s="2655">
        <v>46788800</v>
      </c>
      <c r="N35" s="2656">
        <v>0</v>
      </c>
      <c r="O35" s="2656">
        <v>0</v>
      </c>
      <c r="P35" s="2657" t="s">
        <v>778</v>
      </c>
      <c r="Q35" s="2658">
        <v>0.14199999999999999</v>
      </c>
      <c r="R35" s="2450">
        <v>0.62415204000000002</v>
      </c>
      <c r="S35" s="2659" t="s">
        <v>1917</v>
      </c>
      <c r="T35" s="2660">
        <f t="shared" si="18"/>
        <v>0.47338723123511228</v>
      </c>
      <c r="U35" s="2661">
        <f t="shared" si="19"/>
        <v>0</v>
      </c>
      <c r="V35" s="2662">
        <f t="shared" si="20"/>
        <v>0.47338723123511228</v>
      </c>
      <c r="X35" s="2651">
        <f>SUM(V35:V53)</f>
        <v>1.457716482588129</v>
      </c>
    </row>
    <row r="36" spans="1:24" s="482" customFormat="1" ht="12.75" customHeight="1">
      <c r="A36" s="726" t="s">
        <v>1426</v>
      </c>
      <c r="B36" s="499" t="str">
        <f t="shared" si="15"/>
        <v>COM_200202</v>
      </c>
      <c r="C36" s="499">
        <v>1</v>
      </c>
      <c r="D36" s="499">
        <v>0</v>
      </c>
      <c r="E36" s="499">
        <f t="shared" si="16"/>
        <v>1</v>
      </c>
      <c r="F36" s="499">
        <v>3</v>
      </c>
      <c r="G36" s="499" t="b">
        <v>1</v>
      </c>
      <c r="H36" s="2652" t="str">
        <f t="shared" si="17"/>
        <v>Commercial</v>
      </c>
      <c r="I36" s="2653" t="s">
        <v>138</v>
      </c>
      <c r="J36" s="2653" t="s">
        <v>478</v>
      </c>
      <c r="K36" s="2653" t="s">
        <v>539</v>
      </c>
      <c r="L36" s="2654">
        <v>2020</v>
      </c>
      <c r="M36" s="2655">
        <v>1462150</v>
      </c>
      <c r="N36" s="2656">
        <v>0</v>
      </c>
      <c r="O36" s="2656">
        <v>0</v>
      </c>
      <c r="P36" s="2657" t="s">
        <v>778</v>
      </c>
      <c r="Q36" s="2658">
        <v>0.13985600000000001</v>
      </c>
      <c r="R36" s="2450">
        <v>0.27444899</v>
      </c>
      <c r="S36" s="2659" t="s">
        <v>1917</v>
      </c>
      <c r="T36" s="2660">
        <f t="shared" si="18"/>
        <v>6.4066435590097144E-3</v>
      </c>
      <c r="U36" s="2661">
        <f t="shared" si="19"/>
        <v>0</v>
      </c>
      <c r="V36" s="2662">
        <f t="shared" si="20"/>
        <v>6.4066435590097144E-3</v>
      </c>
      <c r="X36" s="859">
        <f>SUM(V36:V54)</f>
        <v>1.0245100121570481</v>
      </c>
    </row>
    <row r="37" spans="1:24" s="482" customFormat="1" ht="12.75" customHeight="1">
      <c r="A37" s="726" t="s">
        <v>21</v>
      </c>
      <c r="B37" s="499" t="str">
        <f t="shared" si="15"/>
        <v>COM_200202</v>
      </c>
      <c r="C37" s="499">
        <v>1</v>
      </c>
      <c r="D37" s="499">
        <v>0</v>
      </c>
      <c r="E37" s="499">
        <f t="shared" si="16"/>
        <v>1</v>
      </c>
      <c r="F37" s="499">
        <v>3</v>
      </c>
      <c r="G37" s="499" t="b">
        <v>1</v>
      </c>
      <c r="H37" s="795" t="str">
        <f t="shared" si="17"/>
        <v>Commercial</v>
      </c>
      <c r="I37" s="502" t="s">
        <v>138</v>
      </c>
      <c r="J37" s="502" t="s">
        <v>445</v>
      </c>
      <c r="K37" s="502" t="s">
        <v>513</v>
      </c>
      <c r="L37" s="24">
        <v>2021</v>
      </c>
      <c r="M37" s="511">
        <v>1161636.66666667</v>
      </c>
      <c r="N37" s="512">
        <v>0</v>
      </c>
      <c r="O37" s="512">
        <v>0</v>
      </c>
      <c r="P37" s="318" t="s">
        <v>778</v>
      </c>
      <c r="Q37" s="505">
        <v>0.14199999999999999</v>
      </c>
      <c r="R37" s="862">
        <v>0.16939866000000001</v>
      </c>
      <c r="S37" s="111" t="s">
        <v>1917</v>
      </c>
      <c r="T37" s="507">
        <f t="shared" si="18"/>
        <v>3.1898078371128398E-3</v>
      </c>
      <c r="U37" s="508">
        <f t="shared" si="19"/>
        <v>0</v>
      </c>
      <c r="V37" s="796">
        <f t="shared" si="20"/>
        <v>3.1898078371128398E-3</v>
      </c>
    </row>
    <row r="38" spans="1:24" s="482" customFormat="1" ht="12.75" customHeight="1">
      <c r="A38" s="726" t="s">
        <v>1417</v>
      </c>
      <c r="B38" s="499" t="str">
        <f t="shared" si="15"/>
        <v>COM_200202</v>
      </c>
      <c r="C38" s="499">
        <v>1</v>
      </c>
      <c r="D38" s="499">
        <v>0</v>
      </c>
      <c r="E38" s="499">
        <f t="shared" si="16"/>
        <v>1</v>
      </c>
      <c r="F38" s="499">
        <v>3</v>
      </c>
      <c r="G38" s="499" t="b">
        <v>1</v>
      </c>
      <c r="H38" s="795" t="str">
        <f t="shared" si="17"/>
        <v>Commercial</v>
      </c>
      <c r="I38" s="502" t="s">
        <v>138</v>
      </c>
      <c r="J38" s="502" t="s">
        <v>453</v>
      </c>
      <c r="K38" s="502" t="s">
        <v>2437</v>
      </c>
      <c r="L38" s="24">
        <v>2021</v>
      </c>
      <c r="M38" s="511">
        <v>1209656.25</v>
      </c>
      <c r="N38" s="512">
        <v>0</v>
      </c>
      <c r="O38" s="512">
        <v>0</v>
      </c>
      <c r="P38" s="318" t="s">
        <v>778</v>
      </c>
      <c r="Q38" s="505">
        <v>0.13985600000000001</v>
      </c>
      <c r="R38" s="862">
        <v>0.45122251000000002</v>
      </c>
      <c r="S38" s="111" t="s">
        <v>1917</v>
      </c>
      <c r="T38" s="507">
        <f t="shared" si="18"/>
        <v>8.7142442278627958E-3</v>
      </c>
      <c r="U38" s="508">
        <f t="shared" si="19"/>
        <v>0</v>
      </c>
      <c r="V38" s="796">
        <f t="shared" si="20"/>
        <v>8.7142442278627958E-3</v>
      </c>
    </row>
    <row r="39" spans="1:24" s="482" customFormat="1" ht="12.75" customHeight="1">
      <c r="A39" s="726" t="s">
        <v>23</v>
      </c>
      <c r="B39" s="499" t="str">
        <f t="shared" si="15"/>
        <v>COM_200202</v>
      </c>
      <c r="C39" s="499">
        <v>1</v>
      </c>
      <c r="D39" s="499">
        <v>0</v>
      </c>
      <c r="E39" s="499">
        <f t="shared" si="16"/>
        <v>1</v>
      </c>
      <c r="F39" s="499">
        <v>3</v>
      </c>
      <c r="G39" s="499" t="b">
        <v>1</v>
      </c>
      <c r="H39" s="795" t="str">
        <f t="shared" si="17"/>
        <v>Commercial</v>
      </c>
      <c r="I39" s="502" t="s">
        <v>138</v>
      </c>
      <c r="J39" s="502" t="s">
        <v>459</v>
      </c>
      <c r="K39" s="502" t="s">
        <v>528</v>
      </c>
      <c r="L39" s="24">
        <v>2021</v>
      </c>
      <c r="M39" s="511">
        <v>8754631.25</v>
      </c>
      <c r="N39" s="512">
        <v>0</v>
      </c>
      <c r="O39" s="512">
        <v>0</v>
      </c>
      <c r="P39" s="318" t="s">
        <v>778</v>
      </c>
      <c r="Q39" s="505">
        <v>0.14199999999999999</v>
      </c>
      <c r="R39" s="862">
        <v>0.25890120999999999</v>
      </c>
      <c r="S39" s="111" t="s">
        <v>1917</v>
      </c>
      <c r="T39" s="507">
        <f t="shared" si="18"/>
        <v>3.6741440247658831E-2</v>
      </c>
      <c r="U39" s="508">
        <f t="shared" si="19"/>
        <v>0</v>
      </c>
      <c r="V39" s="796">
        <f t="shared" si="20"/>
        <v>3.6741440247658831E-2</v>
      </c>
      <c r="X39" s="859">
        <f>SUM(Standards!V39:V42)</f>
        <v>0</v>
      </c>
    </row>
    <row r="40" spans="1:24" s="482" customFormat="1" ht="12.75" customHeight="1">
      <c r="A40" s="726" t="s">
        <v>24</v>
      </c>
      <c r="B40" s="499" t="str">
        <f t="shared" si="15"/>
        <v>COM_200202</v>
      </c>
      <c r="C40" s="499">
        <v>1</v>
      </c>
      <c r="D40" s="499">
        <v>0</v>
      </c>
      <c r="E40" s="499">
        <f t="shared" si="16"/>
        <v>1</v>
      </c>
      <c r="F40" s="499">
        <v>3</v>
      </c>
      <c r="G40" s="499" t="b">
        <v>1</v>
      </c>
      <c r="H40" s="2652" t="str">
        <f t="shared" si="17"/>
        <v>Commercial</v>
      </c>
      <c r="I40" s="2653" t="s">
        <v>138</v>
      </c>
      <c r="J40" s="2653" t="s">
        <v>478</v>
      </c>
      <c r="K40" s="2653" t="s">
        <v>1425</v>
      </c>
      <c r="L40" s="2654">
        <v>2021</v>
      </c>
      <c r="M40" s="2655">
        <v>46788800</v>
      </c>
      <c r="N40" s="2656">
        <v>0</v>
      </c>
      <c r="O40" s="2656">
        <v>0</v>
      </c>
      <c r="P40" s="2657" t="s">
        <v>778</v>
      </c>
      <c r="Q40" s="2658">
        <v>0.14199999999999999</v>
      </c>
      <c r="R40" s="2450">
        <v>0.62415204000000002</v>
      </c>
      <c r="S40" s="2659" t="s">
        <v>1917</v>
      </c>
      <c r="T40" s="2660">
        <f t="shared" si="18"/>
        <v>0.47338723123511228</v>
      </c>
      <c r="U40" s="2661">
        <f t="shared" si="19"/>
        <v>0</v>
      </c>
      <c r="V40" s="2662">
        <f t="shared" si="20"/>
        <v>0.47338723123511228</v>
      </c>
    </row>
    <row r="41" spans="1:24" s="482" customFormat="1" ht="12.75" customHeight="1">
      <c r="A41" s="726" t="s">
        <v>1426</v>
      </c>
      <c r="B41" s="499" t="str">
        <f t="shared" si="15"/>
        <v>COM_200202</v>
      </c>
      <c r="C41" s="499">
        <v>1</v>
      </c>
      <c r="D41" s="499">
        <v>0</v>
      </c>
      <c r="E41" s="499">
        <f t="shared" si="16"/>
        <v>1</v>
      </c>
      <c r="F41" s="499">
        <v>3</v>
      </c>
      <c r="G41" s="499" t="b">
        <v>1</v>
      </c>
      <c r="H41" s="2652" t="str">
        <f t="shared" si="17"/>
        <v>Commercial</v>
      </c>
      <c r="I41" s="2653" t="s">
        <v>138</v>
      </c>
      <c r="J41" s="2653" t="s">
        <v>478</v>
      </c>
      <c r="K41" s="2653" t="s">
        <v>539</v>
      </c>
      <c r="L41" s="2654">
        <v>2021</v>
      </c>
      <c r="M41" s="2655">
        <v>15206360</v>
      </c>
      <c r="N41" s="2656">
        <v>0</v>
      </c>
      <c r="O41" s="2656">
        <v>0</v>
      </c>
      <c r="P41" s="2657" t="s">
        <v>778</v>
      </c>
      <c r="Q41" s="2658">
        <v>0.13985600000000001</v>
      </c>
      <c r="R41" s="2450">
        <v>0.27555355999999998</v>
      </c>
      <c r="S41" s="2659" t="s">
        <v>1917</v>
      </c>
      <c r="T41" s="2660">
        <f t="shared" si="18"/>
        <v>6.6897253946886254E-2</v>
      </c>
      <c r="U41" s="2661">
        <f t="shared" si="19"/>
        <v>0</v>
      </c>
      <c r="V41" s="2662">
        <f t="shared" si="20"/>
        <v>6.6897253946886254E-2</v>
      </c>
    </row>
    <row r="42" spans="1:24" s="482" customFormat="1" ht="12.75" customHeight="1">
      <c r="A42" s="726" t="s">
        <v>63</v>
      </c>
      <c r="B42" s="499" t="str">
        <f t="shared" si="15"/>
        <v>RES_201301</v>
      </c>
      <c r="C42" s="499">
        <v>1</v>
      </c>
      <c r="D42" s="499">
        <v>0</v>
      </c>
      <c r="E42" s="499">
        <f t="shared" si="16"/>
        <v>1</v>
      </c>
      <c r="F42" s="499">
        <v>3</v>
      </c>
      <c r="G42" s="499" t="b">
        <v>1</v>
      </c>
      <c r="H42" s="795" t="str">
        <f t="shared" si="17"/>
        <v>Residential</v>
      </c>
      <c r="I42" s="502" t="s">
        <v>154</v>
      </c>
      <c r="J42" s="502" t="s">
        <v>452</v>
      </c>
      <c r="K42" s="502" t="s">
        <v>508</v>
      </c>
      <c r="L42" s="24">
        <v>2021</v>
      </c>
      <c r="M42" s="511">
        <v>1910</v>
      </c>
      <c r="N42" s="512">
        <v>0</v>
      </c>
      <c r="O42" s="512">
        <v>0</v>
      </c>
      <c r="P42" s="318" t="s">
        <v>778</v>
      </c>
      <c r="Q42" s="505">
        <v>0.14199999999999999</v>
      </c>
      <c r="R42" s="860">
        <v>363</v>
      </c>
      <c r="S42" s="111" t="s">
        <v>1916</v>
      </c>
      <c r="T42" s="507">
        <f t="shared" si="18"/>
        <v>1.1238910958904108E-2</v>
      </c>
      <c r="U42" s="508">
        <f t="shared" si="19"/>
        <v>0</v>
      </c>
      <c r="V42" s="796">
        <f t="shared" si="20"/>
        <v>1.1238910958904108E-2</v>
      </c>
    </row>
    <row r="43" spans="1:24" s="482" customFormat="1" ht="12.75" customHeight="1">
      <c r="A43" s="726" t="s">
        <v>63</v>
      </c>
      <c r="B43" s="499" t="str">
        <f t="shared" si="15"/>
        <v>RES_201301</v>
      </c>
      <c r="C43" s="499">
        <v>1</v>
      </c>
      <c r="D43" s="499">
        <v>0</v>
      </c>
      <c r="E43" s="499">
        <f t="shared" si="16"/>
        <v>1</v>
      </c>
      <c r="F43" s="499">
        <v>3</v>
      </c>
      <c r="G43" s="499" t="b">
        <v>1</v>
      </c>
      <c r="H43" s="795" t="str">
        <f t="shared" si="17"/>
        <v>Residential</v>
      </c>
      <c r="I43" s="502" t="s">
        <v>154</v>
      </c>
      <c r="J43" s="502" t="s">
        <v>452</v>
      </c>
      <c r="K43" s="502" t="s">
        <v>508</v>
      </c>
      <c r="L43" s="24">
        <v>2020</v>
      </c>
      <c r="M43" s="511">
        <v>1314</v>
      </c>
      <c r="N43" s="512">
        <v>0</v>
      </c>
      <c r="O43" s="512">
        <v>0</v>
      </c>
      <c r="P43" s="318" t="s">
        <v>778</v>
      </c>
      <c r="Q43" s="505">
        <v>0.14199999999999999</v>
      </c>
      <c r="R43" s="860">
        <v>363</v>
      </c>
      <c r="S43" s="111" t="s">
        <v>1916</v>
      </c>
      <c r="T43" s="507">
        <f t="shared" si="18"/>
        <v>7.7319000000000008E-3</v>
      </c>
      <c r="U43" s="508">
        <f t="shared" si="19"/>
        <v>0</v>
      </c>
      <c r="V43" s="796">
        <f t="shared" si="20"/>
        <v>7.7319000000000008E-3</v>
      </c>
    </row>
    <row r="44" spans="1:24" s="482" customFormat="1" ht="12.75" customHeight="1">
      <c r="A44" s="726" t="s">
        <v>62</v>
      </c>
      <c r="B44" s="499" t="str">
        <f t="shared" si="15"/>
        <v>RES_201301</v>
      </c>
      <c r="C44" s="499">
        <v>1</v>
      </c>
      <c r="D44" s="499">
        <v>0</v>
      </c>
      <c r="E44" s="499">
        <f t="shared" si="16"/>
        <v>1</v>
      </c>
      <c r="F44" s="499">
        <v>3</v>
      </c>
      <c r="G44" s="499" t="b">
        <v>1</v>
      </c>
      <c r="H44" s="795" t="str">
        <f t="shared" si="17"/>
        <v>Residential</v>
      </c>
      <c r="I44" s="502" t="s">
        <v>154</v>
      </c>
      <c r="J44" s="502" t="s">
        <v>444</v>
      </c>
      <c r="K44" s="502" t="s">
        <v>508</v>
      </c>
      <c r="L44" s="24">
        <v>2021</v>
      </c>
      <c r="M44" s="511">
        <v>7162</v>
      </c>
      <c r="N44" s="512">
        <v>0</v>
      </c>
      <c r="O44" s="512">
        <v>0</v>
      </c>
      <c r="P44" s="318" t="s">
        <v>778</v>
      </c>
      <c r="Q44" s="505">
        <v>0.14199999999999999</v>
      </c>
      <c r="R44" s="860">
        <v>1007</v>
      </c>
      <c r="S44" s="111" t="s">
        <v>1916</v>
      </c>
      <c r="T44" s="507">
        <f t="shared" si="18"/>
        <v>0.1169090214611872</v>
      </c>
      <c r="U44" s="508">
        <f t="shared" si="19"/>
        <v>0</v>
      </c>
      <c r="V44" s="796">
        <f t="shared" si="20"/>
        <v>0.1169090214611872</v>
      </c>
    </row>
    <row r="45" spans="1:24" s="482" customFormat="1" ht="12.75" customHeight="1">
      <c r="A45" s="726" t="s">
        <v>1210</v>
      </c>
      <c r="B45" s="499" t="str">
        <f t="shared" si="15"/>
        <v>RES_200601</v>
      </c>
      <c r="C45" s="461">
        <v>1</v>
      </c>
      <c r="D45" s="461">
        <v>0</v>
      </c>
      <c r="E45" s="461">
        <f t="shared" si="16"/>
        <v>1</v>
      </c>
      <c r="F45" s="461">
        <v>3</v>
      </c>
      <c r="G45" s="499" t="b">
        <v>1</v>
      </c>
      <c r="H45" s="795" t="str">
        <f t="shared" si="17"/>
        <v>Residential</v>
      </c>
      <c r="I45" s="502" t="s">
        <v>150</v>
      </c>
      <c r="J45" s="502" t="s">
        <v>461</v>
      </c>
      <c r="K45" s="502" t="s">
        <v>522</v>
      </c>
      <c r="L45" s="24">
        <v>2020</v>
      </c>
      <c r="M45" s="511">
        <v>3080.3357040699998</v>
      </c>
      <c r="N45" s="512">
        <v>0</v>
      </c>
      <c r="O45" s="512">
        <v>0</v>
      </c>
      <c r="P45" s="318" t="s">
        <v>778</v>
      </c>
      <c r="Q45" s="505">
        <v>0.14199999999999999</v>
      </c>
      <c r="R45" s="860">
        <v>515</v>
      </c>
      <c r="S45" s="111" t="s">
        <v>1916</v>
      </c>
      <c r="T45" s="507">
        <f t="shared" si="18"/>
        <v>2.5715176945050121E-2</v>
      </c>
      <c r="U45" s="508">
        <f t="shared" si="19"/>
        <v>0</v>
      </c>
      <c r="V45" s="796">
        <f t="shared" si="20"/>
        <v>2.5715176945050121E-2</v>
      </c>
    </row>
    <row r="46" spans="1:24" s="482" customFormat="1" ht="12.75" customHeight="1">
      <c r="A46" s="726" t="s">
        <v>1210</v>
      </c>
      <c r="B46" s="499" t="str">
        <f t="shared" si="15"/>
        <v>RES_200601</v>
      </c>
      <c r="C46" s="499">
        <v>1</v>
      </c>
      <c r="D46" s="499">
        <v>0</v>
      </c>
      <c r="E46" s="499">
        <f t="shared" si="16"/>
        <v>1</v>
      </c>
      <c r="F46" s="499">
        <v>3</v>
      </c>
      <c r="G46" s="499" t="b">
        <v>1</v>
      </c>
      <c r="H46" s="795" t="str">
        <f t="shared" si="17"/>
        <v>Residential</v>
      </c>
      <c r="I46" s="502" t="s">
        <v>150</v>
      </c>
      <c r="J46" s="502" t="s">
        <v>461</v>
      </c>
      <c r="K46" s="502" t="s">
        <v>522</v>
      </c>
      <c r="L46" s="24">
        <v>2021</v>
      </c>
      <c r="M46" s="511">
        <v>3111.1390611100001</v>
      </c>
      <c r="N46" s="512">
        <v>0</v>
      </c>
      <c r="O46" s="512">
        <v>0</v>
      </c>
      <c r="P46" s="318" t="s">
        <v>778</v>
      </c>
      <c r="Q46" s="505">
        <v>0.14199999999999999</v>
      </c>
      <c r="R46" s="860">
        <v>515</v>
      </c>
      <c r="S46" s="111" t="s">
        <v>1916</v>
      </c>
      <c r="T46" s="507">
        <f t="shared" si="18"/>
        <v>2.5972328714494782E-2</v>
      </c>
      <c r="U46" s="508">
        <f t="shared" si="19"/>
        <v>0</v>
      </c>
      <c r="V46" s="796">
        <f t="shared" si="20"/>
        <v>2.5972328714494782E-2</v>
      </c>
    </row>
    <row r="47" spans="1:24" s="482" customFormat="1" ht="12.75" customHeight="1">
      <c r="A47" s="726" t="s">
        <v>85</v>
      </c>
      <c r="B47" s="499" t="str">
        <f t="shared" si="15"/>
        <v>RES_201301</v>
      </c>
      <c r="C47" s="499">
        <v>1</v>
      </c>
      <c r="D47" s="499">
        <v>0</v>
      </c>
      <c r="E47" s="499">
        <f t="shared" si="16"/>
        <v>1</v>
      </c>
      <c r="F47" s="499">
        <v>3</v>
      </c>
      <c r="G47" s="499" t="b">
        <v>1</v>
      </c>
      <c r="H47" s="795" t="str">
        <f t="shared" si="17"/>
        <v>Residential</v>
      </c>
      <c r="I47" s="502" t="s">
        <v>154</v>
      </c>
      <c r="J47" s="502" t="s">
        <v>458</v>
      </c>
      <c r="K47" s="502" t="s">
        <v>1288</v>
      </c>
      <c r="L47" s="24">
        <v>2021</v>
      </c>
      <c r="M47" s="511">
        <v>5522</v>
      </c>
      <c r="N47" s="512">
        <v>0</v>
      </c>
      <c r="O47" s="512">
        <v>0</v>
      </c>
      <c r="P47" s="318" t="s">
        <v>778</v>
      </c>
      <c r="Q47" s="505">
        <v>0.14199999999999999</v>
      </c>
      <c r="R47" s="860">
        <v>914</v>
      </c>
      <c r="S47" s="111" t="s">
        <v>1916</v>
      </c>
      <c r="T47" s="507">
        <f t="shared" si="18"/>
        <v>8.1813851141552499E-2</v>
      </c>
      <c r="U47" s="508">
        <f t="shared" si="19"/>
        <v>0</v>
      </c>
      <c r="V47" s="796">
        <f t="shared" si="20"/>
        <v>8.1813851141552499E-2</v>
      </c>
    </row>
    <row r="48" spans="1:24" s="482" customFormat="1" ht="12.75" customHeight="1">
      <c r="A48" s="726" t="s">
        <v>85</v>
      </c>
      <c r="B48" s="499" t="str">
        <f t="shared" si="15"/>
        <v>RES_201301</v>
      </c>
      <c r="C48" s="499">
        <v>1</v>
      </c>
      <c r="D48" s="499">
        <v>0</v>
      </c>
      <c r="E48" s="499">
        <f t="shared" si="16"/>
        <v>1</v>
      </c>
      <c r="F48" s="499">
        <v>3</v>
      </c>
      <c r="G48" s="499" t="b">
        <v>1</v>
      </c>
      <c r="H48" s="795" t="str">
        <f t="shared" si="17"/>
        <v>Residential</v>
      </c>
      <c r="I48" s="502" t="s">
        <v>154</v>
      </c>
      <c r="J48" s="502" t="s">
        <v>458</v>
      </c>
      <c r="K48" s="502" t="s">
        <v>1288</v>
      </c>
      <c r="L48" s="24">
        <v>2020</v>
      </c>
      <c r="M48" s="511">
        <v>5388</v>
      </c>
      <c r="N48" s="512">
        <v>0</v>
      </c>
      <c r="O48" s="512">
        <v>0</v>
      </c>
      <c r="P48" s="318" t="s">
        <v>778</v>
      </c>
      <c r="Q48" s="505">
        <v>0.14199999999999999</v>
      </c>
      <c r="R48" s="860">
        <v>914</v>
      </c>
      <c r="S48" s="111" t="s">
        <v>1916</v>
      </c>
      <c r="T48" s="507">
        <f t="shared" si="18"/>
        <v>7.9828509589041086E-2</v>
      </c>
      <c r="U48" s="508">
        <f t="shared" si="19"/>
        <v>0</v>
      </c>
      <c r="V48" s="796">
        <f t="shared" si="20"/>
        <v>7.9828509589041086E-2</v>
      </c>
    </row>
    <row r="49" spans="1:24" s="482" customFormat="1" ht="12.75" customHeight="1">
      <c r="A49" s="726" t="s">
        <v>2440</v>
      </c>
      <c r="B49" s="499" t="str">
        <f t="shared" si="15"/>
        <v>RES_200601</v>
      </c>
      <c r="C49" s="499">
        <v>1</v>
      </c>
      <c r="D49" s="499">
        <v>0</v>
      </c>
      <c r="E49" s="499">
        <f t="shared" si="16"/>
        <v>1</v>
      </c>
      <c r="F49" s="499">
        <v>3</v>
      </c>
      <c r="G49" s="499" t="b">
        <v>1</v>
      </c>
      <c r="H49" s="795" t="str">
        <f t="shared" si="17"/>
        <v>Residential</v>
      </c>
      <c r="I49" s="502" t="s">
        <v>150</v>
      </c>
      <c r="J49" s="502" t="s">
        <v>461</v>
      </c>
      <c r="K49" s="502" t="s">
        <v>1488</v>
      </c>
      <c r="L49" s="24">
        <v>2020</v>
      </c>
      <c r="M49" s="511">
        <v>0</v>
      </c>
      <c r="N49" s="2448">
        <v>0</v>
      </c>
      <c r="O49" s="2448">
        <v>0</v>
      </c>
      <c r="P49" s="318" t="s">
        <v>2284</v>
      </c>
      <c r="Q49" s="2449">
        <v>0</v>
      </c>
      <c r="R49" s="2544">
        <v>0</v>
      </c>
      <c r="S49" s="2451" t="s">
        <v>1916</v>
      </c>
      <c r="T49" s="2452">
        <f t="shared" si="18"/>
        <v>0</v>
      </c>
      <c r="U49" s="2453">
        <f t="shared" si="19"/>
        <v>0</v>
      </c>
      <c r="V49" s="2454">
        <f t="shared" si="20"/>
        <v>0</v>
      </c>
    </row>
    <row r="50" spans="1:24" s="482" customFormat="1" ht="12.75" customHeight="1">
      <c r="A50" s="726" t="s">
        <v>2440</v>
      </c>
      <c r="B50" s="499" t="str">
        <f t="shared" si="15"/>
        <v>RES_200601</v>
      </c>
      <c r="C50" s="499">
        <v>1</v>
      </c>
      <c r="D50" s="499">
        <v>0</v>
      </c>
      <c r="E50" s="499">
        <f t="shared" si="16"/>
        <v>1</v>
      </c>
      <c r="F50" s="499">
        <v>3</v>
      </c>
      <c r="G50" s="499" t="b">
        <v>1</v>
      </c>
      <c r="H50" s="795" t="str">
        <f t="shared" si="17"/>
        <v>Residential</v>
      </c>
      <c r="I50" s="502" t="s">
        <v>150</v>
      </c>
      <c r="J50" s="502" t="s">
        <v>461</v>
      </c>
      <c r="K50" s="502" t="s">
        <v>1488</v>
      </c>
      <c r="L50" s="24">
        <v>2021</v>
      </c>
      <c r="M50" s="511">
        <v>1555.5695305500001</v>
      </c>
      <c r="N50" s="2448">
        <v>0</v>
      </c>
      <c r="O50" s="2448">
        <v>0</v>
      </c>
      <c r="P50" s="318" t="s">
        <v>2284</v>
      </c>
      <c r="Q50" s="2449">
        <v>0.13985600000000001</v>
      </c>
      <c r="R50" s="2544">
        <v>0</v>
      </c>
      <c r="S50" s="2451" t="s">
        <v>1916</v>
      </c>
      <c r="T50" s="2452">
        <f t="shared" si="18"/>
        <v>0</v>
      </c>
      <c r="U50" s="2453">
        <f t="shared" si="19"/>
        <v>0</v>
      </c>
      <c r="V50" s="2454">
        <f t="shared" si="20"/>
        <v>0</v>
      </c>
    </row>
    <row r="51" spans="1:24" s="482" customFormat="1" ht="12.75" customHeight="1">
      <c r="A51" s="726" t="s">
        <v>65</v>
      </c>
      <c r="B51" s="499" t="str">
        <f t="shared" si="15"/>
        <v>RES_201301</v>
      </c>
      <c r="C51" s="499">
        <v>1</v>
      </c>
      <c r="D51" s="499">
        <v>0</v>
      </c>
      <c r="E51" s="499">
        <f t="shared" si="16"/>
        <v>1</v>
      </c>
      <c r="F51" s="499">
        <v>3</v>
      </c>
      <c r="G51" s="499" t="b">
        <v>1</v>
      </c>
      <c r="H51" s="2541" t="str">
        <f t="shared" si="17"/>
        <v>Residential</v>
      </c>
      <c r="I51" s="502" t="s">
        <v>154</v>
      </c>
      <c r="J51" s="502" t="s">
        <v>458</v>
      </c>
      <c r="K51" s="502" t="s">
        <v>2399</v>
      </c>
      <c r="L51" s="24">
        <v>2020</v>
      </c>
      <c r="M51" s="511">
        <v>0</v>
      </c>
      <c r="N51" s="512">
        <v>0</v>
      </c>
      <c r="O51" s="512">
        <v>0</v>
      </c>
      <c r="P51" s="318" t="s">
        <v>778</v>
      </c>
      <c r="Q51" s="505">
        <v>0</v>
      </c>
      <c r="R51" s="860">
        <v>0</v>
      </c>
      <c r="S51" s="111" t="s">
        <v>1916</v>
      </c>
      <c r="T51" s="507">
        <f t="shared" si="18"/>
        <v>0</v>
      </c>
      <c r="U51" s="508">
        <f t="shared" si="19"/>
        <v>0</v>
      </c>
      <c r="V51" s="796">
        <f t="shared" si="20"/>
        <v>0</v>
      </c>
    </row>
    <row r="52" spans="1:24" s="482" customFormat="1" ht="12.75" customHeight="1">
      <c r="A52" s="726" t="s">
        <v>65</v>
      </c>
      <c r="B52" s="499" t="str">
        <f t="shared" si="15"/>
        <v>RES_201301</v>
      </c>
      <c r="C52" s="499">
        <v>1</v>
      </c>
      <c r="D52" s="499">
        <v>0</v>
      </c>
      <c r="E52" s="499">
        <f t="shared" si="16"/>
        <v>1</v>
      </c>
      <c r="F52" s="499">
        <v>3</v>
      </c>
      <c r="G52" s="499" t="b">
        <v>1</v>
      </c>
      <c r="H52" s="2541" t="str">
        <f t="shared" si="17"/>
        <v>Residential</v>
      </c>
      <c r="I52" s="502" t="s">
        <v>154</v>
      </c>
      <c r="J52" s="502" t="s">
        <v>458</v>
      </c>
      <c r="K52" s="502" t="s">
        <v>2399</v>
      </c>
      <c r="L52" s="24">
        <v>2021</v>
      </c>
      <c r="M52" s="511">
        <v>2761</v>
      </c>
      <c r="N52" s="512">
        <v>0</v>
      </c>
      <c r="O52" s="512">
        <v>0</v>
      </c>
      <c r="P52" s="318" t="s">
        <v>778</v>
      </c>
      <c r="Q52" s="505">
        <v>0.13985600000000001</v>
      </c>
      <c r="R52" s="860">
        <v>0</v>
      </c>
      <c r="S52" s="111" t="s">
        <v>1916</v>
      </c>
      <c r="T52" s="507">
        <f t="shared" si="18"/>
        <v>0</v>
      </c>
      <c r="U52" s="508">
        <f t="shared" si="19"/>
        <v>0</v>
      </c>
      <c r="V52" s="796">
        <f t="shared" si="20"/>
        <v>0</v>
      </c>
    </row>
    <row r="53" spans="1:24" s="482" customFormat="1" ht="12" customHeight="1">
      <c r="A53" s="726" t="s">
        <v>72</v>
      </c>
      <c r="B53" s="499" t="str">
        <f t="shared" si="15"/>
        <v>RES_200601</v>
      </c>
      <c r="C53" s="499">
        <v>1</v>
      </c>
      <c r="D53" s="499">
        <v>0</v>
      </c>
      <c r="E53" s="499">
        <f t="shared" si="16"/>
        <v>1</v>
      </c>
      <c r="F53" s="499">
        <v>3</v>
      </c>
      <c r="G53" s="499" t="b">
        <v>1</v>
      </c>
      <c r="H53" s="2652" t="str">
        <f t="shared" si="17"/>
        <v>Residential</v>
      </c>
      <c r="I53" s="2653" t="s">
        <v>150</v>
      </c>
      <c r="J53" s="2653" t="s">
        <v>480</v>
      </c>
      <c r="K53" s="2653" t="s">
        <v>538</v>
      </c>
      <c r="L53" s="2654">
        <v>2020</v>
      </c>
      <c r="M53" s="2655">
        <v>4528.0713040500004</v>
      </c>
      <c r="N53" s="2656">
        <v>0</v>
      </c>
      <c r="O53" s="2656">
        <v>0</v>
      </c>
      <c r="P53" s="2657" t="s">
        <v>778</v>
      </c>
      <c r="Q53" s="2658">
        <v>0.14199999999999999</v>
      </c>
      <c r="R53" s="2450">
        <v>542</v>
      </c>
      <c r="S53" s="2659" t="s">
        <v>1916</v>
      </c>
      <c r="T53" s="2660">
        <f t="shared" si="18"/>
        <v>3.9782931489144316E-2</v>
      </c>
      <c r="U53" s="2661">
        <f t="shared" si="19"/>
        <v>0</v>
      </c>
      <c r="V53" s="2662">
        <f t="shared" si="20"/>
        <v>3.9782931489144316E-2</v>
      </c>
    </row>
    <row r="54" spans="1:24" s="482" customFormat="1" ht="12.75" customHeight="1">
      <c r="A54" s="726" t="s">
        <v>72</v>
      </c>
      <c r="B54" s="499" t="str">
        <f t="shared" si="15"/>
        <v>RES_200601</v>
      </c>
      <c r="C54" s="499">
        <v>1</v>
      </c>
      <c r="D54" s="499">
        <v>0</v>
      </c>
      <c r="E54" s="499">
        <f t="shared" si="16"/>
        <v>1</v>
      </c>
      <c r="F54" s="499">
        <v>3</v>
      </c>
      <c r="G54" s="499" t="b">
        <v>1</v>
      </c>
      <c r="H54" s="2652" t="str">
        <f t="shared" si="17"/>
        <v>Residential</v>
      </c>
      <c r="I54" s="2653" t="s">
        <v>150</v>
      </c>
      <c r="J54" s="2653" t="s">
        <v>480</v>
      </c>
      <c r="K54" s="2653" t="s">
        <v>538</v>
      </c>
      <c r="L54" s="2654">
        <v>2021</v>
      </c>
      <c r="M54" s="2655">
        <v>4573.3520170900001</v>
      </c>
      <c r="N54" s="2656">
        <v>0</v>
      </c>
      <c r="O54" s="2656">
        <v>0</v>
      </c>
      <c r="P54" s="2657" t="s">
        <v>778</v>
      </c>
      <c r="Q54" s="2658">
        <v>0.14199999999999999</v>
      </c>
      <c r="R54" s="2450">
        <v>542</v>
      </c>
      <c r="S54" s="2659" t="s">
        <v>1916</v>
      </c>
      <c r="T54" s="2660">
        <f t="shared" si="18"/>
        <v>4.0180760804031358E-2</v>
      </c>
      <c r="U54" s="2661">
        <f t="shared" si="19"/>
        <v>0</v>
      </c>
      <c r="V54" s="2662">
        <f t="shared" si="20"/>
        <v>4.0180760804031358E-2</v>
      </c>
    </row>
    <row r="55" spans="1:24" s="482" customFormat="1" ht="12.75" customHeight="1">
      <c r="A55" s="726" t="s">
        <v>67</v>
      </c>
      <c r="B55" s="499" t="str">
        <f t="shared" si="15"/>
        <v>RES_201301</v>
      </c>
      <c r="C55" s="499">
        <v>1</v>
      </c>
      <c r="D55" s="499">
        <v>0</v>
      </c>
      <c r="E55" s="499">
        <f t="shared" si="16"/>
        <v>1</v>
      </c>
      <c r="F55" s="499">
        <v>3</v>
      </c>
      <c r="G55" s="499" t="b">
        <v>1</v>
      </c>
      <c r="H55" s="2652" t="str">
        <f t="shared" si="17"/>
        <v>Residential</v>
      </c>
      <c r="I55" s="2653" t="s">
        <v>154</v>
      </c>
      <c r="J55" s="2653" t="s">
        <v>477</v>
      </c>
      <c r="K55" s="2653" t="s">
        <v>538</v>
      </c>
      <c r="L55" s="2654">
        <v>2021</v>
      </c>
      <c r="M55" s="2655">
        <v>16225</v>
      </c>
      <c r="N55" s="2656">
        <v>0</v>
      </c>
      <c r="O55" s="2656">
        <v>0</v>
      </c>
      <c r="P55" s="2657" t="s">
        <v>778</v>
      </c>
      <c r="Q55" s="2658">
        <v>0.14199999999999999</v>
      </c>
      <c r="R55" s="2450">
        <v>294.27999999999997</v>
      </c>
      <c r="S55" s="2659" t="s">
        <v>1916</v>
      </c>
      <c r="T55" s="2660">
        <f t="shared" si="18"/>
        <v>7.7397991552511397E-2</v>
      </c>
      <c r="U55" s="2661">
        <f t="shared" si="19"/>
        <v>0</v>
      </c>
      <c r="V55" s="2662">
        <f t="shared" si="20"/>
        <v>7.7397991552511397E-2</v>
      </c>
    </row>
    <row r="56" spans="1:24" s="482" customFormat="1" ht="12.75" customHeight="1">
      <c r="A56" s="726" t="s">
        <v>67</v>
      </c>
      <c r="B56" s="499" t="str">
        <f t="shared" si="15"/>
        <v>RES_201301</v>
      </c>
      <c r="C56" s="499">
        <v>1</v>
      </c>
      <c r="D56" s="499">
        <v>0</v>
      </c>
      <c r="E56" s="499">
        <f t="shared" si="16"/>
        <v>1</v>
      </c>
      <c r="F56" s="499">
        <v>3</v>
      </c>
      <c r="G56" s="499" t="b">
        <v>1</v>
      </c>
      <c r="H56" s="2652" t="str">
        <f t="shared" si="17"/>
        <v>Residential</v>
      </c>
      <c r="I56" s="2653" t="s">
        <v>154</v>
      </c>
      <c r="J56" s="2653" t="s">
        <v>477</v>
      </c>
      <c r="K56" s="2653" t="s">
        <v>538</v>
      </c>
      <c r="L56" s="2654">
        <v>2020</v>
      </c>
      <c r="M56" s="2655">
        <v>15878</v>
      </c>
      <c r="N56" s="2656">
        <v>0</v>
      </c>
      <c r="O56" s="2656">
        <v>0</v>
      </c>
      <c r="P56" s="2657" t="s">
        <v>778</v>
      </c>
      <c r="Q56" s="2658">
        <v>0.14199999999999999</v>
      </c>
      <c r="R56" s="2450">
        <v>294.27999999999997</v>
      </c>
      <c r="S56" s="2659" t="s">
        <v>1916</v>
      </c>
      <c r="T56" s="2660">
        <f t="shared" si="18"/>
        <v>7.574270014611871E-2</v>
      </c>
      <c r="U56" s="2661">
        <f t="shared" si="19"/>
        <v>0</v>
      </c>
      <c r="V56" s="2662">
        <f t="shared" si="20"/>
        <v>7.574270014611871E-2</v>
      </c>
    </row>
    <row r="57" spans="1:24" s="482" customFormat="1" ht="12.75" customHeight="1">
      <c r="A57" s="726" t="s">
        <v>73</v>
      </c>
      <c r="B57" s="499" t="str">
        <f t="shared" si="15"/>
        <v>RES_200601</v>
      </c>
      <c r="C57" s="499">
        <v>1</v>
      </c>
      <c r="D57" s="499">
        <v>0</v>
      </c>
      <c r="E57" s="499">
        <f t="shared" si="16"/>
        <v>1</v>
      </c>
      <c r="F57" s="499">
        <v>3</v>
      </c>
      <c r="G57" s="499" t="b">
        <v>1</v>
      </c>
      <c r="H57" s="2652" t="str">
        <f t="shared" si="17"/>
        <v>Residential</v>
      </c>
      <c r="I57" s="2653" t="s">
        <v>150</v>
      </c>
      <c r="J57" s="2653" t="s">
        <v>480</v>
      </c>
      <c r="K57" s="2653" t="s">
        <v>539</v>
      </c>
      <c r="L57" s="2654">
        <v>2021</v>
      </c>
      <c r="M57" s="2655">
        <v>4573.3520170900001</v>
      </c>
      <c r="N57" s="2656">
        <v>0</v>
      </c>
      <c r="O57" s="2656">
        <v>0</v>
      </c>
      <c r="P57" s="2657" t="s">
        <v>2284</v>
      </c>
      <c r="Q57" s="2658">
        <v>0.14199999999999999</v>
      </c>
      <c r="R57" s="2450">
        <v>1015.22</v>
      </c>
      <c r="S57" s="2659" t="s">
        <v>1916</v>
      </c>
      <c r="T57" s="2660">
        <f t="shared" si="18"/>
        <v>7.526256823518214E-2</v>
      </c>
      <c r="U57" s="2661">
        <f t="shared" si="19"/>
        <v>0</v>
      </c>
      <c r="V57" s="2662">
        <f t="shared" si="20"/>
        <v>7.526256823518214E-2</v>
      </c>
    </row>
    <row r="58" spans="1:24" s="482" customFormat="1" ht="12.75" customHeight="1">
      <c r="A58" s="726" t="s">
        <v>73</v>
      </c>
      <c r="B58" s="499" t="str">
        <f t="shared" si="15"/>
        <v>RES_200601</v>
      </c>
      <c r="C58" s="499">
        <v>1</v>
      </c>
      <c r="D58" s="499">
        <v>0</v>
      </c>
      <c r="E58" s="499">
        <f t="shared" si="16"/>
        <v>1</v>
      </c>
      <c r="F58" s="499">
        <v>3</v>
      </c>
      <c r="G58" s="499" t="b">
        <v>1</v>
      </c>
      <c r="H58" s="2652" t="str">
        <f t="shared" si="17"/>
        <v>Residential</v>
      </c>
      <c r="I58" s="2653" t="s">
        <v>150</v>
      </c>
      <c r="J58" s="2653" t="s">
        <v>480</v>
      </c>
      <c r="K58" s="2653" t="s">
        <v>539</v>
      </c>
      <c r="L58" s="2654">
        <v>2020</v>
      </c>
      <c r="M58" s="2655">
        <v>0</v>
      </c>
      <c r="N58" s="2656">
        <v>0</v>
      </c>
      <c r="O58" s="2656">
        <v>0</v>
      </c>
      <c r="P58" s="2657" t="s">
        <v>2284</v>
      </c>
      <c r="Q58" s="2658">
        <v>0</v>
      </c>
      <c r="R58" s="2450">
        <v>1015.22</v>
      </c>
      <c r="S58" s="2659" t="s">
        <v>1916</v>
      </c>
      <c r="T58" s="2660">
        <f t="shared" si="18"/>
        <v>0</v>
      </c>
      <c r="U58" s="2661">
        <f t="shared" si="19"/>
        <v>0</v>
      </c>
      <c r="V58" s="2662">
        <f t="shared" si="20"/>
        <v>0</v>
      </c>
    </row>
    <row r="59" spans="1:24" s="482" customFormat="1" ht="12.75" customHeight="1" thickBot="1">
      <c r="A59" s="730" t="s">
        <v>68</v>
      </c>
      <c r="B59" s="731" t="str">
        <f t="shared" si="15"/>
        <v>RES_201301</v>
      </c>
      <c r="C59" s="731">
        <v>1</v>
      </c>
      <c r="D59" s="731">
        <v>0</v>
      </c>
      <c r="E59" s="731">
        <f t="shared" si="16"/>
        <v>1</v>
      </c>
      <c r="F59" s="731">
        <v>3</v>
      </c>
      <c r="G59" s="731" t="b">
        <v>1</v>
      </c>
      <c r="H59" s="2652" t="str">
        <f t="shared" si="17"/>
        <v>Residential</v>
      </c>
      <c r="I59" s="2653" t="s">
        <v>154</v>
      </c>
      <c r="J59" s="2653" t="s">
        <v>477</v>
      </c>
      <c r="K59" s="2653" t="s">
        <v>539</v>
      </c>
      <c r="L59" s="2654">
        <v>2021</v>
      </c>
      <c r="M59" s="2655">
        <v>16225</v>
      </c>
      <c r="N59" s="2656">
        <v>0</v>
      </c>
      <c r="O59" s="2656">
        <v>0</v>
      </c>
      <c r="P59" s="2657" t="s">
        <v>778</v>
      </c>
      <c r="Q59" s="2658">
        <v>0.14199999999999999</v>
      </c>
      <c r="R59" s="2450">
        <v>185</v>
      </c>
      <c r="S59" s="2659" t="s">
        <v>1600</v>
      </c>
      <c r="T59" s="2660">
        <f t="shared" si="18"/>
        <v>4.865647831050228E-2</v>
      </c>
      <c r="U59" s="2661">
        <f t="shared" si="19"/>
        <v>0</v>
      </c>
      <c r="V59" s="2662">
        <f t="shared" si="20"/>
        <v>4.865647831050228E-2</v>
      </c>
      <c r="W59" s="466"/>
      <c r="X59" s="466"/>
    </row>
    <row r="61" spans="1:24" ht="12.75" customHeight="1">
      <c r="H61" s="1402" t="s">
        <v>1596</v>
      </c>
      <c r="I61" s="1402"/>
      <c r="J61" s="1402"/>
      <c r="K61" s="1402"/>
      <c r="L61" s="1402"/>
      <c r="M61" s="2234"/>
    </row>
    <row r="62" spans="1:24" ht="12" customHeight="1">
      <c r="H62" s="995" t="s">
        <v>1598</v>
      </c>
    </row>
    <row r="63" spans="1:24" ht="34.5" customHeight="1">
      <c r="H63" s="2969" t="s">
        <v>2633</v>
      </c>
      <c r="I63" s="2970"/>
      <c r="J63" s="2970"/>
      <c r="K63" s="2970"/>
      <c r="L63" s="2970"/>
      <c r="M63" s="2971"/>
    </row>
    <row r="64" spans="1:24" ht="12.75" customHeight="1">
      <c r="H64" s="2972"/>
      <c r="I64" s="2973"/>
      <c r="J64" s="2973"/>
      <c r="K64" s="2973"/>
      <c r="L64" s="2973"/>
      <c r="M64" s="2974"/>
    </row>
    <row r="65" spans="8:16" ht="17.25" customHeight="1">
      <c r="H65" s="2975"/>
      <c r="I65" s="2976"/>
      <c r="J65" s="2976"/>
      <c r="K65" s="2976"/>
      <c r="L65" s="2976"/>
      <c r="M65" s="2977"/>
    </row>
    <row r="66" spans="8:16" ht="12.75" customHeight="1">
      <c r="H66" s="2978"/>
      <c r="I66" s="2979"/>
      <c r="J66" s="2979"/>
      <c r="K66" s="2979"/>
      <c r="L66" s="2979"/>
      <c r="M66" s="2980"/>
      <c r="P66" s="2455"/>
    </row>
    <row r="67" spans="8:16" ht="12.75" customHeight="1">
      <c r="H67" s="2978"/>
      <c r="I67" s="2979"/>
      <c r="J67" s="2979"/>
      <c r="K67" s="2979"/>
      <c r="L67" s="2979"/>
      <c r="M67" s="2980"/>
      <c r="P67" s="2455"/>
    </row>
    <row r="68" spans="8:16" ht="12.75" customHeight="1">
      <c r="H68" s="2978"/>
      <c r="I68" s="2979"/>
      <c r="J68" s="2979"/>
      <c r="K68" s="2979"/>
      <c r="L68" s="2979"/>
      <c r="M68" s="2980"/>
    </row>
    <row r="69" spans="8:16" ht="12.75" customHeight="1">
      <c r="H69" s="2978"/>
      <c r="I69" s="2979"/>
      <c r="J69" s="2979"/>
      <c r="K69" s="2979"/>
      <c r="L69" s="2979"/>
      <c r="M69" s="2980"/>
    </row>
    <row r="70" spans="8:16" ht="26.25" customHeight="1">
      <c r="H70" s="2978"/>
      <c r="I70" s="2979"/>
      <c r="J70" s="2979"/>
      <c r="K70" s="2979"/>
      <c r="L70" s="2979"/>
      <c r="M70" s="2980"/>
    </row>
    <row r="71" spans="8:16" ht="12.75" customHeight="1">
      <c r="H71" s="2981"/>
      <c r="I71" s="2982"/>
      <c r="J71" s="2982"/>
      <c r="K71" s="2982"/>
      <c r="L71" s="2982"/>
      <c r="M71" s="2983"/>
    </row>
    <row r="72" spans="8:16" ht="12.75" customHeight="1">
      <c r="H72" s="995" t="s">
        <v>1595</v>
      </c>
    </row>
    <row r="73" spans="8:16" ht="12.75" customHeight="1">
      <c r="H73" s="2990" t="s">
        <v>2634</v>
      </c>
      <c r="I73" s="2991"/>
      <c r="J73" s="2991"/>
      <c r="K73" s="2991"/>
      <c r="L73" s="2991"/>
      <c r="M73" s="2992"/>
    </row>
    <row r="74" spans="8:16" ht="12.75" customHeight="1">
      <c r="H74" s="2978"/>
      <c r="I74" s="2979"/>
      <c r="J74" s="2979"/>
      <c r="K74" s="2979"/>
      <c r="L74" s="2979"/>
      <c r="M74" s="2980"/>
    </row>
    <row r="75" spans="8:16" ht="12.75" customHeight="1">
      <c r="H75" s="2978"/>
      <c r="I75" s="2979"/>
      <c r="J75" s="2979"/>
      <c r="K75" s="2979"/>
      <c r="L75" s="2979"/>
      <c r="M75" s="2980"/>
    </row>
    <row r="76" spans="8:16" ht="12.75" customHeight="1">
      <c r="H76" s="2978"/>
      <c r="I76" s="2979"/>
      <c r="J76" s="2979"/>
      <c r="K76" s="2979"/>
      <c r="L76" s="2979"/>
      <c r="M76" s="2980"/>
    </row>
    <row r="77" spans="8:16" ht="12.75" customHeight="1">
      <c r="H77" s="2978"/>
      <c r="I77" s="2979"/>
      <c r="J77" s="2979"/>
      <c r="K77" s="2979"/>
      <c r="L77" s="2979"/>
      <c r="M77" s="2980"/>
    </row>
    <row r="78" spans="8:16" ht="12.75" customHeight="1">
      <c r="H78" s="2978"/>
      <c r="I78" s="2979"/>
      <c r="J78" s="2979"/>
      <c r="K78" s="2979"/>
      <c r="L78" s="2979"/>
      <c r="M78" s="2980"/>
    </row>
    <row r="79" spans="8:16" ht="12.75" customHeight="1">
      <c r="H79" s="2978"/>
      <c r="I79" s="2979"/>
      <c r="J79" s="2979"/>
      <c r="K79" s="2979"/>
      <c r="L79" s="2979"/>
      <c r="M79" s="2980"/>
    </row>
    <row r="80" spans="8:16" ht="12.75" customHeight="1">
      <c r="H80" s="2978"/>
      <c r="I80" s="2979"/>
      <c r="J80" s="2979"/>
      <c r="K80" s="2979"/>
      <c r="L80" s="2979"/>
      <c r="M80" s="2980"/>
    </row>
    <row r="81" spans="8:13" ht="12.75" customHeight="1">
      <c r="H81" s="2978"/>
      <c r="I81" s="2979"/>
      <c r="J81" s="2979"/>
      <c r="K81" s="2979"/>
      <c r="L81" s="2979"/>
      <c r="M81" s="2980"/>
    </row>
    <row r="82" spans="8:13" ht="12.75" customHeight="1">
      <c r="H82" s="2978"/>
      <c r="I82" s="2979"/>
      <c r="J82" s="2979"/>
      <c r="K82" s="2979"/>
      <c r="L82" s="2979"/>
      <c r="M82" s="2980"/>
    </row>
    <row r="83" spans="8:13" ht="12.75" customHeight="1">
      <c r="H83" s="2981"/>
      <c r="I83" s="2982"/>
      <c r="J83" s="2982"/>
      <c r="K83" s="2982"/>
      <c r="L83" s="2982"/>
      <c r="M83" s="2983"/>
    </row>
    <row r="84" spans="8:13" ht="12.75" customHeight="1">
      <c r="H84" s="995" t="s">
        <v>1599</v>
      </c>
    </row>
    <row r="85" spans="8:13" ht="12.75" customHeight="1">
      <c r="H85" s="2990" t="s">
        <v>2635</v>
      </c>
      <c r="I85" s="2991"/>
      <c r="J85" s="2991"/>
      <c r="K85" s="2991"/>
      <c r="L85" s="2991"/>
      <c r="M85" s="2992"/>
    </row>
    <row r="86" spans="8:13" ht="12.75" customHeight="1">
      <c r="H86" s="2978"/>
      <c r="I86" s="2979"/>
      <c r="J86" s="2979"/>
      <c r="K86" s="2979"/>
      <c r="L86" s="2979"/>
      <c r="M86" s="2980"/>
    </row>
    <row r="87" spans="8:13" ht="12.75" customHeight="1">
      <c r="H87" s="2978"/>
      <c r="I87" s="2979"/>
      <c r="J87" s="2979"/>
      <c r="K87" s="2979"/>
      <c r="L87" s="2979"/>
      <c r="M87" s="2980"/>
    </row>
    <row r="88" spans="8:13" ht="12.75" customHeight="1">
      <c r="H88" s="2978"/>
      <c r="I88" s="2979"/>
      <c r="J88" s="2979"/>
      <c r="K88" s="2979"/>
      <c r="L88" s="2979"/>
      <c r="M88" s="2980"/>
    </row>
    <row r="89" spans="8:13" ht="12.75" customHeight="1">
      <c r="H89" s="2978"/>
      <c r="I89" s="2979"/>
      <c r="J89" s="2979"/>
      <c r="K89" s="2979"/>
      <c r="L89" s="2979"/>
      <c r="M89" s="2980"/>
    </row>
    <row r="90" spans="8:13" ht="12.75" customHeight="1">
      <c r="H90" s="2978"/>
      <c r="I90" s="2979"/>
      <c r="J90" s="2979"/>
      <c r="K90" s="2979"/>
      <c r="L90" s="2979"/>
      <c r="M90" s="2980"/>
    </row>
    <row r="91" spans="8:13" ht="12.75" customHeight="1">
      <c r="H91" s="2978"/>
      <c r="I91" s="2979"/>
      <c r="J91" s="2979"/>
      <c r="K91" s="2979"/>
      <c r="L91" s="2979"/>
      <c r="M91" s="2980"/>
    </row>
    <row r="92" spans="8:13" ht="12.75" customHeight="1">
      <c r="H92" s="2981"/>
      <c r="I92" s="2982"/>
      <c r="J92" s="2982"/>
      <c r="K92" s="2982"/>
      <c r="L92" s="2982"/>
      <c r="M92" s="2983"/>
    </row>
    <row r="94" spans="8:13" ht="12.75" customHeight="1">
      <c r="H94" s="1402" t="s">
        <v>242</v>
      </c>
    </row>
    <row r="95" spans="8:13" ht="12.75" customHeight="1">
      <c r="H95" s="995" t="s">
        <v>1597</v>
      </c>
    </row>
    <row r="96" spans="8:13" ht="12.75" customHeight="1">
      <c r="H96" s="2990" t="s">
        <v>2357</v>
      </c>
      <c r="I96" s="2991"/>
      <c r="J96" s="2991"/>
      <c r="K96" s="2991"/>
      <c r="L96" s="2991"/>
      <c r="M96" s="2992"/>
    </row>
    <row r="97" spans="8:13" ht="12.75" customHeight="1">
      <c r="H97" s="2978"/>
      <c r="I97" s="2979"/>
      <c r="J97" s="2979"/>
      <c r="K97" s="2979"/>
      <c r="L97" s="2979"/>
      <c r="M97" s="2980"/>
    </row>
    <row r="98" spans="8:13" ht="12.75" customHeight="1">
      <c r="H98" s="2978"/>
      <c r="I98" s="2979"/>
      <c r="J98" s="2979"/>
      <c r="K98" s="2979"/>
      <c r="L98" s="2979"/>
      <c r="M98" s="2980"/>
    </row>
    <row r="99" spans="8:13" ht="12.75" customHeight="1">
      <c r="H99" s="2978"/>
      <c r="I99" s="2979"/>
      <c r="J99" s="2979"/>
      <c r="K99" s="2979"/>
      <c r="L99" s="2979"/>
      <c r="M99" s="2980"/>
    </row>
    <row r="100" spans="8:13" ht="14.25" customHeight="1">
      <c r="H100" s="2978"/>
      <c r="I100" s="2979"/>
      <c r="J100" s="2979"/>
      <c r="K100" s="2979"/>
      <c r="L100" s="2979"/>
      <c r="M100" s="2980"/>
    </row>
    <row r="101" spans="8:13" ht="31.5" customHeight="1">
      <c r="H101" s="2981"/>
      <c r="I101" s="2982"/>
      <c r="J101" s="2982"/>
      <c r="K101" s="2982"/>
      <c r="L101" s="2982"/>
      <c r="M101" s="2983"/>
    </row>
    <row r="102" spans="8:13" ht="12.75" customHeight="1">
      <c r="H102" s="995" t="s">
        <v>1599</v>
      </c>
    </row>
    <row r="103" spans="8:13" ht="12.75" customHeight="1">
      <c r="H103" s="2990" t="s">
        <v>2411</v>
      </c>
      <c r="I103" s="2991"/>
      <c r="J103" s="2991"/>
      <c r="K103" s="2991"/>
      <c r="L103" s="2991"/>
      <c r="M103" s="2992"/>
    </row>
    <row r="104" spans="8:13" ht="12.75" customHeight="1">
      <c r="H104" s="2978"/>
      <c r="I104" s="2979"/>
      <c r="J104" s="2979"/>
      <c r="K104" s="2979"/>
      <c r="L104" s="2979"/>
      <c r="M104" s="2980"/>
    </row>
    <row r="105" spans="8:13" ht="12.75" customHeight="1">
      <c r="H105" s="2978"/>
      <c r="I105" s="2979"/>
      <c r="J105" s="2979"/>
      <c r="K105" s="2979"/>
      <c r="L105" s="2979"/>
      <c r="M105" s="2980"/>
    </row>
    <row r="106" spans="8:13" ht="12.75" customHeight="1">
      <c r="H106" s="2978"/>
      <c r="I106" s="2979"/>
      <c r="J106" s="2979"/>
      <c r="K106" s="2979"/>
      <c r="L106" s="2979"/>
      <c r="M106" s="2980"/>
    </row>
    <row r="107" spans="8:13" ht="12.75" customHeight="1">
      <c r="H107" s="2978"/>
      <c r="I107" s="2979"/>
      <c r="J107" s="2979"/>
      <c r="K107" s="2979"/>
      <c r="L107" s="2979"/>
      <c r="M107" s="2980"/>
    </row>
    <row r="108" spans="8:13" ht="12.75" customHeight="1">
      <c r="H108" s="2978"/>
      <c r="I108" s="2979"/>
      <c r="J108" s="2979"/>
      <c r="K108" s="2979"/>
      <c r="L108" s="2979"/>
      <c r="M108" s="2980"/>
    </row>
    <row r="109" spans="8:13" ht="12.75" customHeight="1">
      <c r="H109" s="2978"/>
      <c r="I109" s="2979"/>
      <c r="J109" s="2979"/>
      <c r="K109" s="2979"/>
      <c r="L109" s="2979"/>
      <c r="M109" s="2980"/>
    </row>
    <row r="110" spans="8:13" ht="12.75" customHeight="1">
      <c r="H110" s="2981"/>
      <c r="I110" s="2982"/>
      <c r="J110" s="2982"/>
      <c r="K110" s="2982"/>
      <c r="L110" s="2982"/>
      <c r="M110" s="2983"/>
    </row>
  </sheetData>
  <autoFilter ref="A6:X59">
    <filterColumn colId="11">
      <filters>
        <filter val="2020"/>
        <filter val="2021"/>
      </filters>
    </filterColumn>
    <sortState ref="A18:X59">
      <sortCondition ref="K6:K59"/>
    </sortState>
  </autoFilter>
  <dataConsolidate/>
  <mergeCells count="13">
    <mergeCell ref="H73:M83"/>
    <mergeCell ref="H85:M92"/>
    <mergeCell ref="H96:M101"/>
    <mergeCell ref="H103:M110"/>
    <mergeCell ref="T5:V5"/>
    <mergeCell ref="R5:S5"/>
    <mergeCell ref="I4:L4"/>
    <mergeCell ref="I3:L3"/>
    <mergeCell ref="I2:L2"/>
    <mergeCell ref="H63:M71"/>
    <mergeCell ref="A5:G5"/>
    <mergeCell ref="H5:L5"/>
    <mergeCell ref="M5:Q5"/>
  </mergeCells>
  <hyperlinks>
    <hyperlink ref="H1" location="' Summary by Program 2020-21'!H1" display="Summary Page"/>
  </hyperlinks>
  <pageMargins left="0.7" right="0.7" top="0.75" bottom="0.75" header="0.3" footer="0.3"/>
  <pageSetup scale="22"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filterMode="1">
    <tabColor rgb="FF0083CA"/>
    <pageSetUpPr fitToPage="1"/>
  </sheetPr>
  <dimension ref="A1:BK406"/>
  <sheetViews>
    <sheetView topLeftCell="H1" workbookViewId="0">
      <selection activeCell="H1" sqref="H1"/>
    </sheetView>
  </sheetViews>
  <sheetFormatPr defaultColWidth="8.109375" defaultRowHeight="12.75" customHeight="1" outlineLevelRow="1" outlineLevelCol="1"/>
  <cols>
    <col min="1" max="1" width="18.109375" style="460" hidden="1" customWidth="1" outlineLevel="1"/>
    <col min="2" max="2" width="8.109375" style="460" hidden="1" customWidth="1" outlineLevel="1"/>
    <col min="3" max="6" width="8.109375" style="461" hidden="1" customWidth="1" outlineLevel="1"/>
    <col min="7" max="7" width="8.109375" style="460" hidden="1" customWidth="1" outlineLevel="1"/>
    <col min="8" max="8" width="25" style="462" customWidth="1" collapsed="1"/>
    <col min="9" max="9" width="26.44140625" style="462" customWidth="1"/>
    <col min="10" max="10" width="20.88671875" style="462" customWidth="1"/>
    <col min="11" max="11" width="15.5546875" style="462" customWidth="1"/>
    <col min="12" max="12" width="11.109375" style="462" customWidth="1"/>
    <col min="13" max="16" width="14" style="463" customWidth="1"/>
    <col min="17" max="17" width="22.88671875" style="462" customWidth="1"/>
    <col min="18" max="18" width="8.109375" style="462"/>
    <col min="19" max="19" width="10.88671875" style="462" customWidth="1"/>
    <col min="20" max="21" width="8.109375" style="462"/>
    <col min="22" max="22" width="8.109375" style="464"/>
    <col min="23" max="16384" width="8.109375" style="462"/>
  </cols>
  <sheetData>
    <row r="1" spans="1:24" ht="12.75" customHeight="1">
      <c r="H1" s="239" t="s">
        <v>1067</v>
      </c>
      <c r="S1" s="1152" t="s">
        <v>1152</v>
      </c>
      <c r="T1" s="993" t="s">
        <v>1870</v>
      </c>
    </row>
    <row r="2" spans="1:24" ht="36.75" customHeight="1">
      <c r="H2" s="1164" t="str">
        <f>I6&amp;":"</f>
        <v>Residential Lighting:</v>
      </c>
      <c r="I2" s="2875" t="str">
        <f>INDEX(Programs!C:C,MATCH(I7,Programs!B:B,0))</f>
        <v>NEEA collaborated with the region to develop and implement strategic market interventions that accelerated the market adoption of ENERGY STAR compact fluorescent lamps.</v>
      </c>
      <c r="J2" s="2875"/>
      <c r="K2" s="2875"/>
      <c r="L2" s="2875"/>
    </row>
    <row r="3" spans="1:24" ht="14.25" customHeight="1">
      <c r="H3" s="926"/>
      <c r="T3" s="932"/>
    </row>
    <row r="4" spans="1:24" s="458" customFormat="1" ht="15.75" customHeight="1">
      <c r="A4" s="2876" t="s">
        <v>131</v>
      </c>
      <c r="B4" s="2877"/>
      <c r="C4" s="2877"/>
      <c r="D4" s="2877"/>
      <c r="E4" s="2877"/>
      <c r="F4" s="2877"/>
      <c r="G4" s="2878"/>
      <c r="H4" s="2943" t="s">
        <v>7</v>
      </c>
      <c r="I4" s="2944"/>
      <c r="J4" s="2944"/>
      <c r="K4" s="2944"/>
      <c r="L4" s="2944"/>
      <c r="M4" s="3011" t="s">
        <v>127</v>
      </c>
      <c r="N4" s="3011"/>
      <c r="O4" s="3011"/>
      <c r="P4" s="3011"/>
      <c r="Q4" s="3011"/>
      <c r="R4" s="3011"/>
      <c r="S4" s="3012" t="s">
        <v>129</v>
      </c>
      <c r="T4" s="3012"/>
      <c r="U4" s="3009" t="s">
        <v>130</v>
      </c>
      <c r="V4" s="3009"/>
      <c r="W4" s="3009"/>
    </row>
    <row r="5" spans="1:24" s="931" customFormat="1" ht="60" customHeight="1" thickBot="1">
      <c r="A5" s="927" t="s">
        <v>0</v>
      </c>
      <c r="B5" s="928" t="s">
        <v>11</v>
      </c>
      <c r="C5" s="929" t="s">
        <v>1</v>
      </c>
      <c r="D5" s="929" t="s">
        <v>2</v>
      </c>
      <c r="E5" s="929" t="s">
        <v>266</v>
      </c>
      <c r="F5" s="929" t="s">
        <v>306</v>
      </c>
      <c r="G5" s="930" t="s">
        <v>12</v>
      </c>
      <c r="H5" s="1112" t="s">
        <v>3</v>
      </c>
      <c r="I5" s="1112" t="s">
        <v>4</v>
      </c>
      <c r="J5" s="1112" t="s">
        <v>5</v>
      </c>
      <c r="K5" s="1112" t="s">
        <v>6</v>
      </c>
      <c r="L5" s="1112" t="s">
        <v>8</v>
      </c>
      <c r="M5" s="1113" t="s">
        <v>13</v>
      </c>
      <c r="N5" s="1112" t="s">
        <v>14</v>
      </c>
      <c r="O5" s="1112" t="s">
        <v>933</v>
      </c>
      <c r="P5" s="1112" t="s">
        <v>123</v>
      </c>
      <c r="Q5" s="1112" t="s">
        <v>124</v>
      </c>
      <c r="R5" s="1114" t="s">
        <v>16</v>
      </c>
      <c r="S5" s="1113" t="s">
        <v>871</v>
      </c>
      <c r="T5" s="1114" t="s">
        <v>125</v>
      </c>
      <c r="U5" s="1113" t="s">
        <v>126</v>
      </c>
      <c r="V5" s="1112" t="s">
        <v>18</v>
      </c>
      <c r="W5" s="1115" t="s">
        <v>17</v>
      </c>
    </row>
    <row r="6" spans="1:24" ht="12.75" hidden="1" customHeight="1" thickTop="1">
      <c r="A6" s="498" t="s">
        <v>45</v>
      </c>
      <c r="B6" s="499" t="str">
        <f t="shared" ref="B6:B13" si="0">LEFT(A6,10)</f>
        <v>RES_199703</v>
      </c>
      <c r="C6" s="499">
        <v>0</v>
      </c>
      <c r="D6" s="499">
        <v>0</v>
      </c>
      <c r="E6" s="499">
        <f t="shared" ref="E6:E21" ca="1" si="1">COUNTIFS($A:$A,A6,$L:$L,L6)</f>
        <v>1</v>
      </c>
      <c r="F6" s="499">
        <v>1</v>
      </c>
      <c r="G6" s="500" t="b">
        <v>1</v>
      </c>
      <c r="H6" s="501" t="str">
        <f t="shared" ref="H6:H13" si="2">IF(LEFT(A6,3)="Res","Residential",IF(LEFT(A6,3)="Ind","industrial",IF(LEFT(A6,3)="Com","Commercial",IF(LEFT(A6,3)="AGR","Agriculture",""))))</f>
        <v>Residential</v>
      </c>
      <c r="I6" s="502" t="s">
        <v>149</v>
      </c>
      <c r="J6" s="502" t="s">
        <v>1074</v>
      </c>
      <c r="K6" s="502" t="s">
        <v>158</v>
      </c>
      <c r="L6" s="24">
        <v>2018</v>
      </c>
      <c r="M6" s="511">
        <v>1659190.1522129399</v>
      </c>
      <c r="N6" s="512">
        <v>0</v>
      </c>
      <c r="O6" s="1165">
        <f t="shared" ref="O6:O21" ca="1" si="3">IFERROR(INDEX($L$167:$O$174,MATCH($L6,$I$167:$I$174,0),MATCH($J6,$L$175:$O$175,0)),0)</f>
        <v>1659190.1522129439</v>
      </c>
      <c r="P6" s="512">
        <v>0</v>
      </c>
      <c r="Q6" s="318" t="s">
        <v>1801</v>
      </c>
      <c r="R6" s="505">
        <v>0.1037</v>
      </c>
      <c r="S6" s="531">
        <f t="shared" ref="S6:S13" si="4">IF(J6="CFL General Purpose",$P$108,IF(J6="CFL Specialty",$Q$108,IF(J6="LED General Purpose",$P$183,$Q$183)))</f>
        <v>10.478339776432536</v>
      </c>
      <c r="T6" s="111" t="s">
        <v>1068</v>
      </c>
      <c r="U6" s="590">
        <f t="shared" ref="U6:U13" ca="1" si="5">(M6-O6-P6)*R6*S6/8760000</f>
        <v>-4.9097139205122641E-16</v>
      </c>
      <c r="V6" s="508">
        <f t="shared" ref="V6:V13" si="6">IFERROR((N6-P6/M6*N6)*R6*S6/8760/1000,0)</f>
        <v>0</v>
      </c>
      <c r="W6" s="509">
        <f t="shared" ref="W6:W7" ca="1" si="7">U6-V6</f>
        <v>-4.9097139205122641E-16</v>
      </c>
    </row>
    <row r="7" spans="1:24" ht="12.75" hidden="1" customHeight="1">
      <c r="A7" s="498" t="s">
        <v>46</v>
      </c>
      <c r="B7" s="499" t="str">
        <f t="shared" si="0"/>
        <v>RES_199703</v>
      </c>
      <c r="C7" s="499">
        <v>0</v>
      </c>
      <c r="D7" s="499">
        <v>0</v>
      </c>
      <c r="E7" s="499">
        <f t="shared" si="1"/>
        <v>1</v>
      </c>
      <c r="F7" s="499">
        <v>1</v>
      </c>
      <c r="G7" s="500" t="b">
        <v>1</v>
      </c>
      <c r="H7" s="501" t="str">
        <f t="shared" si="2"/>
        <v>Residential</v>
      </c>
      <c r="I7" s="502" t="s">
        <v>149</v>
      </c>
      <c r="J7" s="502" t="s">
        <v>1075</v>
      </c>
      <c r="K7" s="502" t="s">
        <v>158</v>
      </c>
      <c r="L7" s="24">
        <v>2018</v>
      </c>
      <c r="M7" s="511">
        <v>62794.399573150004</v>
      </c>
      <c r="N7" s="512">
        <v>0</v>
      </c>
      <c r="O7" s="1165">
        <f t="shared" ca="1" si="3"/>
        <v>11491.65727040686</v>
      </c>
      <c r="P7" s="512">
        <v>0</v>
      </c>
      <c r="Q7" s="318" t="s">
        <v>1801</v>
      </c>
      <c r="R7" s="505">
        <v>0.1037</v>
      </c>
      <c r="S7" s="531">
        <f t="shared" si="4"/>
        <v>13.205953542523677</v>
      </c>
      <c r="T7" s="111" t="s">
        <v>1068</v>
      </c>
      <c r="U7" s="590">
        <f t="shared" ca="1" si="5"/>
        <v>8.0201962536288977E-3</v>
      </c>
      <c r="V7" s="508">
        <f t="shared" si="6"/>
        <v>0</v>
      </c>
      <c r="W7" s="509">
        <f t="shared" ca="1" si="7"/>
        <v>8.0201962536288977E-3</v>
      </c>
      <c r="X7" s="1166"/>
    </row>
    <row r="8" spans="1:24" ht="12.75" hidden="1" customHeight="1">
      <c r="A8" s="460" t="s">
        <v>102</v>
      </c>
      <c r="B8" s="499" t="str">
        <f t="shared" si="0"/>
        <v>RES_199703</v>
      </c>
      <c r="C8" s="499">
        <v>0</v>
      </c>
      <c r="D8" s="499">
        <v>0</v>
      </c>
      <c r="E8" s="1167">
        <f t="shared" si="1"/>
        <v>1</v>
      </c>
      <c r="F8" s="499">
        <v>2</v>
      </c>
      <c r="G8" s="500" t="b">
        <v>1</v>
      </c>
      <c r="H8" s="501" t="str">
        <f t="shared" si="2"/>
        <v>Residential</v>
      </c>
      <c r="I8" s="502" t="s">
        <v>149</v>
      </c>
      <c r="J8" s="502" t="s">
        <v>449</v>
      </c>
      <c r="K8" s="502" t="s">
        <v>158</v>
      </c>
      <c r="L8" s="24">
        <v>2018</v>
      </c>
      <c r="M8" s="511">
        <v>16980262.881152499</v>
      </c>
      <c r="N8" s="512">
        <v>10592497.109999999</v>
      </c>
      <c r="O8" s="1165">
        <f t="shared" si="3"/>
        <v>0</v>
      </c>
      <c r="P8" s="512">
        <v>0</v>
      </c>
      <c r="Q8" s="318" t="s">
        <v>1801</v>
      </c>
      <c r="R8" s="505">
        <v>0.14199999999999999</v>
      </c>
      <c r="S8" s="531">
        <f t="shared" si="4"/>
        <v>1.658701912438169</v>
      </c>
      <c r="T8" s="111" t="s">
        <v>1068</v>
      </c>
      <c r="U8" s="590">
        <f t="shared" si="5"/>
        <v>0.45655908916475019</v>
      </c>
      <c r="V8" s="508">
        <f>IFERROR((N8-P8/M8*N8)*R8*S8/8760/1000,0)</f>
        <v>0.28480718269030758</v>
      </c>
      <c r="W8" s="509">
        <f t="shared" ref="W8:W15" si="8">U8-V8</f>
        <v>0.17175190647444261</v>
      </c>
      <c r="X8" s="1166" t="s">
        <v>1084</v>
      </c>
    </row>
    <row r="9" spans="1:24" ht="12.75" hidden="1" customHeight="1">
      <c r="A9" s="460" t="s">
        <v>103</v>
      </c>
      <c r="B9" s="499" t="str">
        <f t="shared" si="0"/>
        <v>RES_199703</v>
      </c>
      <c r="C9" s="499">
        <v>0</v>
      </c>
      <c r="D9" s="499">
        <v>0</v>
      </c>
      <c r="E9" s="1167">
        <f t="shared" si="1"/>
        <v>1</v>
      </c>
      <c r="F9" s="499">
        <v>2</v>
      </c>
      <c r="G9" s="500" t="b">
        <v>1</v>
      </c>
      <c r="H9" s="501" t="str">
        <f t="shared" si="2"/>
        <v>Residential</v>
      </c>
      <c r="I9" s="502" t="s">
        <v>149</v>
      </c>
      <c r="J9" s="502" t="s">
        <v>450</v>
      </c>
      <c r="K9" s="502" t="s">
        <v>158</v>
      </c>
      <c r="L9" s="277">
        <v>2018</v>
      </c>
      <c r="M9" s="511">
        <v>11582968.368548799</v>
      </c>
      <c r="N9" s="512">
        <v>5328631.22</v>
      </c>
      <c r="O9" s="1165">
        <f t="shared" si="3"/>
        <v>0</v>
      </c>
      <c r="P9" s="512">
        <v>0</v>
      </c>
      <c r="Q9" s="318" t="s">
        <v>1801</v>
      </c>
      <c r="R9" s="505">
        <v>0.14199999999999999</v>
      </c>
      <c r="S9" s="531">
        <f t="shared" si="4"/>
        <v>1.1150337322247064</v>
      </c>
      <c r="T9" s="111" t="s">
        <v>1068</v>
      </c>
      <c r="U9" s="590">
        <f t="shared" si="5"/>
        <v>0.20935923104243873</v>
      </c>
      <c r="V9" s="508">
        <f t="shared" si="6"/>
        <v>9.6313664963215515E-2</v>
      </c>
      <c r="W9" s="509">
        <f t="shared" si="8"/>
        <v>0.11304556607922321</v>
      </c>
      <c r="X9" s="1166" t="s">
        <v>1085</v>
      </c>
    </row>
    <row r="10" spans="1:24" ht="12.75" hidden="1" customHeight="1">
      <c r="A10" s="460" t="s">
        <v>45</v>
      </c>
      <c r="B10" s="499" t="str">
        <f t="shared" si="0"/>
        <v>RES_199703</v>
      </c>
      <c r="C10" s="499">
        <v>0</v>
      </c>
      <c r="D10" s="499">
        <v>0</v>
      </c>
      <c r="E10" s="499">
        <f t="shared" ca="1" si="1"/>
        <v>1</v>
      </c>
      <c r="F10" s="499">
        <v>1</v>
      </c>
      <c r="G10" s="500" t="b">
        <v>1</v>
      </c>
      <c r="H10" s="501" t="str">
        <f t="shared" si="2"/>
        <v>Residential</v>
      </c>
      <c r="I10" s="502" t="s">
        <v>149</v>
      </c>
      <c r="J10" s="502" t="s">
        <v>1074</v>
      </c>
      <c r="K10" s="502" t="s">
        <v>158</v>
      </c>
      <c r="L10" s="24">
        <v>2019</v>
      </c>
      <c r="M10" s="511">
        <v>936383.08400000003</v>
      </c>
      <c r="N10" s="512">
        <v>0</v>
      </c>
      <c r="O10" s="1165">
        <f t="shared" ca="1" si="3"/>
        <v>936383.08400000015</v>
      </c>
      <c r="P10" s="512">
        <v>0</v>
      </c>
      <c r="Q10" s="318" t="s">
        <v>1801</v>
      </c>
      <c r="R10" s="505">
        <v>0.1037</v>
      </c>
      <c r="S10" s="531">
        <f t="shared" si="4"/>
        <v>10.478339776432536</v>
      </c>
      <c r="T10" s="111" t="s">
        <v>1068</v>
      </c>
      <c r="U10" s="590">
        <f t="shared" ca="1" si="5"/>
        <v>-1.4440335060330188E-17</v>
      </c>
      <c r="V10" s="508">
        <f t="shared" si="6"/>
        <v>0</v>
      </c>
      <c r="W10" s="509">
        <f t="shared" ca="1" si="8"/>
        <v>-1.4440335060330188E-17</v>
      </c>
      <c r="X10" s="1166"/>
    </row>
    <row r="11" spans="1:24" ht="12.75" hidden="1" customHeight="1">
      <c r="A11" s="460" t="s">
        <v>46</v>
      </c>
      <c r="B11" s="499" t="str">
        <f t="shared" si="0"/>
        <v>RES_199703</v>
      </c>
      <c r="C11" s="499">
        <v>0</v>
      </c>
      <c r="D11" s="499">
        <v>0</v>
      </c>
      <c r="E11" s="499">
        <f t="shared" si="1"/>
        <v>1</v>
      </c>
      <c r="F11" s="499">
        <v>1</v>
      </c>
      <c r="G11" s="500" t="b">
        <v>1</v>
      </c>
      <c r="H11" s="501" t="str">
        <f t="shared" si="2"/>
        <v>Residential</v>
      </c>
      <c r="I11" s="502" t="s">
        <v>149</v>
      </c>
      <c r="J11" s="502" t="s">
        <v>1075</v>
      </c>
      <c r="K11" s="502" t="s">
        <v>158</v>
      </c>
      <c r="L11" s="24">
        <v>2019</v>
      </c>
      <c r="M11" s="511">
        <v>60402.702114139996</v>
      </c>
      <c r="N11" s="512">
        <v>0</v>
      </c>
      <c r="O11" s="1165">
        <f t="shared" ca="1" si="3"/>
        <v>45120.340676156557</v>
      </c>
      <c r="P11" s="512">
        <v>0</v>
      </c>
      <c r="Q11" s="318" t="s">
        <v>1801</v>
      </c>
      <c r="R11" s="505">
        <v>0.1037</v>
      </c>
      <c r="S11" s="531">
        <f t="shared" si="4"/>
        <v>13.205953542523677</v>
      </c>
      <c r="T11" s="111" t="s">
        <v>1068</v>
      </c>
      <c r="U11" s="590">
        <f t="shared" ca="1" si="5"/>
        <v>2.3891030469332993E-3</v>
      </c>
      <c r="V11" s="508">
        <f t="shared" si="6"/>
        <v>0</v>
      </c>
      <c r="W11" s="509">
        <f t="shared" ca="1" si="8"/>
        <v>2.3891030469332993E-3</v>
      </c>
      <c r="X11" s="1166"/>
    </row>
    <row r="12" spans="1:24" ht="12.75" hidden="1" customHeight="1">
      <c r="A12" s="460" t="s">
        <v>102</v>
      </c>
      <c r="B12" s="499" t="str">
        <f t="shared" si="0"/>
        <v>RES_199703</v>
      </c>
      <c r="C12" s="499">
        <v>0</v>
      </c>
      <c r="D12" s="499">
        <v>0</v>
      </c>
      <c r="E12" s="1167">
        <f t="shared" si="1"/>
        <v>1</v>
      </c>
      <c r="F12" s="499">
        <v>2</v>
      </c>
      <c r="G12" s="500" t="b">
        <v>1</v>
      </c>
      <c r="H12" s="501" t="str">
        <f t="shared" si="2"/>
        <v>Residential</v>
      </c>
      <c r="I12" s="502" t="s">
        <v>149</v>
      </c>
      <c r="J12" s="502" t="s">
        <v>449</v>
      </c>
      <c r="K12" s="502" t="s">
        <v>158</v>
      </c>
      <c r="L12" s="24">
        <v>2019</v>
      </c>
      <c r="M12" s="511">
        <v>17323087.054000001</v>
      </c>
      <c r="N12" s="512">
        <v>10592497.109999999</v>
      </c>
      <c r="O12" s="1165">
        <f t="shared" si="3"/>
        <v>0</v>
      </c>
      <c r="P12" s="512">
        <v>0</v>
      </c>
      <c r="Q12" s="318" t="s">
        <v>1801</v>
      </c>
      <c r="R12" s="505">
        <v>0.14199999999999999</v>
      </c>
      <c r="S12" s="531">
        <f t="shared" si="4"/>
        <v>1.658701912438169</v>
      </c>
      <c r="T12" s="111" t="s">
        <v>1068</v>
      </c>
      <c r="U12" s="590">
        <f t="shared" si="5"/>
        <v>0.46577681996164177</v>
      </c>
      <c r="V12" s="508">
        <f t="shared" si="6"/>
        <v>0.28480718269030758</v>
      </c>
      <c r="W12" s="509">
        <f t="shared" si="8"/>
        <v>0.18096963727133419</v>
      </c>
      <c r="X12" s="1166" t="s">
        <v>1084</v>
      </c>
    </row>
    <row r="13" spans="1:24" ht="12.75" hidden="1" customHeight="1" thickBot="1">
      <c r="A13" s="460" t="s">
        <v>103</v>
      </c>
      <c r="B13" s="499" t="str">
        <f t="shared" si="0"/>
        <v>RES_199703</v>
      </c>
      <c r="C13" s="499">
        <v>0</v>
      </c>
      <c r="D13" s="499">
        <v>0</v>
      </c>
      <c r="E13" s="1167">
        <f t="shared" si="1"/>
        <v>1</v>
      </c>
      <c r="F13" s="499">
        <v>2</v>
      </c>
      <c r="G13" s="500" t="b">
        <v>1</v>
      </c>
      <c r="H13" s="710" t="str">
        <f t="shared" si="2"/>
        <v>Residential</v>
      </c>
      <c r="I13" s="559" t="s">
        <v>149</v>
      </c>
      <c r="J13" s="559" t="s">
        <v>450</v>
      </c>
      <c r="K13" s="559" t="s">
        <v>158</v>
      </c>
      <c r="L13" s="24">
        <v>2019</v>
      </c>
      <c r="M13" s="560">
        <v>11704788.550000001</v>
      </c>
      <c r="N13" s="561">
        <v>5328631.22</v>
      </c>
      <c r="O13" s="1168">
        <f t="shared" si="3"/>
        <v>0</v>
      </c>
      <c r="P13" s="561">
        <v>0</v>
      </c>
      <c r="Q13" s="319" t="s">
        <v>1801</v>
      </c>
      <c r="R13" s="562">
        <v>0.14199999999999999</v>
      </c>
      <c r="S13" s="841">
        <f t="shared" si="4"/>
        <v>1.1150337322247064</v>
      </c>
      <c r="T13" s="744" t="s">
        <v>1068</v>
      </c>
      <c r="U13" s="1169">
        <f t="shared" si="5"/>
        <v>0.21156110008866053</v>
      </c>
      <c r="V13" s="565">
        <f t="shared" si="6"/>
        <v>9.6313664963215515E-2</v>
      </c>
      <c r="W13" s="566">
        <f t="shared" si="8"/>
        <v>0.11524743512544501</v>
      </c>
      <c r="X13" s="1166" t="s">
        <v>1085</v>
      </c>
    </row>
    <row r="14" spans="1:24" s="724" customFormat="1" ht="12.75" customHeight="1" thickTop="1">
      <c r="A14" s="712" t="s">
        <v>45</v>
      </c>
      <c r="B14" s="713" t="str">
        <f t="shared" ref="B14:B21" si="9">LEFT(A14,10)</f>
        <v>RES_199703</v>
      </c>
      <c r="C14" s="713">
        <v>0</v>
      </c>
      <c r="D14" s="713">
        <v>0</v>
      </c>
      <c r="E14" s="713">
        <f t="shared" ca="1" si="1"/>
        <v>1</v>
      </c>
      <c r="F14" s="713">
        <v>1</v>
      </c>
      <c r="G14" s="714" t="b">
        <v>1</v>
      </c>
      <c r="H14" s="715" t="str">
        <f t="shared" ref="H14:H21" si="10">IF(LEFT(A14,3)="Res","Residential",IF(LEFT(A14,3)="Ind","industrial",IF(LEFT(A14,3)="Com","Commercial",IF(LEFT(A14,3)="AGR","Agriculture",""))))</f>
        <v>Residential</v>
      </c>
      <c r="I14" s="716" t="s">
        <v>149</v>
      </c>
      <c r="J14" s="716" t="s">
        <v>1074</v>
      </c>
      <c r="K14" s="716" t="s">
        <v>158</v>
      </c>
      <c r="L14" s="701">
        <v>2020</v>
      </c>
      <c r="M14" s="763">
        <v>441940.87839999999</v>
      </c>
      <c r="N14" s="764">
        <v>0</v>
      </c>
      <c r="O14" s="1170">
        <f t="shared" ca="1" si="3"/>
        <v>441940.87840000005</v>
      </c>
      <c r="P14" s="764">
        <v>0</v>
      </c>
      <c r="Q14" s="1373" t="str">
        <f>IF($T$1="RTF","The savings rates for Residential Lighting are relative to the RTFs current practice baseline.",IF($T$1="7th PP","The savings rates for Residential Lighting are relative to the 7th PP Baseline.",""))</f>
        <v>The savings rates for Residential Lighting are relative to the RTFs current practice baseline.</v>
      </c>
      <c r="R14" s="1374">
        <v>0.1037</v>
      </c>
      <c r="S14" s="1375">
        <f>IF($T$1="RTF",IF(J14="CFL General Purpose",$P$108,IF(J14="CFL Specialty",$Q$108,IF(J14="LED General Purpose",$P$183,$Q$183))),IF($T$1="7th PP",IF(J14="CFL General Purpose",$P$265+$S$265,IF(J14="CFL Specialty",$Q$265,IF(J14="LED General Purpose",$P$357+$S$357,$Q$357)))))</f>
        <v>10.478339776432536</v>
      </c>
      <c r="T14" s="751" t="s">
        <v>1068</v>
      </c>
      <c r="U14" s="1171">
        <f ca="1">ROUND((M14-O14-P14)*R14*S14/8760000,4)</f>
        <v>0</v>
      </c>
      <c r="V14" s="722">
        <f t="shared" ref="V14:V15" si="11">IFERROR((N14-P14/M14*N14)*R14*S14/8760/1000,0)</f>
        <v>0</v>
      </c>
      <c r="W14" s="723">
        <f t="shared" ca="1" si="8"/>
        <v>0</v>
      </c>
    </row>
    <row r="15" spans="1:24" s="482" customFormat="1" ht="12.75" customHeight="1">
      <c r="A15" s="726" t="s">
        <v>46</v>
      </c>
      <c r="B15" s="499" t="str">
        <f t="shared" si="9"/>
        <v>RES_199703</v>
      </c>
      <c r="C15" s="499">
        <v>0</v>
      </c>
      <c r="D15" s="499">
        <v>0</v>
      </c>
      <c r="E15" s="499">
        <f t="shared" si="1"/>
        <v>1</v>
      </c>
      <c r="F15" s="499">
        <v>1</v>
      </c>
      <c r="G15" s="500" t="b">
        <v>1</v>
      </c>
      <c r="H15" s="501" t="str">
        <f t="shared" si="10"/>
        <v>Residential</v>
      </c>
      <c r="I15" s="502" t="s">
        <v>149</v>
      </c>
      <c r="J15" s="502" t="s">
        <v>1075</v>
      </c>
      <c r="K15" s="502" t="s">
        <v>158</v>
      </c>
      <c r="L15" s="24">
        <v>2020</v>
      </c>
      <c r="M15" s="511">
        <v>57016.030481939997</v>
      </c>
      <c r="N15" s="512">
        <v>0</v>
      </c>
      <c r="O15" s="1165">
        <f t="shared" ca="1" si="3"/>
        <v>57016.030481940012</v>
      </c>
      <c r="P15" s="512">
        <v>0</v>
      </c>
      <c r="Q15" s="318" t="str">
        <f t="shared" ref="Q15:Q21" si="12">IF($T$1="RTF","The savings rates for Residential Lighting are relative to the RTFs current practice baseline.",IF($T$1="7th PP","The savings rates for Residential Lighting are relative to the 7th PP Baseline.",""))</f>
        <v>The savings rates for Residential Lighting are relative to the RTFs current practice baseline.</v>
      </c>
      <c r="R15" s="505">
        <v>0.1037</v>
      </c>
      <c r="S15" s="531">
        <f t="shared" ref="S15:S21" si="13">IF($T$1="RTF",IF(J15="CFL General Purpose",$P$108,IF(J15="CFL Specialty",$Q$108,IF(J15="LED General Purpose",$P$183,$Q$183))),IF($T$1="7th PP",IF(J15="CFL General Purpose",$P$265+$S$265,IF(J15="CFL Specialty",$Q$265,IF(J15="LED General Purpose",$P$357+$S$357,$Q$357)))))</f>
        <v>13.205953542523677</v>
      </c>
      <c r="T15" s="111" t="s">
        <v>1068</v>
      </c>
      <c r="U15" s="590">
        <f ca="1">ROUND((M15-O15-P15)*R15*S15/8760000,4)</f>
        <v>0</v>
      </c>
      <c r="V15" s="508">
        <f t="shared" si="11"/>
        <v>0</v>
      </c>
      <c r="W15" s="509">
        <f t="shared" ca="1" si="8"/>
        <v>0</v>
      </c>
      <c r="X15" s="514"/>
    </row>
    <row r="16" spans="1:24" s="482" customFormat="1" ht="12.75" customHeight="1">
      <c r="A16" s="726" t="s">
        <v>102</v>
      </c>
      <c r="B16" s="499" t="str">
        <f t="shared" si="9"/>
        <v>RES_199703</v>
      </c>
      <c r="C16" s="499">
        <v>0</v>
      </c>
      <c r="D16" s="499">
        <v>0</v>
      </c>
      <c r="E16" s="1167">
        <f t="shared" si="1"/>
        <v>1</v>
      </c>
      <c r="F16" s="499">
        <v>2</v>
      </c>
      <c r="G16" s="500" t="b">
        <v>1</v>
      </c>
      <c r="H16" s="501" t="str">
        <f t="shared" si="10"/>
        <v>Residential</v>
      </c>
      <c r="I16" s="502" t="s">
        <v>149</v>
      </c>
      <c r="J16" s="502" t="s">
        <v>449</v>
      </c>
      <c r="K16" s="502" t="s">
        <v>158</v>
      </c>
      <c r="L16" s="24">
        <v>2020</v>
      </c>
      <c r="M16" s="511">
        <v>17235694.257599998</v>
      </c>
      <c r="N16" s="512">
        <v>10592497.109999999</v>
      </c>
      <c r="O16" s="1165">
        <f t="shared" si="3"/>
        <v>0</v>
      </c>
      <c r="P16" s="512">
        <v>0</v>
      </c>
      <c r="Q16" s="318" t="str">
        <f t="shared" si="12"/>
        <v>The savings rates for Residential Lighting are relative to the RTFs current practice baseline.</v>
      </c>
      <c r="R16" s="505">
        <v>0.14199999999999999</v>
      </c>
      <c r="S16" s="531">
        <f t="shared" si="13"/>
        <v>1.658701912438169</v>
      </c>
      <c r="T16" s="111" t="s">
        <v>1068</v>
      </c>
      <c r="U16" s="590">
        <f>(M16-O16-P16)*R16*S16/8760000</f>
        <v>0.46342703446048594</v>
      </c>
      <c r="V16" s="508">
        <f>IFERROR((N16-P16/M16*N16)*R16*S16/8760/1000,0)</f>
        <v>0.28480718269030758</v>
      </c>
      <c r="W16" s="509">
        <f t="shared" ref="W16:W21" si="14">U16-V16</f>
        <v>0.17861985177017836</v>
      </c>
      <c r="X16" s="514" t="s">
        <v>1084</v>
      </c>
    </row>
    <row r="17" spans="1:24" s="482" customFormat="1" ht="12.75" customHeight="1">
      <c r="A17" s="726" t="s">
        <v>103</v>
      </c>
      <c r="B17" s="499" t="str">
        <f t="shared" si="9"/>
        <v>RES_199703</v>
      </c>
      <c r="C17" s="499">
        <v>0</v>
      </c>
      <c r="D17" s="499">
        <v>0</v>
      </c>
      <c r="E17" s="1167">
        <f t="shared" si="1"/>
        <v>1</v>
      </c>
      <c r="F17" s="499">
        <v>2</v>
      </c>
      <c r="G17" s="500" t="b">
        <v>1</v>
      </c>
      <c r="H17" s="501" t="str">
        <f t="shared" si="10"/>
        <v>Residential</v>
      </c>
      <c r="I17" s="502" t="s">
        <v>149</v>
      </c>
      <c r="J17" s="502" t="s">
        <v>450</v>
      </c>
      <c r="K17" s="502" t="s">
        <v>158</v>
      </c>
      <c r="L17" s="24">
        <v>2020</v>
      </c>
      <c r="M17" s="511">
        <v>11490462.838400001</v>
      </c>
      <c r="N17" s="512">
        <v>5328631.22</v>
      </c>
      <c r="O17" s="1165">
        <f t="shared" si="3"/>
        <v>0</v>
      </c>
      <c r="P17" s="512">
        <v>0</v>
      </c>
      <c r="Q17" s="318" t="str">
        <f t="shared" si="12"/>
        <v>The savings rates for Residential Lighting are relative to the RTFs current practice baseline.</v>
      </c>
      <c r="R17" s="505">
        <v>0.14199999999999999</v>
      </c>
      <c r="S17" s="531">
        <f t="shared" si="13"/>
        <v>1.1150337322247064</v>
      </c>
      <c r="T17" s="111" t="s">
        <v>1068</v>
      </c>
      <c r="U17" s="590">
        <f t="shared" ref="U17:U21" si="15">(M17-O17-P17)*R17*S17/8760000</f>
        <v>0.20768721692283598</v>
      </c>
      <c r="V17" s="508">
        <f t="shared" ref="V17:V21" si="16">IFERROR((N17-P17/M17*N17)*R17*S17/8760/1000,0)</f>
        <v>9.6313664963215515E-2</v>
      </c>
      <c r="W17" s="509">
        <f t="shared" si="14"/>
        <v>0.11137355195962047</v>
      </c>
      <c r="X17" s="514" t="s">
        <v>1085</v>
      </c>
    </row>
    <row r="18" spans="1:24" s="482" customFormat="1" ht="12.75" customHeight="1">
      <c r="A18" s="726" t="s">
        <v>45</v>
      </c>
      <c r="B18" s="499" t="str">
        <f t="shared" si="9"/>
        <v>RES_199703</v>
      </c>
      <c r="C18" s="499">
        <v>0</v>
      </c>
      <c r="D18" s="499">
        <v>0</v>
      </c>
      <c r="E18" s="499">
        <f t="shared" ca="1" si="1"/>
        <v>1</v>
      </c>
      <c r="F18" s="499">
        <v>1</v>
      </c>
      <c r="G18" s="500" t="b">
        <v>1</v>
      </c>
      <c r="H18" s="501" t="str">
        <f t="shared" si="10"/>
        <v>Residential</v>
      </c>
      <c r="I18" s="502" t="s">
        <v>149</v>
      </c>
      <c r="J18" s="502" t="s">
        <v>1074</v>
      </c>
      <c r="K18" s="502" t="s">
        <v>158</v>
      </c>
      <c r="L18" s="24">
        <v>2021</v>
      </c>
      <c r="M18" s="511">
        <v>0</v>
      </c>
      <c r="N18" s="512">
        <v>0</v>
      </c>
      <c r="O18" s="1165">
        <f t="shared" ca="1" si="3"/>
        <v>0</v>
      </c>
      <c r="P18" s="512">
        <v>0</v>
      </c>
      <c r="Q18" s="318" t="str">
        <f t="shared" si="12"/>
        <v>The savings rates for Residential Lighting are relative to the RTFs current practice baseline.</v>
      </c>
      <c r="R18" s="505">
        <v>0</v>
      </c>
      <c r="S18" s="531">
        <f t="shared" si="13"/>
        <v>10.478339776432536</v>
      </c>
      <c r="T18" s="111" t="s">
        <v>1068</v>
      </c>
      <c r="U18" s="590">
        <f t="shared" ca="1" si="15"/>
        <v>0</v>
      </c>
      <c r="V18" s="508">
        <f t="shared" si="16"/>
        <v>0</v>
      </c>
      <c r="W18" s="509">
        <f t="shared" ca="1" si="14"/>
        <v>0</v>
      </c>
      <c r="X18" s="514"/>
    </row>
    <row r="19" spans="1:24" s="482" customFormat="1" ht="12.75" customHeight="1">
      <c r="A19" s="726" t="s">
        <v>46</v>
      </c>
      <c r="B19" s="499" t="str">
        <f t="shared" si="9"/>
        <v>RES_199703</v>
      </c>
      <c r="C19" s="499">
        <v>0</v>
      </c>
      <c r="D19" s="499">
        <v>0</v>
      </c>
      <c r="E19" s="499">
        <f t="shared" si="1"/>
        <v>1</v>
      </c>
      <c r="F19" s="499">
        <v>1</v>
      </c>
      <c r="G19" s="500" t="b">
        <v>1</v>
      </c>
      <c r="H19" s="501" t="str">
        <f t="shared" si="10"/>
        <v>Residential</v>
      </c>
      <c r="I19" s="502" t="s">
        <v>149</v>
      </c>
      <c r="J19" s="502" t="s">
        <v>1075</v>
      </c>
      <c r="K19" s="502" t="s">
        <v>158</v>
      </c>
      <c r="L19" s="24">
        <v>2021</v>
      </c>
      <c r="M19" s="511">
        <v>0</v>
      </c>
      <c r="N19" s="512">
        <v>0</v>
      </c>
      <c r="O19" s="1165">
        <f t="shared" ca="1" si="3"/>
        <v>0</v>
      </c>
      <c r="P19" s="512">
        <v>0</v>
      </c>
      <c r="Q19" s="318" t="str">
        <f t="shared" si="12"/>
        <v>The savings rates for Residential Lighting are relative to the RTFs current practice baseline.</v>
      </c>
      <c r="R19" s="505">
        <v>0</v>
      </c>
      <c r="S19" s="531">
        <f t="shared" si="13"/>
        <v>13.205953542523677</v>
      </c>
      <c r="T19" s="111" t="s">
        <v>1068</v>
      </c>
      <c r="U19" s="590">
        <f t="shared" ca="1" si="15"/>
        <v>0</v>
      </c>
      <c r="V19" s="508">
        <f t="shared" si="16"/>
        <v>0</v>
      </c>
      <c r="W19" s="509">
        <f t="shared" ca="1" si="14"/>
        <v>0</v>
      </c>
      <c r="X19" s="514"/>
    </row>
    <row r="20" spans="1:24" s="482" customFormat="1" ht="12.75" customHeight="1">
      <c r="A20" s="726" t="s">
        <v>102</v>
      </c>
      <c r="B20" s="499" t="str">
        <f t="shared" si="9"/>
        <v>RES_199703</v>
      </c>
      <c r="C20" s="499">
        <v>0</v>
      </c>
      <c r="D20" s="499">
        <v>0</v>
      </c>
      <c r="E20" s="1167">
        <f t="shared" si="1"/>
        <v>1</v>
      </c>
      <c r="F20" s="499">
        <v>2</v>
      </c>
      <c r="G20" s="500" t="b">
        <v>1</v>
      </c>
      <c r="H20" s="501" t="str">
        <f t="shared" si="10"/>
        <v>Residential</v>
      </c>
      <c r="I20" s="502" t="s">
        <v>149</v>
      </c>
      <c r="J20" s="502" t="s">
        <v>449</v>
      </c>
      <c r="K20" s="502" t="s">
        <v>158</v>
      </c>
      <c r="L20" s="24">
        <v>2021</v>
      </c>
      <c r="M20" s="511">
        <v>18093685.0505304</v>
      </c>
      <c r="N20" s="512">
        <v>0</v>
      </c>
      <c r="O20" s="1165">
        <f t="shared" si="3"/>
        <v>0</v>
      </c>
      <c r="P20" s="512">
        <v>0</v>
      </c>
      <c r="Q20" s="318" t="str">
        <f t="shared" si="12"/>
        <v>The savings rates for Residential Lighting are relative to the RTFs current practice baseline.</v>
      </c>
      <c r="R20" s="505">
        <v>0.14199999999999999</v>
      </c>
      <c r="S20" s="531">
        <f t="shared" si="13"/>
        <v>1.658701912438169</v>
      </c>
      <c r="T20" s="111" t="s">
        <v>1068</v>
      </c>
      <c r="U20" s="590">
        <f t="shared" si="15"/>
        <v>0.4864963766534649</v>
      </c>
      <c r="V20" s="508">
        <f t="shared" si="16"/>
        <v>0</v>
      </c>
      <c r="W20" s="509">
        <f t="shared" si="14"/>
        <v>0.4864963766534649</v>
      </c>
      <c r="X20" s="514" t="s">
        <v>1084</v>
      </c>
    </row>
    <row r="21" spans="1:24" s="496" customFormat="1" ht="12.75" customHeight="1" thickBot="1">
      <c r="A21" s="730" t="s">
        <v>103</v>
      </c>
      <c r="B21" s="731" t="str">
        <f t="shared" si="9"/>
        <v>RES_199703</v>
      </c>
      <c r="C21" s="731">
        <v>0</v>
      </c>
      <c r="D21" s="731">
        <v>0</v>
      </c>
      <c r="E21" s="1172">
        <f t="shared" si="1"/>
        <v>1</v>
      </c>
      <c r="F21" s="731">
        <v>2</v>
      </c>
      <c r="G21" s="732" t="b">
        <v>1</v>
      </c>
      <c r="H21" s="733" t="str">
        <f t="shared" si="10"/>
        <v>Residential</v>
      </c>
      <c r="I21" s="734" t="s">
        <v>149</v>
      </c>
      <c r="J21" s="734" t="s">
        <v>450</v>
      </c>
      <c r="K21" s="734" t="s">
        <v>158</v>
      </c>
      <c r="L21" s="708">
        <v>2021</v>
      </c>
      <c r="M21" s="735">
        <v>11915353.5698615</v>
      </c>
      <c r="N21" s="736">
        <v>5328631.22</v>
      </c>
      <c r="O21" s="1173">
        <f t="shared" si="3"/>
        <v>0</v>
      </c>
      <c r="P21" s="736">
        <v>0</v>
      </c>
      <c r="Q21" s="1376" t="str">
        <f t="shared" si="12"/>
        <v>The savings rates for Residential Lighting are relative to the RTFs current practice baseline.</v>
      </c>
      <c r="R21" s="1377">
        <v>0.14199999999999999</v>
      </c>
      <c r="S21" s="1378">
        <f t="shared" si="13"/>
        <v>1.1150337322247064</v>
      </c>
      <c r="T21" s="758" t="s">
        <v>1068</v>
      </c>
      <c r="U21" s="1174">
        <f t="shared" si="15"/>
        <v>0.21536700970008099</v>
      </c>
      <c r="V21" s="740">
        <f t="shared" si="16"/>
        <v>9.6313664963215515E-2</v>
      </c>
      <c r="W21" s="741">
        <f t="shared" si="14"/>
        <v>0.11905334473686548</v>
      </c>
      <c r="X21" s="1175" t="s">
        <v>1085</v>
      </c>
    </row>
    <row r="22" spans="1:24" ht="12.75" customHeight="1">
      <c r="P22" s="463">
        <v>0</v>
      </c>
      <c r="X22" s="1166"/>
    </row>
    <row r="23" spans="1:24" ht="12.75" customHeight="1">
      <c r="X23" s="1166"/>
    </row>
    <row r="24" spans="1:24" ht="30" customHeight="1" thickBot="1">
      <c r="H24" s="1176" t="s">
        <v>1078</v>
      </c>
      <c r="I24" s="1176"/>
      <c r="J24" s="1176"/>
      <c r="K24" s="1176"/>
      <c r="L24" s="1176"/>
      <c r="M24" s="1176"/>
      <c r="N24" s="1176"/>
      <c r="O24" s="1176"/>
      <c r="P24" s="1176"/>
      <c r="Q24" s="1176"/>
      <c r="R24" s="1176"/>
      <c r="S24" s="1176"/>
      <c r="T24" s="1176"/>
      <c r="U24" s="1176"/>
      <c r="V24" s="1176"/>
    </row>
    <row r="25" spans="1:24" ht="12.75" customHeight="1" thickTop="1"/>
    <row r="26" spans="1:24" ht="12.75" customHeight="1" thickBot="1"/>
    <row r="27" spans="1:24" ht="12.75" customHeight="1" thickTop="1" thickBot="1">
      <c r="I27" s="458" t="s">
        <v>914</v>
      </c>
      <c r="J27" s="2858" t="s">
        <v>2012</v>
      </c>
      <c r="K27" s="2871"/>
      <c r="L27" s="2871"/>
      <c r="M27" s="2871"/>
      <c r="N27" s="2871"/>
      <c r="O27" s="2871"/>
      <c r="P27" s="2871"/>
      <c r="Q27" s="2871"/>
      <c r="R27" s="2859"/>
    </row>
    <row r="28" spans="1:24" ht="12.75" customHeight="1" thickTop="1" thickBot="1">
      <c r="J28" s="2858" t="s">
        <v>1079</v>
      </c>
      <c r="K28" s="2871"/>
      <c r="L28" s="2871"/>
      <c r="M28" s="2871"/>
      <c r="N28" s="2871"/>
      <c r="O28" s="2871"/>
      <c r="P28" s="2871"/>
      <c r="Q28" s="2871"/>
      <c r="R28" s="2859"/>
    </row>
    <row r="29" spans="1:24" ht="12.75" customHeight="1" thickTop="1">
      <c r="J29" s="1177"/>
      <c r="K29" s="1177"/>
      <c r="L29" s="1177"/>
    </row>
    <row r="30" spans="1:24" ht="74.400000000000006" customHeight="1">
      <c r="I30" s="3013" t="s">
        <v>1586</v>
      </c>
      <c r="J30" s="3013"/>
      <c r="K30" s="3013"/>
      <c r="L30" s="3013"/>
      <c r="M30" s="3013"/>
      <c r="N30" s="3013"/>
      <c r="O30" s="3013"/>
      <c r="P30" s="3013"/>
      <c r="Q30" s="3013"/>
    </row>
    <row r="31" spans="1:24" ht="12.75" customHeight="1">
      <c r="J31" s="1177"/>
      <c r="K31" s="1177"/>
      <c r="L31" s="1177"/>
    </row>
    <row r="32" spans="1:24" s="1116" customFormat="1" ht="13.95" customHeight="1">
      <c r="A32" s="1178"/>
      <c r="B32" s="1178"/>
      <c r="C32" s="1179"/>
      <c r="D32" s="1179"/>
      <c r="E32" s="1179"/>
      <c r="F32" s="1179"/>
      <c r="G32" s="1178"/>
      <c r="H32" s="462"/>
      <c r="I32" s="924" t="s">
        <v>1310</v>
      </c>
      <c r="J32" s="462"/>
      <c r="K32" s="462"/>
      <c r="L32" s="458"/>
      <c r="M32" s="458"/>
      <c r="N32" s="458"/>
      <c r="O32" s="458"/>
      <c r="P32" s="458"/>
      <c r="V32" s="1117"/>
    </row>
    <row r="33" spans="1:22" s="1116" customFormat="1" ht="12.75" customHeight="1">
      <c r="A33" s="1178"/>
      <c r="B33" s="1178"/>
      <c r="C33" s="1179"/>
      <c r="D33" s="1179"/>
      <c r="E33" s="1179"/>
      <c r="F33" s="1179"/>
      <c r="G33" s="1178"/>
      <c r="H33" s="462"/>
      <c r="I33" s="462"/>
      <c r="J33" s="462"/>
      <c r="K33" s="458" t="s">
        <v>301</v>
      </c>
      <c r="L33" s="458" t="s">
        <v>302</v>
      </c>
      <c r="M33" s="458" t="s">
        <v>301</v>
      </c>
      <c r="N33" s="458" t="s">
        <v>302</v>
      </c>
      <c r="O33" s="458" t="s">
        <v>301</v>
      </c>
      <c r="P33" s="458" t="s">
        <v>302</v>
      </c>
      <c r="V33" s="1117"/>
    </row>
    <row r="34" spans="1:22" s="1116" customFormat="1" ht="12.75" customHeight="1">
      <c r="A34" s="1178"/>
      <c r="B34" s="1178"/>
      <c r="C34" s="1179"/>
      <c r="D34" s="1179"/>
      <c r="E34" s="1179"/>
      <c r="F34" s="1179"/>
      <c r="G34" s="1178"/>
      <c r="H34" s="1180" t="s">
        <v>8</v>
      </c>
      <c r="I34" s="466" t="s">
        <v>1584</v>
      </c>
      <c r="J34" s="466" t="s">
        <v>1585</v>
      </c>
      <c r="K34" s="502" t="s">
        <v>449</v>
      </c>
      <c r="L34" s="502" t="s">
        <v>450</v>
      </c>
      <c r="M34" s="502" t="s">
        <v>1074</v>
      </c>
      <c r="N34" s="502" t="s">
        <v>1075</v>
      </c>
      <c r="O34" s="502" t="s">
        <v>1076</v>
      </c>
      <c r="P34" s="502" t="s">
        <v>1077</v>
      </c>
      <c r="V34" s="1117"/>
    </row>
    <row r="35" spans="1:22" s="1116" customFormat="1" ht="12.75" customHeight="1">
      <c r="A35" s="1178"/>
      <c r="B35" s="1178"/>
      <c r="C35" s="1179"/>
      <c r="D35" s="1179"/>
      <c r="E35" s="1179"/>
      <c r="F35" s="1179"/>
      <c r="G35" s="1178"/>
      <c r="H35" s="458">
        <v>2018</v>
      </c>
      <c r="I35" s="458" t="s">
        <v>1080</v>
      </c>
      <c r="J35" s="458" t="s">
        <v>1581</v>
      </c>
      <c r="K35" s="1181">
        <v>0</v>
      </c>
      <c r="L35" s="1181">
        <v>3792773.326623118</v>
      </c>
      <c r="M35" s="1181">
        <v>0</v>
      </c>
      <c r="N35" s="1181">
        <v>14205.568695061722</v>
      </c>
      <c r="O35" s="1181">
        <v>0</v>
      </c>
      <c r="P35" s="1181">
        <v>4145457.1575835804</v>
      </c>
      <c r="V35" s="1117"/>
    </row>
    <row r="36" spans="1:22" s="1116" customFormat="1" ht="12.75" customHeight="1">
      <c r="A36" s="1178"/>
      <c r="B36" s="1178"/>
      <c r="C36" s="1179"/>
      <c r="D36" s="1179"/>
      <c r="E36" s="1179"/>
      <c r="F36" s="1179"/>
      <c r="G36" s="1178"/>
      <c r="H36" s="458">
        <v>2018</v>
      </c>
      <c r="I36" s="458" t="s">
        <v>1080</v>
      </c>
      <c r="J36" s="458" t="s">
        <v>1582</v>
      </c>
      <c r="K36" s="1181">
        <v>0</v>
      </c>
      <c r="L36" s="1181">
        <v>0</v>
      </c>
      <c r="M36" s="1181">
        <v>0</v>
      </c>
      <c r="N36" s="1181">
        <v>0</v>
      </c>
      <c r="O36" s="1181">
        <v>0</v>
      </c>
      <c r="P36" s="1181">
        <v>0</v>
      </c>
      <c r="V36" s="1117"/>
    </row>
    <row r="37" spans="1:22" s="1116" customFormat="1" ht="12.75" customHeight="1">
      <c r="A37" s="1178"/>
      <c r="B37" s="1178"/>
      <c r="C37" s="1179"/>
      <c r="D37" s="1179"/>
      <c r="E37" s="1179"/>
      <c r="F37" s="1179"/>
      <c r="G37" s="1178"/>
      <c r="H37" s="458">
        <v>2018</v>
      </c>
      <c r="I37" s="458" t="s">
        <v>1080</v>
      </c>
      <c r="J37" s="458" t="s">
        <v>1583</v>
      </c>
      <c r="K37" s="1181">
        <v>0</v>
      </c>
      <c r="L37" s="1181">
        <v>0</v>
      </c>
      <c r="M37" s="1181">
        <v>0</v>
      </c>
      <c r="N37" s="1181">
        <v>0</v>
      </c>
      <c r="O37" s="1181">
        <v>0</v>
      </c>
      <c r="P37" s="1181">
        <v>1483.6384543519946</v>
      </c>
      <c r="V37" s="1117"/>
    </row>
    <row r="38" spans="1:22" s="1116" customFormat="1" ht="12.75" customHeight="1">
      <c r="A38" s="1178"/>
      <c r="B38" s="1178"/>
      <c r="C38" s="1179"/>
      <c r="D38" s="1179"/>
      <c r="E38" s="1179"/>
      <c r="F38" s="1179"/>
      <c r="G38" s="1178"/>
      <c r="H38" s="458">
        <v>2018</v>
      </c>
      <c r="I38" s="458" t="s">
        <v>1081</v>
      </c>
      <c r="J38" s="458" t="s">
        <v>1581</v>
      </c>
      <c r="K38" s="1181">
        <v>14748889.124922207</v>
      </c>
      <c r="L38" s="1181">
        <v>0</v>
      </c>
      <c r="M38" s="1181">
        <v>872221.08617234544</v>
      </c>
      <c r="N38" s="1181">
        <v>0</v>
      </c>
      <c r="O38" s="1181">
        <v>6477548.4955790192</v>
      </c>
      <c r="P38" s="1181">
        <v>0</v>
      </c>
      <c r="V38" s="1117"/>
    </row>
    <row r="39" spans="1:22" s="1116" customFormat="1" ht="12.75" customHeight="1">
      <c r="A39" s="1178"/>
      <c r="B39" s="1178"/>
      <c r="C39" s="1179"/>
      <c r="D39" s="1179"/>
      <c r="E39" s="1179"/>
      <c r="F39" s="1179"/>
      <c r="G39" s="1178"/>
      <c r="H39" s="458">
        <v>2018</v>
      </c>
      <c r="I39" s="458" t="s">
        <v>1081</v>
      </c>
      <c r="J39" s="458" t="s">
        <v>1582</v>
      </c>
      <c r="K39" s="1181">
        <v>952926.48937764228</v>
      </c>
      <c r="L39" s="1181">
        <v>0</v>
      </c>
      <c r="M39" s="1181">
        <v>258048.21468280759</v>
      </c>
      <c r="N39" s="1181">
        <v>0</v>
      </c>
      <c r="O39" s="1181">
        <v>2089379.9560505548</v>
      </c>
      <c r="P39" s="1181">
        <v>0</v>
      </c>
      <c r="V39" s="1117"/>
    </row>
    <row r="40" spans="1:22" s="1116" customFormat="1" ht="12.75" customHeight="1">
      <c r="A40" s="1178"/>
      <c r="B40" s="1178"/>
      <c r="C40" s="1179"/>
      <c r="D40" s="1179"/>
      <c r="E40" s="1179"/>
      <c r="F40" s="1179"/>
      <c r="G40" s="1178"/>
      <c r="H40" s="458">
        <v>2018</v>
      </c>
      <c r="I40" s="458" t="s">
        <v>1081</v>
      </c>
      <c r="J40" s="458" t="s">
        <v>1583</v>
      </c>
      <c r="K40" s="1181">
        <v>1278447.2668526925</v>
      </c>
      <c r="L40" s="1181">
        <v>0</v>
      </c>
      <c r="M40" s="1181">
        <v>528920.85135779087</v>
      </c>
      <c r="N40" s="1181">
        <v>0</v>
      </c>
      <c r="O40" s="1181">
        <v>901136.59954221209</v>
      </c>
      <c r="P40" s="1181">
        <v>0</v>
      </c>
      <c r="V40" s="1117"/>
    </row>
    <row r="41" spans="1:22" s="1116" customFormat="1" ht="12.75" customHeight="1">
      <c r="A41" s="1178"/>
      <c r="B41" s="1178"/>
      <c r="C41" s="1179"/>
      <c r="D41" s="1179"/>
      <c r="E41" s="1179"/>
      <c r="F41" s="1179"/>
      <c r="G41" s="1178"/>
      <c r="H41" s="458">
        <v>2018</v>
      </c>
      <c r="I41" s="458" t="s">
        <v>1082</v>
      </c>
      <c r="J41" s="458" t="s">
        <v>1581</v>
      </c>
      <c r="K41" s="1181">
        <v>0</v>
      </c>
      <c r="L41" s="1181">
        <v>1527915.7262731586</v>
      </c>
      <c r="M41" s="1181">
        <v>0</v>
      </c>
      <c r="N41" s="1181">
        <v>4238.2072293648998</v>
      </c>
      <c r="O41" s="1181">
        <v>0</v>
      </c>
      <c r="P41" s="1181">
        <v>1461865.0536533438</v>
      </c>
      <c r="V41" s="1117"/>
    </row>
    <row r="42" spans="1:22" s="1116" customFormat="1" ht="12.75" customHeight="1">
      <c r="A42" s="1178"/>
      <c r="B42" s="1178"/>
      <c r="C42" s="1179"/>
      <c r="D42" s="1179"/>
      <c r="E42" s="1179"/>
      <c r="F42" s="1179"/>
      <c r="G42" s="1178"/>
      <c r="H42" s="458">
        <v>2018</v>
      </c>
      <c r="I42" s="458" t="s">
        <v>1082</v>
      </c>
      <c r="J42" s="458" t="s">
        <v>1582</v>
      </c>
      <c r="K42" s="1181">
        <v>0</v>
      </c>
      <c r="L42" s="1181">
        <v>0</v>
      </c>
      <c r="M42" s="1181">
        <v>0</v>
      </c>
      <c r="N42" s="1181">
        <v>0</v>
      </c>
      <c r="O42" s="1181">
        <v>0</v>
      </c>
      <c r="P42" s="1181">
        <v>37994.25401501319</v>
      </c>
      <c r="V42" s="1117"/>
    </row>
    <row r="43" spans="1:22" s="1116" customFormat="1" ht="12.75" customHeight="1">
      <c r="A43" s="1178"/>
      <c r="B43" s="1178"/>
      <c r="C43" s="1179"/>
      <c r="D43" s="1179"/>
      <c r="E43" s="1179"/>
      <c r="F43" s="1179"/>
      <c r="G43" s="1178"/>
      <c r="H43" s="458">
        <v>2018</v>
      </c>
      <c r="I43" s="458" t="s">
        <v>1082</v>
      </c>
      <c r="J43" s="458" t="s">
        <v>1583</v>
      </c>
      <c r="K43" s="1181">
        <v>0</v>
      </c>
      <c r="L43" s="1181">
        <v>533.33034211486756</v>
      </c>
      <c r="M43" s="1181">
        <v>0</v>
      </c>
      <c r="N43" s="1181">
        <v>536.39058534995468</v>
      </c>
      <c r="O43" s="1181">
        <v>0</v>
      </c>
      <c r="P43" s="1181">
        <v>1898.7497793601874</v>
      </c>
      <c r="V43" s="1117"/>
    </row>
    <row r="44" spans="1:22" s="1116" customFormat="1" ht="12.75" customHeight="1">
      <c r="A44" s="1178"/>
      <c r="B44" s="1178"/>
      <c r="C44" s="1179"/>
      <c r="D44" s="1179"/>
      <c r="E44" s="1179"/>
      <c r="F44" s="1179"/>
      <c r="G44" s="1178"/>
      <c r="H44" s="458">
        <v>2018</v>
      </c>
      <c r="I44" s="458" t="s">
        <v>1083</v>
      </c>
      <c r="J44" s="458" t="s">
        <v>1581</v>
      </c>
      <c r="K44" s="1181">
        <v>0</v>
      </c>
      <c r="L44" s="1181">
        <v>5544082.5699474933</v>
      </c>
      <c r="M44" s="1181">
        <v>0</v>
      </c>
      <c r="N44" s="1181">
        <v>33080.927053855157</v>
      </c>
      <c r="O44" s="1181">
        <v>0</v>
      </c>
      <c r="P44" s="1181">
        <v>2803293.3687596465</v>
      </c>
      <c r="V44" s="1117"/>
    </row>
    <row r="45" spans="1:22" s="1116" customFormat="1" ht="12.75" customHeight="1">
      <c r="A45" s="1178"/>
      <c r="B45" s="1178"/>
      <c r="C45" s="1179"/>
      <c r="D45" s="1179"/>
      <c r="E45" s="1179"/>
      <c r="F45" s="1179"/>
      <c r="G45" s="1178"/>
      <c r="H45" s="458">
        <v>2018</v>
      </c>
      <c r="I45" s="458" t="s">
        <v>1083</v>
      </c>
      <c r="J45" s="458" t="s">
        <v>1582</v>
      </c>
      <c r="K45" s="1181">
        <v>0</v>
      </c>
      <c r="L45" s="1181">
        <v>651032.57699130138</v>
      </c>
      <c r="M45" s="1181">
        <v>0</v>
      </c>
      <c r="N45" s="1181">
        <v>10730.468271177166</v>
      </c>
      <c r="O45" s="1181">
        <v>0</v>
      </c>
      <c r="P45" s="1181">
        <v>261686.14141221935</v>
      </c>
      <c r="V45" s="1117"/>
    </row>
    <row r="46" spans="1:22" s="1116" customFormat="1" ht="12.75" customHeight="1">
      <c r="A46" s="1178"/>
      <c r="B46" s="1178"/>
      <c r="C46" s="1179"/>
      <c r="D46" s="1179"/>
      <c r="E46" s="1179"/>
      <c r="F46" s="1179"/>
      <c r="G46" s="1178"/>
      <c r="H46" s="458">
        <v>2018</v>
      </c>
      <c r="I46" s="458" t="s">
        <v>1083</v>
      </c>
      <c r="J46" s="458" t="s">
        <v>1583</v>
      </c>
      <c r="K46" s="1181">
        <v>0</v>
      </c>
      <c r="L46" s="1181">
        <v>66630.838371618651</v>
      </c>
      <c r="M46" s="1181">
        <v>0</v>
      </c>
      <c r="N46" s="1181">
        <v>2.8377383427891205</v>
      </c>
      <c r="O46" s="1181">
        <v>0</v>
      </c>
      <c r="P46" s="1181">
        <v>206040.06368325892</v>
      </c>
      <c r="V46" s="1117"/>
    </row>
    <row r="47" spans="1:22" s="1116" customFormat="1" ht="12.75" customHeight="1">
      <c r="A47" s="1178"/>
      <c r="B47" s="1178"/>
      <c r="C47" s="1179"/>
      <c r="D47" s="1179"/>
      <c r="E47" s="1179"/>
      <c r="F47" s="1179"/>
      <c r="G47" s="1178"/>
      <c r="H47" s="458"/>
      <c r="I47" s="458"/>
      <c r="J47" s="458"/>
      <c r="K47" s="1181">
        <f t="shared" ref="K47:P47" si="17">SUM(K35:K46)</f>
        <v>16980262.88115254</v>
      </c>
      <c r="L47" s="1181">
        <f t="shared" si="17"/>
        <v>11582968.368548803</v>
      </c>
      <c r="M47" s="1181">
        <f t="shared" si="17"/>
        <v>1659190.1522129439</v>
      </c>
      <c r="N47" s="1181">
        <f t="shared" si="17"/>
        <v>62794.399573151684</v>
      </c>
      <c r="O47" s="1181">
        <f t="shared" si="17"/>
        <v>9468065.0511717852</v>
      </c>
      <c r="P47" s="1181">
        <f t="shared" si="17"/>
        <v>8919718.4273407739</v>
      </c>
      <c r="V47" s="1117"/>
    </row>
    <row r="48" spans="1:22" s="1116" customFormat="1" ht="12.75" customHeight="1">
      <c r="A48" s="1178"/>
      <c r="B48" s="1178"/>
      <c r="C48" s="1179"/>
      <c r="D48" s="1179"/>
      <c r="E48" s="1179"/>
      <c r="F48" s="1179"/>
      <c r="G48" s="1178"/>
      <c r="H48" s="458"/>
      <c r="I48" s="458"/>
      <c r="J48" s="458"/>
      <c r="K48" s="458"/>
      <c r="L48" s="458"/>
      <c r="M48" s="458"/>
      <c r="N48" s="458"/>
      <c r="O48" s="458"/>
      <c r="P48" s="458"/>
      <c r="V48" s="1117"/>
    </row>
    <row r="49" spans="1:22" s="1116" customFormat="1" ht="12.75" customHeight="1">
      <c r="A49" s="1178"/>
      <c r="B49" s="1178"/>
      <c r="C49" s="1179"/>
      <c r="D49" s="1179"/>
      <c r="E49" s="1179"/>
      <c r="F49" s="1179"/>
      <c r="G49" s="1178"/>
      <c r="H49" s="458"/>
      <c r="I49" s="924" t="s">
        <v>1311</v>
      </c>
      <c r="J49" s="458"/>
      <c r="K49" s="458"/>
      <c r="L49" s="458"/>
      <c r="M49" s="458"/>
      <c r="N49" s="458"/>
      <c r="O49" s="458"/>
      <c r="P49" s="458"/>
      <c r="V49" s="1117"/>
    </row>
    <row r="50" spans="1:22" s="1116" customFormat="1" ht="12.75" customHeight="1">
      <c r="A50" s="1178"/>
      <c r="B50" s="1178"/>
      <c r="C50" s="1179"/>
      <c r="D50" s="1179"/>
      <c r="E50" s="1179"/>
      <c r="F50" s="1179"/>
      <c r="G50" s="1178"/>
      <c r="H50" s="458"/>
      <c r="I50" s="458"/>
      <c r="J50" s="458"/>
      <c r="K50" s="458" t="s">
        <v>301</v>
      </c>
      <c r="L50" s="458" t="s">
        <v>302</v>
      </c>
      <c r="M50" s="458" t="s">
        <v>301</v>
      </c>
      <c r="N50" s="458" t="s">
        <v>302</v>
      </c>
      <c r="O50" s="458" t="s">
        <v>301</v>
      </c>
      <c r="P50" s="458" t="s">
        <v>302</v>
      </c>
      <c r="V50" s="1117"/>
    </row>
    <row r="51" spans="1:22" s="1116" customFormat="1" ht="12.75" customHeight="1">
      <c r="A51" s="1178"/>
      <c r="B51" s="1178"/>
      <c r="C51" s="1179"/>
      <c r="D51" s="1179"/>
      <c r="E51" s="1179"/>
      <c r="F51" s="1179"/>
      <c r="G51" s="1178"/>
      <c r="H51" s="1180" t="s">
        <v>8</v>
      </c>
      <c r="I51" s="466" t="s">
        <v>1584</v>
      </c>
      <c r="J51" s="466" t="s">
        <v>1585</v>
      </c>
      <c r="K51" s="502" t="s">
        <v>449</v>
      </c>
      <c r="L51" s="502" t="s">
        <v>450</v>
      </c>
      <c r="M51" s="502" t="s">
        <v>1074</v>
      </c>
      <c r="N51" s="502" t="s">
        <v>1075</v>
      </c>
      <c r="O51" s="502" t="s">
        <v>1076</v>
      </c>
      <c r="P51" s="502" t="s">
        <v>1077</v>
      </c>
      <c r="V51" s="1117"/>
    </row>
    <row r="52" spans="1:22" s="1116" customFormat="1" ht="12.75" customHeight="1">
      <c r="A52" s="1178"/>
      <c r="B52" s="1178"/>
      <c r="C52" s="1179"/>
      <c r="D52" s="1179"/>
      <c r="E52" s="1179"/>
      <c r="F52" s="1179"/>
      <c r="G52" s="1178"/>
      <c r="H52" s="458">
        <v>2019</v>
      </c>
      <c r="I52" s="458" t="s">
        <v>1080</v>
      </c>
      <c r="J52" s="458" t="s">
        <v>1581</v>
      </c>
      <c r="K52" s="1181">
        <v>0</v>
      </c>
      <c r="L52" s="1181">
        <v>3832662.6123529361</v>
      </c>
      <c r="M52" s="1181">
        <v>0</v>
      </c>
      <c r="N52" s="1181">
        <v>13664.510530915191</v>
      </c>
      <c r="O52" s="1181">
        <v>0</v>
      </c>
      <c r="P52" s="1181">
        <v>3572569.7216112767</v>
      </c>
      <c r="V52" s="1117"/>
    </row>
    <row r="53" spans="1:22" s="1116" customFormat="1" ht="12.75" customHeight="1">
      <c r="A53" s="1178"/>
      <c r="B53" s="1178"/>
      <c r="C53" s="1179"/>
      <c r="D53" s="1179"/>
      <c r="E53" s="1179"/>
      <c r="F53" s="1179"/>
      <c r="G53" s="1178"/>
      <c r="H53" s="458">
        <v>2019</v>
      </c>
      <c r="I53" s="458" t="s">
        <v>1080</v>
      </c>
      <c r="J53" s="458" t="s">
        <v>1582</v>
      </c>
      <c r="K53" s="1181">
        <v>0</v>
      </c>
      <c r="L53" s="1181">
        <v>0</v>
      </c>
      <c r="M53" s="1181">
        <v>0</v>
      </c>
      <c r="N53" s="1181">
        <v>0</v>
      </c>
      <c r="O53" s="1181">
        <v>0</v>
      </c>
      <c r="P53" s="1181">
        <v>0</v>
      </c>
      <c r="V53" s="1117"/>
    </row>
    <row r="54" spans="1:22" s="1116" customFormat="1" ht="12.75" customHeight="1">
      <c r="A54" s="1178"/>
      <c r="B54" s="1178"/>
      <c r="C54" s="1179"/>
      <c r="D54" s="1179"/>
      <c r="E54" s="1179"/>
      <c r="F54" s="1179"/>
      <c r="G54" s="1178"/>
      <c r="H54" s="458">
        <v>2019</v>
      </c>
      <c r="I54" s="458" t="s">
        <v>1080</v>
      </c>
      <c r="J54" s="458" t="s">
        <v>1583</v>
      </c>
      <c r="K54" s="1181">
        <v>0</v>
      </c>
      <c r="L54" s="1181">
        <v>0</v>
      </c>
      <c r="M54" s="1181">
        <v>0</v>
      </c>
      <c r="N54" s="1181">
        <v>0</v>
      </c>
      <c r="O54" s="1181">
        <v>0</v>
      </c>
      <c r="P54" s="1181">
        <v>1278.6048964804008</v>
      </c>
      <c r="V54" s="1117"/>
    </row>
    <row r="55" spans="1:22" s="1116" customFormat="1" ht="12.75" customHeight="1">
      <c r="A55" s="1178"/>
      <c r="B55" s="1178"/>
      <c r="C55" s="1179"/>
      <c r="D55" s="1179"/>
      <c r="E55" s="1179"/>
      <c r="F55" s="1179"/>
      <c r="G55" s="1178"/>
      <c r="H55" s="458">
        <v>2019</v>
      </c>
      <c r="I55" s="458" t="s">
        <v>1081</v>
      </c>
      <c r="J55" s="458" t="s">
        <v>1581</v>
      </c>
      <c r="K55" s="1181">
        <v>15046662.825486209</v>
      </c>
      <c r="L55" s="1181">
        <v>0</v>
      </c>
      <c r="M55" s="1181">
        <v>492248.02203085256</v>
      </c>
      <c r="N55" s="1181">
        <v>0</v>
      </c>
      <c r="O55" s="1181">
        <v>6230833.2409897083</v>
      </c>
      <c r="P55" s="1181">
        <v>0</v>
      </c>
      <c r="V55" s="1117"/>
    </row>
    <row r="56" spans="1:22" s="1116" customFormat="1" ht="12.75" customHeight="1">
      <c r="A56" s="1178"/>
      <c r="B56" s="1178"/>
      <c r="C56" s="1179"/>
      <c r="D56" s="1179"/>
      <c r="E56" s="1179"/>
      <c r="F56" s="1179"/>
      <c r="G56" s="1178"/>
      <c r="H56" s="458">
        <v>2019</v>
      </c>
      <c r="I56" s="458" t="s">
        <v>1081</v>
      </c>
      <c r="J56" s="458" t="s">
        <v>1582</v>
      </c>
      <c r="K56" s="1181">
        <v>972165.66357605427</v>
      </c>
      <c r="L56" s="1181">
        <v>0</v>
      </c>
      <c r="M56" s="1181">
        <v>145632.48387359639</v>
      </c>
      <c r="N56" s="1181">
        <v>0</v>
      </c>
      <c r="O56" s="1181">
        <v>2009800.1724113219</v>
      </c>
      <c r="P56" s="1181">
        <v>0</v>
      </c>
      <c r="V56" s="1117"/>
    </row>
    <row r="57" spans="1:22" s="1116" customFormat="1" ht="12.75" customHeight="1">
      <c r="A57" s="1178"/>
      <c r="B57" s="1178"/>
      <c r="C57" s="1179"/>
      <c r="D57" s="1179"/>
      <c r="E57" s="1179"/>
      <c r="F57" s="1179"/>
      <c r="G57" s="1178"/>
      <c r="H57" s="458">
        <v>2019</v>
      </c>
      <c r="I57" s="458" t="s">
        <v>1081</v>
      </c>
      <c r="J57" s="458" t="s">
        <v>1583</v>
      </c>
      <c r="K57" s="1181">
        <v>1304258.5649377385</v>
      </c>
      <c r="L57" s="1181">
        <v>0</v>
      </c>
      <c r="M57" s="1181">
        <v>298502.57809555123</v>
      </c>
      <c r="N57" s="1181">
        <v>0</v>
      </c>
      <c r="O57" s="1181">
        <v>866814.33306631597</v>
      </c>
      <c r="P57" s="1181">
        <v>0</v>
      </c>
      <c r="V57" s="1117"/>
    </row>
    <row r="58" spans="1:22" s="1116" customFormat="1" ht="12.75" customHeight="1">
      <c r="A58" s="1178"/>
      <c r="B58" s="1178"/>
      <c r="C58" s="1179"/>
      <c r="D58" s="1179"/>
      <c r="E58" s="1179"/>
      <c r="F58" s="1179"/>
      <c r="G58" s="1178"/>
      <c r="H58" s="458">
        <v>2019</v>
      </c>
      <c r="I58" s="458" t="s">
        <v>1082</v>
      </c>
      <c r="J58" s="458" t="s">
        <v>1581</v>
      </c>
      <c r="K58" s="1181">
        <v>0</v>
      </c>
      <c r="L58" s="1181">
        <v>1543985.0933899791</v>
      </c>
      <c r="M58" s="1181">
        <v>0</v>
      </c>
      <c r="N58" s="1181">
        <v>4076.7834474652091</v>
      </c>
      <c r="O58" s="1181">
        <v>0</v>
      </c>
      <c r="P58" s="1181">
        <v>1259840.5023217956</v>
      </c>
      <c r="V58" s="1117"/>
    </row>
    <row r="59" spans="1:22" s="1116" customFormat="1" ht="12.75" customHeight="1">
      <c r="A59" s="1178"/>
      <c r="B59" s="1178"/>
      <c r="C59" s="1179"/>
      <c r="D59" s="1179"/>
      <c r="E59" s="1179"/>
      <c r="F59" s="1179"/>
      <c r="G59" s="1178"/>
      <c r="H59" s="458">
        <v>2019</v>
      </c>
      <c r="I59" s="458" t="s">
        <v>1082</v>
      </c>
      <c r="J59" s="458" t="s">
        <v>1582</v>
      </c>
      <c r="K59" s="1181">
        <v>0</v>
      </c>
      <c r="L59" s="1181">
        <v>0</v>
      </c>
      <c r="M59" s="1181">
        <v>0</v>
      </c>
      <c r="N59" s="1181">
        <v>0</v>
      </c>
      <c r="O59" s="1181">
        <v>0</v>
      </c>
      <c r="P59" s="1181">
        <v>32743.583235670452</v>
      </c>
      <c r="V59" s="1117"/>
    </row>
    <row r="60" spans="1:22" s="1116" customFormat="1" ht="12.75" customHeight="1">
      <c r="A60" s="1178"/>
      <c r="B60" s="1178"/>
      <c r="C60" s="1179"/>
      <c r="D60" s="1179"/>
      <c r="E60" s="1179"/>
      <c r="F60" s="1179"/>
      <c r="G60" s="1178"/>
      <c r="H60" s="458">
        <v>2019</v>
      </c>
      <c r="I60" s="458" t="s">
        <v>1082</v>
      </c>
      <c r="J60" s="458" t="s">
        <v>1583</v>
      </c>
      <c r="K60" s="1181">
        <v>0</v>
      </c>
      <c r="L60" s="1181">
        <v>538.93947415966159</v>
      </c>
      <c r="M60" s="1181">
        <v>0</v>
      </c>
      <c r="N60" s="1181">
        <v>515.96067426333855</v>
      </c>
      <c r="O60" s="1181">
        <v>0</v>
      </c>
      <c r="P60" s="1181">
        <v>1636.3493127046102</v>
      </c>
      <c r="V60" s="1117"/>
    </row>
    <row r="61" spans="1:22" s="1116" customFormat="1" ht="12.75" customHeight="1">
      <c r="A61" s="1178"/>
      <c r="B61" s="1178"/>
      <c r="C61" s="1179"/>
      <c r="D61" s="1179"/>
      <c r="E61" s="1179"/>
      <c r="F61" s="1179"/>
      <c r="G61" s="1178"/>
      <c r="H61" s="458">
        <v>2019</v>
      </c>
      <c r="I61" s="458" t="s">
        <v>1083</v>
      </c>
      <c r="J61" s="458" t="s">
        <v>1581</v>
      </c>
      <c r="K61" s="1181">
        <v>0</v>
      </c>
      <c r="L61" s="1181">
        <v>5602390.6929745125</v>
      </c>
      <c r="M61" s="1181">
        <v>0</v>
      </c>
      <c r="N61" s="1181">
        <v>31820.948939339662</v>
      </c>
      <c r="O61" s="1181">
        <v>0</v>
      </c>
      <c r="P61" s="1181">
        <v>2415888.1950337626</v>
      </c>
      <c r="V61" s="1117"/>
    </row>
    <row r="62" spans="1:22" s="1116" customFormat="1" ht="12.75" customHeight="1">
      <c r="A62" s="1178"/>
      <c r="B62" s="1178"/>
      <c r="C62" s="1179"/>
      <c r="D62" s="1179"/>
      <c r="E62" s="1179"/>
      <c r="F62" s="1179"/>
      <c r="G62" s="1178"/>
      <c r="H62" s="458">
        <v>2019</v>
      </c>
      <c r="I62" s="458" t="s">
        <v>1083</v>
      </c>
      <c r="J62" s="458" t="s">
        <v>1582</v>
      </c>
      <c r="K62" s="1181">
        <v>0</v>
      </c>
      <c r="L62" s="1181">
        <v>657879.60481148155</v>
      </c>
      <c r="M62" s="1181">
        <v>0</v>
      </c>
      <c r="N62" s="1181">
        <v>10321.768866889748</v>
      </c>
      <c r="O62" s="1181">
        <v>0</v>
      </c>
      <c r="P62" s="1181">
        <v>225522.04734870244</v>
      </c>
      <c r="V62" s="1117"/>
    </row>
    <row r="63" spans="1:22" s="1116" customFormat="1" ht="12.75" customHeight="1">
      <c r="A63" s="1178"/>
      <c r="B63" s="1178"/>
      <c r="C63" s="1179"/>
      <c r="D63" s="1179"/>
      <c r="E63" s="1179"/>
      <c r="F63" s="1179"/>
      <c r="G63" s="1178"/>
      <c r="H63" s="458">
        <v>2019</v>
      </c>
      <c r="I63" s="458" t="s">
        <v>1083</v>
      </c>
      <c r="J63" s="458" t="s">
        <v>1583</v>
      </c>
      <c r="K63" s="1181">
        <v>0</v>
      </c>
      <c r="L63" s="1181">
        <v>67331.606996931994</v>
      </c>
      <c r="M63" s="1181">
        <v>0</v>
      </c>
      <c r="N63" s="1181">
        <v>2.7296552712108992</v>
      </c>
      <c r="O63" s="1181">
        <v>0</v>
      </c>
      <c r="P63" s="1181">
        <v>177566.05965812079</v>
      </c>
      <c r="V63" s="1117"/>
    </row>
    <row r="64" spans="1:22" s="1116" customFormat="1" ht="12.75" customHeight="1">
      <c r="A64" s="1178"/>
      <c r="B64" s="1178"/>
      <c r="C64" s="1179"/>
      <c r="D64" s="1179"/>
      <c r="E64" s="1179"/>
      <c r="F64" s="1179"/>
      <c r="G64" s="1178"/>
      <c r="H64" s="462"/>
      <c r="I64" s="462"/>
      <c r="J64" s="462"/>
      <c r="K64" s="1181">
        <f t="shared" ref="K64:P64" si="18">SUM(K52:K63)</f>
        <v>17323087.054000001</v>
      </c>
      <c r="L64" s="1181">
        <f t="shared" si="18"/>
        <v>11704788.550000001</v>
      </c>
      <c r="M64" s="1181">
        <f t="shared" si="18"/>
        <v>936383.08400000015</v>
      </c>
      <c r="N64" s="1181">
        <f t="shared" si="18"/>
        <v>60402.702114144362</v>
      </c>
      <c r="O64" s="1181">
        <f t="shared" si="18"/>
        <v>9107447.7464673463</v>
      </c>
      <c r="P64" s="1181">
        <f t="shared" si="18"/>
        <v>7687045.0634185141</v>
      </c>
      <c r="V64" s="1117"/>
    </row>
    <row r="65" spans="1:22" s="1116" customFormat="1" ht="12.75" customHeight="1">
      <c r="A65" s="1178"/>
      <c r="B65" s="1178"/>
      <c r="C65" s="1179"/>
      <c r="D65" s="1179"/>
      <c r="E65" s="1179"/>
      <c r="F65" s="1179"/>
      <c r="G65" s="1178"/>
      <c r="J65" s="1177"/>
      <c r="K65" s="1177"/>
      <c r="L65" s="1177"/>
      <c r="M65" s="1182"/>
      <c r="N65" s="1182"/>
      <c r="O65" s="1182"/>
      <c r="P65" s="1182"/>
      <c r="V65" s="1117"/>
    </row>
    <row r="66" spans="1:22" ht="18" customHeight="1">
      <c r="I66" s="924" t="s">
        <v>2010</v>
      </c>
      <c r="L66" s="458"/>
      <c r="M66" s="458"/>
      <c r="N66" s="458"/>
      <c r="O66" s="458"/>
      <c r="P66" s="458"/>
    </row>
    <row r="67" spans="1:22" ht="12.75" customHeight="1">
      <c r="K67" s="458" t="s">
        <v>301</v>
      </c>
      <c r="L67" s="458" t="s">
        <v>302</v>
      </c>
      <c r="M67" s="458" t="s">
        <v>301</v>
      </c>
      <c r="N67" s="458" t="s">
        <v>302</v>
      </c>
      <c r="O67" s="458" t="s">
        <v>301</v>
      </c>
      <c r="P67" s="458" t="s">
        <v>302</v>
      </c>
    </row>
    <row r="68" spans="1:22" ht="12.75" customHeight="1">
      <c r="H68" s="1180" t="s">
        <v>8</v>
      </c>
      <c r="I68" s="466" t="s">
        <v>1584</v>
      </c>
      <c r="J68" s="466" t="s">
        <v>1585</v>
      </c>
      <c r="K68" s="502" t="s">
        <v>449</v>
      </c>
      <c r="L68" s="502" t="s">
        <v>450</v>
      </c>
      <c r="M68" s="502" t="s">
        <v>1074</v>
      </c>
      <c r="N68" s="502" t="s">
        <v>1075</v>
      </c>
      <c r="O68" s="502" t="s">
        <v>1076</v>
      </c>
      <c r="P68" s="502" t="s">
        <v>1077</v>
      </c>
    </row>
    <row r="69" spans="1:22" ht="12.75" customHeight="1">
      <c r="H69" s="458">
        <v>2018</v>
      </c>
      <c r="I69" s="458" t="s">
        <v>1080</v>
      </c>
      <c r="J69" s="458" t="s">
        <v>1581</v>
      </c>
      <c r="K69" s="1181">
        <v>0</v>
      </c>
      <c r="L69" s="1181">
        <v>3762482.9471495645</v>
      </c>
      <c r="M69" s="1181">
        <v>0</v>
      </c>
      <c r="N69" s="1181">
        <v>12898.365829382517</v>
      </c>
      <c r="O69" s="1181">
        <v>0</v>
      </c>
      <c r="P69" s="1181">
        <v>3259788.340480499</v>
      </c>
    </row>
    <row r="70" spans="1:22" ht="12.75" customHeight="1">
      <c r="H70" s="458">
        <v>2018</v>
      </c>
      <c r="I70" s="458" t="s">
        <v>1080</v>
      </c>
      <c r="J70" s="458" t="s">
        <v>1582</v>
      </c>
      <c r="K70" s="1181">
        <v>0</v>
      </c>
      <c r="L70" s="1181">
        <v>0</v>
      </c>
      <c r="M70" s="1181">
        <v>0</v>
      </c>
      <c r="N70" s="1181">
        <v>0</v>
      </c>
      <c r="O70" s="1181">
        <v>0</v>
      </c>
      <c r="P70" s="1181">
        <v>0</v>
      </c>
    </row>
    <row r="71" spans="1:22" ht="12.75" customHeight="1">
      <c r="H71" s="458">
        <v>2018</v>
      </c>
      <c r="I71" s="458" t="s">
        <v>1080</v>
      </c>
      <c r="J71" s="458" t="s">
        <v>1583</v>
      </c>
      <c r="K71" s="1181">
        <v>0</v>
      </c>
      <c r="L71" s="1181">
        <v>0</v>
      </c>
      <c r="M71" s="1181">
        <v>0</v>
      </c>
      <c r="N71" s="1181">
        <v>0</v>
      </c>
      <c r="O71" s="1181">
        <v>0</v>
      </c>
      <c r="P71" s="1181">
        <v>1166.6619991808786</v>
      </c>
    </row>
    <row r="72" spans="1:22" ht="12.75" customHeight="1">
      <c r="H72" s="458">
        <v>2018</v>
      </c>
      <c r="I72" s="458" t="s">
        <v>1081</v>
      </c>
      <c r="J72" s="458" t="s">
        <v>1581</v>
      </c>
      <c r="K72" s="1181">
        <v>14970754.303136351</v>
      </c>
      <c r="L72" s="1181">
        <v>0</v>
      </c>
      <c r="M72" s="1181">
        <v>232324.27727942332</v>
      </c>
      <c r="N72" s="1181">
        <v>0</v>
      </c>
      <c r="O72" s="1181">
        <v>5442345.6342739183</v>
      </c>
      <c r="P72" s="1181">
        <v>0</v>
      </c>
    </row>
    <row r="73" spans="1:22" ht="12.75" customHeight="1">
      <c r="H73" s="458">
        <v>2018</v>
      </c>
      <c r="I73" s="458" t="s">
        <v>1081</v>
      </c>
      <c r="J73" s="458" t="s">
        <v>1582</v>
      </c>
      <c r="K73" s="1181">
        <v>967261.21001999173</v>
      </c>
      <c r="L73" s="1181">
        <v>0</v>
      </c>
      <c r="M73" s="1181">
        <v>68733.565296520275</v>
      </c>
      <c r="N73" s="1181">
        <v>0</v>
      </c>
      <c r="O73" s="1181">
        <v>1755467.8116129979</v>
      </c>
      <c r="P73" s="1181">
        <v>0</v>
      </c>
    </row>
    <row r="74" spans="1:22" ht="12.75" customHeight="1">
      <c r="H74" s="458">
        <v>2018</v>
      </c>
      <c r="I74" s="458" t="s">
        <v>1081</v>
      </c>
      <c r="J74" s="458" t="s">
        <v>1583</v>
      </c>
      <c r="K74" s="1181">
        <v>1297678.7444436632</v>
      </c>
      <c r="L74" s="1181">
        <v>0</v>
      </c>
      <c r="M74" s="1181">
        <v>140883.03582405651</v>
      </c>
      <c r="N74" s="1181">
        <v>0</v>
      </c>
      <c r="O74" s="1181">
        <v>757122.36531308491</v>
      </c>
      <c r="P74" s="1181">
        <v>0</v>
      </c>
    </row>
    <row r="75" spans="1:22" ht="12.75" customHeight="1">
      <c r="H75" s="458">
        <v>2018</v>
      </c>
      <c r="I75" s="458" t="s">
        <v>1082</v>
      </c>
      <c r="J75" s="458" t="s">
        <v>1581</v>
      </c>
      <c r="K75" s="1181">
        <v>0</v>
      </c>
      <c r="L75" s="1181">
        <v>1515713.2709280006</v>
      </c>
      <c r="M75" s="1181">
        <v>0</v>
      </c>
      <c r="N75" s="1181">
        <v>3848.2054804385057</v>
      </c>
      <c r="O75" s="1181">
        <v>0</v>
      </c>
      <c r="P75" s="1181">
        <v>1149540.4429732044</v>
      </c>
    </row>
    <row r="76" spans="1:22" ht="12.75" customHeight="1">
      <c r="H76" s="458">
        <v>2018</v>
      </c>
      <c r="I76" s="458" t="s">
        <v>1082</v>
      </c>
      <c r="J76" s="458" t="s">
        <v>1582</v>
      </c>
      <c r="K76" s="1181">
        <v>0</v>
      </c>
      <c r="L76" s="1181">
        <v>0</v>
      </c>
      <c r="M76" s="1181">
        <v>0</v>
      </c>
      <c r="N76" s="1181">
        <v>0</v>
      </c>
      <c r="O76" s="1181">
        <v>0</v>
      </c>
      <c r="P76" s="1181">
        <v>29876.855925726039</v>
      </c>
    </row>
    <row r="77" spans="1:22" ht="12.75" customHeight="1">
      <c r="H77" s="458">
        <v>2018</v>
      </c>
      <c r="I77" s="458" t="s">
        <v>1082</v>
      </c>
      <c r="J77" s="458" t="s">
        <v>1583</v>
      </c>
      <c r="K77" s="1181">
        <v>0</v>
      </c>
      <c r="L77" s="1181">
        <v>529.07098436890851</v>
      </c>
      <c r="M77" s="1181">
        <v>0</v>
      </c>
      <c r="N77" s="1181">
        <v>487.03168072992679</v>
      </c>
      <c r="O77" s="1181">
        <v>0</v>
      </c>
      <c r="P77" s="1181">
        <v>1493.0856011683356</v>
      </c>
    </row>
    <row r="78" spans="1:22" ht="12.75" customHeight="1">
      <c r="H78" s="458">
        <v>2018</v>
      </c>
      <c r="I78" s="458" t="s">
        <v>1083</v>
      </c>
      <c r="J78" s="458" t="s">
        <v>1581</v>
      </c>
      <c r="K78" s="1181">
        <v>0</v>
      </c>
      <c r="L78" s="1181">
        <v>5499805.6384215215</v>
      </c>
      <c r="M78" s="1181">
        <v>0</v>
      </c>
      <c r="N78" s="1181">
        <v>30036.805162476256</v>
      </c>
      <c r="O78" s="1181">
        <v>0</v>
      </c>
      <c r="P78" s="1181">
        <v>2204375.221128975</v>
      </c>
    </row>
    <row r="79" spans="1:22" ht="12.75" customHeight="1">
      <c r="H79" s="458">
        <v>2018</v>
      </c>
      <c r="I79" s="458" t="s">
        <v>1083</v>
      </c>
      <c r="J79" s="458" t="s">
        <v>1582</v>
      </c>
      <c r="K79" s="1181">
        <v>0</v>
      </c>
      <c r="L79" s="1181">
        <v>645833.2091123173</v>
      </c>
      <c r="M79" s="1181">
        <v>0</v>
      </c>
      <c r="N79" s="1181">
        <v>9743.0457205376606</v>
      </c>
      <c r="O79" s="1181">
        <v>0</v>
      </c>
      <c r="P79" s="1181">
        <v>205777.40891142836</v>
      </c>
    </row>
    <row r="80" spans="1:22" ht="12.75" customHeight="1">
      <c r="H80" s="458">
        <v>2018</v>
      </c>
      <c r="I80" s="458" t="s">
        <v>1083</v>
      </c>
      <c r="J80" s="458" t="s">
        <v>1583</v>
      </c>
      <c r="K80" s="1181">
        <v>0</v>
      </c>
      <c r="L80" s="1181">
        <v>66098.701804228724</v>
      </c>
      <c r="M80" s="1181">
        <v>0</v>
      </c>
      <c r="N80" s="1181">
        <v>2.5766083751426145</v>
      </c>
      <c r="O80" s="1181">
        <v>0</v>
      </c>
      <c r="P80" s="1181">
        <v>162020.00689787741</v>
      </c>
    </row>
    <row r="81" spans="8:17" ht="12.75" customHeight="1">
      <c r="H81" s="458"/>
      <c r="I81" s="458"/>
      <c r="J81" s="458"/>
      <c r="K81" s="1181">
        <f t="shared" ref="K81:P81" si="19">SUM(K69:K80)</f>
        <v>17235694.257600006</v>
      </c>
      <c r="L81" s="1181">
        <f t="shared" si="19"/>
        <v>11490462.838399999</v>
      </c>
      <c r="M81" s="1181">
        <f t="shared" si="19"/>
        <v>441940.87840000005</v>
      </c>
      <c r="N81" s="1181">
        <f t="shared" si="19"/>
        <v>57016.030481940012</v>
      </c>
      <c r="O81" s="1181">
        <f t="shared" si="19"/>
        <v>7954935.8112000013</v>
      </c>
      <c r="P81" s="1181">
        <f t="shared" si="19"/>
        <v>7014038.0239180587</v>
      </c>
      <c r="Q81" s="1183">
        <v>2018</v>
      </c>
    </row>
    <row r="82" spans="8:17" ht="12.75" customHeight="1">
      <c r="H82" s="458"/>
      <c r="I82" s="458"/>
      <c r="J82" s="458"/>
      <c r="K82" s="458"/>
      <c r="L82" s="458"/>
      <c r="M82" s="458"/>
      <c r="N82" s="458"/>
      <c r="O82" s="458"/>
      <c r="P82" s="458"/>
    </row>
    <row r="83" spans="8:17" ht="18.600000000000001" customHeight="1">
      <c r="H83" s="458"/>
      <c r="I83" s="924" t="s">
        <v>2011</v>
      </c>
      <c r="J83" s="458"/>
      <c r="K83" s="458"/>
      <c r="L83" s="458"/>
      <c r="M83" s="458"/>
      <c r="N83" s="458"/>
      <c r="O83" s="458"/>
      <c r="P83" s="458"/>
    </row>
    <row r="84" spans="8:17" ht="12.75" customHeight="1">
      <c r="H84" s="458"/>
      <c r="I84" s="458"/>
      <c r="J84" s="458"/>
      <c r="K84" s="458" t="s">
        <v>301</v>
      </c>
      <c r="L84" s="458" t="s">
        <v>302</v>
      </c>
      <c r="M84" s="458" t="s">
        <v>301</v>
      </c>
      <c r="N84" s="458" t="s">
        <v>302</v>
      </c>
      <c r="O84" s="458" t="s">
        <v>301</v>
      </c>
      <c r="P84" s="458" t="s">
        <v>302</v>
      </c>
    </row>
    <row r="85" spans="8:17" ht="12.75" customHeight="1">
      <c r="H85" s="1180" t="s">
        <v>8</v>
      </c>
      <c r="I85" s="466" t="s">
        <v>1584</v>
      </c>
      <c r="J85" s="466" t="s">
        <v>1585</v>
      </c>
      <c r="K85" s="502" t="s">
        <v>449</v>
      </c>
      <c r="L85" s="502" t="s">
        <v>450</v>
      </c>
      <c r="M85" s="502" t="s">
        <v>1074</v>
      </c>
      <c r="N85" s="502" t="s">
        <v>1075</v>
      </c>
      <c r="O85" s="502" t="s">
        <v>1076</v>
      </c>
      <c r="P85" s="502" t="s">
        <v>1077</v>
      </c>
    </row>
    <row r="86" spans="8:17" ht="12.75" customHeight="1">
      <c r="H86" s="458">
        <v>2019</v>
      </c>
      <c r="I86" s="458" t="s">
        <v>1080</v>
      </c>
      <c r="J86" s="458" t="s">
        <v>1581</v>
      </c>
      <c r="K86" s="1181">
        <v>0</v>
      </c>
      <c r="L86" s="1181">
        <v>3901610.8616651702</v>
      </c>
      <c r="M86" s="1181">
        <v>0</v>
      </c>
      <c r="N86" s="1181">
        <v>0</v>
      </c>
      <c r="O86" s="1181">
        <v>0</v>
      </c>
      <c r="P86" s="1181">
        <v>3076491.4674832914</v>
      </c>
    </row>
    <row r="87" spans="8:17" ht="12.75" customHeight="1">
      <c r="H87" s="458">
        <v>2019</v>
      </c>
      <c r="I87" s="458" t="s">
        <v>1080</v>
      </c>
      <c r="J87" s="458" t="s">
        <v>1582</v>
      </c>
      <c r="K87" s="1181">
        <v>0</v>
      </c>
      <c r="L87" s="1181">
        <v>0</v>
      </c>
      <c r="M87" s="1181">
        <v>0</v>
      </c>
      <c r="N87" s="1181">
        <v>0</v>
      </c>
      <c r="O87" s="1181">
        <v>0</v>
      </c>
      <c r="P87" s="1181">
        <v>0</v>
      </c>
    </row>
    <row r="88" spans="8:17" ht="12.75" customHeight="1">
      <c r="H88" s="458">
        <v>2019</v>
      </c>
      <c r="I88" s="458" t="s">
        <v>1080</v>
      </c>
      <c r="J88" s="458" t="s">
        <v>1583</v>
      </c>
      <c r="K88" s="1181">
        <v>0</v>
      </c>
      <c r="L88" s="1181">
        <v>0</v>
      </c>
      <c r="M88" s="1181">
        <v>0</v>
      </c>
      <c r="N88" s="1181">
        <v>0</v>
      </c>
      <c r="O88" s="1181">
        <v>0</v>
      </c>
      <c r="P88" s="1181">
        <v>1101.0609619481959</v>
      </c>
    </row>
    <row r="89" spans="8:17" ht="12.75" customHeight="1">
      <c r="H89" s="458">
        <v>2019</v>
      </c>
      <c r="I89" s="458" t="s">
        <v>1081</v>
      </c>
      <c r="J89" s="458" t="s">
        <v>1581</v>
      </c>
      <c r="K89" s="1181">
        <v>15715996.656785656</v>
      </c>
      <c r="L89" s="1181">
        <v>0</v>
      </c>
      <c r="M89" s="1181">
        <v>0</v>
      </c>
      <c r="N89" s="1181">
        <v>0</v>
      </c>
      <c r="O89" s="1181">
        <v>5132648.5907813432</v>
      </c>
      <c r="P89" s="1181">
        <v>0</v>
      </c>
    </row>
    <row r="90" spans="8:17" ht="12.75" customHeight="1">
      <c r="H90" s="458">
        <v>2019</v>
      </c>
      <c r="I90" s="458" t="s">
        <v>1081</v>
      </c>
      <c r="J90" s="458" t="s">
        <v>1582</v>
      </c>
      <c r="K90" s="1181">
        <v>1015411.3570435095</v>
      </c>
      <c r="L90" s="1181">
        <v>0</v>
      </c>
      <c r="M90" s="1181">
        <v>0</v>
      </c>
      <c r="N90" s="1181">
        <v>0</v>
      </c>
      <c r="O90" s="1181">
        <v>1655572.7980035844</v>
      </c>
      <c r="P90" s="1181">
        <v>0</v>
      </c>
    </row>
    <row r="91" spans="8:17" ht="12.75" customHeight="1">
      <c r="H91" s="458">
        <v>2019</v>
      </c>
      <c r="I91" s="458" t="s">
        <v>1081</v>
      </c>
      <c r="J91" s="458" t="s">
        <v>1583</v>
      </c>
      <c r="K91" s="1181">
        <v>1362277.0367012064</v>
      </c>
      <c r="L91" s="1181">
        <v>0</v>
      </c>
      <c r="M91" s="1181">
        <v>0</v>
      </c>
      <c r="N91" s="1181">
        <v>0</v>
      </c>
      <c r="O91" s="1181">
        <v>714038.2663130312</v>
      </c>
      <c r="P91" s="1181">
        <v>0</v>
      </c>
    </row>
    <row r="92" spans="8:17" ht="12.75" customHeight="1">
      <c r="H92" s="458">
        <v>2019</v>
      </c>
      <c r="I92" s="458" t="s">
        <v>1082</v>
      </c>
      <c r="J92" s="458" t="s">
        <v>1581</v>
      </c>
      <c r="K92" s="1181">
        <v>0</v>
      </c>
      <c r="L92" s="1181">
        <v>1571760.8409369492</v>
      </c>
      <c r="M92" s="1181">
        <v>0</v>
      </c>
      <c r="N92" s="1181">
        <v>0</v>
      </c>
      <c r="O92" s="1181">
        <v>0</v>
      </c>
      <c r="P92" s="1181">
        <v>1084902.1454603805</v>
      </c>
    </row>
    <row r="93" spans="8:17" ht="12.75" customHeight="1">
      <c r="H93" s="458">
        <v>2019</v>
      </c>
      <c r="I93" s="458" t="s">
        <v>1082</v>
      </c>
      <c r="J93" s="458" t="s">
        <v>1582</v>
      </c>
      <c r="K93" s="1181">
        <v>0</v>
      </c>
      <c r="L93" s="1181">
        <v>0</v>
      </c>
      <c r="M93" s="1181">
        <v>0</v>
      </c>
      <c r="N93" s="1181">
        <v>0</v>
      </c>
      <c r="O93" s="1181">
        <v>0</v>
      </c>
      <c r="P93" s="1181">
        <v>28196.889714985362</v>
      </c>
    </row>
    <row r="94" spans="8:17" ht="12.75" customHeight="1">
      <c r="H94" s="458">
        <v>2019</v>
      </c>
      <c r="I94" s="458" t="s">
        <v>1082</v>
      </c>
      <c r="J94" s="458" t="s">
        <v>1583</v>
      </c>
      <c r="K94" s="1181">
        <v>0</v>
      </c>
      <c r="L94" s="1181">
        <v>548.63480531372636</v>
      </c>
      <c r="M94" s="1181">
        <v>0</v>
      </c>
      <c r="N94" s="1181">
        <v>0</v>
      </c>
      <c r="O94" s="1181">
        <v>0</v>
      </c>
      <c r="P94" s="1181">
        <v>1409.129867474604</v>
      </c>
    </row>
    <row r="95" spans="8:17" ht="12.75" customHeight="1">
      <c r="H95" s="458">
        <v>2019</v>
      </c>
      <c r="I95" s="458" t="s">
        <v>1083</v>
      </c>
      <c r="J95" s="458" t="s">
        <v>1581</v>
      </c>
      <c r="K95" s="1181">
        <v>0</v>
      </c>
      <c r="L95" s="1181">
        <v>5703175.7265954614</v>
      </c>
      <c r="M95" s="1181">
        <v>0</v>
      </c>
      <c r="N95" s="1181">
        <v>0</v>
      </c>
      <c r="O95" s="1181">
        <v>0</v>
      </c>
      <c r="P95" s="1181">
        <v>2080423.8958457173</v>
      </c>
    </row>
    <row r="96" spans="8:17" ht="12.75" customHeight="1">
      <c r="H96" s="458">
        <v>2019</v>
      </c>
      <c r="I96" s="458" t="s">
        <v>1083</v>
      </c>
      <c r="J96" s="458" t="s">
        <v>1582</v>
      </c>
      <c r="K96" s="1181">
        <v>0</v>
      </c>
      <c r="L96" s="1181">
        <v>669714.62698739115</v>
      </c>
      <c r="M96" s="1181">
        <v>0</v>
      </c>
      <c r="N96" s="1181">
        <v>0</v>
      </c>
      <c r="O96" s="1181">
        <v>0</v>
      </c>
      <c r="P96" s="1181">
        <v>194206.60993698548</v>
      </c>
    </row>
    <row r="97" spans="8:37" ht="12.75" customHeight="1">
      <c r="H97" s="458">
        <v>2019</v>
      </c>
      <c r="I97" s="458" t="s">
        <v>1083</v>
      </c>
      <c r="J97" s="458" t="s">
        <v>1583</v>
      </c>
      <c r="K97" s="1181">
        <v>0</v>
      </c>
      <c r="L97" s="1181">
        <v>68542.878871178138</v>
      </c>
      <c r="M97" s="1181">
        <v>0</v>
      </c>
      <c r="N97" s="1181">
        <v>0</v>
      </c>
      <c r="O97" s="1181">
        <v>0</v>
      </c>
      <c r="P97" s="1181">
        <v>152909.67287447595</v>
      </c>
    </row>
    <row r="98" spans="8:37" ht="12.75" customHeight="1">
      <c r="K98" s="1181">
        <f t="shared" ref="K98:P98" si="20">SUM(K86:K97)</f>
        <v>18093685.050530374</v>
      </c>
      <c r="L98" s="1181">
        <f t="shared" si="20"/>
        <v>11915353.569861462</v>
      </c>
      <c r="M98" s="1181">
        <f t="shared" si="20"/>
        <v>0</v>
      </c>
      <c r="N98" s="1181">
        <f t="shared" si="20"/>
        <v>0</v>
      </c>
      <c r="O98" s="1181">
        <f t="shared" si="20"/>
        <v>7502259.6550979586</v>
      </c>
      <c r="P98" s="1181">
        <f t="shared" si="20"/>
        <v>6619640.8721452579</v>
      </c>
      <c r="Q98" s="1183">
        <v>2019</v>
      </c>
    </row>
    <row r="100" spans="8:37" ht="12.75" customHeight="1">
      <c r="H100" s="995" t="s">
        <v>1851</v>
      </c>
    </row>
    <row r="101" spans="8:37" ht="30" hidden="1" customHeight="1" outlineLevel="1" thickBot="1">
      <c r="H101" s="1176" t="s">
        <v>931</v>
      </c>
      <c r="I101" s="1176"/>
      <c r="J101" s="1176"/>
      <c r="K101" s="1176"/>
      <c r="L101" s="1176"/>
      <c r="M101" s="1176"/>
      <c r="N101" s="1176"/>
      <c r="O101" s="1176"/>
      <c r="P101" s="1176"/>
      <c r="Q101" s="1176"/>
      <c r="R101" s="1176"/>
      <c r="S101" s="1176"/>
      <c r="T101" s="1176"/>
      <c r="U101" s="1176"/>
      <c r="V101" s="1176"/>
    </row>
    <row r="102" spans="8:37" ht="17.25" hidden="1" customHeight="1" outlineLevel="1" thickTop="1">
      <c r="H102" s="1184"/>
      <c r="I102" s="1184"/>
      <c r="J102" s="1184"/>
      <c r="K102" s="1184"/>
      <c r="L102" s="1184"/>
      <c r="M102" s="1184"/>
      <c r="N102" s="1184"/>
      <c r="O102" s="1184"/>
      <c r="P102" s="1184"/>
      <c r="Q102" s="1184"/>
      <c r="R102" s="1184"/>
      <c r="S102" s="1184"/>
      <c r="T102" s="1184"/>
      <c r="U102" s="1184"/>
      <c r="V102" s="1184"/>
    </row>
    <row r="103" spans="8:37" ht="13.8" hidden="1" outlineLevel="1">
      <c r="H103" s="688" t="s">
        <v>1745</v>
      </c>
      <c r="I103" s="1184"/>
      <c r="J103" s="1184"/>
      <c r="K103" s="1184"/>
      <c r="L103" s="1184"/>
      <c r="M103" s="1184"/>
      <c r="N103" s="1184"/>
      <c r="O103" s="1184"/>
      <c r="P103" s="1184"/>
      <c r="Q103" s="1184"/>
      <c r="R103" s="1184"/>
      <c r="S103" s="1184"/>
      <c r="T103" s="1184"/>
      <c r="U103" s="1184"/>
      <c r="V103" s="1184"/>
    </row>
    <row r="104" spans="8:37" ht="17.25" hidden="1" customHeight="1" outlineLevel="1" thickBot="1">
      <c r="H104" s="1185"/>
      <c r="I104" s="458" t="s">
        <v>914</v>
      </c>
      <c r="J104" s="458"/>
      <c r="K104" s="1185"/>
      <c r="L104" s="1185"/>
      <c r="M104" s="1185"/>
      <c r="N104" s="1185"/>
      <c r="O104" s="1185"/>
      <c r="P104" s="1185"/>
      <c r="Q104" s="1185"/>
      <c r="R104" s="1185"/>
      <c r="S104" s="1185"/>
      <c r="T104" s="1184"/>
      <c r="U104" s="1184"/>
      <c r="V104" s="1184"/>
    </row>
    <row r="105" spans="8:37" ht="15" hidden="1" outlineLevel="1" thickTop="1" thickBot="1">
      <c r="H105" s="1184"/>
      <c r="I105" s="949" t="s">
        <v>2453</v>
      </c>
      <c r="J105" s="458"/>
      <c r="K105" s="1184"/>
      <c r="L105" s="1184"/>
      <c r="M105" s="462"/>
      <c r="N105" s="462"/>
      <c r="O105" s="1184"/>
      <c r="P105" s="458"/>
      <c r="Q105" s="458"/>
      <c r="R105" s="458"/>
      <c r="S105" s="458"/>
      <c r="T105" s="458"/>
      <c r="U105" s="458"/>
      <c r="V105" s="458"/>
    </row>
    <row r="106" spans="8:37" ht="16.5" hidden="1" customHeight="1" outlineLevel="1" thickTop="1" thickBot="1">
      <c r="H106" s="1184"/>
      <c r="I106" s="1233" t="s">
        <v>942</v>
      </c>
      <c r="J106" s="458"/>
      <c r="M106" s="458"/>
      <c r="N106" s="458"/>
      <c r="O106" s="482"/>
      <c r="P106" s="3010" t="s">
        <v>1743</v>
      </c>
      <c r="Q106" s="3010"/>
      <c r="R106" s="458"/>
      <c r="S106" s="458"/>
      <c r="T106" s="458"/>
      <c r="U106" s="458"/>
      <c r="V106" s="458"/>
      <c r="W106" s="482"/>
      <c r="X106" s="482"/>
      <c r="Y106" s="482"/>
      <c r="Z106" s="482"/>
      <c r="AA106" s="482"/>
      <c r="AB106" s="482"/>
      <c r="AC106" s="482"/>
      <c r="AD106" s="482"/>
      <c r="AE106" s="482"/>
      <c r="AF106" s="482"/>
      <c r="AG106" s="482"/>
      <c r="AH106" s="482"/>
      <c r="AI106" s="482"/>
      <c r="AJ106" s="482"/>
      <c r="AK106" s="482"/>
    </row>
    <row r="107" spans="8:37" ht="37.5" hidden="1" customHeight="1" outlineLevel="1" thickBot="1">
      <c r="H107" s="1234"/>
      <c r="I107" s="1234"/>
      <c r="J107" s="458"/>
      <c r="M107" s="458"/>
      <c r="N107" s="458"/>
      <c r="O107" s="931"/>
      <c r="P107" s="1186" t="s">
        <v>301</v>
      </c>
      <c r="Q107" s="1187" t="s">
        <v>302</v>
      </c>
      <c r="R107" s="458"/>
      <c r="S107" s="458"/>
      <c r="T107" s="458"/>
      <c r="U107" s="458"/>
      <c r="V107" s="458"/>
      <c r="W107" s="931"/>
      <c r="X107" s="931"/>
      <c r="Y107" s="931"/>
      <c r="Z107" s="931"/>
      <c r="AA107" s="931"/>
      <c r="AB107" s="931"/>
      <c r="AC107" s="931"/>
      <c r="AD107" s="931"/>
      <c r="AE107" s="931"/>
      <c r="AF107" s="931"/>
      <c r="AG107" s="931"/>
      <c r="AH107" s="931"/>
      <c r="AI107" s="931"/>
      <c r="AJ107" s="931"/>
      <c r="AK107" s="931"/>
    </row>
    <row r="108" spans="8:37" ht="39" hidden="1" customHeight="1" outlineLevel="1" thickTop="1" thickBot="1">
      <c r="H108" s="1235" t="s">
        <v>303</v>
      </c>
      <c r="I108" s="1235"/>
      <c r="J108" s="1188" t="s">
        <v>1681</v>
      </c>
      <c r="K108" s="1233"/>
      <c r="L108" s="1233" t="s">
        <v>1744</v>
      </c>
      <c r="M108" s="1236"/>
      <c r="N108" s="1237" t="s">
        <v>304</v>
      </c>
      <c r="O108" s="462"/>
      <c r="P108" s="1189">
        <f>SUMIF($O$109:$O$120,P$107,$N$109:$N$120)</f>
        <v>10.478339776432536</v>
      </c>
      <c r="Q108" s="1190">
        <f>SUMIF($O$109:$O$120,Q$107,$N$109:$N$120)</f>
        <v>13.205953542523677</v>
      </c>
      <c r="R108" s="458"/>
      <c r="S108" s="458"/>
      <c r="T108" s="458"/>
      <c r="U108" s="458"/>
      <c r="V108" s="458"/>
      <c r="W108" s="931"/>
      <c r="X108" s="931"/>
      <c r="Y108" s="931"/>
      <c r="Z108" s="931"/>
      <c r="AA108" s="931"/>
      <c r="AB108" s="931"/>
      <c r="AC108" s="931"/>
      <c r="AD108" s="931"/>
      <c r="AE108" s="931"/>
      <c r="AF108" s="931"/>
      <c r="AG108" s="931"/>
      <c r="AH108" s="931"/>
      <c r="AI108" s="931"/>
      <c r="AJ108" s="931"/>
      <c r="AK108" s="931"/>
    </row>
    <row r="109" spans="8:37" ht="12.75" hidden="1" customHeight="1" outlineLevel="1" thickTop="1">
      <c r="H109" s="458" t="s">
        <v>1683</v>
      </c>
      <c r="I109" s="1191"/>
      <c r="J109" s="1192">
        <v>0.14442406385201639</v>
      </c>
      <c r="K109" s="1192"/>
      <c r="L109" s="1238">
        <f>BI126</f>
        <v>19.238130432138764</v>
      </c>
      <c r="M109" s="1193">
        <f>IF(O109="GP",$J109/SUMIFS($J$109:$J$120,$O$109:$O$120,"GP"),$J109/SUMIFS($J$109:$J$120,$O$109:$O$120,"SP"))</f>
        <v>0.33801793530291019</v>
      </c>
      <c r="N109" s="1194">
        <f>IFERROR(L109*M109,0)</f>
        <v>6.5028331277596285</v>
      </c>
      <c r="O109" s="1239" t="s">
        <v>302</v>
      </c>
      <c r="P109" s="462" t="s">
        <v>305</v>
      </c>
      <c r="Q109" s="462" t="s">
        <v>305</v>
      </c>
      <c r="R109" s="458"/>
      <c r="S109" s="458"/>
      <c r="T109" s="458"/>
      <c r="U109" s="458"/>
      <c r="V109" s="458"/>
      <c r="W109" s="931"/>
      <c r="X109" s="931"/>
      <c r="Y109" s="931"/>
      <c r="Z109" s="931"/>
      <c r="AA109" s="931"/>
      <c r="AB109" s="931"/>
      <c r="AC109" s="931"/>
      <c r="AD109" s="931"/>
      <c r="AE109" s="931"/>
      <c r="AF109" s="931"/>
      <c r="AG109" s="931"/>
      <c r="AH109" s="931"/>
      <c r="AI109" s="931"/>
      <c r="AJ109" s="931"/>
      <c r="AK109" s="931"/>
    </row>
    <row r="110" spans="8:37" ht="12.75" hidden="1" customHeight="1" outlineLevel="1">
      <c r="H110" s="458" t="s">
        <v>1684</v>
      </c>
      <c r="I110" s="1195"/>
      <c r="J110" s="1196">
        <v>1.0776674034943977E-4</v>
      </c>
      <c r="K110" s="1196"/>
      <c r="L110" s="1238">
        <f t="shared" ref="L110:L120" si="21">BI127</f>
        <v>0</v>
      </c>
      <c r="M110" s="1193">
        <f t="shared" ref="M110:M120" si="22">IF(O110="GP",$J110/SUMIFS($J$109:$J$120,$O$109:$O$120,"GP"),$J110/SUMIFS($J$109:$J$120,$O$109:$O$120,"SP"))</f>
        <v>2.5222314132198459E-4</v>
      </c>
      <c r="N110" s="1197">
        <f t="shared" ref="N110:N120" si="23">IFERROR(L110*M110,0)</f>
        <v>0</v>
      </c>
      <c r="O110" s="1239" t="s">
        <v>302</v>
      </c>
      <c r="P110" s="462"/>
      <c r="R110" s="458"/>
      <c r="S110" s="458"/>
      <c r="T110" s="458"/>
      <c r="U110" s="458"/>
      <c r="V110" s="458"/>
      <c r="W110" s="931"/>
      <c r="X110" s="931"/>
      <c r="Y110" s="931"/>
      <c r="Z110" s="931"/>
      <c r="AA110" s="931"/>
      <c r="AB110" s="931"/>
      <c r="AC110" s="931"/>
      <c r="AD110" s="931"/>
      <c r="AE110" s="931"/>
      <c r="AF110" s="931"/>
      <c r="AG110" s="931"/>
      <c r="AH110" s="931"/>
      <c r="AI110" s="931"/>
      <c r="AJ110" s="931"/>
      <c r="AK110" s="931"/>
    </row>
    <row r="111" spans="8:37" ht="12.75" hidden="1" customHeight="1" outlineLevel="1">
      <c r="H111" s="458" t="s">
        <v>1685</v>
      </c>
      <c r="I111" s="1195"/>
      <c r="J111" s="1196">
        <v>1.5797893585291437E-4</v>
      </c>
      <c r="K111" s="1196"/>
      <c r="L111" s="1238">
        <f t="shared" si="21"/>
        <v>0</v>
      </c>
      <c r="M111" s="1193">
        <f t="shared" si="22"/>
        <v>3.6974249508079786E-4</v>
      </c>
      <c r="N111" s="1197">
        <f t="shared" si="23"/>
        <v>0</v>
      </c>
      <c r="O111" s="1239" t="s">
        <v>302</v>
      </c>
      <c r="P111" s="462"/>
      <c r="R111" s="458"/>
      <c r="S111" s="458"/>
      <c r="T111" s="458"/>
      <c r="U111" s="458"/>
      <c r="V111" s="458"/>
      <c r="W111" s="931"/>
      <c r="X111" s="931"/>
      <c r="Y111" s="931"/>
      <c r="Z111" s="931"/>
      <c r="AA111" s="931"/>
      <c r="AB111" s="931"/>
      <c r="AC111" s="931"/>
      <c r="AD111" s="931"/>
      <c r="AE111" s="931"/>
      <c r="AF111" s="931"/>
      <c r="AG111" s="931"/>
      <c r="AH111" s="931"/>
      <c r="AI111" s="931"/>
      <c r="AJ111" s="931"/>
      <c r="AK111" s="931"/>
    </row>
    <row r="112" spans="8:37" ht="12.75" hidden="1" customHeight="1" outlineLevel="1">
      <c r="H112" s="458" t="s">
        <v>1686</v>
      </c>
      <c r="I112" s="1198"/>
      <c r="J112" s="1199">
        <v>0.44844614999803262</v>
      </c>
      <c r="K112" s="1240"/>
      <c r="L112" s="1238">
        <f t="shared" si="21"/>
        <v>8.6448137600729495</v>
      </c>
      <c r="M112" s="1193">
        <f t="shared" si="22"/>
        <v>0.78299400999025937</v>
      </c>
      <c r="N112" s="1200">
        <f t="shared" si="23"/>
        <v>6.768837391618491</v>
      </c>
      <c r="O112" s="1239" t="s">
        <v>301</v>
      </c>
      <c r="P112" s="462"/>
      <c r="Q112" s="1241"/>
      <c r="R112" s="458"/>
      <c r="S112" s="458"/>
      <c r="T112" s="458"/>
      <c r="U112" s="458"/>
      <c r="V112" s="458"/>
      <c r="W112" s="931"/>
      <c r="X112" s="931"/>
      <c r="Y112" s="931"/>
      <c r="Z112" s="931"/>
      <c r="AA112" s="931"/>
      <c r="AB112" s="931"/>
      <c r="AC112" s="931"/>
      <c r="AD112" s="931"/>
      <c r="AE112" s="931"/>
      <c r="AF112" s="931"/>
      <c r="AG112" s="931"/>
      <c r="AH112" s="931"/>
      <c r="AI112" s="931"/>
      <c r="AJ112" s="931"/>
      <c r="AK112" s="931"/>
    </row>
    <row r="113" spans="8:63" ht="12.75" hidden="1" customHeight="1" outlineLevel="1">
      <c r="H113" s="458" t="s">
        <v>1687</v>
      </c>
      <c r="I113" s="1198"/>
      <c r="J113" s="1199">
        <v>6.2022382635332586E-2</v>
      </c>
      <c r="K113" s="1240"/>
      <c r="L113" s="1238">
        <f t="shared" si="21"/>
        <v>23.507795674396259</v>
      </c>
      <c r="M113" s="1193">
        <f t="shared" si="22"/>
        <v>0.10829205265560278</v>
      </c>
      <c r="N113" s="1200">
        <f t="shared" si="23"/>
        <v>2.545707446988871</v>
      </c>
      <c r="O113" s="1239" t="s">
        <v>301</v>
      </c>
      <c r="P113" s="462"/>
      <c r="R113" s="458"/>
      <c r="S113" s="458"/>
      <c r="T113" s="458"/>
      <c r="U113" s="458"/>
      <c r="V113" s="458"/>
      <c r="W113" s="931"/>
      <c r="X113" s="931"/>
      <c r="Y113" s="931"/>
      <c r="Z113" s="931"/>
      <c r="AA113" s="931"/>
      <c r="AB113" s="931"/>
      <c r="AC113" s="931"/>
      <c r="AD113" s="931"/>
      <c r="AE113" s="931"/>
      <c r="AF113" s="931"/>
      <c r="AG113" s="931"/>
      <c r="AH113" s="931"/>
      <c r="AI113" s="931"/>
      <c r="AJ113" s="931"/>
      <c r="AK113" s="931"/>
    </row>
    <row r="114" spans="8:63" ht="12.75" hidden="1" customHeight="1" outlineLevel="1">
      <c r="H114" s="458" t="s">
        <v>1688</v>
      </c>
      <c r="I114" s="1198"/>
      <c r="J114" s="1199">
        <v>6.22640097313093E-2</v>
      </c>
      <c r="K114" s="1240"/>
      <c r="L114" s="1238">
        <f t="shared" si="21"/>
        <v>10.705112574794251</v>
      </c>
      <c r="M114" s="1193">
        <f t="shared" si="22"/>
        <v>0.1087139373541378</v>
      </c>
      <c r="N114" s="1200">
        <f t="shared" si="23"/>
        <v>1.1637949378251751</v>
      </c>
      <c r="O114" s="1239" t="s">
        <v>301</v>
      </c>
      <c r="P114" s="462"/>
      <c r="R114" s="458"/>
      <c r="S114" s="458"/>
      <c r="T114" s="458"/>
      <c r="U114" s="458"/>
      <c r="V114" s="458"/>
      <c r="W114" s="931"/>
      <c r="X114" s="931"/>
      <c r="Y114" s="931"/>
      <c r="Z114" s="931"/>
      <c r="AA114" s="931"/>
      <c r="AB114" s="931"/>
      <c r="AC114" s="931"/>
      <c r="AD114" s="931"/>
      <c r="AE114" s="931"/>
      <c r="AF114" s="931"/>
      <c r="AG114" s="931"/>
      <c r="AH114" s="931"/>
      <c r="AI114" s="931"/>
      <c r="AJ114" s="931"/>
      <c r="AK114" s="931"/>
    </row>
    <row r="115" spans="8:63" ht="12.75" hidden="1" customHeight="1" outlineLevel="1">
      <c r="H115" s="458" t="s">
        <v>1689</v>
      </c>
      <c r="I115" s="1195"/>
      <c r="J115" s="1196">
        <v>6.6160565852667164E-2</v>
      </c>
      <c r="K115" s="1196"/>
      <c r="L115" s="1238">
        <f t="shared" si="21"/>
        <v>12.793854863979394</v>
      </c>
      <c r="M115" s="1193">
        <f t="shared" si="22"/>
        <v>0.15484578727064083</v>
      </c>
      <c r="N115" s="1197">
        <f t="shared" si="23"/>
        <v>1.9810745286392066</v>
      </c>
      <c r="O115" s="1239" t="s">
        <v>302</v>
      </c>
      <c r="P115" s="462"/>
      <c r="R115" s="458"/>
      <c r="S115" s="458"/>
      <c r="T115" s="458"/>
      <c r="U115" s="458"/>
      <c r="V115" s="458"/>
      <c r="W115" s="931"/>
      <c r="X115" s="931"/>
      <c r="Y115" s="931"/>
      <c r="Z115" s="931"/>
      <c r="AA115" s="931"/>
      <c r="AB115" s="931"/>
      <c r="AC115" s="931"/>
      <c r="AD115" s="931"/>
      <c r="AE115" s="931"/>
      <c r="AF115" s="931"/>
      <c r="AG115" s="931"/>
      <c r="AH115" s="931"/>
      <c r="AI115" s="931"/>
      <c r="AJ115" s="931"/>
      <c r="AK115" s="931"/>
    </row>
    <row r="116" spans="8:63" ht="12.75" hidden="1" customHeight="1" outlineLevel="1">
      <c r="H116" s="458" t="s">
        <v>1690</v>
      </c>
      <c r="I116" s="1195"/>
      <c r="J116" s="1196">
        <v>6.5564195752550875E-4</v>
      </c>
      <c r="K116" s="1196"/>
      <c r="L116" s="1238">
        <f t="shared" si="21"/>
        <v>0</v>
      </c>
      <c r="M116" s="1193">
        <f t="shared" si="22"/>
        <v>1.5345001024746933E-3</v>
      </c>
      <c r="N116" s="1197">
        <f t="shared" si="23"/>
        <v>0</v>
      </c>
      <c r="O116" s="1239" t="s">
        <v>302</v>
      </c>
      <c r="P116" s="462"/>
      <c r="R116" s="458"/>
      <c r="S116" s="458"/>
      <c r="T116" s="458"/>
      <c r="U116" s="458"/>
      <c r="V116" s="458"/>
      <c r="W116" s="931"/>
      <c r="X116" s="931"/>
      <c r="Y116" s="931"/>
      <c r="Z116" s="931"/>
      <c r="AA116" s="931"/>
      <c r="AB116" s="931"/>
      <c r="AC116" s="931"/>
      <c r="AD116" s="931"/>
      <c r="AE116" s="931"/>
      <c r="AF116" s="931"/>
      <c r="AG116" s="931"/>
      <c r="AH116" s="931"/>
      <c r="AI116" s="931"/>
      <c r="AJ116" s="931"/>
      <c r="AK116" s="931"/>
    </row>
    <row r="117" spans="8:63" ht="12.75" hidden="1" customHeight="1" outlineLevel="1">
      <c r="H117" s="458" t="s">
        <v>1691</v>
      </c>
      <c r="I117" s="1195"/>
      <c r="J117" s="1196">
        <v>7.2740716950696577E-5</v>
      </c>
      <c r="K117" s="1196"/>
      <c r="L117" s="1238">
        <f t="shared" si="21"/>
        <v>0</v>
      </c>
      <c r="M117" s="1193">
        <f t="shared" si="22"/>
        <v>1.7024633084221702E-4</v>
      </c>
      <c r="N117" s="1197">
        <f t="shared" si="23"/>
        <v>0</v>
      </c>
      <c r="O117" s="1239" t="s">
        <v>302</v>
      </c>
      <c r="P117" s="462"/>
      <c r="R117" s="458"/>
      <c r="S117" s="458"/>
      <c r="T117" s="458"/>
      <c r="U117" s="458"/>
      <c r="V117" s="458"/>
      <c r="W117" s="931"/>
      <c r="X117" s="931"/>
      <c r="Y117" s="931"/>
      <c r="Z117" s="931"/>
      <c r="AA117" s="931"/>
      <c r="AB117" s="931"/>
      <c r="AC117" s="931"/>
      <c r="AD117" s="931"/>
      <c r="AE117" s="931"/>
      <c r="AF117" s="931"/>
      <c r="AG117" s="931"/>
      <c r="AH117" s="931"/>
      <c r="AI117" s="931"/>
      <c r="AJ117" s="931"/>
      <c r="AK117" s="931"/>
    </row>
    <row r="118" spans="8:63" ht="12.75" hidden="1" customHeight="1" outlineLevel="1">
      <c r="H118" s="458" t="s">
        <v>1692</v>
      </c>
      <c r="I118" s="1195"/>
      <c r="J118" s="1196">
        <v>0.18891043998004314</v>
      </c>
      <c r="K118" s="1196"/>
      <c r="L118" s="1238">
        <f t="shared" si="21"/>
        <v>9.1449003711228016</v>
      </c>
      <c r="M118" s="1193">
        <f t="shared" si="22"/>
        <v>0.44213626992692467</v>
      </c>
      <c r="N118" s="1197">
        <f t="shared" si="23"/>
        <v>4.0432921389415846</v>
      </c>
      <c r="O118" s="1239" t="s">
        <v>302</v>
      </c>
      <c r="P118" s="462"/>
      <c r="R118" s="458"/>
      <c r="S118" s="458"/>
      <c r="T118" s="458"/>
      <c r="U118" s="458"/>
      <c r="V118" s="458"/>
      <c r="W118" s="931"/>
      <c r="X118" s="931"/>
      <c r="Y118" s="931"/>
      <c r="Z118" s="931"/>
      <c r="AA118" s="931"/>
      <c r="AB118" s="931"/>
      <c r="AC118" s="931"/>
      <c r="AD118" s="931"/>
      <c r="AE118" s="931"/>
      <c r="AF118" s="931"/>
      <c r="AG118" s="931"/>
      <c r="AH118" s="931"/>
      <c r="AI118" s="931"/>
      <c r="AJ118" s="931"/>
      <c r="AK118" s="931"/>
    </row>
    <row r="119" spans="8:63" ht="12.75" hidden="1" customHeight="1" outlineLevel="1">
      <c r="H119" s="458" t="s">
        <v>1693</v>
      </c>
      <c r="I119" s="1195"/>
      <c r="J119" s="1196">
        <v>2.0259349033534272E-2</v>
      </c>
      <c r="K119" s="1196"/>
      <c r="L119" s="1238">
        <f t="shared" si="21"/>
        <v>0.2985319066069293</v>
      </c>
      <c r="M119" s="1193">
        <f t="shared" si="22"/>
        <v>4.7416082529799654E-2</v>
      </c>
      <c r="N119" s="1197">
        <f t="shared" si="23"/>
        <v>1.4155213521452601E-2</v>
      </c>
      <c r="O119" s="1239" t="s">
        <v>302</v>
      </c>
      <c r="P119" s="462"/>
      <c r="R119" s="458"/>
      <c r="S119" s="458"/>
      <c r="T119" s="458"/>
      <c r="U119" s="458"/>
      <c r="V119" s="458"/>
      <c r="W119" s="931"/>
      <c r="X119" s="931"/>
      <c r="Y119" s="931"/>
      <c r="Z119" s="931"/>
      <c r="AA119" s="931"/>
      <c r="AB119" s="931"/>
      <c r="AC119" s="931"/>
      <c r="AD119" s="931"/>
      <c r="AE119" s="931"/>
      <c r="AF119" s="931"/>
      <c r="AG119" s="931"/>
      <c r="AH119" s="931"/>
      <c r="AI119" s="931"/>
      <c r="AJ119" s="931"/>
      <c r="AK119" s="931"/>
    </row>
    <row r="120" spans="8:63" ht="12.75" hidden="1" customHeight="1" outlineLevel="1">
      <c r="H120" s="458" t="s">
        <v>1694</v>
      </c>
      <c r="I120" s="1195"/>
      <c r="J120" s="1196">
        <v>6.5189105663859817E-3</v>
      </c>
      <c r="K120" s="1196"/>
      <c r="L120" s="1238">
        <f t="shared" si="21"/>
        <v>43.559629010721444</v>
      </c>
      <c r="M120" s="1193">
        <f t="shared" si="22"/>
        <v>1.5257212900004891E-2</v>
      </c>
      <c r="N120" s="1197">
        <f t="shared" si="23"/>
        <v>0.66459853366180655</v>
      </c>
      <c r="O120" s="1239" t="s">
        <v>302</v>
      </c>
      <c r="P120" s="462"/>
      <c r="R120" s="458"/>
      <c r="S120" s="458"/>
      <c r="T120" s="458"/>
      <c r="U120" s="458"/>
      <c r="V120" s="458"/>
      <c r="W120" s="931"/>
      <c r="X120" s="931"/>
      <c r="Y120" s="931"/>
      <c r="Z120" s="931"/>
      <c r="AA120" s="931"/>
      <c r="AB120" s="931"/>
      <c r="AC120" s="931"/>
      <c r="AD120" s="931"/>
      <c r="AE120" s="931"/>
      <c r="AF120" s="931"/>
      <c r="AG120" s="931"/>
      <c r="AH120" s="931"/>
      <c r="AI120" s="931"/>
      <c r="AJ120" s="931"/>
      <c r="AK120" s="931"/>
    </row>
    <row r="121" spans="8:63" ht="12.75" hidden="1" customHeight="1" outlineLevel="1">
      <c r="H121" s="458"/>
      <c r="I121" s="458"/>
      <c r="J121" s="1047">
        <f>SUM(J109:J120)</f>
        <v>1</v>
      </c>
      <c r="K121" s="458"/>
      <c r="L121" s="458"/>
      <c r="M121" s="1047">
        <f>SUM(M109:M120)</f>
        <v>1.9999999999999996</v>
      </c>
      <c r="N121" s="458"/>
      <c r="O121" s="458"/>
      <c r="P121" s="462"/>
      <c r="R121" s="458"/>
      <c r="S121" s="458"/>
      <c r="T121" s="458"/>
      <c r="U121" s="458"/>
      <c r="V121" s="458"/>
      <c r="W121" s="931"/>
      <c r="X121" s="931"/>
      <c r="Y121" s="931"/>
      <c r="Z121" s="931"/>
      <c r="AA121" s="931"/>
      <c r="AB121" s="931"/>
      <c r="AC121" s="931"/>
      <c r="AD121" s="931"/>
      <c r="AE121" s="931"/>
      <c r="AF121" s="931"/>
      <c r="AG121" s="931"/>
      <c r="AH121" s="931"/>
      <c r="AI121" s="931"/>
      <c r="AJ121" s="931"/>
      <c r="AK121" s="931"/>
    </row>
    <row r="122" spans="8:63" ht="12.75" hidden="1" customHeight="1" outlineLevel="1">
      <c r="H122" s="458"/>
      <c r="I122" s="458"/>
      <c r="J122" s="458"/>
      <c r="K122" s="458"/>
      <c r="L122" s="458"/>
      <c r="M122" s="458"/>
      <c r="N122" s="458"/>
      <c r="O122" s="458"/>
      <c r="P122" s="462"/>
      <c r="R122" s="458"/>
      <c r="S122" s="458"/>
      <c r="T122" s="458"/>
      <c r="U122" s="458"/>
      <c r="V122" s="458"/>
      <c r="W122" s="931"/>
      <c r="X122" s="931"/>
      <c r="Y122" s="931"/>
      <c r="Z122" s="931"/>
      <c r="AA122" s="931"/>
      <c r="AB122" s="931"/>
      <c r="AC122" s="931"/>
      <c r="AD122" s="931"/>
      <c r="AE122" s="931"/>
      <c r="AF122" s="931"/>
      <c r="AG122" s="931"/>
      <c r="AH122" s="931"/>
      <c r="AI122" s="931"/>
      <c r="AJ122" s="931"/>
      <c r="AK122" s="931"/>
    </row>
    <row r="123" spans="8:63" ht="12.75" hidden="1" customHeight="1" outlineLevel="1">
      <c r="H123" s="458"/>
      <c r="I123" s="458"/>
      <c r="J123" s="458"/>
      <c r="K123" s="458"/>
      <c r="L123" s="458"/>
      <c r="M123" s="458"/>
      <c r="N123" s="458"/>
      <c r="O123" s="458"/>
      <c r="P123" s="462"/>
      <c r="R123" s="458"/>
      <c r="S123" s="458"/>
      <c r="T123" s="458"/>
      <c r="U123" s="1201" t="s">
        <v>1695</v>
      </c>
      <c r="V123" s="1202"/>
      <c r="W123" s="1202"/>
      <c r="X123" s="1202"/>
      <c r="Y123" s="1202"/>
      <c r="Z123" s="1202"/>
      <c r="AA123" s="1202"/>
      <c r="AB123" s="1202"/>
      <c r="AC123" s="1202"/>
      <c r="AD123" s="1202"/>
      <c r="AE123" s="1202"/>
      <c r="AF123" s="1202"/>
      <c r="AG123" s="1202"/>
      <c r="AH123" s="1202"/>
      <c r="AI123" s="1202"/>
      <c r="AJ123" s="1202"/>
      <c r="AK123" s="1202"/>
      <c r="AL123" s="1202"/>
      <c r="AM123" s="1202"/>
      <c r="AN123" s="1202"/>
      <c r="AO123" s="1202"/>
      <c r="AP123" s="1202"/>
      <c r="AQ123" s="1202"/>
      <c r="AR123" s="1202"/>
      <c r="AS123" s="1202"/>
      <c r="AT123" s="1202"/>
      <c r="AU123" s="1202"/>
      <c r="AV123" s="1202"/>
      <c r="AW123" s="1202"/>
      <c r="AX123" s="1202"/>
      <c r="AY123" s="1202"/>
      <c r="AZ123" s="458"/>
      <c r="BA123" s="1203" t="s">
        <v>1696</v>
      </c>
      <c r="BB123" s="1204"/>
      <c r="BC123" s="1204"/>
      <c r="BD123" s="1204"/>
      <c r="BE123" s="1205"/>
      <c r="BF123" s="1204"/>
      <c r="BG123" s="1204"/>
      <c r="BH123" s="458"/>
      <c r="BI123" s="458"/>
      <c r="BJ123" s="458"/>
      <c r="BK123" s="458"/>
    </row>
    <row r="124" spans="8:63" ht="12.75" hidden="1" customHeight="1" outlineLevel="1">
      <c r="H124" s="458"/>
      <c r="I124" s="458"/>
      <c r="J124" s="458"/>
      <c r="K124" s="458" t="s">
        <v>131</v>
      </c>
      <c r="L124" s="458"/>
      <c r="M124" s="458"/>
      <c r="N124" s="458"/>
      <c r="O124" s="458"/>
      <c r="P124" s="458"/>
      <c r="Q124" s="458"/>
      <c r="R124" s="458"/>
      <c r="S124" s="458"/>
      <c r="T124" s="458"/>
      <c r="U124" s="3006" t="s">
        <v>1697</v>
      </c>
      <c r="V124" s="3006"/>
      <c r="W124" s="3006"/>
      <c r="X124" s="3006"/>
      <c r="Y124" s="3007" t="s">
        <v>1698</v>
      </c>
      <c r="Z124" s="3007"/>
      <c r="AA124" s="3007"/>
      <c r="AB124" s="3007"/>
      <c r="AC124" s="3004" t="s">
        <v>1699</v>
      </c>
      <c r="AD124" s="3004"/>
      <c r="AE124" s="3004"/>
      <c r="AF124" s="3004"/>
      <c r="AG124" s="3004"/>
      <c r="AH124" s="3004" t="s">
        <v>1700</v>
      </c>
      <c r="AI124" s="3004"/>
      <c r="AJ124" s="3004"/>
      <c r="AK124" s="3004"/>
      <c r="AL124" s="3004"/>
      <c r="AM124" s="3004" t="s">
        <v>1701</v>
      </c>
      <c r="AN124" s="3004"/>
      <c r="AO124" s="3004"/>
      <c r="AP124" s="3004"/>
      <c r="AQ124" s="3004"/>
      <c r="AR124" s="3004" t="s">
        <v>1702</v>
      </c>
      <c r="AS124" s="3004"/>
      <c r="AT124" s="3004"/>
      <c r="AU124" s="3004"/>
      <c r="AV124" s="1206"/>
      <c r="AW124" s="1206"/>
      <c r="AX124" s="1206"/>
      <c r="AY124" s="1206"/>
      <c r="AZ124" s="1206"/>
      <c r="BA124" s="3005">
        <v>2027</v>
      </c>
      <c r="BB124" s="3005"/>
      <c r="BC124" s="3005"/>
      <c r="BD124" s="3005">
        <v>2030</v>
      </c>
      <c r="BE124" s="3005"/>
      <c r="BF124" s="3005">
        <v>2032</v>
      </c>
      <c r="BG124" s="3005"/>
      <c r="BH124" s="458"/>
      <c r="BI124" s="3004" t="s">
        <v>1703</v>
      </c>
      <c r="BJ124" s="3004"/>
      <c r="BK124" s="3004"/>
    </row>
    <row r="125" spans="8:63" ht="63" hidden="1" customHeight="1" outlineLevel="1">
      <c r="H125" s="924" t="s">
        <v>1704</v>
      </c>
      <c r="I125" s="924" t="s">
        <v>1705</v>
      </c>
      <c r="J125" s="924" t="s">
        <v>1706</v>
      </c>
      <c r="K125" s="1207" t="s">
        <v>1707</v>
      </c>
      <c r="L125" s="1207" t="s">
        <v>1708</v>
      </c>
      <c r="M125" s="1207"/>
      <c r="N125" s="1207"/>
      <c r="O125" s="1207" t="s">
        <v>1709</v>
      </c>
      <c r="P125" s="1207" t="s">
        <v>1710</v>
      </c>
      <c r="Q125" s="1207" t="s">
        <v>1711</v>
      </c>
      <c r="R125" s="1207" t="s">
        <v>1712</v>
      </c>
      <c r="S125" s="1207" t="s">
        <v>1713</v>
      </c>
      <c r="T125" s="458"/>
      <c r="U125" s="1208" t="s">
        <v>1714</v>
      </c>
      <c r="V125" s="1208" t="s">
        <v>1715</v>
      </c>
      <c r="W125" s="1208" t="s">
        <v>1716</v>
      </c>
      <c r="X125" s="1208" t="s">
        <v>1717</v>
      </c>
      <c r="Y125" s="1208" t="s">
        <v>1714</v>
      </c>
      <c r="Z125" s="1208" t="s">
        <v>1715</v>
      </c>
      <c r="AA125" s="1208" t="s">
        <v>1716</v>
      </c>
      <c r="AB125" s="1208" t="s">
        <v>1717</v>
      </c>
      <c r="AC125" s="1208" t="s">
        <v>1714</v>
      </c>
      <c r="AD125" s="1208" t="s">
        <v>1715</v>
      </c>
      <c r="AE125" s="1208" t="s">
        <v>1716</v>
      </c>
      <c r="AF125" s="1208" t="s">
        <v>1717</v>
      </c>
      <c r="AG125" s="1209" t="s">
        <v>1718</v>
      </c>
      <c r="AH125" s="1208" t="s">
        <v>1714</v>
      </c>
      <c r="AI125" s="1208" t="s">
        <v>1715</v>
      </c>
      <c r="AJ125" s="1208" t="s">
        <v>1716</v>
      </c>
      <c r="AK125" s="1208" t="s">
        <v>1717</v>
      </c>
      <c r="AL125" s="1208" t="s">
        <v>1718</v>
      </c>
      <c r="AM125" s="1208" t="s">
        <v>1714</v>
      </c>
      <c r="AN125" s="1208" t="s">
        <v>1715</v>
      </c>
      <c r="AO125" s="1208" t="s">
        <v>1716</v>
      </c>
      <c r="AP125" s="1208" t="s">
        <v>1717</v>
      </c>
      <c r="AQ125" s="1208" t="s">
        <v>1718</v>
      </c>
      <c r="AR125" s="1208" t="s">
        <v>1714</v>
      </c>
      <c r="AS125" s="1208" t="s">
        <v>1715</v>
      </c>
      <c r="AT125" s="1208" t="s">
        <v>1716</v>
      </c>
      <c r="AU125" s="1208" t="s">
        <v>1717</v>
      </c>
      <c r="AV125" s="1208"/>
      <c r="AW125" s="1208" t="s">
        <v>1719</v>
      </c>
      <c r="AX125" s="1208" t="s">
        <v>1720</v>
      </c>
      <c r="AY125" s="1208" t="s">
        <v>1721</v>
      </c>
      <c r="AZ125" s="1208"/>
      <c r="BA125" s="1210" t="s">
        <v>1740</v>
      </c>
      <c r="BB125" s="1210" t="s">
        <v>1722</v>
      </c>
      <c r="BC125" s="1210"/>
      <c r="BD125" s="1210" t="s">
        <v>1741</v>
      </c>
      <c r="BE125" s="1210" t="s">
        <v>1742</v>
      </c>
      <c r="BF125" s="1210" t="s">
        <v>1723</v>
      </c>
      <c r="BG125" s="1210" t="s">
        <v>1724</v>
      </c>
      <c r="BH125" s="942"/>
      <c r="BI125" s="1208" t="s">
        <v>1725</v>
      </c>
      <c r="BJ125" s="1208"/>
      <c r="BK125" s="1208" t="s">
        <v>1726</v>
      </c>
    </row>
    <row r="126" spans="8:63" ht="12.75" hidden="1" customHeight="1" outlineLevel="1">
      <c r="H126" s="458" t="s">
        <v>784</v>
      </c>
      <c r="I126" s="458" t="s">
        <v>1080</v>
      </c>
      <c r="J126" s="458" t="s">
        <v>1581</v>
      </c>
      <c r="K126" s="458" t="s">
        <v>1727</v>
      </c>
      <c r="L126" s="458" t="s">
        <v>1683</v>
      </c>
      <c r="M126" s="458"/>
      <c r="N126" s="458"/>
      <c r="O126" s="1211">
        <v>2.6241694080370483</v>
      </c>
      <c r="P126" s="1212">
        <v>0.94494564609524778</v>
      </c>
      <c r="Q126" s="1213">
        <v>-0.1163032726372832</v>
      </c>
      <c r="R126" s="1214">
        <v>-7.8794000942379212E-3</v>
      </c>
      <c r="S126" s="1215">
        <v>377.04363397444803</v>
      </c>
      <c r="T126" s="458"/>
      <c r="U126" s="1216">
        <v>0.10523581694688251</v>
      </c>
      <c r="V126" s="1216">
        <v>2.0465384341364799E-3</v>
      </c>
      <c r="W126" s="1216">
        <v>0</v>
      </c>
      <c r="X126" s="1216">
        <v>4.4910714818522976E-2</v>
      </c>
      <c r="Y126" s="1217">
        <v>0.69146260607599741</v>
      </c>
      <c r="Z126" s="1217">
        <v>1.3446988298831486E-2</v>
      </c>
      <c r="AA126" s="1217">
        <v>0</v>
      </c>
      <c r="AB126" s="1217">
        <v>0.29509040562517108</v>
      </c>
      <c r="AC126" s="1218">
        <v>41.958035547618749</v>
      </c>
      <c r="AD126" s="1218">
        <v>24.901147776466111</v>
      </c>
      <c r="AE126" s="1218">
        <v>6.564295909213679</v>
      </c>
      <c r="AF126" s="1218">
        <v>4.7430225456675004</v>
      </c>
      <c r="AG126" s="1218">
        <v>8.3787474216544009</v>
      </c>
      <c r="AH126" s="1219">
        <v>1000</v>
      </c>
      <c r="AI126" s="1219">
        <v>2000</v>
      </c>
      <c r="AJ126" s="1219">
        <v>5260</v>
      </c>
      <c r="AK126" s="1219">
        <v>22631.729667812142</v>
      </c>
      <c r="AL126" s="1219">
        <v>5260</v>
      </c>
      <c r="AM126" s="1220">
        <v>1.8941845538723554</v>
      </c>
      <c r="AN126" s="1220">
        <v>2.8825054691951917</v>
      </c>
      <c r="AO126" s="1220">
        <v>4.4453808560663841</v>
      </c>
      <c r="AP126" s="1220">
        <v>5.1418659095253973</v>
      </c>
      <c r="AQ126" s="1220">
        <v>4.4453808560663841</v>
      </c>
      <c r="AR126" s="1220" t="s">
        <v>1728</v>
      </c>
      <c r="AS126" s="1220" t="s">
        <v>1728</v>
      </c>
      <c r="AT126" s="1220" t="s">
        <v>1631</v>
      </c>
      <c r="AU126" s="1220" t="s">
        <v>1631</v>
      </c>
      <c r="AV126" s="1220"/>
      <c r="AW126" s="1217">
        <v>0.15</v>
      </c>
      <c r="AX126" s="1217">
        <v>0.02</v>
      </c>
      <c r="AY126" s="1217">
        <v>0.83</v>
      </c>
      <c r="AZ126" s="1217"/>
      <c r="BA126" s="1218">
        <v>30.746878495253764</v>
      </c>
      <c r="BB126" s="1218">
        <v>5.8543371175943602</v>
      </c>
      <c r="BC126" s="1218"/>
      <c r="BD126" s="1218">
        <v>30.746878495253764</v>
      </c>
      <c r="BE126" s="1218">
        <v>8.7807678057169021</v>
      </c>
      <c r="BF126" s="1221">
        <v>4.7300000000000004</v>
      </c>
      <c r="BG126" s="1221">
        <v>4.13</v>
      </c>
      <c r="BH126" s="1220"/>
      <c r="BI126" s="1211">
        <f>IFERROR(AY126*(BA126-AE126)*O126*365.25/1000,0)</f>
        <v>19.238130432138764</v>
      </c>
      <c r="BJ126" s="1211"/>
      <c r="BK126" s="1211">
        <f>IFERROR((AY126*(BB126-AE126)+AW126*(BE126-AE126))*O126*365.25/1000,0)</f>
        <v>-0.24613233828742137</v>
      </c>
    </row>
    <row r="127" spans="8:63" ht="12.75" hidden="1" customHeight="1" outlineLevel="1">
      <c r="H127" s="458"/>
      <c r="I127" s="458"/>
      <c r="J127" s="458"/>
      <c r="K127" s="458"/>
      <c r="L127" s="458"/>
      <c r="M127" s="458"/>
      <c r="N127" s="458"/>
      <c r="O127" s="1211"/>
      <c r="P127" s="1212"/>
      <c r="Q127" s="1213"/>
      <c r="R127" s="1214"/>
      <c r="S127" s="1215"/>
      <c r="T127" s="458"/>
      <c r="U127" s="1216"/>
      <c r="V127" s="1216"/>
      <c r="W127" s="1216"/>
      <c r="X127" s="1216"/>
      <c r="Y127" s="1217"/>
      <c r="Z127" s="1217"/>
      <c r="AA127" s="1217"/>
      <c r="AB127" s="1217"/>
      <c r="AC127" s="1218"/>
      <c r="AD127" s="1218"/>
      <c r="AE127" s="1218"/>
      <c r="AF127" s="1218"/>
      <c r="AG127" s="1218"/>
      <c r="AH127" s="1219"/>
      <c r="AI127" s="1219"/>
      <c r="AJ127" s="1219"/>
      <c r="AK127" s="1219"/>
      <c r="AL127" s="1219"/>
      <c r="AM127" s="1220"/>
      <c r="AN127" s="1220"/>
      <c r="AO127" s="1220"/>
      <c r="AP127" s="1220"/>
      <c r="AQ127" s="1220"/>
      <c r="AR127" s="1220"/>
      <c r="AS127" s="1220"/>
      <c r="AT127" s="1220"/>
      <c r="AU127" s="1220"/>
      <c r="AV127" s="1220"/>
      <c r="AW127" s="1217"/>
      <c r="AX127" s="1217"/>
      <c r="AY127" s="1217"/>
      <c r="AZ127" s="1217"/>
      <c r="BA127" s="1218"/>
      <c r="BB127" s="1218"/>
      <c r="BC127" s="1218"/>
      <c r="BD127" s="1218"/>
      <c r="BE127" s="1218"/>
      <c r="BF127" s="1221"/>
      <c r="BG127" s="1221"/>
      <c r="BH127" s="1220"/>
      <c r="BI127" s="1211">
        <f t="shared" ref="BI127:BI137" si="24">IFERROR(AY127*(BA127-AE127)*O127*365.25/1000,0)</f>
        <v>0</v>
      </c>
      <c r="BJ127" s="1211"/>
      <c r="BK127" s="1211">
        <f t="shared" ref="BK127:BK137" si="25">IFERROR((AY127*(BB127-AE127)+AW127*(BE127-AE127))*O127*365.25/1000,0)</f>
        <v>0</v>
      </c>
    </row>
    <row r="128" spans="8:63" ht="12.75" hidden="1" customHeight="1" outlineLevel="1">
      <c r="H128" s="458"/>
      <c r="I128" s="458"/>
      <c r="J128" s="458"/>
      <c r="K128" s="458"/>
      <c r="L128" s="458"/>
      <c r="M128" s="458"/>
      <c r="N128" s="458"/>
      <c r="O128" s="1211"/>
      <c r="P128" s="1212"/>
      <c r="Q128" s="1213"/>
      <c r="R128" s="1214"/>
      <c r="S128" s="1215"/>
      <c r="T128" s="458"/>
      <c r="U128" s="1216"/>
      <c r="V128" s="1216"/>
      <c r="W128" s="1216"/>
      <c r="X128" s="1216"/>
      <c r="Y128" s="1217"/>
      <c r="Z128" s="1217"/>
      <c r="AA128" s="1217"/>
      <c r="AB128" s="1217"/>
      <c r="AC128" s="1218"/>
      <c r="AD128" s="1218"/>
      <c r="AE128" s="1218"/>
      <c r="AF128" s="1218"/>
      <c r="AG128" s="1218"/>
      <c r="AH128" s="1219"/>
      <c r="AI128" s="1219"/>
      <c r="AJ128" s="1219"/>
      <c r="AK128" s="1219"/>
      <c r="AL128" s="1219"/>
      <c r="AM128" s="1220"/>
      <c r="AN128" s="1220"/>
      <c r="AO128" s="1220"/>
      <c r="AP128" s="1220"/>
      <c r="AQ128" s="1220"/>
      <c r="AR128" s="1220"/>
      <c r="AS128" s="1220"/>
      <c r="AT128" s="1220"/>
      <c r="AU128" s="1220"/>
      <c r="AV128" s="1220"/>
      <c r="AW128" s="1217"/>
      <c r="AX128" s="1217"/>
      <c r="AY128" s="1217"/>
      <c r="AZ128" s="1217"/>
      <c r="BA128" s="1218"/>
      <c r="BB128" s="1218"/>
      <c r="BC128" s="1218"/>
      <c r="BD128" s="1218"/>
      <c r="BE128" s="1218"/>
      <c r="BF128" s="1221"/>
      <c r="BG128" s="1221"/>
      <c r="BH128" s="1220"/>
      <c r="BI128" s="1211">
        <f t="shared" si="24"/>
        <v>0</v>
      </c>
      <c r="BJ128" s="1211"/>
      <c r="BK128" s="1211">
        <f t="shared" si="25"/>
        <v>0</v>
      </c>
    </row>
    <row r="129" spans="8:63" ht="12.75" hidden="1" customHeight="1" outlineLevel="1">
      <c r="H129" s="458" t="s">
        <v>784</v>
      </c>
      <c r="I129" s="458" t="s">
        <v>1081</v>
      </c>
      <c r="J129" s="458" t="s">
        <v>1581</v>
      </c>
      <c r="K129" s="458" t="s">
        <v>1732</v>
      </c>
      <c r="L129" s="458" t="s">
        <v>1686</v>
      </c>
      <c r="M129" s="458"/>
      <c r="N129" s="458"/>
      <c r="O129" s="1211">
        <v>2.4428205202841053</v>
      </c>
      <c r="P129" s="1212">
        <v>0.90163175787586991</v>
      </c>
      <c r="Q129" s="1213">
        <v>-0.11097222849588149</v>
      </c>
      <c r="R129" s="1214">
        <v>-7.5182285746612527E-3</v>
      </c>
      <c r="S129" s="1215">
        <v>705.23146273679197</v>
      </c>
      <c r="T129" s="458"/>
      <c r="U129" s="1216">
        <v>4.5203843456907812E-3</v>
      </c>
      <c r="V129" s="1216">
        <v>0.16181748415303993</v>
      </c>
      <c r="W129" s="1216">
        <v>4.5203843456907812E-3</v>
      </c>
      <c r="X129" s="1216">
        <v>0.28118018172465659</v>
      </c>
      <c r="Y129" s="1217">
        <v>1.0000000000000002E-2</v>
      </c>
      <c r="Z129" s="1217">
        <v>0.35797284429430937</v>
      </c>
      <c r="AA129" s="1217">
        <v>1.0000000000000002E-2</v>
      </c>
      <c r="AB129" s="1217">
        <v>0.62202715570569067</v>
      </c>
      <c r="AC129" s="1218">
        <v>76.317845167943489</v>
      </c>
      <c r="AD129" s="1218">
        <v>46.813434447493051</v>
      </c>
      <c r="AE129" s="1218">
        <v>11.202124077927516</v>
      </c>
      <c r="AF129" s="1218">
        <v>8.4278362904289708</v>
      </c>
      <c r="AG129" s="1218">
        <v>15.671810283039822</v>
      </c>
      <c r="AH129" s="1219">
        <v>1000</v>
      </c>
      <c r="AI129" s="1219">
        <v>2000</v>
      </c>
      <c r="AJ129" s="1219">
        <v>5260</v>
      </c>
      <c r="AK129" s="1219">
        <v>22631.729667812142</v>
      </c>
      <c r="AL129" s="1219">
        <v>5260</v>
      </c>
      <c r="AM129" s="1220">
        <v>2.5512658485239896</v>
      </c>
      <c r="AN129" s="1220">
        <v>3.1499035260010264</v>
      </c>
      <c r="AO129" s="1220">
        <v>4.2018102171018823</v>
      </c>
      <c r="AP129" s="1220">
        <v>4.704260300204087</v>
      </c>
      <c r="AQ129" s="1220">
        <v>4.2018102171018823</v>
      </c>
      <c r="AR129" s="1220" t="s">
        <v>1728</v>
      </c>
      <c r="AS129" s="1220" t="s">
        <v>1728</v>
      </c>
      <c r="AT129" s="1220" t="s">
        <v>1631</v>
      </c>
      <c r="AU129" s="1220" t="s">
        <v>1631</v>
      </c>
      <c r="AV129" s="1220"/>
      <c r="AW129" s="1217">
        <v>0.15</v>
      </c>
      <c r="AX129" s="1217">
        <v>0.02</v>
      </c>
      <c r="AY129" s="1217">
        <v>0.83</v>
      </c>
      <c r="AZ129" s="1217"/>
      <c r="BA129" s="1218">
        <v>22.87548100930173</v>
      </c>
      <c r="BB129" s="1218">
        <v>9.2004385670654543</v>
      </c>
      <c r="BC129" s="1218"/>
      <c r="BD129" s="1218">
        <v>22.87548100930173</v>
      </c>
      <c r="BE129" s="1218">
        <v>11.941926409580441</v>
      </c>
      <c r="BF129" s="1221">
        <v>1.6</v>
      </c>
      <c r="BG129" s="1221">
        <v>1.47</v>
      </c>
      <c r="BH129" s="458"/>
      <c r="BI129" s="1211">
        <f t="shared" si="24"/>
        <v>8.6448137600729495</v>
      </c>
      <c r="BJ129" s="1211"/>
      <c r="BK129" s="1211">
        <f t="shared" si="25"/>
        <v>-1.383354738102438</v>
      </c>
    </row>
    <row r="130" spans="8:63" ht="12.75" hidden="1" customHeight="1" outlineLevel="1">
      <c r="H130" s="458" t="s">
        <v>784</v>
      </c>
      <c r="I130" s="458" t="s">
        <v>1081</v>
      </c>
      <c r="J130" s="458" t="s">
        <v>1582</v>
      </c>
      <c r="K130" s="458" t="s">
        <v>1733</v>
      </c>
      <c r="L130" s="458" t="s">
        <v>1687</v>
      </c>
      <c r="M130" s="458"/>
      <c r="N130" s="458"/>
      <c r="O130" s="1211">
        <v>2.4658701866802279</v>
      </c>
      <c r="P130" s="1212">
        <v>0.8752077066970958</v>
      </c>
      <c r="Q130" s="1213">
        <v>-0.10771997410312807</v>
      </c>
      <c r="R130" s="1214">
        <v>-7.2978924397644595E-3</v>
      </c>
      <c r="S130" s="1215">
        <v>1112.96164725676</v>
      </c>
      <c r="T130" s="458"/>
      <c r="U130" s="1216">
        <v>3.0922055423788022E-4</v>
      </c>
      <c r="V130" s="1216">
        <v>4.8020975330154696E-2</v>
      </c>
      <c r="W130" s="1216">
        <v>1.3690673232275522E-3</v>
      </c>
      <c r="X130" s="1216">
        <v>1.8754102953757481E-2</v>
      </c>
      <c r="Y130" s="1217">
        <v>4.5172439512893812E-3</v>
      </c>
      <c r="Z130" s="1217">
        <v>0.70151371689956177</v>
      </c>
      <c r="AA130" s="1217">
        <v>0.02</v>
      </c>
      <c r="AB130" s="1217">
        <v>0.27396903914914883</v>
      </c>
      <c r="AC130" s="1218">
        <v>91.320707179680653</v>
      </c>
      <c r="AD130" s="1218">
        <v>63.693082514279595</v>
      </c>
      <c r="AE130" s="1218">
        <v>17.630767623296563</v>
      </c>
      <c r="AF130" s="1218">
        <v>13.252009891143199</v>
      </c>
      <c r="AG130" s="1218">
        <v>24.732481050150223</v>
      </c>
      <c r="AH130" s="1219">
        <v>1000</v>
      </c>
      <c r="AI130" s="1219">
        <v>2000</v>
      </c>
      <c r="AJ130" s="1219">
        <v>5260</v>
      </c>
      <c r="AK130" s="1219">
        <v>22631.729667812142</v>
      </c>
      <c r="AL130" s="1219">
        <v>5260</v>
      </c>
      <c r="AM130" s="1220">
        <v>3.7848657054583201</v>
      </c>
      <c r="AN130" s="1220">
        <v>3.0749394542302002</v>
      </c>
      <c r="AO130" s="1220">
        <v>5.6251742106916778</v>
      </c>
      <c r="AP130" s="1220">
        <v>8.5948476705763621</v>
      </c>
      <c r="AQ130" s="1220">
        <v>5.6251742106916778</v>
      </c>
      <c r="AR130" s="1220" t="s">
        <v>1728</v>
      </c>
      <c r="AS130" s="1220" t="s">
        <v>1728</v>
      </c>
      <c r="AT130" s="1220" t="s">
        <v>1631</v>
      </c>
      <c r="AU130" s="1220" t="s">
        <v>1631</v>
      </c>
      <c r="AV130" s="1220"/>
      <c r="AW130" s="1217">
        <v>0.15</v>
      </c>
      <c r="AX130" s="1217">
        <v>0.02</v>
      </c>
      <c r="AY130" s="1217">
        <v>0.83</v>
      </c>
      <c r="AZ130" s="1217"/>
      <c r="BA130" s="1218">
        <v>49.077344736655093</v>
      </c>
      <c r="BB130" s="1218">
        <v>18.541028126726793</v>
      </c>
      <c r="BC130" s="1218"/>
      <c r="BD130" s="1218">
        <v>49.077344736655093</v>
      </c>
      <c r="BE130" s="1218">
        <v>24.795802876981661</v>
      </c>
      <c r="BF130" s="1221">
        <v>5.28</v>
      </c>
      <c r="BG130" s="1221">
        <v>4.88</v>
      </c>
      <c r="BH130" s="458"/>
      <c r="BI130" s="1211">
        <f t="shared" si="24"/>
        <v>23.507795674396259</v>
      </c>
      <c r="BJ130" s="1211"/>
      <c r="BK130" s="1211">
        <f t="shared" si="25"/>
        <v>1.6484506610589862</v>
      </c>
    </row>
    <row r="131" spans="8:63" ht="12.75" hidden="1" customHeight="1" outlineLevel="1">
      <c r="H131" s="458" t="s">
        <v>784</v>
      </c>
      <c r="I131" s="458" t="s">
        <v>1081</v>
      </c>
      <c r="J131" s="458" t="s">
        <v>1583</v>
      </c>
      <c r="K131" s="458" t="s">
        <v>1734</v>
      </c>
      <c r="L131" s="458" t="s">
        <v>1688</v>
      </c>
      <c r="M131" s="458"/>
      <c r="N131" s="458"/>
      <c r="O131" s="1211">
        <v>2.4962936534017408</v>
      </c>
      <c r="P131" s="1212">
        <v>0.83000753574200803</v>
      </c>
      <c r="Q131" s="1213">
        <v>-0.10215676755514902</v>
      </c>
      <c r="R131" s="1214">
        <v>-6.9209922098361128E-3</v>
      </c>
      <c r="S131" s="1215">
        <v>1565.4040020494499</v>
      </c>
      <c r="T131" s="458"/>
      <c r="U131" s="1216">
        <v>1.3715707332183267E-3</v>
      </c>
      <c r="V131" s="1216">
        <v>1.8646383034627467E-2</v>
      </c>
      <c r="W131" s="1216">
        <v>1.1542318683339819E-3</v>
      </c>
      <c r="X131" s="1216">
        <v>3.6539407780519326E-2</v>
      </c>
      <c r="Y131" s="1217">
        <v>2.3765948088022411E-2</v>
      </c>
      <c r="Z131" s="1217">
        <v>0.32309596617777764</v>
      </c>
      <c r="AA131" s="1217">
        <v>0.02</v>
      </c>
      <c r="AB131" s="1217">
        <v>0.63313808573420005</v>
      </c>
      <c r="AC131" s="1218">
        <v>111.51902551695946</v>
      </c>
      <c r="AD131" s="1218">
        <v>75.2247338543106</v>
      </c>
      <c r="AE131" s="1218">
        <v>22.849943106604805</v>
      </c>
      <c r="AF131" s="1218">
        <v>15.1366225030437</v>
      </c>
      <c r="AG131" s="1218">
        <v>34.786755601098889</v>
      </c>
      <c r="AH131" s="1219">
        <v>1000</v>
      </c>
      <c r="AI131" s="1219">
        <v>2000</v>
      </c>
      <c r="AJ131" s="1219">
        <v>5260</v>
      </c>
      <c r="AK131" s="1219">
        <v>22631.729667812142</v>
      </c>
      <c r="AL131" s="1219">
        <v>5260</v>
      </c>
      <c r="AM131" s="1220">
        <v>4.2845704924641108</v>
      </c>
      <c r="AN131" s="1220">
        <v>3.1844072700432378</v>
      </c>
      <c r="AO131" s="1220">
        <v>5.6005928978082489</v>
      </c>
      <c r="AP131" s="1220">
        <v>9.2991191980778467</v>
      </c>
      <c r="AQ131" s="1220">
        <v>5.6005928978082489</v>
      </c>
      <c r="AR131" s="1220" t="s">
        <v>1728</v>
      </c>
      <c r="AS131" s="1220" t="s">
        <v>1728</v>
      </c>
      <c r="AT131" s="1220" t="s">
        <v>1631</v>
      </c>
      <c r="AU131" s="1220" t="s">
        <v>1631</v>
      </c>
      <c r="AV131" s="1220"/>
      <c r="AW131" s="1217">
        <v>0.15</v>
      </c>
      <c r="AX131" s="1217">
        <v>0.02</v>
      </c>
      <c r="AY131" s="1217">
        <v>0.83</v>
      </c>
      <c r="AZ131" s="1217"/>
      <c r="BA131" s="1218">
        <v>36.995734494577967</v>
      </c>
      <c r="BB131" s="1218">
        <v>17.054233001626145</v>
      </c>
      <c r="BC131" s="1218"/>
      <c r="BD131" s="1218">
        <v>36.995734494577967</v>
      </c>
      <c r="BE131" s="1218">
        <v>21.030926355470132</v>
      </c>
      <c r="BF131" s="1221">
        <v>2.64</v>
      </c>
      <c r="BG131" s="1221">
        <v>2.44</v>
      </c>
      <c r="BH131" s="458"/>
      <c r="BI131" s="1211">
        <f t="shared" si="24"/>
        <v>10.705112574794251</v>
      </c>
      <c r="BJ131" s="1211"/>
      <c r="BK131" s="1211">
        <f t="shared" si="25"/>
        <v>-4.6347994446978484</v>
      </c>
    </row>
    <row r="132" spans="8:63" ht="12.75" hidden="1" customHeight="1" outlineLevel="1">
      <c r="H132" s="458" t="s">
        <v>784</v>
      </c>
      <c r="I132" s="458" t="s">
        <v>1082</v>
      </c>
      <c r="J132" s="458" t="s">
        <v>1581</v>
      </c>
      <c r="K132" s="458" t="s">
        <v>1735</v>
      </c>
      <c r="L132" s="458" t="s">
        <v>1689</v>
      </c>
      <c r="M132" s="458"/>
      <c r="N132" s="458"/>
      <c r="O132" s="1211">
        <v>1.9179942253093571</v>
      </c>
      <c r="P132" s="1212">
        <v>0.97671212164273968</v>
      </c>
      <c r="Q132" s="1213">
        <v>-0.12021306901720444</v>
      </c>
      <c r="R132" s="1214">
        <v>-8.1442838697829163E-3</v>
      </c>
      <c r="S132" s="1215">
        <v>429.235603776478</v>
      </c>
      <c r="T132" s="458"/>
      <c r="U132" s="1216">
        <v>2.7892888218977469E-2</v>
      </c>
      <c r="V132" s="1216">
        <v>1.2201870579727684E-2</v>
      </c>
      <c r="W132" s="1216">
        <v>0</v>
      </c>
      <c r="X132" s="1216">
        <v>2.2899270739108066E-2</v>
      </c>
      <c r="Y132" s="1217">
        <v>0.44278621995810408</v>
      </c>
      <c r="Z132" s="1217">
        <v>0.19369884208476151</v>
      </c>
      <c r="AA132" s="1217">
        <v>0</v>
      </c>
      <c r="AB132" s="1217">
        <v>0.36351493795713441</v>
      </c>
      <c r="AC132" s="1218">
        <v>51.828529496621037</v>
      </c>
      <c r="AD132" s="1218">
        <v>30.431256911791117</v>
      </c>
      <c r="AE132" s="1218">
        <v>8.8245468619295639</v>
      </c>
      <c r="AF132" s="1218">
        <v>5.4586120001622103</v>
      </c>
      <c r="AG132" s="1218">
        <v>9.5385689728106229</v>
      </c>
      <c r="AH132" s="1219">
        <v>1000</v>
      </c>
      <c r="AI132" s="1219">
        <v>2000</v>
      </c>
      <c r="AJ132" s="1219">
        <v>5260</v>
      </c>
      <c r="AK132" s="1219">
        <v>22631.729667812142</v>
      </c>
      <c r="AL132" s="1219">
        <v>5260</v>
      </c>
      <c r="AM132" s="1220">
        <v>3.0206226149897542</v>
      </c>
      <c r="AN132" s="1220">
        <v>5.0588379948536053</v>
      </c>
      <c r="AO132" s="1220">
        <v>5.0338788818244442</v>
      </c>
      <c r="AP132" s="1220">
        <v>5.982889189939792</v>
      </c>
      <c r="AQ132" s="1220">
        <v>5.0338788818244442</v>
      </c>
      <c r="AR132" s="1220" t="s">
        <v>1728</v>
      </c>
      <c r="AS132" s="1220" t="s">
        <v>1728</v>
      </c>
      <c r="AT132" s="1220" t="s">
        <v>1631</v>
      </c>
      <c r="AU132" s="1220" t="s">
        <v>1631</v>
      </c>
      <c r="AV132" s="1220"/>
      <c r="AW132" s="1217">
        <v>0.15</v>
      </c>
      <c r="AX132" s="1217">
        <v>0.02</v>
      </c>
      <c r="AY132" s="1217">
        <v>0.83</v>
      </c>
      <c r="AZ132" s="1217"/>
      <c r="BA132" s="1218">
        <v>30.827744891364798</v>
      </c>
      <c r="BB132" s="1218">
        <v>7.4554105931015471</v>
      </c>
      <c r="BC132" s="1218"/>
      <c r="BD132" s="1218">
        <v>30.827744891364798</v>
      </c>
      <c r="BE132" s="1218">
        <v>10.308120772596695</v>
      </c>
      <c r="BF132" s="1221">
        <v>3.98</v>
      </c>
      <c r="BG132" s="1221">
        <v>3.08</v>
      </c>
      <c r="BH132" s="458"/>
      <c r="BI132" s="1211">
        <f t="shared" si="24"/>
        <v>12.793854863979394</v>
      </c>
      <c r="BJ132" s="1211"/>
      <c r="BK132" s="1211">
        <f t="shared" si="25"/>
        <v>-0.64019314301322217</v>
      </c>
    </row>
    <row r="133" spans="8:63" ht="12.75" hidden="1" customHeight="1" outlineLevel="1">
      <c r="H133" s="458"/>
      <c r="I133" s="458"/>
      <c r="J133" s="458"/>
      <c r="K133" s="458"/>
      <c r="L133" s="458"/>
      <c r="M133" s="458"/>
      <c r="N133" s="458"/>
      <c r="O133" s="1211"/>
      <c r="P133" s="1212"/>
      <c r="Q133" s="1213"/>
      <c r="R133" s="1214"/>
      <c r="S133" s="1215"/>
      <c r="T133" s="458"/>
      <c r="U133" s="1216"/>
      <c r="V133" s="1216"/>
      <c r="W133" s="1216"/>
      <c r="X133" s="1216"/>
      <c r="Y133" s="1217"/>
      <c r="Z133" s="1217"/>
      <c r="AA133" s="1217"/>
      <c r="AB133" s="1217"/>
      <c r="AC133" s="1218"/>
      <c r="AD133" s="1218"/>
      <c r="AE133" s="1218"/>
      <c r="AF133" s="1218"/>
      <c r="AG133" s="1218"/>
      <c r="AH133" s="1219"/>
      <c r="AI133" s="1219"/>
      <c r="AJ133" s="1219"/>
      <c r="AK133" s="1219"/>
      <c r="AL133" s="1219"/>
      <c r="AM133" s="1220"/>
      <c r="AN133" s="1220"/>
      <c r="AO133" s="1220"/>
      <c r="AP133" s="1220"/>
      <c r="AQ133" s="1220"/>
      <c r="AR133" s="1220"/>
      <c r="AS133" s="1220"/>
      <c r="AT133" s="1220"/>
      <c r="AU133" s="1220"/>
      <c r="AV133" s="1220"/>
      <c r="AW133" s="1217"/>
      <c r="AX133" s="1217"/>
      <c r="AY133" s="1217"/>
      <c r="AZ133" s="1217"/>
      <c r="BA133" s="1218"/>
      <c r="BB133" s="1218"/>
      <c r="BC133" s="1218"/>
      <c r="BD133" s="1218"/>
      <c r="BE133" s="1218"/>
      <c r="BF133" s="1221"/>
      <c r="BG133" s="1221"/>
      <c r="BH133" s="458"/>
      <c r="BI133" s="1211">
        <f t="shared" si="24"/>
        <v>0</v>
      </c>
      <c r="BJ133" s="1211"/>
      <c r="BK133" s="1211">
        <f t="shared" si="25"/>
        <v>0</v>
      </c>
    </row>
    <row r="134" spans="8:63" ht="12.75" hidden="1" customHeight="1" outlineLevel="1">
      <c r="H134" s="458"/>
      <c r="I134" s="458"/>
      <c r="J134" s="458"/>
      <c r="K134" s="458"/>
      <c r="L134" s="458"/>
      <c r="M134" s="458"/>
      <c r="N134" s="458"/>
      <c r="O134" s="1211"/>
      <c r="P134" s="1212"/>
      <c r="Q134" s="1213"/>
      <c r="R134" s="1214"/>
      <c r="S134" s="1215"/>
      <c r="T134" s="458"/>
      <c r="U134" s="1216"/>
      <c r="V134" s="1216"/>
      <c r="W134" s="1216"/>
      <c r="X134" s="1216"/>
      <c r="Y134" s="1217"/>
      <c r="Z134" s="1217"/>
      <c r="AA134" s="1217"/>
      <c r="AB134" s="1217"/>
      <c r="AC134" s="1218"/>
      <c r="AD134" s="1218"/>
      <c r="AE134" s="1218"/>
      <c r="AF134" s="1218"/>
      <c r="AG134" s="1218"/>
      <c r="AH134" s="1219"/>
      <c r="AI134" s="1219"/>
      <c r="AJ134" s="1219"/>
      <c r="AK134" s="1219"/>
      <c r="AL134" s="1219"/>
      <c r="AM134" s="1220"/>
      <c r="AN134" s="1220"/>
      <c r="AO134" s="1220"/>
      <c r="AP134" s="1220"/>
      <c r="AQ134" s="1220"/>
      <c r="AR134" s="1220"/>
      <c r="AS134" s="1220"/>
      <c r="AT134" s="1220"/>
      <c r="AU134" s="1220"/>
      <c r="AV134" s="1220"/>
      <c r="AW134" s="1217"/>
      <c r="AX134" s="1217"/>
      <c r="AY134" s="1217"/>
      <c r="AZ134" s="1217"/>
      <c r="BA134" s="1218"/>
      <c r="BB134" s="1218"/>
      <c r="BC134" s="1218"/>
      <c r="BD134" s="1218"/>
      <c r="BE134" s="1218"/>
      <c r="BF134" s="1221"/>
      <c r="BG134" s="1221"/>
      <c r="BH134" s="458"/>
      <c r="BI134" s="1211">
        <f t="shared" si="24"/>
        <v>0</v>
      </c>
      <c r="BJ134" s="1211"/>
      <c r="BK134" s="1211">
        <f t="shared" si="25"/>
        <v>0</v>
      </c>
    </row>
    <row r="135" spans="8:63" ht="12.75" hidden="1" customHeight="1" outlineLevel="1">
      <c r="H135" s="458" t="s">
        <v>784</v>
      </c>
      <c r="I135" s="458" t="s">
        <v>1083</v>
      </c>
      <c r="J135" s="458" t="s">
        <v>1581</v>
      </c>
      <c r="K135" s="458" t="s">
        <v>1736</v>
      </c>
      <c r="L135" s="458" t="s">
        <v>1692</v>
      </c>
      <c r="M135" s="458"/>
      <c r="N135" s="458"/>
      <c r="O135" s="1211">
        <v>2.9924553248316559</v>
      </c>
      <c r="P135" s="1212">
        <v>0.90818182707943829</v>
      </c>
      <c r="Q135" s="1213">
        <v>-0.11177840659461512</v>
      </c>
      <c r="R135" s="1214">
        <v>-7.5728461244781442E-3</v>
      </c>
      <c r="S135" s="1215">
        <v>673.92403406060703</v>
      </c>
      <c r="T135" s="458"/>
      <c r="U135" s="1216">
        <v>3.4679831678771943E-2</v>
      </c>
      <c r="V135" s="1216">
        <v>6.700420123776538E-3</v>
      </c>
      <c r="W135" s="1216">
        <v>0</v>
      </c>
      <c r="X135" s="1216">
        <v>0.13731054823518191</v>
      </c>
      <c r="Y135" s="1217">
        <v>0.19407732055287308</v>
      </c>
      <c r="Z135" s="1217">
        <v>3.7497286499146854E-2</v>
      </c>
      <c r="AA135" s="1217">
        <v>0</v>
      </c>
      <c r="AB135" s="1217">
        <v>0.76842539294798007</v>
      </c>
      <c r="AC135" s="1218">
        <v>85.882339674922065</v>
      </c>
      <c r="AD135" s="1218">
        <v>62.619942513860863</v>
      </c>
      <c r="AE135" s="1218">
        <v>16.400443850178171</v>
      </c>
      <c r="AF135" s="1218">
        <v>9.7147658012708806</v>
      </c>
      <c r="AG135" s="1218">
        <v>14.976089645791268</v>
      </c>
      <c r="AH135" s="1219">
        <v>1000</v>
      </c>
      <c r="AI135" s="1219">
        <v>2000</v>
      </c>
      <c r="AJ135" s="1219">
        <v>5260</v>
      </c>
      <c r="AK135" s="1219">
        <v>22631.729667812142</v>
      </c>
      <c r="AL135" s="1219">
        <v>5260</v>
      </c>
      <c r="AM135" s="1220">
        <v>5.5765048569891853</v>
      </c>
      <c r="AN135" s="1220">
        <v>7.8311184853824969</v>
      </c>
      <c r="AO135" s="1220">
        <v>4.8955864717022672</v>
      </c>
      <c r="AP135" s="1220">
        <v>8.2256179377115082</v>
      </c>
      <c r="AQ135" s="1220">
        <v>4.8955864717022672</v>
      </c>
      <c r="AR135" s="1220" t="s">
        <v>1728</v>
      </c>
      <c r="AS135" s="1220" t="s">
        <v>1728</v>
      </c>
      <c r="AT135" s="1220" t="s">
        <v>1728</v>
      </c>
      <c r="AU135" s="1220" t="s">
        <v>1631</v>
      </c>
      <c r="AV135" s="1220"/>
      <c r="AW135" s="1217">
        <v>0.15</v>
      </c>
      <c r="AX135" s="1217">
        <v>0.02</v>
      </c>
      <c r="AY135" s="1217">
        <v>0.83</v>
      </c>
      <c r="AZ135" s="1217"/>
      <c r="BA135" s="1218">
        <v>26.480965020162099</v>
      </c>
      <c r="BB135" s="1218">
        <v>9.8149141743893509</v>
      </c>
      <c r="BC135" s="1218"/>
      <c r="BD135" s="1218">
        <v>26.480965020162099</v>
      </c>
      <c r="BE135" s="1218">
        <v>11.755917099575262</v>
      </c>
      <c r="BF135" s="1221">
        <v>1.84</v>
      </c>
      <c r="BG135" s="1221">
        <v>1.54</v>
      </c>
      <c r="BH135" s="458"/>
      <c r="BI135" s="1211">
        <f t="shared" si="24"/>
        <v>9.1449003711228016</v>
      </c>
      <c r="BJ135" s="1211"/>
      <c r="BK135" s="1211">
        <f t="shared" si="25"/>
        <v>-6.7357617457004073</v>
      </c>
    </row>
    <row r="136" spans="8:63" ht="12.75" hidden="1" customHeight="1" outlineLevel="1">
      <c r="H136" s="458" t="s">
        <v>784</v>
      </c>
      <c r="I136" s="458" t="s">
        <v>1083</v>
      </c>
      <c r="J136" s="458" t="s">
        <v>1582</v>
      </c>
      <c r="K136" s="458" t="s">
        <v>1737</v>
      </c>
      <c r="L136" s="458" t="s">
        <v>1693</v>
      </c>
      <c r="M136" s="458"/>
      <c r="N136" s="458"/>
      <c r="O136" s="1211">
        <v>3.1438711557659511</v>
      </c>
      <c r="P136" s="1212">
        <v>0.80769764032454228</v>
      </c>
      <c r="Q136" s="1213">
        <v>-9.9410880677984384E-2</v>
      </c>
      <c r="R136" s="1214">
        <v>-6.7349618357281198E-3</v>
      </c>
      <c r="S136" s="1215">
        <v>1198.5384593701599</v>
      </c>
      <c r="T136" s="458"/>
      <c r="U136" s="1216">
        <v>0</v>
      </c>
      <c r="V136" s="1216">
        <v>3.9064564873488366E-3</v>
      </c>
      <c r="W136" s="1216">
        <v>2.0236788520571232E-4</v>
      </c>
      <c r="X136" s="1216">
        <v>1.612796414801668E-2</v>
      </c>
      <c r="Y136" s="1217">
        <v>0</v>
      </c>
      <c r="Z136" s="1217">
        <v>0.19303737267293278</v>
      </c>
      <c r="AA136" s="1217">
        <v>0.01</v>
      </c>
      <c r="AB136" s="1217">
        <v>0.79696262732706713</v>
      </c>
      <c r="AC136" s="1218" t="s">
        <v>1729</v>
      </c>
      <c r="AD136" s="1218">
        <v>79.476557495639952</v>
      </c>
      <c r="AE136" s="1218">
        <v>27.456801191802171</v>
      </c>
      <c r="AF136" s="1218">
        <v>15.2497906911581</v>
      </c>
      <c r="AG136" s="1218">
        <v>26.634187986003553</v>
      </c>
      <c r="AH136" s="1219">
        <v>1000</v>
      </c>
      <c r="AI136" s="1219">
        <v>2000</v>
      </c>
      <c r="AJ136" s="1219">
        <v>5260</v>
      </c>
      <c r="AK136" s="1219">
        <v>22631.729667812142</v>
      </c>
      <c r="AL136" s="1219">
        <v>5260</v>
      </c>
      <c r="AM136" s="1220" t="s">
        <v>1730</v>
      </c>
      <c r="AN136" s="1220">
        <v>8.7682028074746263</v>
      </c>
      <c r="AO136" s="1220">
        <v>5.4702830535842288</v>
      </c>
      <c r="AP136" s="1220">
        <v>11.104242336528252</v>
      </c>
      <c r="AQ136" s="1220">
        <v>5.4702830535842288</v>
      </c>
      <c r="AR136" s="1220" t="s">
        <v>1731</v>
      </c>
      <c r="AS136" s="1220" t="s">
        <v>1728</v>
      </c>
      <c r="AT136" s="1220" t="s">
        <v>1728</v>
      </c>
      <c r="AU136" s="1220" t="s">
        <v>1631</v>
      </c>
      <c r="AV136" s="1220"/>
      <c r="AW136" s="1217">
        <v>0.15</v>
      </c>
      <c r="AX136" s="1217">
        <v>0.02</v>
      </c>
      <c r="AY136" s="1217">
        <v>0.83</v>
      </c>
      <c r="AZ136" s="1217"/>
      <c r="BA136" s="1218">
        <v>27.770027115378852</v>
      </c>
      <c r="BB136" s="1218">
        <v>15.567303953590004</v>
      </c>
      <c r="BC136" s="1218"/>
      <c r="BD136" s="1218">
        <v>27.770027115378852</v>
      </c>
      <c r="BE136" s="1218">
        <v>18.052293647794386</v>
      </c>
      <c r="BF136" s="1221">
        <v>1.71</v>
      </c>
      <c r="BG136" s="1221">
        <v>1.58</v>
      </c>
      <c r="BH136" s="458"/>
      <c r="BI136" s="1211">
        <f t="shared" si="24"/>
        <v>0.2985319066069293</v>
      </c>
      <c r="BJ136" s="1211"/>
      <c r="BK136" s="1211">
        <f t="shared" si="25"/>
        <v>-12.951616475470853</v>
      </c>
    </row>
    <row r="137" spans="8:63" ht="12.75" hidden="1" customHeight="1" outlineLevel="1">
      <c r="H137" s="458" t="s">
        <v>784</v>
      </c>
      <c r="I137" s="458" t="s">
        <v>1083</v>
      </c>
      <c r="J137" s="458" t="s">
        <v>1583</v>
      </c>
      <c r="K137" s="458" t="s">
        <v>1738</v>
      </c>
      <c r="L137" s="458" t="s">
        <v>1694</v>
      </c>
      <c r="M137" s="458"/>
      <c r="N137" s="458"/>
      <c r="O137" s="1211">
        <v>3.1961712013089221</v>
      </c>
      <c r="P137" s="1212">
        <v>0.46244723340230898</v>
      </c>
      <c r="Q137" s="1213">
        <v>-5.6917693508611387E-2</v>
      </c>
      <c r="R137" s="1214">
        <v>-3.8561019774072105E-3</v>
      </c>
      <c r="S137" s="1215">
        <v>1596.0803485052297</v>
      </c>
      <c r="T137" s="458"/>
      <c r="U137" s="1216">
        <v>0</v>
      </c>
      <c r="V137" s="1216">
        <v>3.996594600141937E-3</v>
      </c>
      <c r="W137" s="1216">
        <v>-1.3120174003567592E-5</v>
      </c>
      <c r="X137" s="1216">
        <v>1.9559031936975473E-3</v>
      </c>
      <c r="Y137" s="1217">
        <v>0</v>
      </c>
      <c r="Z137" s="1217">
        <v>0.67289787852423988</v>
      </c>
      <c r="AA137" s="1217">
        <v>-2.2090149580235069E-3</v>
      </c>
      <c r="AB137" s="1217">
        <v>0.32931113643378379</v>
      </c>
      <c r="AC137" s="1218">
        <v>161.99803345008124</v>
      </c>
      <c r="AD137" s="1218">
        <v>92.650917704982319</v>
      </c>
      <c r="AE137" s="1218">
        <v>23.409178444743372</v>
      </c>
      <c r="AF137" s="1218">
        <v>18.438772435368097</v>
      </c>
      <c r="AG137" s="1218">
        <v>35.468452189005106</v>
      </c>
      <c r="AH137" s="1219">
        <v>1000</v>
      </c>
      <c r="AI137" s="1219">
        <v>2000</v>
      </c>
      <c r="AJ137" s="1219">
        <v>5260</v>
      </c>
      <c r="AK137" s="1219">
        <v>22631.729667812142</v>
      </c>
      <c r="AL137" s="1219">
        <v>5260</v>
      </c>
      <c r="AM137" s="1220">
        <v>12.787398677430756</v>
      </c>
      <c r="AN137" s="1220">
        <v>9.8280777358991642</v>
      </c>
      <c r="AO137" s="1220">
        <v>4.9771915649995195</v>
      </c>
      <c r="AP137" s="1220">
        <v>14.529873746996635</v>
      </c>
      <c r="AQ137" s="1220">
        <v>4.9771915649995195</v>
      </c>
      <c r="AR137" s="1220" t="s">
        <v>1728</v>
      </c>
      <c r="AS137" s="1220" t="s">
        <v>1728</v>
      </c>
      <c r="AT137" s="1220" t="s">
        <v>1631</v>
      </c>
      <c r="AU137" s="1220" t="s">
        <v>1631</v>
      </c>
      <c r="AV137" s="1220"/>
      <c r="AW137" s="1217">
        <v>0.15</v>
      </c>
      <c r="AX137" s="1217">
        <v>0.02</v>
      </c>
      <c r="AY137" s="1217">
        <v>0.83</v>
      </c>
      <c r="AZ137" s="1217"/>
      <c r="BA137" s="1218">
        <v>68.364987846802052</v>
      </c>
      <c r="BB137" s="1218">
        <v>24.854523223901445</v>
      </c>
      <c r="BC137" s="1218"/>
      <c r="BD137" s="1218">
        <v>68.364987846802052</v>
      </c>
      <c r="BE137" s="1218">
        <v>33.809827300286521</v>
      </c>
      <c r="BF137" s="1221">
        <v>6.31</v>
      </c>
      <c r="BG137" s="1221">
        <v>5.83</v>
      </c>
      <c r="BH137" s="458"/>
      <c r="BI137" s="1211">
        <f t="shared" si="24"/>
        <v>43.559629010721444</v>
      </c>
      <c r="BJ137" s="1211"/>
      <c r="BK137" s="1211">
        <f t="shared" si="25"/>
        <v>3.2217171080205609</v>
      </c>
    </row>
    <row r="138" spans="8:63" ht="12.75" hidden="1" customHeight="1" outlineLevel="1">
      <c r="H138" s="458"/>
      <c r="I138" s="458"/>
      <c r="J138" s="458"/>
      <c r="K138" s="458"/>
      <c r="L138" s="458"/>
      <c r="M138" s="458"/>
      <c r="N138" s="458"/>
      <c r="O138" s="458"/>
      <c r="P138" s="458"/>
      <c r="Q138" s="458"/>
      <c r="R138" s="458"/>
      <c r="S138" s="458"/>
      <c r="T138" s="458"/>
      <c r="U138" s="458"/>
      <c r="V138" s="458"/>
      <c r="W138" s="458"/>
      <c r="X138" s="458"/>
      <c r="Y138" s="458"/>
      <c r="Z138" s="458"/>
      <c r="AA138" s="458"/>
      <c r="AB138" s="458"/>
      <c r="AC138" s="458"/>
      <c r="AD138" s="458"/>
      <c r="AE138" s="458"/>
      <c r="AF138" s="458"/>
      <c r="AG138" s="458"/>
      <c r="AH138" s="458"/>
      <c r="AI138" s="458"/>
      <c r="AJ138" s="458"/>
      <c r="AK138" s="458"/>
      <c r="AL138" s="458"/>
      <c r="AM138" s="458"/>
      <c r="AN138" s="458"/>
      <c r="AO138" s="458"/>
      <c r="AP138" s="458"/>
      <c r="AQ138" s="458"/>
      <c r="AR138" s="458"/>
      <c r="AS138" s="458"/>
      <c r="AT138" s="458"/>
      <c r="AU138" s="458"/>
      <c r="AV138" s="458"/>
      <c r="AW138" s="458"/>
      <c r="AX138" s="458"/>
      <c r="AY138" s="458"/>
      <c r="AZ138" s="458"/>
      <c r="BA138" s="458"/>
      <c r="BB138" s="458"/>
      <c r="BC138" s="458"/>
      <c r="BD138" s="458"/>
      <c r="BE138" s="458"/>
      <c r="BF138" s="458"/>
      <c r="BG138" s="458"/>
      <c r="BH138" s="458"/>
      <c r="BI138" s="458"/>
      <c r="BJ138" s="458"/>
      <c r="BK138" s="458"/>
    </row>
    <row r="139" spans="8:63" ht="12.75" hidden="1" customHeight="1" outlineLevel="1"/>
    <row r="140" spans="8:63" ht="12.75" hidden="1" customHeight="1" outlineLevel="1"/>
    <row r="141" spans="8:63" ht="15.75" hidden="1" customHeight="1" outlineLevel="1" thickBot="1">
      <c r="H141" s="1222" t="s">
        <v>1096</v>
      </c>
      <c r="I141" s="1242"/>
      <c r="J141" s="1242"/>
      <c r="K141" s="1242"/>
      <c r="L141" s="1242"/>
      <c r="M141" s="1242"/>
      <c r="N141" s="1242"/>
      <c r="O141" s="1242"/>
    </row>
    <row r="142" spans="8:63" ht="12.75" hidden="1" customHeight="1" outlineLevel="1" thickTop="1">
      <c r="H142" s="3008" t="s">
        <v>1095</v>
      </c>
      <c r="I142" s="3008"/>
      <c r="J142" s="3008"/>
      <c r="K142" s="3008"/>
      <c r="L142" s="3008"/>
      <c r="M142" s="3008"/>
      <c r="N142" s="3008"/>
      <c r="O142" s="3008"/>
      <c r="P142" s="3008"/>
      <c r="Q142" s="3008"/>
      <c r="R142" s="3008"/>
      <c r="S142" s="3008"/>
    </row>
    <row r="143" spans="8:63" ht="12.75" hidden="1" customHeight="1" outlineLevel="1">
      <c r="H143" s="1223"/>
      <c r="I143" s="1239"/>
      <c r="J143" s="1239"/>
      <c r="K143" s="1239"/>
      <c r="L143" s="1239"/>
      <c r="M143" s="1239"/>
      <c r="N143" s="1239"/>
      <c r="O143" s="1239"/>
    </row>
    <row r="144" spans="8:63" ht="12.75" hidden="1" customHeight="1" outlineLevel="1" thickBot="1">
      <c r="H144" s="1223"/>
      <c r="I144" s="1239"/>
      <c r="J144" s="1239"/>
      <c r="K144" s="1239"/>
      <c r="L144" s="1239"/>
      <c r="M144" s="1239"/>
      <c r="N144" s="1239"/>
      <c r="O144" s="1239"/>
    </row>
    <row r="145" spans="8:15" ht="12.75" hidden="1" customHeight="1" outlineLevel="1" thickBot="1">
      <c r="H145" s="1239"/>
      <c r="I145" s="1243" t="s">
        <v>934</v>
      </c>
      <c r="J145" s="1244"/>
      <c r="K145" s="1244"/>
      <c r="L145" s="1244"/>
      <c r="M145" s="1243" t="s">
        <v>935</v>
      </c>
      <c r="N145" s="1244"/>
      <c r="O145" s="1245"/>
    </row>
    <row r="146" spans="8:15" ht="12.75" hidden="1" customHeight="1" outlineLevel="1">
      <c r="H146" s="1239"/>
      <c r="I146" s="1246" t="s">
        <v>8</v>
      </c>
      <c r="J146" s="1247" t="s">
        <v>936</v>
      </c>
      <c r="K146" s="1248" t="s">
        <v>937</v>
      </c>
      <c r="L146" s="1249"/>
      <c r="M146" s="1246" t="s">
        <v>8</v>
      </c>
      <c r="N146" s="1247" t="s">
        <v>936</v>
      </c>
      <c r="O146" s="1250" t="s">
        <v>937</v>
      </c>
    </row>
    <row r="147" spans="8:15" ht="12.75" hidden="1" customHeight="1" outlineLevel="1">
      <c r="H147" s="1239"/>
      <c r="I147" s="1251">
        <v>16</v>
      </c>
      <c r="J147" s="1252">
        <v>1.0000000000000002</v>
      </c>
      <c r="K147" s="1253">
        <v>1.0000000000000231E-2</v>
      </c>
      <c r="L147" s="193"/>
      <c r="M147" s="1251">
        <v>15</v>
      </c>
      <c r="N147" s="1252">
        <v>1</v>
      </c>
      <c r="O147" s="1254">
        <v>0</v>
      </c>
    </row>
    <row r="148" spans="8:15" ht="12.75" hidden="1" customHeight="1" outlineLevel="1">
      <c r="H148" s="1239"/>
      <c r="I148" s="1251">
        <v>15</v>
      </c>
      <c r="J148" s="1252">
        <v>0.99</v>
      </c>
      <c r="K148" s="1253">
        <v>1.0000000000000009E-2</v>
      </c>
      <c r="L148" s="193"/>
      <c r="M148" s="1251">
        <v>14</v>
      </c>
      <c r="N148" s="1252">
        <v>1</v>
      </c>
      <c r="O148" s="1254">
        <v>2.7350546085399774E-2</v>
      </c>
    </row>
    <row r="149" spans="8:15" ht="12.75" hidden="1" customHeight="1" outlineLevel="1">
      <c r="H149" s="1239"/>
      <c r="I149" s="1251">
        <v>14</v>
      </c>
      <c r="J149" s="1252">
        <v>0.98</v>
      </c>
      <c r="K149" s="1253">
        <v>1.1081081081080857E-2</v>
      </c>
      <c r="L149" s="193"/>
      <c r="M149" s="1251">
        <v>13</v>
      </c>
      <c r="N149" s="1252">
        <v>0.97264945391460023</v>
      </c>
      <c r="O149" s="1254">
        <v>1.9536104346714378E-2</v>
      </c>
    </row>
    <row r="150" spans="8:15" ht="12.75" hidden="1" customHeight="1" outlineLevel="1">
      <c r="H150" s="1239"/>
      <c r="I150" s="1251">
        <v>13</v>
      </c>
      <c r="J150" s="1252">
        <v>0.96891891891891913</v>
      </c>
      <c r="K150" s="1253">
        <v>6.8918918918919103E-2</v>
      </c>
      <c r="L150" s="193"/>
      <c r="M150" s="1251">
        <v>12</v>
      </c>
      <c r="N150" s="1252">
        <v>0.95311334956788585</v>
      </c>
      <c r="O150" s="1254">
        <v>0.20247113568030106</v>
      </c>
    </row>
    <row r="151" spans="8:15" ht="12.75" hidden="1" customHeight="1" outlineLevel="1">
      <c r="H151" s="1239"/>
      <c r="I151" s="1251">
        <v>12</v>
      </c>
      <c r="J151" s="1252">
        <v>0.9</v>
      </c>
      <c r="K151" s="1253">
        <v>5.5405405405405284E-2</v>
      </c>
      <c r="L151" s="193"/>
      <c r="M151" s="1251">
        <v>11</v>
      </c>
      <c r="N151" s="1252">
        <v>0.75064221388758479</v>
      </c>
      <c r="O151" s="1254">
        <v>2.2220017209006127E-2</v>
      </c>
    </row>
    <row r="152" spans="8:15" ht="12.75" hidden="1" customHeight="1" outlineLevel="1">
      <c r="H152" s="1239"/>
      <c r="I152" s="1251">
        <v>11</v>
      </c>
      <c r="J152" s="1252">
        <v>0.84459459459459474</v>
      </c>
      <c r="K152" s="1253">
        <v>5.4594594594594703E-2</v>
      </c>
      <c r="L152" s="193"/>
      <c r="M152" s="1251">
        <v>10</v>
      </c>
      <c r="N152" s="1252">
        <v>0.72842219667857866</v>
      </c>
      <c r="O152" s="1254">
        <v>0.28713258463611652</v>
      </c>
    </row>
    <row r="153" spans="8:15" ht="12.75" hidden="1" customHeight="1" outlineLevel="1">
      <c r="H153" s="1239"/>
      <c r="I153" s="1251">
        <v>10</v>
      </c>
      <c r="J153" s="1252">
        <v>0.79</v>
      </c>
      <c r="K153" s="1253">
        <v>5.0000000000000044E-2</v>
      </c>
      <c r="L153" s="193"/>
      <c r="M153" s="1251">
        <v>9</v>
      </c>
      <c r="N153" s="1252">
        <v>0.44128961204246214</v>
      </c>
      <c r="O153" s="1254">
        <v>9.641078435635736E-2</v>
      </c>
    </row>
    <row r="154" spans="8:15" ht="12.75" hidden="1" customHeight="1" outlineLevel="1">
      <c r="H154" s="1239"/>
      <c r="I154" s="1251">
        <v>9</v>
      </c>
      <c r="J154" s="1252">
        <v>0.74</v>
      </c>
      <c r="K154" s="1253">
        <v>4.6756756756756723E-2</v>
      </c>
      <c r="L154" s="193"/>
      <c r="M154" s="1251">
        <v>8</v>
      </c>
      <c r="N154" s="1252">
        <v>0.34487882768610478</v>
      </c>
      <c r="O154" s="1254">
        <v>0.21684530431115459</v>
      </c>
    </row>
    <row r="155" spans="8:15" ht="12.75" hidden="1" customHeight="1" outlineLevel="1">
      <c r="H155" s="1239"/>
      <c r="I155" s="1251">
        <v>8</v>
      </c>
      <c r="J155" s="1252">
        <v>0.69324324324324327</v>
      </c>
      <c r="K155" s="1253">
        <v>4.3243243243243246E-2</v>
      </c>
      <c r="L155" s="193"/>
      <c r="M155" s="1251">
        <v>7</v>
      </c>
      <c r="N155" s="1252">
        <v>0.12803352337495019</v>
      </c>
      <c r="O155" s="1254">
        <v>3.2334756834698983E-2</v>
      </c>
    </row>
    <row r="156" spans="8:15" ht="13.8" hidden="1" outlineLevel="1">
      <c r="H156" s="1239"/>
      <c r="I156" s="1251">
        <v>7</v>
      </c>
      <c r="J156" s="1252">
        <v>0.65</v>
      </c>
      <c r="K156" s="1253">
        <v>7.0000000000000062E-2</v>
      </c>
      <c r="L156" s="193"/>
      <c r="M156" s="1251">
        <v>6</v>
      </c>
      <c r="N156" s="1252">
        <v>9.5698766540251209E-2</v>
      </c>
      <c r="O156" s="1254">
        <v>5.7347124418158979E-2</v>
      </c>
    </row>
    <row r="157" spans="8:15" ht="13.8" hidden="1" outlineLevel="1">
      <c r="H157" s="1239"/>
      <c r="I157" s="1251">
        <v>6</v>
      </c>
      <c r="J157" s="1252">
        <v>0.57999999999999996</v>
      </c>
      <c r="K157" s="1253">
        <v>0.12999999999999995</v>
      </c>
      <c r="L157" s="193"/>
      <c r="M157" s="1251">
        <v>5</v>
      </c>
      <c r="N157" s="1252">
        <v>3.835164212209223E-2</v>
      </c>
      <c r="O157" s="1254">
        <v>1.7621110868476904E-2</v>
      </c>
    </row>
    <row r="158" spans="8:15" ht="36.75" hidden="1" customHeight="1" outlineLevel="1">
      <c r="H158" s="1239"/>
      <c r="I158" s="1251">
        <v>5</v>
      </c>
      <c r="J158" s="1252">
        <v>0.45</v>
      </c>
      <c r="K158" s="1253">
        <v>0.10885135135135132</v>
      </c>
      <c r="L158" s="193"/>
      <c r="M158" s="1251">
        <v>4</v>
      </c>
      <c r="N158" s="1252">
        <v>2.0730531253615327E-2</v>
      </c>
      <c r="O158" s="1255">
        <v>1.8850431755313597E-3</v>
      </c>
    </row>
    <row r="159" spans="8:15" ht="13.8" hidden="1" outlineLevel="1">
      <c r="H159" s="1239"/>
      <c r="I159" s="1251">
        <v>4</v>
      </c>
      <c r="J159" s="1252">
        <v>0.34114864864864869</v>
      </c>
      <c r="K159" s="1253">
        <v>0.14114864864864868</v>
      </c>
      <c r="L159" s="193"/>
      <c r="M159" s="1251">
        <v>3</v>
      </c>
      <c r="N159" s="1252">
        <v>1.8845488078083967E-2</v>
      </c>
      <c r="O159" s="1255">
        <v>1.8850431755313563E-3</v>
      </c>
    </row>
    <row r="160" spans="8:15" ht="13.8" hidden="1" outlineLevel="1">
      <c r="H160" s="1239"/>
      <c r="I160" s="1251">
        <v>3</v>
      </c>
      <c r="J160" s="1252">
        <v>0.2</v>
      </c>
      <c r="K160" s="1253">
        <v>0.16375000000000001</v>
      </c>
      <c r="L160" s="193"/>
      <c r="M160" s="1256">
        <v>2</v>
      </c>
      <c r="N160" s="1257">
        <v>1.6960444902552611E-2</v>
      </c>
      <c r="O160" s="1258">
        <v>1.6960444902552611E-2</v>
      </c>
    </row>
    <row r="161" spans="8:15" ht="13.8" hidden="1" outlineLevel="1">
      <c r="H161" s="1239"/>
      <c r="I161" s="1256">
        <v>2</v>
      </c>
      <c r="J161" s="1257">
        <v>3.6250000000000004E-2</v>
      </c>
      <c r="K161" s="1259">
        <v>3.2500000000000001E-2</v>
      </c>
      <c r="L161" s="193"/>
      <c r="M161" s="1256">
        <v>1</v>
      </c>
      <c r="N161" s="1257">
        <v>0</v>
      </c>
      <c r="O161" s="1258">
        <v>0</v>
      </c>
    </row>
    <row r="162" spans="8:15" ht="14.4" hidden="1" outlineLevel="1" thickBot="1">
      <c r="H162" s="1239"/>
      <c r="I162" s="1260">
        <v>1</v>
      </c>
      <c r="J162" s="1261">
        <v>3.7499999999999999E-3</v>
      </c>
      <c r="K162" s="1262">
        <v>3.7499999999999999E-3</v>
      </c>
      <c r="L162" s="1263"/>
      <c r="M162" s="1264"/>
      <c r="N162" s="1263"/>
      <c r="O162" s="1265"/>
    </row>
    <row r="163" spans="8:15" ht="13.8" hidden="1" outlineLevel="1">
      <c r="H163" s="1239"/>
      <c r="I163" s="1266"/>
      <c r="J163" s="1267" t="s">
        <v>442</v>
      </c>
      <c r="K163" s="1267"/>
      <c r="L163" s="1267" t="s">
        <v>442</v>
      </c>
      <c r="M163" s="1267"/>
      <c r="N163" s="1267" t="s">
        <v>470</v>
      </c>
      <c r="O163" s="1267" t="s">
        <v>470</v>
      </c>
    </row>
    <row r="164" spans="8:15" ht="13.8" hidden="1" outlineLevel="1">
      <c r="H164" s="1239"/>
      <c r="I164" s="1266"/>
      <c r="J164" s="1267" t="s">
        <v>938</v>
      </c>
      <c r="K164" s="1267"/>
      <c r="L164" s="1267" t="s">
        <v>939</v>
      </c>
      <c r="M164" s="1267"/>
      <c r="N164" s="1267" t="s">
        <v>938</v>
      </c>
      <c r="O164" s="1267" t="s">
        <v>939</v>
      </c>
    </row>
    <row r="165" spans="8:15" ht="13.8" hidden="1" outlineLevel="1">
      <c r="H165" s="1239"/>
      <c r="I165" s="1266"/>
      <c r="J165" s="1267" t="s">
        <v>889</v>
      </c>
      <c r="K165" s="1267"/>
      <c r="L165" s="1267" t="s">
        <v>889</v>
      </c>
      <c r="M165" s="1267"/>
      <c r="N165" s="1267" t="s">
        <v>890</v>
      </c>
      <c r="O165" s="1267" t="s">
        <v>890</v>
      </c>
    </row>
    <row r="166" spans="8:15" ht="41.4" hidden="1" outlineLevel="1">
      <c r="H166" s="1268"/>
      <c r="I166" s="1269"/>
      <c r="J166" s="1224" t="str">
        <f>J163&amp;J165&amp;J164</f>
        <v>GeneralC1&amp;C2Regional_Market</v>
      </c>
      <c r="K166" s="1224"/>
      <c r="L166" s="1224" t="str">
        <f t="shared" ref="L166:O166" si="26">L163&amp;L165&amp;L164</f>
        <v>GeneralC1&amp;C2Retirements</v>
      </c>
      <c r="M166" s="1224"/>
      <c r="N166" s="1224" t="str">
        <f t="shared" si="26"/>
        <v>SpecialtyC3Regional_Market</v>
      </c>
      <c r="O166" s="1224" t="str">
        <f t="shared" si="26"/>
        <v>SpecialtyC3Retirements</v>
      </c>
    </row>
    <row r="167" spans="8:15" ht="13.8" hidden="1" outlineLevel="1">
      <c r="H167" s="1268"/>
      <c r="I167" s="1225">
        <v>2014</v>
      </c>
      <c r="J167" s="1226"/>
      <c r="K167" s="1226"/>
      <c r="L167" s="1226"/>
      <c r="M167" s="1226"/>
      <c r="N167" s="1226"/>
      <c r="O167" s="1227"/>
    </row>
    <row r="168" spans="8:15" ht="13.8" hidden="1" outlineLevel="1">
      <c r="H168" s="1239"/>
      <c r="I168" s="1225">
        <v>2015</v>
      </c>
      <c r="J168" s="1226">
        <v>12772541.218281478</v>
      </c>
      <c r="K168" s="1226"/>
      <c r="L168" s="1228">
        <f t="shared" ref="L168:L174" ca="1" si="27">IF(SUMPRODUCT(OFFSET(J$168,,,$I168-$I$167,1),OFFSET($K$162,,,$I$167-$I168,1))&gt;J168,J168,SUMPRODUCT(OFFSET(J$168,,,$I168-$I$167,1),OFFSET($K$162,,,$I$167-$I168,1)))</f>
        <v>47897.029568555539</v>
      </c>
      <c r="M168" s="1229"/>
      <c r="N168" s="1226">
        <v>2342087.6591266952</v>
      </c>
      <c r="O168" s="1228">
        <f t="shared" ref="O168:O174" ca="1" si="28">IF(SUMPRODUCT(OFFSET(N$168,,,$I168-$I$167,1),OFFSET($O$161,,,$I$167-$I168,1))&gt;N168,N168,SUMPRODUCT(OFFSET(N$168,,,$I168-$I$167,1),OFFSET($O$161,,,$I$167-$I168,1)))</f>
        <v>0</v>
      </c>
    </row>
    <row r="169" spans="8:15" ht="13.8" hidden="1" outlineLevel="1">
      <c r="H169" s="1239"/>
      <c r="I169" s="1225">
        <v>2016</v>
      </c>
      <c r="J169" s="1226">
        <v>7307790.7239067238</v>
      </c>
      <c r="K169" s="1226"/>
      <c r="L169" s="1228">
        <f t="shared" ca="1" si="27"/>
        <v>442511.80480879825</v>
      </c>
      <c r="M169" s="1229"/>
      <c r="N169" s="1226">
        <v>1192815.682720047</v>
      </c>
      <c r="O169" s="1228">
        <f t="shared" ca="1" si="28"/>
        <v>39722.848699566734</v>
      </c>
    </row>
    <row r="170" spans="8:15" ht="14.4" hidden="1" outlineLevel="1" thickBot="1">
      <c r="H170" s="1239"/>
      <c r="I170" s="1230">
        <v>2017</v>
      </c>
      <c r="J170" s="1226">
        <v>2128113.6923195985</v>
      </c>
      <c r="K170" s="1226"/>
      <c r="L170" s="1228">
        <f t="shared" ca="1" si="27"/>
        <v>2128113.6923195985</v>
      </c>
      <c r="M170" s="1229"/>
      <c r="N170" s="1226">
        <v>284674.83473673515</v>
      </c>
      <c r="O170" s="1228">
        <f t="shared" ca="1" si="28"/>
        <v>24645.621024007018</v>
      </c>
    </row>
    <row r="171" spans="8:15" ht="13.8" hidden="1" outlineLevel="1">
      <c r="H171" s="1239"/>
      <c r="I171" s="1225">
        <v>2018</v>
      </c>
      <c r="J171" s="1226">
        <v>1659190.1522129439</v>
      </c>
      <c r="K171" s="1226"/>
      <c r="L171" s="1228">
        <f t="shared" ca="1" si="27"/>
        <v>1659190.1522129439</v>
      </c>
      <c r="M171" s="1229"/>
      <c r="N171" s="1226">
        <v>62794.399573151684</v>
      </c>
      <c r="O171" s="1228">
        <f t="shared" ca="1" si="28"/>
        <v>11491.65727040686</v>
      </c>
    </row>
    <row r="172" spans="8:15" ht="14.4" hidden="1" outlineLevel="1" thickBot="1">
      <c r="H172" s="1239"/>
      <c r="I172" s="1230">
        <v>2019</v>
      </c>
      <c r="J172" s="1226">
        <v>936383.08400000015</v>
      </c>
      <c r="K172" s="1226"/>
      <c r="L172" s="1228">
        <f t="shared" ca="1" si="27"/>
        <v>936383.08400000015</v>
      </c>
      <c r="M172" s="1229"/>
      <c r="N172" s="1226">
        <v>60402.702114144362</v>
      </c>
      <c r="O172" s="1228">
        <f t="shared" ca="1" si="28"/>
        <v>45120.340676156557</v>
      </c>
    </row>
    <row r="173" spans="8:15" ht="13.8" hidden="1" outlineLevel="1">
      <c r="H173" s="1239"/>
      <c r="I173" s="1225">
        <v>2020</v>
      </c>
      <c r="J173" s="1226">
        <v>441940.87840000005</v>
      </c>
      <c r="K173" s="1226"/>
      <c r="L173" s="1228">
        <f t="shared" ca="1" si="27"/>
        <v>441940.87840000005</v>
      </c>
      <c r="M173" s="1229"/>
      <c r="N173" s="1226">
        <v>57016.030481940012</v>
      </c>
      <c r="O173" s="1228">
        <f t="shared" ca="1" si="28"/>
        <v>57016.030481940012</v>
      </c>
    </row>
    <row r="174" spans="8:15" ht="13.8" hidden="1" outlineLevel="1">
      <c r="H174" s="1239"/>
      <c r="I174" s="1231">
        <v>2021</v>
      </c>
      <c r="J174" s="1226"/>
      <c r="K174" s="1226"/>
      <c r="L174" s="1228">
        <f t="shared" ca="1" si="27"/>
        <v>0</v>
      </c>
      <c r="M174" s="1229"/>
      <c r="N174" s="1226"/>
      <c r="O174" s="1228">
        <f t="shared" ca="1" si="28"/>
        <v>0</v>
      </c>
    </row>
    <row r="175" spans="8:15" ht="27.6" hidden="1" outlineLevel="1">
      <c r="L175" s="502" t="s">
        <v>1074</v>
      </c>
      <c r="O175" s="502" t="s">
        <v>1075</v>
      </c>
    </row>
    <row r="176" spans="8:15" ht="13.8" hidden="1" outlineLevel="1">
      <c r="H176" s="458"/>
      <c r="I176" s="458"/>
      <c r="L176" s="502"/>
    </row>
    <row r="177" spans="1:37" ht="14.4" hidden="1" outlineLevel="1" thickBot="1">
      <c r="H177" s="1176" t="s">
        <v>932</v>
      </c>
      <c r="I177" s="1176"/>
      <c r="J177" s="1176"/>
      <c r="K177" s="1176"/>
      <c r="L177" s="1176"/>
      <c r="M177" s="1176"/>
      <c r="N177" s="1176"/>
      <c r="O177" s="1176"/>
      <c r="P177" s="1176"/>
      <c r="Q177" s="1176"/>
      <c r="R177" s="1176"/>
      <c r="S177" s="1176"/>
      <c r="T177" s="1176"/>
      <c r="U177" s="1176"/>
      <c r="V177" s="1176"/>
    </row>
    <row r="178" spans="1:37" ht="14.4" hidden="1" outlineLevel="1" thickTop="1">
      <c r="H178" s="1184"/>
      <c r="I178" s="1184"/>
      <c r="J178" s="1184"/>
      <c r="K178" s="1184"/>
      <c r="L178" s="1184"/>
      <c r="M178" s="1184"/>
      <c r="N178" s="1184"/>
      <c r="O178" s="1184"/>
      <c r="P178" s="1184"/>
      <c r="Q178" s="1184"/>
      <c r="R178" s="1184"/>
      <c r="S178" s="1184"/>
      <c r="T178" s="1184"/>
      <c r="U178" s="1184"/>
      <c r="V178" s="1184"/>
    </row>
    <row r="179" spans="1:37" ht="14.4" hidden="1" outlineLevel="1" thickBot="1">
      <c r="H179" s="1185"/>
      <c r="I179" s="458" t="s">
        <v>914</v>
      </c>
      <c r="J179" s="458"/>
      <c r="K179" s="1185"/>
      <c r="L179" s="1185"/>
      <c r="M179" s="1185"/>
      <c r="N179" s="1185"/>
      <c r="O179" s="1185"/>
      <c r="P179" s="1185"/>
      <c r="Q179" s="1185"/>
      <c r="R179" s="1185"/>
      <c r="S179" s="1185"/>
      <c r="T179" s="1184"/>
      <c r="U179" s="1184"/>
      <c r="V179" s="1184"/>
    </row>
    <row r="180" spans="1:37" ht="15" hidden="1" outlineLevel="1" thickTop="1" thickBot="1">
      <c r="H180" s="1184"/>
      <c r="I180" s="949" t="s">
        <v>2453</v>
      </c>
      <c r="J180" s="458"/>
      <c r="K180" s="1184"/>
      <c r="L180" s="1184"/>
      <c r="M180" s="462"/>
      <c r="N180" s="462"/>
      <c r="O180" s="1184"/>
      <c r="P180" s="458"/>
      <c r="Q180" s="458"/>
      <c r="R180" s="458"/>
      <c r="S180" s="458"/>
      <c r="T180" s="458"/>
      <c r="U180" s="458"/>
      <c r="V180" s="458"/>
    </row>
    <row r="181" spans="1:37" ht="15" hidden="1" outlineLevel="1" thickTop="1" thickBot="1">
      <c r="H181" s="1184"/>
      <c r="I181" s="1233" t="s">
        <v>942</v>
      </c>
      <c r="J181" s="458"/>
      <c r="M181" s="458"/>
      <c r="N181" s="458"/>
      <c r="O181" s="482"/>
      <c r="P181" s="3010" t="s">
        <v>2454</v>
      </c>
      <c r="Q181" s="3010"/>
      <c r="R181" s="458"/>
      <c r="S181" s="458"/>
      <c r="T181" s="458"/>
      <c r="U181" s="458"/>
      <c r="V181" s="458"/>
      <c r="W181" s="482"/>
      <c r="X181" s="482"/>
      <c r="Y181" s="482"/>
      <c r="Z181" s="482"/>
      <c r="AA181" s="482"/>
      <c r="AB181" s="482"/>
      <c r="AC181" s="482"/>
      <c r="AD181" s="482"/>
      <c r="AE181" s="482"/>
      <c r="AF181" s="482"/>
      <c r="AG181" s="482"/>
      <c r="AH181" s="482"/>
      <c r="AI181" s="482"/>
      <c r="AJ181" s="482"/>
      <c r="AK181" s="482"/>
    </row>
    <row r="182" spans="1:37" ht="14.4" hidden="1" outlineLevel="1" thickBot="1">
      <c r="A182" s="498" t="s">
        <v>45</v>
      </c>
      <c r="H182" s="1234"/>
      <c r="I182" s="1234"/>
      <c r="J182" s="458"/>
      <c r="M182" s="458"/>
      <c r="N182" s="458"/>
      <c r="O182" s="931"/>
      <c r="P182" s="1186" t="s">
        <v>301</v>
      </c>
      <c r="Q182" s="1187" t="s">
        <v>302</v>
      </c>
      <c r="R182" s="458"/>
      <c r="S182" s="458"/>
      <c r="T182" s="458"/>
      <c r="U182" s="458"/>
      <c r="V182" s="458"/>
      <c r="W182" s="931"/>
      <c r="X182" s="931"/>
      <c r="Y182" s="931"/>
      <c r="Z182" s="931"/>
      <c r="AA182" s="931"/>
      <c r="AB182" s="931"/>
      <c r="AC182" s="931"/>
      <c r="AD182" s="931"/>
      <c r="AE182" s="931"/>
      <c r="AF182" s="931"/>
      <c r="AG182" s="931"/>
      <c r="AH182" s="931"/>
      <c r="AI182" s="931"/>
      <c r="AJ182" s="931"/>
      <c r="AK182" s="931"/>
    </row>
    <row r="183" spans="1:37" ht="42.6" hidden="1" outlineLevel="1" thickTop="1" thickBot="1">
      <c r="A183" s="498" t="s">
        <v>45</v>
      </c>
      <c r="H183" s="1235" t="s">
        <v>303</v>
      </c>
      <c r="I183" s="1235"/>
      <c r="J183" s="1188" t="s">
        <v>1681</v>
      </c>
      <c r="K183" s="1233"/>
      <c r="L183" s="1233" t="s">
        <v>1682</v>
      </c>
      <c r="M183" s="1236"/>
      <c r="N183" s="1237" t="s">
        <v>304</v>
      </c>
      <c r="O183" s="462"/>
      <c r="P183" s="1232">
        <f>SUMIF($O$184:$O$195,P$107,$N$184:$N$195)</f>
        <v>1.658701912438169</v>
      </c>
      <c r="Q183" s="1232">
        <f>SUMIF($O$184:$O$195,Q$107,$N$184:$N$195)</f>
        <v>1.1150337322247064</v>
      </c>
      <c r="R183" s="458"/>
      <c r="S183" s="458"/>
      <c r="T183" s="458"/>
      <c r="U183" s="458"/>
      <c r="V183" s="458"/>
      <c r="W183" s="931"/>
      <c r="X183" s="931"/>
      <c r="Y183" s="931"/>
      <c r="Z183" s="931"/>
      <c r="AA183" s="931"/>
      <c r="AB183" s="931"/>
      <c r="AC183" s="931"/>
      <c r="AD183" s="931"/>
      <c r="AE183" s="931"/>
      <c r="AF183" s="931"/>
      <c r="AG183" s="931"/>
      <c r="AH183" s="931"/>
      <c r="AI183" s="931"/>
      <c r="AJ183" s="931"/>
      <c r="AK183" s="931"/>
    </row>
    <row r="184" spans="1:37" ht="14.4" hidden="1" outlineLevel="1" thickTop="1">
      <c r="A184" s="498" t="s">
        <v>45</v>
      </c>
      <c r="B184" s="498" t="s">
        <v>46</v>
      </c>
      <c r="H184" s="458" t="s">
        <v>1683</v>
      </c>
      <c r="I184" s="1191"/>
      <c r="J184" s="1192">
        <v>0.14442406385201639</v>
      </c>
      <c r="K184" s="1192"/>
      <c r="L184" s="1238">
        <f>BK201</f>
        <v>1.4646048828271845</v>
      </c>
      <c r="M184" s="1193">
        <f>IF(O184="GP",$J184/SUMIFS($J$109:$J$120,$O$109:$O$120,"GP"),$J184/SUMIFS($J$109:$J$120,$O$109:$O$120,"SP"))</f>
        <v>0.33801793530291019</v>
      </c>
      <c r="N184" s="1194">
        <f>IFERROR(L184*M184,0)</f>
        <v>0.49506271852780559</v>
      </c>
      <c r="O184" s="1239" t="s">
        <v>302</v>
      </c>
      <c r="P184" s="462" t="s">
        <v>305</v>
      </c>
      <c r="Q184" s="462" t="s">
        <v>305</v>
      </c>
      <c r="R184" s="458"/>
      <c r="S184" s="458"/>
      <c r="T184" s="458"/>
      <c r="U184" s="458"/>
      <c r="V184" s="458"/>
      <c r="W184" s="931"/>
      <c r="X184" s="931"/>
      <c r="Y184" s="931"/>
      <c r="Z184" s="931"/>
      <c r="AA184" s="931"/>
      <c r="AB184" s="931"/>
      <c r="AC184" s="931"/>
      <c r="AD184" s="931"/>
      <c r="AE184" s="931"/>
      <c r="AF184" s="931"/>
      <c r="AG184" s="931"/>
      <c r="AH184" s="931"/>
      <c r="AI184" s="931"/>
      <c r="AJ184" s="931"/>
      <c r="AK184" s="931"/>
    </row>
    <row r="185" spans="1:37" ht="13.8" hidden="1" outlineLevel="1">
      <c r="A185" s="498" t="s">
        <v>45</v>
      </c>
      <c r="B185" s="498" t="s">
        <v>46</v>
      </c>
      <c r="H185" s="458" t="s">
        <v>1684</v>
      </c>
      <c r="I185" s="1195"/>
      <c r="J185" s="1196">
        <v>1.0776674034943977E-4</v>
      </c>
      <c r="K185" s="1196"/>
      <c r="L185" s="1238">
        <f t="shared" ref="L185:L195" si="29">BK202</f>
        <v>0</v>
      </c>
      <c r="M185" s="1193">
        <f t="shared" ref="M185:M195" si="30">IF(O185="GP",$J185/SUMIFS($J$109:$J$120,$O$109:$O$120,"GP"),$J185/SUMIFS($J$109:$J$120,$O$109:$O$120,"SP"))</f>
        <v>2.5222314132198459E-4</v>
      </c>
      <c r="N185" s="1197">
        <f t="shared" ref="N185:N195" si="31">IFERROR(L185*M185,0)</f>
        <v>0</v>
      </c>
      <c r="O185" s="1239" t="s">
        <v>302</v>
      </c>
      <c r="P185" s="462"/>
      <c r="R185" s="458"/>
      <c r="S185" s="458"/>
      <c r="T185" s="458"/>
      <c r="U185" s="458"/>
      <c r="V185" s="458"/>
      <c r="W185" s="931"/>
      <c r="X185" s="931"/>
      <c r="Y185" s="931"/>
      <c r="Z185" s="931"/>
      <c r="AA185" s="931"/>
      <c r="AB185" s="931"/>
      <c r="AC185" s="931"/>
      <c r="AD185" s="931"/>
      <c r="AE185" s="931"/>
      <c r="AF185" s="931"/>
      <c r="AG185" s="931"/>
      <c r="AH185" s="931"/>
      <c r="AI185" s="931"/>
      <c r="AJ185" s="931"/>
      <c r="AK185" s="931"/>
    </row>
    <row r="186" spans="1:37" ht="13.8" hidden="1" outlineLevel="1">
      <c r="A186" s="498" t="s">
        <v>45</v>
      </c>
      <c r="B186" s="498" t="s">
        <v>46</v>
      </c>
      <c r="H186" s="458" t="s">
        <v>1685</v>
      </c>
      <c r="I186" s="1195"/>
      <c r="J186" s="1196">
        <v>1.5797893585291437E-4</v>
      </c>
      <c r="K186" s="1196"/>
      <c r="L186" s="1238">
        <f t="shared" si="29"/>
        <v>0</v>
      </c>
      <c r="M186" s="1193">
        <f t="shared" si="30"/>
        <v>3.6974249508079786E-4</v>
      </c>
      <c r="N186" s="1197">
        <f t="shared" si="31"/>
        <v>0</v>
      </c>
      <c r="O186" s="1239" t="s">
        <v>302</v>
      </c>
      <c r="P186" s="462"/>
      <c r="R186" s="458"/>
      <c r="S186" s="458"/>
      <c r="T186" s="458"/>
      <c r="U186" s="458"/>
      <c r="V186" s="458"/>
      <c r="W186" s="931"/>
      <c r="X186" s="931"/>
      <c r="Y186" s="931"/>
      <c r="Z186" s="931"/>
      <c r="AA186" s="931"/>
      <c r="AB186" s="931"/>
      <c r="AC186" s="931"/>
      <c r="AD186" s="931"/>
      <c r="AE186" s="931"/>
      <c r="AF186" s="931"/>
      <c r="AG186" s="931"/>
      <c r="AH186" s="931"/>
      <c r="AI186" s="931"/>
      <c r="AJ186" s="931"/>
      <c r="AK186" s="931"/>
    </row>
    <row r="187" spans="1:37" ht="13.8" hidden="1" outlineLevel="1">
      <c r="A187" s="498" t="s">
        <v>45</v>
      </c>
      <c r="B187" s="498" t="s">
        <v>46</v>
      </c>
      <c r="H187" s="458" t="s">
        <v>1686</v>
      </c>
      <c r="I187" s="1198"/>
      <c r="J187" s="1199">
        <v>0.44844614999803262</v>
      </c>
      <c r="K187" s="1240"/>
      <c r="L187" s="1238">
        <f t="shared" si="29"/>
        <v>1.0424697169631187</v>
      </c>
      <c r="M187" s="1193">
        <f t="shared" si="30"/>
        <v>0.78299400999025937</v>
      </c>
      <c r="N187" s="1200">
        <f t="shared" si="31"/>
        <v>0.81624754397836308</v>
      </c>
      <c r="O187" s="1239" t="s">
        <v>301</v>
      </c>
      <c r="P187" s="462"/>
      <c r="Q187" s="1241"/>
      <c r="R187" s="458"/>
      <c r="S187" s="458"/>
      <c r="T187" s="458"/>
      <c r="U187" s="458"/>
      <c r="V187" s="458"/>
      <c r="W187" s="931"/>
      <c r="X187" s="931"/>
      <c r="Y187" s="931"/>
      <c r="Z187" s="931"/>
      <c r="AA187" s="931"/>
      <c r="AB187" s="931"/>
      <c r="AC187" s="931"/>
      <c r="AD187" s="931"/>
      <c r="AE187" s="931"/>
      <c r="AF187" s="931"/>
      <c r="AG187" s="931"/>
      <c r="AH187" s="931"/>
      <c r="AI187" s="931"/>
      <c r="AJ187" s="931"/>
      <c r="AK187" s="931"/>
    </row>
    <row r="188" spans="1:37" ht="13.8" hidden="1" outlineLevel="1">
      <c r="A188" s="498" t="s">
        <v>45</v>
      </c>
      <c r="B188" s="498" t="s">
        <v>46</v>
      </c>
      <c r="H188" s="458" t="s">
        <v>1687</v>
      </c>
      <c r="I188" s="1198"/>
      <c r="J188" s="1199">
        <v>6.2022382635332586E-2</v>
      </c>
      <c r="K188" s="1240"/>
      <c r="L188" s="1238">
        <f t="shared" si="29"/>
        <v>5.5133432378266107</v>
      </c>
      <c r="M188" s="1193">
        <f t="shared" si="30"/>
        <v>0.10829205265560278</v>
      </c>
      <c r="N188" s="1200">
        <f t="shared" si="31"/>
        <v>0.5970512562191308</v>
      </c>
      <c r="O188" s="1239" t="s">
        <v>301</v>
      </c>
      <c r="P188" s="462"/>
      <c r="R188" s="458"/>
      <c r="S188" s="458"/>
      <c r="T188" s="458"/>
      <c r="U188" s="458"/>
      <c r="V188" s="458"/>
      <c r="W188" s="931"/>
      <c r="X188" s="931"/>
      <c r="Y188" s="931"/>
      <c r="Z188" s="931"/>
      <c r="AA188" s="931"/>
      <c r="AB188" s="931"/>
      <c r="AC188" s="931"/>
      <c r="AD188" s="931"/>
      <c r="AE188" s="931"/>
      <c r="AF188" s="931"/>
      <c r="AG188" s="931"/>
      <c r="AH188" s="931"/>
      <c r="AI188" s="931"/>
      <c r="AJ188" s="931"/>
      <c r="AK188" s="931"/>
    </row>
    <row r="189" spans="1:37" ht="12.75" hidden="1" customHeight="1" outlineLevel="1">
      <c r="A189" s="498" t="s">
        <v>45</v>
      </c>
      <c r="B189" s="498" t="s">
        <v>46</v>
      </c>
      <c r="H189" s="458" t="s">
        <v>1688</v>
      </c>
      <c r="I189" s="1198"/>
      <c r="J189" s="1199">
        <v>6.22640097313093E-2</v>
      </c>
      <c r="K189" s="1240"/>
      <c r="L189" s="1238">
        <f t="shared" si="29"/>
        <v>2.2573288964897831</v>
      </c>
      <c r="M189" s="1193">
        <f t="shared" si="30"/>
        <v>0.1087139373541378</v>
      </c>
      <c r="N189" s="1200">
        <f t="shared" si="31"/>
        <v>0.24540311224067529</v>
      </c>
      <c r="O189" s="1239" t="s">
        <v>301</v>
      </c>
      <c r="P189" s="462"/>
      <c r="R189" s="458"/>
      <c r="S189" s="458"/>
      <c r="T189" s="458"/>
      <c r="U189" s="458"/>
      <c r="V189" s="458"/>
      <c r="W189" s="931"/>
      <c r="X189" s="931"/>
      <c r="Y189" s="931"/>
      <c r="Z189" s="931"/>
      <c r="AA189" s="931"/>
      <c r="AB189" s="931"/>
      <c r="AC189" s="931"/>
      <c r="AD189" s="931"/>
      <c r="AE189" s="931"/>
      <c r="AF189" s="931"/>
      <c r="AG189" s="931"/>
      <c r="AH189" s="931"/>
      <c r="AI189" s="931"/>
      <c r="AJ189" s="931"/>
      <c r="AK189" s="931"/>
    </row>
    <row r="190" spans="1:37" ht="12.75" hidden="1" customHeight="1" outlineLevel="1">
      <c r="H190" s="458" t="s">
        <v>1689</v>
      </c>
      <c r="I190" s="1195"/>
      <c r="J190" s="1196">
        <v>6.6160565852667164E-2</v>
      </c>
      <c r="K190" s="1196"/>
      <c r="L190" s="1238">
        <f t="shared" si="29"/>
        <v>1.6706438042813871</v>
      </c>
      <c r="M190" s="1193">
        <f t="shared" si="30"/>
        <v>0.15484578727064083</v>
      </c>
      <c r="N190" s="1197">
        <f t="shared" si="31"/>
        <v>0.25869215512276977</v>
      </c>
      <c r="O190" s="1239" t="s">
        <v>302</v>
      </c>
      <c r="P190" s="462"/>
      <c r="R190" s="458"/>
      <c r="S190" s="458"/>
      <c r="T190" s="458"/>
      <c r="U190" s="458"/>
      <c r="V190" s="458"/>
      <c r="W190" s="931"/>
      <c r="X190" s="931"/>
      <c r="Y190" s="931"/>
      <c r="Z190" s="931"/>
      <c r="AA190" s="931"/>
      <c r="AB190" s="931"/>
      <c r="AC190" s="931"/>
      <c r="AD190" s="931"/>
      <c r="AE190" s="931"/>
      <c r="AF190" s="931"/>
      <c r="AG190" s="931"/>
      <c r="AH190" s="931"/>
      <c r="AI190" s="931"/>
      <c r="AJ190" s="931"/>
      <c r="AK190" s="931"/>
    </row>
    <row r="191" spans="1:37" ht="12.75" hidden="1" customHeight="1" outlineLevel="1">
      <c r="H191" s="458" t="s">
        <v>1690</v>
      </c>
      <c r="I191" s="1195"/>
      <c r="J191" s="1196">
        <v>6.5564195752550875E-4</v>
      </c>
      <c r="K191" s="1196"/>
      <c r="L191" s="1238">
        <f t="shared" si="29"/>
        <v>0</v>
      </c>
      <c r="M191" s="1193">
        <f t="shared" si="30"/>
        <v>1.5345001024746933E-3</v>
      </c>
      <c r="N191" s="1197">
        <f t="shared" si="31"/>
        <v>0</v>
      </c>
      <c r="O191" s="1239" t="s">
        <v>302</v>
      </c>
      <c r="P191" s="462"/>
      <c r="R191" s="458"/>
      <c r="S191" s="458"/>
      <c r="T191" s="458"/>
      <c r="U191" s="458"/>
      <c r="V191" s="458"/>
      <c r="W191" s="931"/>
      <c r="X191" s="931"/>
      <c r="Y191" s="931"/>
      <c r="Z191" s="931"/>
      <c r="AA191" s="931"/>
      <c r="AB191" s="931"/>
      <c r="AC191" s="931"/>
      <c r="AD191" s="931"/>
      <c r="AE191" s="931"/>
      <c r="AF191" s="931"/>
      <c r="AG191" s="931"/>
      <c r="AH191" s="931"/>
      <c r="AI191" s="931"/>
      <c r="AJ191" s="931"/>
      <c r="AK191" s="931"/>
    </row>
    <row r="192" spans="1:37" ht="30" hidden="1" customHeight="1" outlineLevel="1">
      <c r="H192" s="458" t="s">
        <v>1691</v>
      </c>
      <c r="I192" s="1195"/>
      <c r="J192" s="1196">
        <v>7.2740716950696577E-5</v>
      </c>
      <c r="K192" s="1196"/>
      <c r="L192" s="1238">
        <f t="shared" si="29"/>
        <v>0</v>
      </c>
      <c r="M192" s="1193">
        <f t="shared" si="30"/>
        <v>1.7024633084221702E-4</v>
      </c>
      <c r="N192" s="1197">
        <f t="shared" si="31"/>
        <v>0</v>
      </c>
      <c r="O192" s="1239" t="s">
        <v>302</v>
      </c>
      <c r="P192" s="462"/>
      <c r="R192" s="458"/>
      <c r="S192" s="458"/>
      <c r="T192" s="458"/>
      <c r="U192" s="458"/>
      <c r="V192" s="458"/>
      <c r="W192" s="931"/>
      <c r="X192" s="931"/>
      <c r="Y192" s="931"/>
      <c r="Z192" s="931"/>
      <c r="AA192" s="931"/>
      <c r="AB192" s="931"/>
      <c r="AC192" s="931"/>
      <c r="AD192" s="931"/>
      <c r="AE192" s="931"/>
      <c r="AF192" s="931"/>
      <c r="AG192" s="931"/>
      <c r="AH192" s="931"/>
      <c r="AI192" s="931"/>
      <c r="AJ192" s="931"/>
      <c r="AK192" s="931"/>
    </row>
    <row r="193" spans="8:63" ht="30" hidden="1" customHeight="1" outlineLevel="1">
      <c r="H193" s="458" t="s">
        <v>1692</v>
      </c>
      <c r="I193" s="1195"/>
      <c r="J193" s="1196">
        <v>0.18891043998004314</v>
      </c>
      <c r="K193" s="1196"/>
      <c r="L193" s="1238">
        <f t="shared" si="29"/>
        <v>0.42549814185878521</v>
      </c>
      <c r="M193" s="1193">
        <f t="shared" si="30"/>
        <v>0.44213626992692467</v>
      </c>
      <c r="N193" s="1197">
        <f t="shared" si="31"/>
        <v>0.18812816130228074</v>
      </c>
      <c r="O193" s="1239" t="s">
        <v>302</v>
      </c>
      <c r="P193" s="462"/>
      <c r="R193" s="458"/>
      <c r="S193" s="458"/>
      <c r="T193" s="458"/>
      <c r="U193" s="458"/>
      <c r="V193" s="458"/>
      <c r="W193" s="931"/>
      <c r="X193" s="931"/>
      <c r="Y193" s="931"/>
      <c r="Z193" s="931"/>
      <c r="AA193" s="931"/>
      <c r="AB193" s="931"/>
      <c r="AC193" s="931"/>
      <c r="AD193" s="931"/>
      <c r="AE193" s="931"/>
      <c r="AF193" s="931"/>
      <c r="AG193" s="931"/>
      <c r="AH193" s="931"/>
      <c r="AI193" s="931"/>
      <c r="AJ193" s="931"/>
      <c r="AK193" s="931"/>
    </row>
    <row r="194" spans="8:63" ht="36" hidden="1" customHeight="1" outlineLevel="1">
      <c r="H194" s="458" t="s">
        <v>1693</v>
      </c>
      <c r="I194" s="1195"/>
      <c r="J194" s="1196">
        <v>2.0259349033534272E-2</v>
      </c>
      <c r="K194" s="1196"/>
      <c r="L194" s="1238">
        <f t="shared" si="29"/>
        <v>0.78533479435383402</v>
      </c>
      <c r="M194" s="1193">
        <f t="shared" si="30"/>
        <v>4.7416082529799654E-2</v>
      </c>
      <c r="N194" s="1197">
        <f t="shared" si="31"/>
        <v>3.7237499422604632E-2</v>
      </c>
      <c r="O194" s="1239" t="s">
        <v>302</v>
      </c>
      <c r="P194" s="462"/>
      <c r="R194" s="458"/>
      <c r="S194" s="458"/>
      <c r="T194" s="458"/>
      <c r="U194" s="458"/>
      <c r="V194" s="458"/>
      <c r="W194" s="931"/>
      <c r="X194" s="931"/>
      <c r="Y194" s="931"/>
      <c r="Z194" s="931"/>
      <c r="AA194" s="931"/>
      <c r="AB194" s="931"/>
      <c r="AC194" s="931"/>
      <c r="AD194" s="931"/>
      <c r="AE194" s="931"/>
      <c r="AF194" s="931"/>
      <c r="AG194" s="931"/>
      <c r="AH194" s="931"/>
      <c r="AI194" s="931"/>
      <c r="AJ194" s="931"/>
      <c r="AK194" s="931"/>
    </row>
    <row r="195" spans="8:63" ht="17.25" hidden="1" customHeight="1" outlineLevel="1">
      <c r="H195" s="458" t="s">
        <v>1694</v>
      </c>
      <c r="I195" s="1195"/>
      <c r="J195" s="1196">
        <v>6.5189105663859817E-3</v>
      </c>
      <c r="K195" s="1196"/>
      <c r="L195" s="1238">
        <f t="shared" si="29"/>
        <v>8.908127502710677</v>
      </c>
      <c r="M195" s="1193">
        <f t="shared" si="30"/>
        <v>1.5257212900004891E-2</v>
      </c>
      <c r="N195" s="1197">
        <f t="shared" si="31"/>
        <v>0.13591319784924569</v>
      </c>
      <c r="O195" s="1239" t="s">
        <v>302</v>
      </c>
      <c r="P195" s="462"/>
      <c r="R195" s="458"/>
      <c r="S195" s="458"/>
      <c r="T195" s="458"/>
      <c r="U195" s="458"/>
      <c r="V195" s="458"/>
      <c r="W195" s="931"/>
      <c r="X195" s="931"/>
      <c r="Y195" s="931"/>
      <c r="Z195" s="931"/>
      <c r="AA195" s="931"/>
      <c r="AB195" s="931"/>
      <c r="AC195" s="931"/>
      <c r="AD195" s="931"/>
      <c r="AE195" s="931"/>
      <c r="AF195" s="931"/>
      <c r="AG195" s="931"/>
      <c r="AH195" s="931"/>
      <c r="AI195" s="931"/>
      <c r="AJ195" s="931"/>
      <c r="AK195" s="931"/>
    </row>
    <row r="196" spans="8:63" ht="53.25" hidden="1" customHeight="1" outlineLevel="1">
      <c r="H196" s="458"/>
      <c r="I196" s="458"/>
      <c r="J196" s="1047">
        <f>SUM(J184:J195)</f>
        <v>1</v>
      </c>
      <c r="K196" s="458"/>
      <c r="L196" s="458"/>
      <c r="M196" s="1047">
        <f>SUM(M184:M195)</f>
        <v>1.9999999999999996</v>
      </c>
      <c r="N196" s="458"/>
      <c r="O196" s="458"/>
      <c r="P196" s="462"/>
      <c r="R196" s="458"/>
      <c r="S196" s="458"/>
      <c r="T196" s="458"/>
      <c r="U196" s="458"/>
      <c r="V196" s="458"/>
      <c r="W196" s="931"/>
      <c r="X196" s="931"/>
      <c r="Y196" s="931"/>
      <c r="Z196" s="931"/>
      <c r="AA196" s="931"/>
      <c r="AB196" s="931"/>
      <c r="AC196" s="931"/>
      <c r="AD196" s="931"/>
      <c r="AE196" s="931"/>
      <c r="AF196" s="931"/>
      <c r="AG196" s="931"/>
      <c r="AH196" s="931"/>
      <c r="AI196" s="931"/>
      <c r="AJ196" s="931"/>
      <c r="AK196" s="931"/>
    </row>
    <row r="197" spans="8:63" ht="16.5" hidden="1" customHeight="1" outlineLevel="1">
      <c r="H197" s="458"/>
      <c r="I197" s="458"/>
      <c r="J197" s="458"/>
      <c r="K197" s="458"/>
      <c r="L197" s="458"/>
      <c r="M197" s="458"/>
      <c r="N197" s="458"/>
      <c r="O197" s="458"/>
      <c r="P197" s="462"/>
      <c r="R197" s="458"/>
      <c r="S197" s="458"/>
      <c r="T197" s="458"/>
      <c r="U197" s="458"/>
      <c r="V197" s="458"/>
      <c r="W197" s="931"/>
      <c r="X197" s="931"/>
      <c r="Y197" s="931"/>
      <c r="Z197" s="931"/>
      <c r="AA197" s="931"/>
      <c r="AB197" s="931"/>
      <c r="AC197" s="931"/>
      <c r="AD197" s="931"/>
      <c r="AE197" s="931"/>
      <c r="AF197" s="931"/>
      <c r="AG197" s="931"/>
      <c r="AH197" s="931"/>
      <c r="AI197" s="931"/>
      <c r="AJ197" s="931"/>
      <c r="AK197" s="931"/>
    </row>
    <row r="198" spans="8:63" ht="37.5" hidden="1" customHeight="1" outlineLevel="1">
      <c r="H198" s="458"/>
      <c r="I198" s="458"/>
      <c r="J198" s="458"/>
      <c r="K198" s="458"/>
      <c r="L198" s="458"/>
      <c r="M198" s="458"/>
      <c r="N198" s="458"/>
      <c r="O198" s="458"/>
      <c r="P198" s="462"/>
      <c r="R198" s="458"/>
      <c r="S198" s="458"/>
      <c r="T198" s="458"/>
      <c r="U198" s="1201" t="s">
        <v>1695</v>
      </c>
      <c r="V198" s="1202"/>
      <c r="W198" s="1202"/>
      <c r="X198" s="1202"/>
      <c r="Y198" s="1202"/>
      <c r="Z198" s="1202"/>
      <c r="AA198" s="1202"/>
      <c r="AB198" s="1202"/>
      <c r="AC198" s="1202"/>
      <c r="AD198" s="1202"/>
      <c r="AE198" s="1202"/>
      <c r="AF198" s="1202"/>
      <c r="AG198" s="1202"/>
      <c r="AH198" s="1202"/>
      <c r="AI198" s="1202"/>
      <c r="AJ198" s="1202"/>
      <c r="AK198" s="1202"/>
      <c r="AL198" s="1202"/>
      <c r="AM198" s="1202"/>
      <c r="AN198" s="1202"/>
      <c r="AO198" s="1202"/>
      <c r="AP198" s="1202"/>
      <c r="AQ198" s="1202"/>
      <c r="AR198" s="1202"/>
      <c r="AS198" s="1202"/>
      <c r="AT198" s="1202"/>
      <c r="AU198" s="1202"/>
      <c r="AV198" s="1202"/>
      <c r="AW198" s="1202"/>
      <c r="AX198" s="1202"/>
      <c r="AY198" s="1202"/>
      <c r="AZ198" s="458"/>
      <c r="BA198" s="1203" t="s">
        <v>1696</v>
      </c>
      <c r="BB198" s="1204"/>
      <c r="BC198" s="1204"/>
      <c r="BD198" s="1204"/>
      <c r="BE198" s="1205"/>
      <c r="BF198" s="1204"/>
      <c r="BG198" s="1204"/>
      <c r="BH198" s="458"/>
      <c r="BI198" s="458"/>
      <c r="BJ198" s="458"/>
      <c r="BK198" s="458"/>
    </row>
    <row r="199" spans="8:63" ht="12.75" hidden="1" customHeight="1" outlineLevel="1">
      <c r="H199" s="458"/>
      <c r="I199" s="458"/>
      <c r="J199" s="458"/>
      <c r="K199" s="458" t="s">
        <v>131</v>
      </c>
      <c r="L199" s="458"/>
      <c r="M199" s="458"/>
      <c r="N199" s="458"/>
      <c r="O199" s="458"/>
      <c r="P199" s="458"/>
      <c r="Q199" s="458"/>
      <c r="R199" s="458"/>
      <c r="S199" s="458"/>
      <c r="T199" s="458"/>
      <c r="U199" s="3006" t="s">
        <v>1697</v>
      </c>
      <c r="V199" s="3006"/>
      <c r="W199" s="3006"/>
      <c r="X199" s="3006"/>
      <c r="Y199" s="3007" t="s">
        <v>1698</v>
      </c>
      <c r="Z199" s="3007"/>
      <c r="AA199" s="3007"/>
      <c r="AB199" s="3007"/>
      <c r="AC199" s="3004" t="s">
        <v>1699</v>
      </c>
      <c r="AD199" s="3004"/>
      <c r="AE199" s="3004"/>
      <c r="AF199" s="3004"/>
      <c r="AG199" s="3004"/>
      <c r="AH199" s="3004" t="s">
        <v>1700</v>
      </c>
      <c r="AI199" s="3004"/>
      <c r="AJ199" s="3004"/>
      <c r="AK199" s="3004"/>
      <c r="AL199" s="3004"/>
      <c r="AM199" s="3004" t="s">
        <v>1701</v>
      </c>
      <c r="AN199" s="3004"/>
      <c r="AO199" s="3004"/>
      <c r="AP199" s="3004"/>
      <c r="AQ199" s="3004"/>
      <c r="AR199" s="3004" t="s">
        <v>1702</v>
      </c>
      <c r="AS199" s="3004"/>
      <c r="AT199" s="3004"/>
      <c r="AU199" s="3004"/>
      <c r="AV199" s="1206"/>
      <c r="AW199" s="1206"/>
      <c r="AX199" s="1206"/>
      <c r="AY199" s="1206"/>
      <c r="AZ199" s="1206"/>
      <c r="BA199" s="3005">
        <v>0</v>
      </c>
      <c r="BB199" s="3005"/>
      <c r="BC199" s="3005"/>
      <c r="BD199" s="3005" t="e">
        <v>#REF!</v>
      </c>
      <c r="BE199" s="3005"/>
      <c r="BF199" s="3005" t="s">
        <v>1850</v>
      </c>
      <c r="BG199" s="3005"/>
      <c r="BH199" s="458"/>
      <c r="BI199" s="3004" t="s">
        <v>1703</v>
      </c>
      <c r="BJ199" s="3004"/>
      <c r="BK199" s="3004"/>
    </row>
    <row r="200" spans="8:63" ht="63" hidden="1" customHeight="1" outlineLevel="1">
      <c r="H200" s="924" t="s">
        <v>1704</v>
      </c>
      <c r="I200" s="924" t="s">
        <v>1705</v>
      </c>
      <c r="J200" s="924" t="s">
        <v>1706</v>
      </c>
      <c r="K200" s="1207" t="s">
        <v>1707</v>
      </c>
      <c r="L200" s="1207" t="s">
        <v>1708</v>
      </c>
      <c r="M200" s="1207"/>
      <c r="N200" s="1207"/>
      <c r="O200" s="1207" t="s">
        <v>1709</v>
      </c>
      <c r="P200" s="1207" t="s">
        <v>1710</v>
      </c>
      <c r="Q200" s="1207" t="s">
        <v>1711</v>
      </c>
      <c r="R200" s="1207" t="s">
        <v>1712</v>
      </c>
      <c r="S200" s="1207" t="s">
        <v>1713</v>
      </c>
      <c r="T200" s="458"/>
      <c r="U200" s="1208" t="s">
        <v>1714</v>
      </c>
      <c r="V200" s="1208" t="s">
        <v>1715</v>
      </c>
      <c r="W200" s="1208" t="s">
        <v>1716</v>
      </c>
      <c r="X200" s="1208" t="s">
        <v>1717</v>
      </c>
      <c r="Y200" s="1208" t="s">
        <v>1714</v>
      </c>
      <c r="Z200" s="1208" t="s">
        <v>1715</v>
      </c>
      <c r="AA200" s="1208" t="s">
        <v>1716</v>
      </c>
      <c r="AB200" s="1208" t="s">
        <v>1717</v>
      </c>
      <c r="AC200" s="1208" t="s">
        <v>1714</v>
      </c>
      <c r="AD200" s="1208" t="s">
        <v>1715</v>
      </c>
      <c r="AE200" s="1208" t="s">
        <v>1716</v>
      </c>
      <c r="AF200" s="1208" t="s">
        <v>1717</v>
      </c>
      <c r="AG200" s="1209" t="s">
        <v>1718</v>
      </c>
      <c r="AH200" s="1208" t="s">
        <v>1714</v>
      </c>
      <c r="AI200" s="1208" t="s">
        <v>1715</v>
      </c>
      <c r="AJ200" s="1208" t="s">
        <v>1716</v>
      </c>
      <c r="AK200" s="1208" t="s">
        <v>1717</v>
      </c>
      <c r="AL200" s="1208" t="s">
        <v>1718</v>
      </c>
      <c r="AM200" s="1208" t="s">
        <v>1714</v>
      </c>
      <c r="AN200" s="1208" t="s">
        <v>1715</v>
      </c>
      <c r="AO200" s="1208" t="s">
        <v>1716</v>
      </c>
      <c r="AP200" s="1208" t="s">
        <v>1717</v>
      </c>
      <c r="AQ200" s="1208" t="s">
        <v>1718</v>
      </c>
      <c r="AR200" s="1208" t="s">
        <v>1714</v>
      </c>
      <c r="AS200" s="1208" t="s">
        <v>1715</v>
      </c>
      <c r="AT200" s="1208" t="s">
        <v>1716</v>
      </c>
      <c r="AU200" s="1208" t="s">
        <v>1717</v>
      </c>
      <c r="AV200" s="1208"/>
      <c r="AW200" s="1208" t="s">
        <v>1719</v>
      </c>
      <c r="AX200" s="1208" t="s">
        <v>1720</v>
      </c>
      <c r="AY200" s="1208" t="s">
        <v>1721</v>
      </c>
      <c r="AZ200" s="1208"/>
      <c r="BA200" s="1210" t="s">
        <v>1740</v>
      </c>
      <c r="BB200" s="1210" t="s">
        <v>1722</v>
      </c>
      <c r="BC200" s="1210"/>
      <c r="BD200" s="1210" t="s">
        <v>1741</v>
      </c>
      <c r="BE200" s="1210" t="s">
        <v>1742</v>
      </c>
      <c r="BF200" s="1210" t="s">
        <v>1723</v>
      </c>
      <c r="BG200" s="1210" t="s">
        <v>1724</v>
      </c>
      <c r="BH200" s="942"/>
      <c r="BI200" s="1208" t="s">
        <v>1725</v>
      </c>
      <c r="BJ200" s="1208"/>
      <c r="BK200" s="1208" t="s">
        <v>1726</v>
      </c>
    </row>
    <row r="201" spans="8:63" ht="12.75" hidden="1" customHeight="1" outlineLevel="1">
      <c r="H201" s="458" t="s">
        <v>784</v>
      </c>
      <c r="I201" s="458" t="s">
        <v>1080</v>
      </c>
      <c r="J201" s="458" t="s">
        <v>1581</v>
      </c>
      <c r="K201" s="458" t="s">
        <v>1727</v>
      </c>
      <c r="L201" s="458" t="s">
        <v>1683</v>
      </c>
      <c r="M201" s="458"/>
      <c r="N201" s="458"/>
      <c r="O201" s="1211">
        <v>2.6241694080370483</v>
      </c>
      <c r="P201" s="1212">
        <v>0.94494564609524778</v>
      </c>
      <c r="Q201" s="1213">
        <v>-0.1163032726372832</v>
      </c>
      <c r="R201" s="1214">
        <v>-7.8794000942379212E-3</v>
      </c>
      <c r="S201" s="1215">
        <v>377.04363397444803</v>
      </c>
      <c r="T201" s="458"/>
      <c r="U201" s="1216">
        <v>0.10523581694688251</v>
      </c>
      <c r="V201" s="1216">
        <v>2.0465384341364799E-3</v>
      </c>
      <c r="W201" s="1216">
        <v>0</v>
      </c>
      <c r="X201" s="1216">
        <v>4.4910714818522976E-2</v>
      </c>
      <c r="Y201" s="1217">
        <v>0.69146260607599741</v>
      </c>
      <c r="Z201" s="1217">
        <v>1.3446988298831486E-2</v>
      </c>
      <c r="AA201" s="1217">
        <v>0</v>
      </c>
      <c r="AB201" s="1217">
        <v>0.29509040562517108</v>
      </c>
      <c r="AC201" s="1218">
        <v>41.958035547618749</v>
      </c>
      <c r="AD201" s="1218">
        <v>24.901147776466111</v>
      </c>
      <c r="AE201" s="1218">
        <v>6.564295909213679</v>
      </c>
      <c r="AF201" s="1218">
        <v>4.7430225456675004</v>
      </c>
      <c r="AG201" s="1218">
        <v>8.3787474216544009</v>
      </c>
      <c r="AH201" s="1219">
        <v>1000</v>
      </c>
      <c r="AI201" s="1219">
        <v>2000</v>
      </c>
      <c r="AJ201" s="1219">
        <v>5260</v>
      </c>
      <c r="AK201" s="1219">
        <v>22631.729667812142</v>
      </c>
      <c r="AL201" s="1219">
        <v>5260</v>
      </c>
      <c r="AM201" s="1220">
        <v>1.8941845538723554</v>
      </c>
      <c r="AN201" s="1220">
        <v>2.8825054691951917</v>
      </c>
      <c r="AO201" s="1220">
        <v>4.4453808560663841</v>
      </c>
      <c r="AP201" s="1220">
        <v>5.1418659095253973</v>
      </c>
      <c r="AQ201" s="1220">
        <v>4.4453808560663841</v>
      </c>
      <c r="AR201" s="1220" t="s">
        <v>1728</v>
      </c>
      <c r="AS201" s="1220" t="s">
        <v>1728</v>
      </c>
      <c r="AT201" s="1220" t="s">
        <v>1631</v>
      </c>
      <c r="AU201" s="1220" t="s">
        <v>1631</v>
      </c>
      <c r="AV201" s="1220"/>
      <c r="AW201" s="1217">
        <v>0.15</v>
      </c>
      <c r="AX201" s="1217">
        <v>0.02</v>
      </c>
      <c r="AY201" s="1217">
        <v>0.83</v>
      </c>
      <c r="AZ201" s="1217"/>
      <c r="BA201" s="1218">
        <v>30.746878495253764</v>
      </c>
      <c r="BB201" s="1218">
        <v>5.8543371175943602</v>
      </c>
      <c r="BC201" s="1218"/>
      <c r="BD201" s="1218">
        <v>30.746878495253764</v>
      </c>
      <c r="BE201" s="1218">
        <v>8.7807678057169021</v>
      </c>
      <c r="BF201" s="1221">
        <v>4.7300000000000004</v>
      </c>
      <c r="BG201" s="1221">
        <v>4.13</v>
      </c>
      <c r="BH201" s="1220"/>
      <c r="BI201" s="1211">
        <f>IFERROR(AY201*(BA201-AF201)*O201*365.25/1000,0)</f>
        <v>20.687020119409297</v>
      </c>
      <c r="BJ201" s="1211"/>
      <c r="BK201" s="1211">
        <f>IFERROR((AY201*(BB201-AF201)+AW201*(BE201-AF201))*O201*365.25/1000,0)</f>
        <v>1.4646048828271845</v>
      </c>
    </row>
    <row r="202" spans="8:63" ht="12.75" hidden="1" customHeight="1" outlineLevel="1">
      <c r="H202" s="458"/>
      <c r="I202" s="458"/>
      <c r="J202" s="458"/>
      <c r="K202" s="458"/>
      <c r="L202" s="458"/>
      <c r="M202" s="458"/>
      <c r="N202" s="458"/>
      <c r="O202" s="1211"/>
      <c r="P202" s="1212"/>
      <c r="Q202" s="1213"/>
      <c r="R202" s="1214"/>
      <c r="S202" s="1215"/>
      <c r="T202" s="458"/>
      <c r="U202" s="1216"/>
      <c r="V202" s="1216"/>
      <c r="W202" s="1216"/>
      <c r="X202" s="1216"/>
      <c r="Y202" s="1217"/>
      <c r="Z202" s="1217"/>
      <c r="AA202" s="1217"/>
      <c r="AB202" s="1217"/>
      <c r="AC202" s="1218"/>
      <c r="AD202" s="1218"/>
      <c r="AE202" s="1218"/>
      <c r="AF202" s="1218"/>
      <c r="AG202" s="1218"/>
      <c r="AH202" s="1219"/>
      <c r="AI202" s="1219"/>
      <c r="AJ202" s="1219"/>
      <c r="AK202" s="1219"/>
      <c r="AL202" s="1219"/>
      <c r="AM202" s="1220"/>
      <c r="AN202" s="1220"/>
      <c r="AO202" s="1220"/>
      <c r="AP202" s="1220"/>
      <c r="AQ202" s="1220"/>
      <c r="AR202" s="1220"/>
      <c r="AS202" s="1220"/>
      <c r="AT202" s="1220"/>
      <c r="AU202" s="1220"/>
      <c r="AV202" s="1220"/>
      <c r="AW202" s="1217"/>
      <c r="AX202" s="1217"/>
      <c r="AY202" s="1217"/>
      <c r="AZ202" s="1217"/>
      <c r="BA202" s="1218"/>
      <c r="BB202" s="1218"/>
      <c r="BC202" s="1218"/>
      <c r="BD202" s="1218"/>
      <c r="BE202" s="1218"/>
      <c r="BF202" s="1221"/>
      <c r="BG202" s="1221"/>
      <c r="BH202" s="1220"/>
      <c r="BI202" s="1211">
        <f t="shared" ref="BI202:BI212" si="32">IFERROR(AY202*(BA202-AF202)*O202*365.25/1000,0)</f>
        <v>0</v>
      </c>
      <c r="BJ202" s="1211"/>
      <c r="BK202" s="1211">
        <f t="shared" ref="BK202:BK212" si="33">IFERROR((AY202*(BB202-AF202)+AW202*(BE202-AF202))*O202*365.25/1000,0)</f>
        <v>0</v>
      </c>
    </row>
    <row r="203" spans="8:63" ht="12.75" hidden="1" customHeight="1" outlineLevel="1">
      <c r="H203" s="458"/>
      <c r="I203" s="458"/>
      <c r="J203" s="458"/>
      <c r="K203" s="458"/>
      <c r="L203" s="458"/>
      <c r="M203" s="458"/>
      <c r="N203" s="458"/>
      <c r="O203" s="1211"/>
      <c r="P203" s="1212"/>
      <c r="Q203" s="1213"/>
      <c r="R203" s="1214"/>
      <c r="S203" s="1215"/>
      <c r="T203" s="458"/>
      <c r="U203" s="1216"/>
      <c r="V203" s="1216"/>
      <c r="W203" s="1216"/>
      <c r="X203" s="1216"/>
      <c r="Y203" s="1217"/>
      <c r="Z203" s="1217"/>
      <c r="AA203" s="1217"/>
      <c r="AB203" s="1217"/>
      <c r="AC203" s="1218"/>
      <c r="AD203" s="1218"/>
      <c r="AE203" s="1218"/>
      <c r="AF203" s="1218"/>
      <c r="AG203" s="1218"/>
      <c r="AH203" s="1219"/>
      <c r="AI203" s="1219"/>
      <c r="AJ203" s="1219"/>
      <c r="AK203" s="1219"/>
      <c r="AL203" s="1219"/>
      <c r="AM203" s="1220"/>
      <c r="AN203" s="1220"/>
      <c r="AO203" s="1220"/>
      <c r="AP203" s="1220"/>
      <c r="AQ203" s="1220"/>
      <c r="AR203" s="1220"/>
      <c r="AS203" s="1220"/>
      <c r="AT203" s="1220"/>
      <c r="AU203" s="1220"/>
      <c r="AV203" s="1220"/>
      <c r="AW203" s="1217"/>
      <c r="AX203" s="1217"/>
      <c r="AY203" s="1217"/>
      <c r="AZ203" s="1217"/>
      <c r="BA203" s="1218"/>
      <c r="BB203" s="1218"/>
      <c r="BC203" s="1218"/>
      <c r="BD203" s="1218"/>
      <c r="BE203" s="1218"/>
      <c r="BF203" s="1221"/>
      <c r="BG203" s="1221"/>
      <c r="BH203" s="1220"/>
      <c r="BI203" s="1211">
        <f t="shared" si="32"/>
        <v>0</v>
      </c>
      <c r="BJ203" s="1211"/>
      <c r="BK203" s="1211">
        <f t="shared" si="33"/>
        <v>0</v>
      </c>
    </row>
    <row r="204" spans="8:63" ht="12.75" hidden="1" customHeight="1" outlineLevel="1">
      <c r="H204" s="458" t="s">
        <v>784</v>
      </c>
      <c r="I204" s="458" t="s">
        <v>1081</v>
      </c>
      <c r="J204" s="458" t="s">
        <v>1581</v>
      </c>
      <c r="K204" s="458" t="s">
        <v>1732</v>
      </c>
      <c r="L204" s="458" t="s">
        <v>1686</v>
      </c>
      <c r="M204" s="458"/>
      <c r="N204" s="458"/>
      <c r="O204" s="1211">
        <v>2.4428205202841053</v>
      </c>
      <c r="P204" s="1212">
        <v>0.90163175787586991</v>
      </c>
      <c r="Q204" s="1213">
        <v>-0.11097222849588149</v>
      </c>
      <c r="R204" s="1214">
        <v>-7.5182285746612527E-3</v>
      </c>
      <c r="S204" s="1215">
        <v>705.23146273679197</v>
      </c>
      <c r="T204" s="458"/>
      <c r="U204" s="1216">
        <v>4.5203843456907812E-3</v>
      </c>
      <c r="V204" s="1216">
        <v>0.16181748415303993</v>
      </c>
      <c r="W204" s="1216">
        <v>4.5203843456907812E-3</v>
      </c>
      <c r="X204" s="1216">
        <v>0.28118018172465659</v>
      </c>
      <c r="Y204" s="1217">
        <v>1.0000000000000002E-2</v>
      </c>
      <c r="Z204" s="1217">
        <v>0.35797284429430937</v>
      </c>
      <c r="AA204" s="1217">
        <v>1.0000000000000002E-2</v>
      </c>
      <c r="AB204" s="1217">
        <v>0.62202715570569067</v>
      </c>
      <c r="AC204" s="1218">
        <v>76.317845167943489</v>
      </c>
      <c r="AD204" s="1218">
        <v>46.813434447493051</v>
      </c>
      <c r="AE204" s="1218">
        <v>11.202124077927516</v>
      </c>
      <c r="AF204" s="1218">
        <v>8.4278362904289708</v>
      </c>
      <c r="AG204" s="1218">
        <v>15.671810283039822</v>
      </c>
      <c r="AH204" s="1219">
        <v>1000</v>
      </c>
      <c r="AI204" s="1219">
        <v>2000</v>
      </c>
      <c r="AJ204" s="1219">
        <v>5260</v>
      </c>
      <c r="AK204" s="1219">
        <v>22631.729667812142</v>
      </c>
      <c r="AL204" s="1219">
        <v>5260</v>
      </c>
      <c r="AM204" s="1220">
        <v>2.5512658485239896</v>
      </c>
      <c r="AN204" s="1220">
        <v>3.1499035260010264</v>
      </c>
      <c r="AO204" s="1220">
        <v>4.2018102171018823</v>
      </c>
      <c r="AP204" s="1220">
        <v>4.704260300204087</v>
      </c>
      <c r="AQ204" s="1220">
        <v>4.2018102171018823</v>
      </c>
      <c r="AR204" s="1220" t="s">
        <v>1728</v>
      </c>
      <c r="AS204" s="1220" t="s">
        <v>1728</v>
      </c>
      <c r="AT204" s="1220" t="s">
        <v>1631</v>
      </c>
      <c r="AU204" s="1220" t="s">
        <v>1631</v>
      </c>
      <c r="AV204" s="1220"/>
      <c r="AW204" s="1217">
        <v>0.15</v>
      </c>
      <c r="AX204" s="1217">
        <v>0.02</v>
      </c>
      <c r="AY204" s="1217">
        <v>0.83</v>
      </c>
      <c r="AZ204" s="1217"/>
      <c r="BA204" s="1218">
        <v>22.87548100930173</v>
      </c>
      <c r="BB204" s="1218">
        <v>9.2004385670654543</v>
      </c>
      <c r="BC204" s="1218"/>
      <c r="BD204" s="1218">
        <v>22.87548100930173</v>
      </c>
      <c r="BE204" s="1218">
        <v>11.941926409580441</v>
      </c>
      <c r="BF204" s="1221">
        <v>1.6</v>
      </c>
      <c r="BG204" s="1221">
        <v>1.47</v>
      </c>
      <c r="BH204" s="458"/>
      <c r="BI204" s="1211">
        <f t="shared" si="32"/>
        <v>10.699338553648881</v>
      </c>
      <c r="BJ204" s="1211"/>
      <c r="BK204" s="1211">
        <f t="shared" si="33"/>
        <v>1.0424697169631187</v>
      </c>
    </row>
    <row r="205" spans="8:63" ht="12.75" hidden="1" customHeight="1" outlineLevel="1">
      <c r="H205" s="458" t="s">
        <v>784</v>
      </c>
      <c r="I205" s="458" t="s">
        <v>1081</v>
      </c>
      <c r="J205" s="458" t="s">
        <v>1582</v>
      </c>
      <c r="K205" s="458" t="s">
        <v>1733</v>
      </c>
      <c r="L205" s="458" t="s">
        <v>1687</v>
      </c>
      <c r="M205" s="458"/>
      <c r="N205" s="458"/>
      <c r="O205" s="1211">
        <v>2.4658701866802279</v>
      </c>
      <c r="P205" s="1212">
        <v>0.8752077066970958</v>
      </c>
      <c r="Q205" s="1213">
        <v>-0.10771997410312807</v>
      </c>
      <c r="R205" s="1214">
        <v>-7.2978924397644595E-3</v>
      </c>
      <c r="S205" s="1215">
        <v>1112.96164725676</v>
      </c>
      <c r="T205" s="458"/>
      <c r="U205" s="1216">
        <v>3.0922055423788022E-4</v>
      </c>
      <c r="V205" s="1216">
        <v>4.8020975330154696E-2</v>
      </c>
      <c r="W205" s="1216">
        <v>1.3690673232275522E-3</v>
      </c>
      <c r="X205" s="1216">
        <v>1.8754102953757481E-2</v>
      </c>
      <c r="Y205" s="1217">
        <v>4.5172439512893812E-3</v>
      </c>
      <c r="Z205" s="1217">
        <v>0.70151371689956177</v>
      </c>
      <c r="AA205" s="1217">
        <v>0.02</v>
      </c>
      <c r="AB205" s="1217">
        <v>0.27396903914914883</v>
      </c>
      <c r="AC205" s="1218">
        <v>91.320707179680653</v>
      </c>
      <c r="AD205" s="1218">
        <v>63.693082514279595</v>
      </c>
      <c r="AE205" s="1218">
        <v>17.630767623296563</v>
      </c>
      <c r="AF205" s="1218">
        <v>13.252009891143199</v>
      </c>
      <c r="AG205" s="1218">
        <v>24.732481050150223</v>
      </c>
      <c r="AH205" s="1219">
        <v>1000</v>
      </c>
      <c r="AI205" s="1219">
        <v>2000</v>
      </c>
      <c r="AJ205" s="1219">
        <v>5260</v>
      </c>
      <c r="AK205" s="1219">
        <v>22631.729667812142</v>
      </c>
      <c r="AL205" s="1219">
        <v>5260</v>
      </c>
      <c r="AM205" s="1220">
        <v>3.7848657054583201</v>
      </c>
      <c r="AN205" s="1220">
        <v>3.0749394542302002</v>
      </c>
      <c r="AO205" s="1220">
        <v>5.6251742106916778</v>
      </c>
      <c r="AP205" s="1220">
        <v>8.5948476705763621</v>
      </c>
      <c r="AQ205" s="1220">
        <v>5.6251742106916778</v>
      </c>
      <c r="AR205" s="1220" t="s">
        <v>1728</v>
      </c>
      <c r="AS205" s="1220" t="s">
        <v>1728</v>
      </c>
      <c r="AT205" s="1220" t="s">
        <v>1631</v>
      </c>
      <c r="AU205" s="1220" t="s">
        <v>1631</v>
      </c>
      <c r="AV205" s="1220"/>
      <c r="AW205" s="1217">
        <v>0.15</v>
      </c>
      <c r="AX205" s="1217">
        <v>0.02</v>
      </c>
      <c r="AY205" s="1217">
        <v>0.83</v>
      </c>
      <c r="AZ205" s="1217"/>
      <c r="BA205" s="1218">
        <v>49.077344736655093</v>
      </c>
      <c r="BB205" s="1218">
        <v>18.541028126726793</v>
      </c>
      <c r="BC205" s="1218"/>
      <c r="BD205" s="1218">
        <v>49.077344736655093</v>
      </c>
      <c r="BE205" s="1218">
        <v>24.795802876981661</v>
      </c>
      <c r="BF205" s="1221">
        <v>5.28</v>
      </c>
      <c r="BG205" s="1221">
        <v>4.88</v>
      </c>
      <c r="BH205" s="458"/>
      <c r="BI205" s="1211">
        <f t="shared" si="32"/>
        <v>26.781123060842308</v>
      </c>
      <c r="BJ205" s="1211"/>
      <c r="BK205" s="1211">
        <f t="shared" si="33"/>
        <v>5.5133432378266107</v>
      </c>
    </row>
    <row r="206" spans="8:63" ht="12.75" hidden="1" customHeight="1" outlineLevel="1">
      <c r="H206" s="458" t="s">
        <v>784</v>
      </c>
      <c r="I206" s="458" t="s">
        <v>1081</v>
      </c>
      <c r="J206" s="458" t="s">
        <v>1583</v>
      </c>
      <c r="K206" s="458" t="s">
        <v>1734</v>
      </c>
      <c r="L206" s="458" t="s">
        <v>1688</v>
      </c>
      <c r="M206" s="458"/>
      <c r="N206" s="458"/>
      <c r="O206" s="1211">
        <v>2.4962936534017408</v>
      </c>
      <c r="P206" s="1212">
        <v>0.83000753574200803</v>
      </c>
      <c r="Q206" s="1213">
        <v>-0.10215676755514902</v>
      </c>
      <c r="R206" s="1214">
        <v>-6.9209922098361128E-3</v>
      </c>
      <c r="S206" s="1215">
        <v>1565.4040020494499</v>
      </c>
      <c r="T206" s="458"/>
      <c r="U206" s="1216">
        <v>1.3715707332183267E-3</v>
      </c>
      <c r="V206" s="1216">
        <v>1.8646383034627467E-2</v>
      </c>
      <c r="W206" s="1216">
        <v>1.1542318683339819E-3</v>
      </c>
      <c r="X206" s="1216">
        <v>3.6539407780519326E-2</v>
      </c>
      <c r="Y206" s="1217">
        <v>2.3765948088022411E-2</v>
      </c>
      <c r="Z206" s="1217">
        <v>0.32309596617777764</v>
      </c>
      <c r="AA206" s="1217">
        <v>0.02</v>
      </c>
      <c r="AB206" s="1217">
        <v>0.63313808573420005</v>
      </c>
      <c r="AC206" s="1218">
        <v>111.51902551695946</v>
      </c>
      <c r="AD206" s="1218">
        <v>75.2247338543106</v>
      </c>
      <c r="AE206" s="1218">
        <v>22.849943106604805</v>
      </c>
      <c r="AF206" s="1218">
        <v>15.1366225030437</v>
      </c>
      <c r="AG206" s="1218">
        <v>34.786755601098889</v>
      </c>
      <c r="AH206" s="1219">
        <v>1000</v>
      </c>
      <c r="AI206" s="1219">
        <v>2000</v>
      </c>
      <c r="AJ206" s="1219">
        <v>5260</v>
      </c>
      <c r="AK206" s="1219">
        <v>22631.729667812142</v>
      </c>
      <c r="AL206" s="1219">
        <v>5260</v>
      </c>
      <c r="AM206" s="1220">
        <v>4.2845704924641108</v>
      </c>
      <c r="AN206" s="1220">
        <v>3.1844072700432378</v>
      </c>
      <c r="AO206" s="1220">
        <v>5.6005928978082489</v>
      </c>
      <c r="AP206" s="1220">
        <v>9.2991191980778467</v>
      </c>
      <c r="AQ206" s="1220">
        <v>5.6005928978082489</v>
      </c>
      <c r="AR206" s="1220" t="s">
        <v>1728</v>
      </c>
      <c r="AS206" s="1220" t="s">
        <v>1728</v>
      </c>
      <c r="AT206" s="1220" t="s">
        <v>1631</v>
      </c>
      <c r="AU206" s="1220" t="s">
        <v>1631</v>
      </c>
      <c r="AV206" s="1220"/>
      <c r="AW206" s="1217">
        <v>0.15</v>
      </c>
      <c r="AX206" s="1217">
        <v>0.02</v>
      </c>
      <c r="AY206" s="1217">
        <v>0.83</v>
      </c>
      <c r="AZ206" s="1217"/>
      <c r="BA206" s="1218">
        <v>36.995734494577967</v>
      </c>
      <c r="BB206" s="1218">
        <v>17.054233001626145</v>
      </c>
      <c r="BC206" s="1218"/>
      <c r="BD206" s="1218">
        <v>36.995734494577967</v>
      </c>
      <c r="BE206" s="1218">
        <v>21.030926355470132</v>
      </c>
      <c r="BF206" s="1221">
        <v>2.64</v>
      </c>
      <c r="BG206" s="1221">
        <v>2.44</v>
      </c>
      <c r="BH206" s="458"/>
      <c r="BI206" s="1211">
        <f t="shared" si="32"/>
        <v>16.542323312738876</v>
      </c>
      <c r="BJ206" s="1211"/>
      <c r="BK206" s="1211">
        <f t="shared" si="33"/>
        <v>2.2573288964897831</v>
      </c>
    </row>
    <row r="207" spans="8:63" ht="12.75" hidden="1" customHeight="1" outlineLevel="1">
      <c r="H207" s="458" t="s">
        <v>784</v>
      </c>
      <c r="I207" s="458" t="s">
        <v>1082</v>
      </c>
      <c r="J207" s="458" t="s">
        <v>1581</v>
      </c>
      <c r="K207" s="458" t="s">
        <v>1735</v>
      </c>
      <c r="L207" s="458" t="s">
        <v>1689</v>
      </c>
      <c r="M207" s="458"/>
      <c r="N207" s="458"/>
      <c r="O207" s="1211">
        <v>1.9179942253093571</v>
      </c>
      <c r="P207" s="1212">
        <v>0.97671212164273968</v>
      </c>
      <c r="Q207" s="1213">
        <v>-0.12021306901720444</v>
      </c>
      <c r="R207" s="1214">
        <v>-8.1442838697829163E-3</v>
      </c>
      <c r="S207" s="1215">
        <v>429.235603776478</v>
      </c>
      <c r="T207" s="458"/>
      <c r="U207" s="1216">
        <v>2.7892888218977469E-2</v>
      </c>
      <c r="V207" s="1216">
        <v>1.2201870579727684E-2</v>
      </c>
      <c r="W207" s="1216">
        <v>0</v>
      </c>
      <c r="X207" s="1216">
        <v>2.2899270739108066E-2</v>
      </c>
      <c r="Y207" s="1217">
        <v>0.44278621995810408</v>
      </c>
      <c r="Z207" s="1217">
        <v>0.19369884208476151</v>
      </c>
      <c r="AA207" s="1217">
        <v>0</v>
      </c>
      <c r="AB207" s="1217">
        <v>0.36351493795713441</v>
      </c>
      <c r="AC207" s="1218">
        <v>51.828529496621037</v>
      </c>
      <c r="AD207" s="1218">
        <v>30.431256911791117</v>
      </c>
      <c r="AE207" s="1218">
        <v>8.8245468619295639</v>
      </c>
      <c r="AF207" s="1218">
        <v>5.4586120001622103</v>
      </c>
      <c r="AG207" s="1218">
        <v>9.5385689728106229</v>
      </c>
      <c r="AH207" s="1219">
        <v>1000</v>
      </c>
      <c r="AI207" s="1219">
        <v>2000</v>
      </c>
      <c r="AJ207" s="1219">
        <v>5260</v>
      </c>
      <c r="AK207" s="1219">
        <v>22631.729667812142</v>
      </c>
      <c r="AL207" s="1219">
        <v>5260</v>
      </c>
      <c r="AM207" s="1220">
        <v>3.0206226149897542</v>
      </c>
      <c r="AN207" s="1220">
        <v>5.0588379948536053</v>
      </c>
      <c r="AO207" s="1220">
        <v>5.0338788818244442</v>
      </c>
      <c r="AP207" s="1220">
        <v>5.982889189939792</v>
      </c>
      <c r="AQ207" s="1220">
        <v>5.0338788818244442</v>
      </c>
      <c r="AR207" s="1220" t="s">
        <v>1728</v>
      </c>
      <c r="AS207" s="1220" t="s">
        <v>1728</v>
      </c>
      <c r="AT207" s="1220" t="s">
        <v>1631</v>
      </c>
      <c r="AU207" s="1220" t="s">
        <v>1631</v>
      </c>
      <c r="AV207" s="1220"/>
      <c r="AW207" s="1217">
        <v>0.15</v>
      </c>
      <c r="AX207" s="1217">
        <v>0.02</v>
      </c>
      <c r="AY207" s="1217">
        <v>0.83</v>
      </c>
      <c r="AZ207" s="1217"/>
      <c r="BA207" s="1218">
        <v>30.827744891364798</v>
      </c>
      <c r="BB207" s="1218">
        <v>7.4554105931015471</v>
      </c>
      <c r="BC207" s="1218"/>
      <c r="BD207" s="1218">
        <v>30.827744891364798</v>
      </c>
      <c r="BE207" s="1218">
        <v>10.308120772596695</v>
      </c>
      <c r="BF207" s="1221">
        <v>3.98</v>
      </c>
      <c r="BG207" s="1221">
        <v>3.08</v>
      </c>
      <c r="BH207" s="458"/>
      <c r="BI207" s="1211">
        <f t="shared" si="32"/>
        <v>14.750992278524832</v>
      </c>
      <c r="BJ207" s="1211"/>
      <c r="BK207" s="1211">
        <f t="shared" si="33"/>
        <v>1.6706438042813871</v>
      </c>
    </row>
    <row r="208" spans="8:63" ht="12.75" hidden="1" customHeight="1" outlineLevel="1">
      <c r="H208" s="458"/>
      <c r="I208" s="458"/>
      <c r="J208" s="458"/>
      <c r="K208" s="458"/>
      <c r="L208" s="458"/>
      <c r="M208" s="458"/>
      <c r="N208" s="458"/>
      <c r="O208" s="1211"/>
      <c r="P208" s="1212"/>
      <c r="Q208" s="1213"/>
      <c r="R208" s="1214"/>
      <c r="S208" s="1215"/>
      <c r="T208" s="458"/>
      <c r="U208" s="1216"/>
      <c r="V208" s="1216"/>
      <c r="W208" s="1216"/>
      <c r="X208" s="1216"/>
      <c r="Y208" s="1217"/>
      <c r="Z208" s="1217"/>
      <c r="AA208" s="1217"/>
      <c r="AB208" s="1217"/>
      <c r="AC208" s="1218"/>
      <c r="AD208" s="1218"/>
      <c r="AE208" s="1218"/>
      <c r="AF208" s="1218"/>
      <c r="AG208" s="1218"/>
      <c r="AH208" s="1219"/>
      <c r="AI208" s="1219"/>
      <c r="AJ208" s="1219"/>
      <c r="AK208" s="1219"/>
      <c r="AL208" s="1219"/>
      <c r="AM208" s="1220"/>
      <c r="AN208" s="1220"/>
      <c r="AO208" s="1220"/>
      <c r="AP208" s="1220"/>
      <c r="AQ208" s="1220"/>
      <c r="AR208" s="1220"/>
      <c r="AS208" s="1220"/>
      <c r="AT208" s="1220"/>
      <c r="AU208" s="1220"/>
      <c r="AV208" s="1220"/>
      <c r="AW208" s="1217"/>
      <c r="AX208" s="1217"/>
      <c r="AY208" s="1217"/>
      <c r="AZ208" s="1217"/>
      <c r="BA208" s="1218"/>
      <c r="BB208" s="1218"/>
      <c r="BC208" s="1218"/>
      <c r="BD208" s="1218"/>
      <c r="BE208" s="1218"/>
      <c r="BF208" s="1221"/>
      <c r="BG208" s="1221"/>
      <c r="BH208" s="458"/>
      <c r="BI208" s="1211">
        <f t="shared" si="32"/>
        <v>0</v>
      </c>
      <c r="BJ208" s="1211"/>
      <c r="BK208" s="1211">
        <f t="shared" si="33"/>
        <v>0</v>
      </c>
    </row>
    <row r="209" spans="1:63" ht="12.75" hidden="1" customHeight="1" outlineLevel="1">
      <c r="H209" s="458"/>
      <c r="I209" s="458"/>
      <c r="J209" s="458"/>
      <c r="K209" s="458"/>
      <c r="L209" s="458"/>
      <c r="M209" s="458"/>
      <c r="N209" s="458"/>
      <c r="O209" s="1211"/>
      <c r="P209" s="1212"/>
      <c r="Q209" s="1213"/>
      <c r="R209" s="1214"/>
      <c r="S209" s="1215"/>
      <c r="T209" s="458"/>
      <c r="U209" s="1216"/>
      <c r="V209" s="1216"/>
      <c r="W209" s="1216"/>
      <c r="X209" s="1216"/>
      <c r="Y209" s="1217"/>
      <c r="Z209" s="1217"/>
      <c r="AA209" s="1217"/>
      <c r="AB209" s="1217"/>
      <c r="AC209" s="1218"/>
      <c r="AD209" s="1218"/>
      <c r="AE209" s="1218"/>
      <c r="AF209" s="1218"/>
      <c r="AG209" s="1218"/>
      <c r="AH209" s="1219"/>
      <c r="AI209" s="1219"/>
      <c r="AJ209" s="1219"/>
      <c r="AK209" s="1219"/>
      <c r="AL209" s="1219"/>
      <c r="AM209" s="1220"/>
      <c r="AN209" s="1220"/>
      <c r="AO209" s="1220"/>
      <c r="AP209" s="1220"/>
      <c r="AQ209" s="1220"/>
      <c r="AR209" s="1220"/>
      <c r="AS209" s="1220"/>
      <c r="AT209" s="1220"/>
      <c r="AU209" s="1220"/>
      <c r="AV209" s="1220"/>
      <c r="AW209" s="1217"/>
      <c r="AX209" s="1217"/>
      <c r="AY209" s="1217"/>
      <c r="AZ209" s="1217"/>
      <c r="BA209" s="1218"/>
      <c r="BB209" s="1218"/>
      <c r="BC209" s="1218"/>
      <c r="BD209" s="1218"/>
      <c r="BE209" s="1218"/>
      <c r="BF209" s="1221"/>
      <c r="BG209" s="1221"/>
      <c r="BH209" s="458"/>
      <c r="BI209" s="1211">
        <f t="shared" si="32"/>
        <v>0</v>
      </c>
      <c r="BJ209" s="1211"/>
      <c r="BK209" s="1211">
        <f t="shared" si="33"/>
        <v>0</v>
      </c>
    </row>
    <row r="210" spans="1:63" ht="12.75" hidden="1" customHeight="1" outlineLevel="1">
      <c r="H210" s="458" t="s">
        <v>784</v>
      </c>
      <c r="I210" s="458" t="s">
        <v>1083</v>
      </c>
      <c r="J210" s="458" t="s">
        <v>1581</v>
      </c>
      <c r="K210" s="458" t="s">
        <v>1736</v>
      </c>
      <c r="L210" s="458" t="s">
        <v>1692</v>
      </c>
      <c r="M210" s="458"/>
      <c r="N210" s="458"/>
      <c r="O210" s="1211">
        <v>2.9924553248316559</v>
      </c>
      <c r="P210" s="1212">
        <v>0.90818182707943829</v>
      </c>
      <c r="Q210" s="1213">
        <v>-0.11177840659461512</v>
      </c>
      <c r="R210" s="1214">
        <v>-7.5728461244781442E-3</v>
      </c>
      <c r="S210" s="1215">
        <v>673.92403406060703</v>
      </c>
      <c r="T210" s="458"/>
      <c r="U210" s="1216">
        <v>3.4679831678771943E-2</v>
      </c>
      <c r="V210" s="1216">
        <v>6.700420123776538E-3</v>
      </c>
      <c r="W210" s="1216">
        <v>0</v>
      </c>
      <c r="X210" s="1216">
        <v>0.13731054823518191</v>
      </c>
      <c r="Y210" s="1217">
        <v>0.19407732055287308</v>
      </c>
      <c r="Z210" s="1217">
        <v>3.7497286499146854E-2</v>
      </c>
      <c r="AA210" s="1217">
        <v>0</v>
      </c>
      <c r="AB210" s="1217">
        <v>0.76842539294798007</v>
      </c>
      <c r="AC210" s="1218">
        <v>85.882339674922065</v>
      </c>
      <c r="AD210" s="1218">
        <v>62.619942513860863</v>
      </c>
      <c r="AE210" s="1218">
        <v>16.400443850178171</v>
      </c>
      <c r="AF210" s="1218">
        <v>9.7147658012708806</v>
      </c>
      <c r="AG210" s="1218">
        <v>14.976089645791268</v>
      </c>
      <c r="AH210" s="1219">
        <v>1000</v>
      </c>
      <c r="AI210" s="1219">
        <v>2000</v>
      </c>
      <c r="AJ210" s="1219">
        <v>5260</v>
      </c>
      <c r="AK210" s="1219">
        <v>22631.729667812142</v>
      </c>
      <c r="AL210" s="1219">
        <v>5260</v>
      </c>
      <c r="AM210" s="1220">
        <v>5.5765048569891853</v>
      </c>
      <c r="AN210" s="1220">
        <v>7.8311184853824969</v>
      </c>
      <c r="AO210" s="1220">
        <v>4.8955864717022672</v>
      </c>
      <c r="AP210" s="1220">
        <v>8.2256179377115082</v>
      </c>
      <c r="AQ210" s="1220">
        <v>4.8955864717022672</v>
      </c>
      <c r="AR210" s="1220" t="s">
        <v>1728</v>
      </c>
      <c r="AS210" s="1220" t="s">
        <v>1728</v>
      </c>
      <c r="AT210" s="1220" t="s">
        <v>1728</v>
      </c>
      <c r="AU210" s="1220" t="s">
        <v>1631</v>
      </c>
      <c r="AV210" s="1220"/>
      <c r="AW210" s="1217">
        <v>0.15</v>
      </c>
      <c r="AX210" s="1217">
        <v>0.02</v>
      </c>
      <c r="AY210" s="1217">
        <v>0.83</v>
      </c>
      <c r="AZ210" s="1217"/>
      <c r="BA210" s="1218">
        <v>26.480965020162099</v>
      </c>
      <c r="BB210" s="1218">
        <v>9.8149141743893509</v>
      </c>
      <c r="BC210" s="1218"/>
      <c r="BD210" s="1218">
        <v>26.480965020162099</v>
      </c>
      <c r="BE210" s="1218">
        <v>11.755917099575262</v>
      </c>
      <c r="BF210" s="1221">
        <v>1.84</v>
      </c>
      <c r="BG210" s="1221">
        <v>1.54</v>
      </c>
      <c r="BH210" s="458"/>
      <c r="BI210" s="1211">
        <f t="shared" si="32"/>
        <v>15.210049051402526</v>
      </c>
      <c r="BJ210" s="1211"/>
      <c r="BK210" s="1211">
        <f t="shared" si="33"/>
        <v>0.42549814185878521</v>
      </c>
    </row>
    <row r="211" spans="1:63" ht="12.75" hidden="1" customHeight="1" outlineLevel="1">
      <c r="H211" s="458" t="s">
        <v>784</v>
      </c>
      <c r="I211" s="458" t="s">
        <v>1083</v>
      </c>
      <c r="J211" s="458" t="s">
        <v>1582</v>
      </c>
      <c r="K211" s="458" t="s">
        <v>1737</v>
      </c>
      <c r="L211" s="458" t="s">
        <v>1693</v>
      </c>
      <c r="M211" s="458"/>
      <c r="N211" s="458"/>
      <c r="O211" s="1211">
        <v>3.1438711557659511</v>
      </c>
      <c r="P211" s="1212">
        <v>0.80769764032454228</v>
      </c>
      <c r="Q211" s="1213">
        <v>-9.9410880677984384E-2</v>
      </c>
      <c r="R211" s="1214">
        <v>-6.7349618357281198E-3</v>
      </c>
      <c r="S211" s="1215">
        <v>1198.5384593701599</v>
      </c>
      <c r="T211" s="458"/>
      <c r="U211" s="1216">
        <v>0</v>
      </c>
      <c r="V211" s="1216">
        <v>3.9064564873488366E-3</v>
      </c>
      <c r="W211" s="1216">
        <v>2.0236788520571232E-4</v>
      </c>
      <c r="X211" s="1216">
        <v>1.612796414801668E-2</v>
      </c>
      <c r="Y211" s="1217">
        <v>0</v>
      </c>
      <c r="Z211" s="1217">
        <v>0.19303737267293278</v>
      </c>
      <c r="AA211" s="1217">
        <v>0.01</v>
      </c>
      <c r="AB211" s="1217">
        <v>0.79696262732706713</v>
      </c>
      <c r="AC211" s="1218" t="s">
        <v>1729</v>
      </c>
      <c r="AD211" s="1218">
        <v>79.476557495639952</v>
      </c>
      <c r="AE211" s="1218">
        <v>27.456801191802171</v>
      </c>
      <c r="AF211" s="1218">
        <v>15.2497906911581</v>
      </c>
      <c r="AG211" s="1218">
        <v>26.634187986003553</v>
      </c>
      <c r="AH211" s="1219">
        <v>1000</v>
      </c>
      <c r="AI211" s="1219">
        <v>2000</v>
      </c>
      <c r="AJ211" s="1219">
        <v>5260</v>
      </c>
      <c r="AK211" s="1219">
        <v>22631.729667812142</v>
      </c>
      <c r="AL211" s="1219">
        <v>5260</v>
      </c>
      <c r="AM211" s="1220" t="s">
        <v>1730</v>
      </c>
      <c r="AN211" s="1220">
        <v>8.7682028074746263</v>
      </c>
      <c r="AO211" s="1220">
        <v>5.4702830535842288</v>
      </c>
      <c r="AP211" s="1220">
        <v>11.104242336528252</v>
      </c>
      <c r="AQ211" s="1220">
        <v>5.4702830535842288</v>
      </c>
      <c r="AR211" s="1220" t="s">
        <v>1731</v>
      </c>
      <c r="AS211" s="1220" t="s">
        <v>1728</v>
      </c>
      <c r="AT211" s="1220" t="s">
        <v>1728</v>
      </c>
      <c r="AU211" s="1220" t="s">
        <v>1631</v>
      </c>
      <c r="AV211" s="1220"/>
      <c r="AW211" s="1217">
        <v>0.15</v>
      </c>
      <c r="AX211" s="1217">
        <v>0.02</v>
      </c>
      <c r="AY211" s="1217">
        <v>0.83</v>
      </c>
      <c r="AZ211" s="1217"/>
      <c r="BA211" s="1218">
        <v>27.770027115378852</v>
      </c>
      <c r="BB211" s="1218">
        <v>15.567303953590004</v>
      </c>
      <c r="BC211" s="1218"/>
      <c r="BD211" s="1218">
        <v>27.770027115378852</v>
      </c>
      <c r="BE211" s="1218">
        <v>18.052293647794386</v>
      </c>
      <c r="BF211" s="1221">
        <v>1.71</v>
      </c>
      <c r="BG211" s="1221">
        <v>1.58</v>
      </c>
      <c r="BH211" s="458"/>
      <c r="BI211" s="1211">
        <f t="shared" si="32"/>
        <v>11.932888594315591</v>
      </c>
      <c r="BJ211" s="1211"/>
      <c r="BK211" s="1211">
        <f t="shared" si="33"/>
        <v>0.78533479435383402</v>
      </c>
    </row>
    <row r="212" spans="1:63" ht="12.75" hidden="1" customHeight="1" outlineLevel="1">
      <c r="H212" s="458" t="s">
        <v>784</v>
      </c>
      <c r="I212" s="458" t="s">
        <v>1083</v>
      </c>
      <c r="J212" s="458" t="s">
        <v>1583</v>
      </c>
      <c r="K212" s="458" t="s">
        <v>1738</v>
      </c>
      <c r="L212" s="458" t="s">
        <v>1694</v>
      </c>
      <c r="M212" s="458"/>
      <c r="N212" s="458"/>
      <c r="O212" s="1211">
        <v>3.1961712013089221</v>
      </c>
      <c r="P212" s="1212">
        <v>0.46244723340230898</v>
      </c>
      <c r="Q212" s="1213">
        <v>-5.6917693508611387E-2</v>
      </c>
      <c r="R212" s="1214">
        <v>-3.8561019774072105E-3</v>
      </c>
      <c r="S212" s="1215">
        <v>1596.0803485052297</v>
      </c>
      <c r="T212" s="458"/>
      <c r="U212" s="1216">
        <v>0</v>
      </c>
      <c r="V212" s="1216">
        <v>3.996594600141937E-3</v>
      </c>
      <c r="W212" s="1216">
        <v>-1.3120174003567592E-5</v>
      </c>
      <c r="X212" s="1216">
        <v>1.9559031936975473E-3</v>
      </c>
      <c r="Y212" s="1217">
        <v>0</v>
      </c>
      <c r="Z212" s="1217">
        <v>0.67289787852423988</v>
      </c>
      <c r="AA212" s="1217">
        <v>-2.2090149580235069E-3</v>
      </c>
      <c r="AB212" s="1217">
        <v>0.32931113643378379</v>
      </c>
      <c r="AC212" s="1218">
        <v>161.99803345008124</v>
      </c>
      <c r="AD212" s="1218">
        <v>92.650917704982319</v>
      </c>
      <c r="AE212" s="1218">
        <v>23.409178444743372</v>
      </c>
      <c r="AF212" s="1218">
        <v>18.438772435368097</v>
      </c>
      <c r="AG212" s="1218">
        <v>35.468452189005106</v>
      </c>
      <c r="AH212" s="1219">
        <v>1000</v>
      </c>
      <c r="AI212" s="1219">
        <v>2000</v>
      </c>
      <c r="AJ212" s="1219">
        <v>5260</v>
      </c>
      <c r="AK212" s="1219">
        <v>22631.729667812142</v>
      </c>
      <c r="AL212" s="1219">
        <v>5260</v>
      </c>
      <c r="AM212" s="1220">
        <v>12.787398677430756</v>
      </c>
      <c r="AN212" s="1220">
        <v>9.8280777358991642</v>
      </c>
      <c r="AO212" s="1220">
        <v>4.9771915649995195</v>
      </c>
      <c r="AP212" s="1220">
        <v>14.529873746996635</v>
      </c>
      <c r="AQ212" s="1220">
        <v>4.9771915649995195</v>
      </c>
      <c r="AR212" s="1220" t="s">
        <v>1728</v>
      </c>
      <c r="AS212" s="1220" t="s">
        <v>1728</v>
      </c>
      <c r="AT212" s="1220" t="s">
        <v>1631</v>
      </c>
      <c r="AU212" s="1220" t="s">
        <v>1631</v>
      </c>
      <c r="AV212" s="1220"/>
      <c r="AW212" s="1217">
        <v>0.15</v>
      </c>
      <c r="AX212" s="1217">
        <v>0.02</v>
      </c>
      <c r="AY212" s="1217">
        <v>0.83</v>
      </c>
      <c r="AZ212" s="1217"/>
      <c r="BA212" s="1218">
        <v>68.364987846802052</v>
      </c>
      <c r="BB212" s="1218">
        <v>24.854523223901445</v>
      </c>
      <c r="BC212" s="1218"/>
      <c r="BD212" s="1218">
        <v>68.364987846802052</v>
      </c>
      <c r="BE212" s="1218">
        <v>33.809827300286521</v>
      </c>
      <c r="BF212" s="1221">
        <v>6.31</v>
      </c>
      <c r="BG212" s="1221">
        <v>5.83</v>
      </c>
      <c r="BH212" s="458"/>
      <c r="BI212" s="1211">
        <f t="shared" si="32"/>
        <v>48.375670467448799</v>
      </c>
      <c r="BJ212" s="1211"/>
      <c r="BK212" s="1211">
        <f t="shared" si="33"/>
        <v>8.908127502710677</v>
      </c>
    </row>
    <row r="213" spans="1:63" ht="12.75" hidden="1" customHeight="1" outlineLevel="1">
      <c r="H213" s="458"/>
      <c r="I213" s="458"/>
      <c r="J213" s="458"/>
      <c r="K213" s="458"/>
      <c r="L213" s="458"/>
      <c r="M213" s="458"/>
      <c r="N213" s="458"/>
      <c r="O213" s="458"/>
      <c r="P213" s="458"/>
      <c r="Q213" s="458"/>
      <c r="R213" s="458"/>
      <c r="S213" s="458"/>
      <c r="T213" s="458"/>
      <c r="U213" s="458"/>
      <c r="V213" s="458"/>
      <c r="W213" s="458"/>
      <c r="X213" s="458"/>
      <c r="Y213" s="458"/>
      <c r="Z213" s="458"/>
      <c r="AA213" s="458"/>
      <c r="AB213" s="458"/>
      <c r="AC213" s="458"/>
      <c r="AD213" s="458"/>
      <c r="AE213" s="458"/>
      <c r="AF213" s="458"/>
      <c r="AG213" s="458"/>
      <c r="AH213" s="458"/>
      <c r="AI213" s="458"/>
      <c r="AJ213" s="458"/>
      <c r="AK213" s="458"/>
      <c r="AL213" s="458"/>
      <c r="AM213" s="458"/>
      <c r="AN213" s="458"/>
      <c r="AO213" s="458"/>
      <c r="AP213" s="458"/>
      <c r="AQ213" s="458"/>
      <c r="AR213" s="458"/>
      <c r="AS213" s="458"/>
      <c r="AT213" s="458"/>
      <c r="AU213" s="458"/>
      <c r="AV213" s="458"/>
      <c r="AW213" s="458"/>
      <c r="AX213" s="458"/>
      <c r="AY213" s="458"/>
      <c r="AZ213" s="458"/>
      <c r="BA213" s="458"/>
      <c r="BB213" s="458"/>
    </row>
    <row r="214" spans="1:63" ht="12.75" customHeight="1" collapsed="1">
      <c r="H214" s="891" t="s">
        <v>2219</v>
      </c>
      <c r="I214" s="458"/>
      <c r="J214" s="458"/>
      <c r="K214" s="458"/>
      <c r="L214" s="458"/>
      <c r="M214" s="458"/>
      <c r="N214" s="458"/>
      <c r="O214" s="458"/>
      <c r="P214" s="458"/>
      <c r="Q214" s="458"/>
      <c r="R214" s="458"/>
      <c r="S214" s="458"/>
      <c r="T214" s="458"/>
      <c r="U214" s="458"/>
      <c r="V214" s="458"/>
      <c r="W214" s="458"/>
      <c r="X214" s="458"/>
      <c r="Y214" s="458"/>
      <c r="Z214" s="458"/>
      <c r="AA214" s="458"/>
      <c r="AB214" s="458"/>
      <c r="AC214" s="458"/>
      <c r="AD214" s="458"/>
      <c r="AE214" s="458"/>
      <c r="AF214" s="458"/>
      <c r="AG214" s="458"/>
      <c r="AH214" s="458"/>
      <c r="AI214" s="458"/>
      <c r="AJ214" s="458"/>
      <c r="AK214" s="458"/>
      <c r="AL214" s="458"/>
      <c r="AM214" s="458"/>
      <c r="AN214" s="458"/>
      <c r="AO214" s="458"/>
      <c r="AP214" s="458"/>
      <c r="AQ214" s="458"/>
      <c r="AR214" s="458"/>
      <c r="AS214" s="458"/>
      <c r="AT214" s="458"/>
      <c r="AU214" s="458"/>
      <c r="AV214" s="458"/>
      <c r="AW214" s="458"/>
      <c r="AX214" s="458"/>
      <c r="AY214" s="458"/>
      <c r="AZ214" s="458"/>
      <c r="BA214" s="458"/>
      <c r="BB214" s="458"/>
    </row>
    <row r="215" spans="1:63" s="806" customFormat="1" ht="19.95" hidden="1" customHeight="1" outlineLevel="1" thickBot="1">
      <c r="A215" s="8"/>
      <c r="B215" s="8"/>
      <c r="C215" s="10"/>
      <c r="D215" s="10"/>
      <c r="E215" s="10"/>
      <c r="F215" s="10"/>
      <c r="G215" s="8"/>
      <c r="H215" s="90" t="s">
        <v>931</v>
      </c>
      <c r="I215" s="90"/>
      <c r="J215" s="90"/>
      <c r="K215" s="90"/>
      <c r="L215" s="90"/>
      <c r="M215" s="90"/>
      <c r="N215" s="90"/>
      <c r="O215" s="90"/>
      <c r="P215" s="90"/>
      <c r="Q215" s="90"/>
      <c r="R215" s="90"/>
      <c r="S215" s="90"/>
      <c r="T215" s="90"/>
      <c r="U215" s="90"/>
      <c r="V215" s="90"/>
    </row>
    <row r="216" spans="1:63" s="806" customFormat="1" ht="12.75" hidden="1" customHeight="1" outlineLevel="1" thickTop="1">
      <c r="A216" s="8"/>
      <c r="B216" s="8"/>
      <c r="C216" s="10"/>
      <c r="D216" s="10"/>
      <c r="E216" s="10"/>
      <c r="F216" s="10"/>
      <c r="G216" s="8"/>
      <c r="M216" s="2"/>
      <c r="N216" s="2"/>
      <c r="O216" s="2"/>
      <c r="P216" s="2"/>
      <c r="V216" s="3"/>
    </row>
    <row r="217" spans="1:63" s="806" customFormat="1" ht="12.75" hidden="1" customHeight="1" outlineLevel="1" thickBot="1">
      <c r="A217" s="8"/>
      <c r="B217" s="8"/>
      <c r="C217" s="10"/>
      <c r="D217" s="10"/>
      <c r="E217" s="10"/>
      <c r="F217" s="10"/>
      <c r="G217" s="8"/>
      <c r="M217" s="2"/>
      <c r="N217" s="2"/>
      <c r="O217" s="2"/>
      <c r="P217" s="2"/>
      <c r="V217" s="3"/>
    </row>
    <row r="218" spans="1:63" s="806" customFormat="1" ht="12.75" hidden="1" customHeight="1" outlineLevel="1" thickTop="1" thickBot="1">
      <c r="A218" s="8"/>
      <c r="B218" s="8"/>
      <c r="C218" s="10"/>
      <c r="D218" s="10"/>
      <c r="E218" s="10"/>
      <c r="F218" s="10"/>
      <c r="G218" s="8"/>
      <c r="I218" s="804" t="s">
        <v>914</v>
      </c>
      <c r="J218" s="2999" t="s">
        <v>2090</v>
      </c>
      <c r="K218" s="3000"/>
      <c r="L218" s="3000"/>
      <c r="M218" s="3000"/>
      <c r="N218" s="3000"/>
      <c r="O218" s="3000"/>
      <c r="P218" s="3000"/>
      <c r="Q218" s="3000"/>
      <c r="R218" s="3001"/>
      <c r="V218" s="3"/>
    </row>
    <row r="219" spans="1:63" s="806" customFormat="1" ht="12.75" hidden="1" customHeight="1" outlineLevel="1" thickTop="1" thickBot="1">
      <c r="A219" s="8"/>
      <c r="B219" s="8"/>
      <c r="C219" s="10"/>
      <c r="D219" s="10"/>
      <c r="E219" s="10"/>
      <c r="F219" s="10"/>
      <c r="G219" s="8"/>
      <c r="J219" s="2999" t="s">
        <v>1079</v>
      </c>
      <c r="K219" s="3000"/>
      <c r="L219" s="3000"/>
      <c r="M219" s="3000"/>
      <c r="N219" s="3000"/>
      <c r="O219" s="3000"/>
      <c r="P219" s="3000"/>
      <c r="Q219" s="3000"/>
      <c r="R219" s="3001"/>
      <c r="V219" s="3"/>
    </row>
    <row r="220" spans="1:63" s="806" customFormat="1" ht="12.75" hidden="1" customHeight="1" outlineLevel="1" thickTop="1">
      <c r="A220" s="8"/>
      <c r="B220" s="8"/>
      <c r="C220" s="10"/>
      <c r="D220" s="10"/>
      <c r="E220" s="10"/>
      <c r="F220" s="10"/>
      <c r="G220" s="8"/>
      <c r="J220" s="261"/>
      <c r="K220" s="261"/>
      <c r="L220" s="261"/>
      <c r="M220" s="2"/>
      <c r="N220" s="2"/>
      <c r="O220" s="2"/>
      <c r="P220" s="2"/>
      <c r="V220" s="3"/>
    </row>
    <row r="221" spans="1:63" s="806" customFormat="1" ht="74.400000000000006" hidden="1" customHeight="1" outlineLevel="1">
      <c r="A221" s="8"/>
      <c r="B221" s="8"/>
      <c r="C221" s="10"/>
      <c r="D221" s="10"/>
      <c r="E221" s="10"/>
      <c r="F221" s="10"/>
      <c r="G221" s="8"/>
      <c r="I221" s="3002" t="s">
        <v>1586</v>
      </c>
      <c r="J221" s="3002"/>
      <c r="K221" s="3002"/>
      <c r="L221" s="3002"/>
      <c r="M221" s="3002"/>
      <c r="N221" s="3002"/>
      <c r="O221" s="3002"/>
      <c r="P221" s="3002"/>
      <c r="Q221" s="3002"/>
      <c r="V221" s="3"/>
    </row>
    <row r="222" spans="1:63" s="806" customFormat="1" ht="12.75" hidden="1" customHeight="1" outlineLevel="1">
      <c r="A222" s="8"/>
      <c r="B222" s="8"/>
      <c r="C222" s="10"/>
      <c r="D222" s="10"/>
      <c r="E222" s="10"/>
      <c r="F222" s="10"/>
      <c r="G222" s="8"/>
      <c r="J222" s="261"/>
      <c r="K222" s="261"/>
      <c r="L222" s="261"/>
      <c r="M222" s="2"/>
      <c r="N222" s="2"/>
      <c r="O222" s="2"/>
      <c r="P222" s="2"/>
      <c r="V222" s="3"/>
    </row>
    <row r="223" spans="1:63" s="260" customFormat="1" ht="12.75" hidden="1" customHeight="1" outlineLevel="1">
      <c r="A223" s="258"/>
      <c r="B223" s="258"/>
      <c r="C223" s="259"/>
      <c r="D223" s="259"/>
      <c r="E223" s="259"/>
      <c r="F223" s="259"/>
      <c r="G223" s="258"/>
      <c r="J223" s="261"/>
      <c r="K223" s="261"/>
      <c r="L223" s="261"/>
      <c r="M223" s="262"/>
      <c r="N223" s="262"/>
      <c r="O223" s="262"/>
      <c r="P223" s="262"/>
      <c r="V223" s="263"/>
    </row>
    <row r="224" spans="1:63" s="806" customFormat="1" ht="18" hidden="1" customHeight="1" outlineLevel="1">
      <c r="A224" s="8"/>
      <c r="B224" s="8"/>
      <c r="C224" s="10"/>
      <c r="D224" s="10"/>
      <c r="E224" s="10"/>
      <c r="F224" s="10"/>
      <c r="G224" s="8"/>
      <c r="I224" s="296" t="s">
        <v>1310</v>
      </c>
      <c r="L224" s="804"/>
      <c r="M224" s="804"/>
      <c r="N224" s="804"/>
      <c r="O224" s="804"/>
      <c r="P224" s="804"/>
      <c r="V224" s="3"/>
    </row>
    <row r="225" spans="1:22" s="806" customFormat="1" ht="12.75" hidden="1" customHeight="1" outlineLevel="1">
      <c r="A225" s="8"/>
      <c r="B225" s="8"/>
      <c r="C225" s="10"/>
      <c r="D225" s="10"/>
      <c r="E225" s="10"/>
      <c r="F225" s="10"/>
      <c r="G225" s="8"/>
      <c r="K225" s="804" t="s">
        <v>301</v>
      </c>
      <c r="L225" s="804" t="s">
        <v>302</v>
      </c>
      <c r="M225" s="804" t="s">
        <v>301</v>
      </c>
      <c r="N225" s="804" t="s">
        <v>302</v>
      </c>
      <c r="O225" s="804" t="s">
        <v>301</v>
      </c>
      <c r="P225" s="804" t="s">
        <v>302</v>
      </c>
      <c r="V225" s="3"/>
    </row>
    <row r="226" spans="1:22" s="806" customFormat="1" ht="12.75" hidden="1" customHeight="1" outlineLevel="1">
      <c r="A226" s="8"/>
      <c r="B226" s="8"/>
      <c r="C226" s="10"/>
      <c r="D226" s="10"/>
      <c r="E226" s="10"/>
      <c r="F226" s="10"/>
      <c r="G226" s="8"/>
      <c r="H226" s="430" t="s">
        <v>8</v>
      </c>
      <c r="I226" s="72" t="s">
        <v>1584</v>
      </c>
      <c r="J226" s="72" t="s">
        <v>1585</v>
      </c>
      <c r="K226" s="18" t="s">
        <v>449</v>
      </c>
      <c r="L226" s="18" t="s">
        <v>450</v>
      </c>
      <c r="M226" s="18" t="s">
        <v>1074</v>
      </c>
      <c r="N226" s="18" t="s">
        <v>1075</v>
      </c>
      <c r="O226" s="18" t="s">
        <v>1076</v>
      </c>
      <c r="P226" s="18" t="s">
        <v>1077</v>
      </c>
      <c r="V226" s="3"/>
    </row>
    <row r="227" spans="1:22" s="806" customFormat="1" ht="12.75" hidden="1" customHeight="1" outlineLevel="1">
      <c r="A227" s="8"/>
      <c r="B227" s="8"/>
      <c r="C227" s="10"/>
      <c r="D227" s="10"/>
      <c r="E227" s="10"/>
      <c r="F227" s="10"/>
      <c r="G227" s="8"/>
      <c r="H227" s="804">
        <v>2018</v>
      </c>
      <c r="I227" s="804" t="s">
        <v>1080</v>
      </c>
      <c r="J227" s="804" t="s">
        <v>1581</v>
      </c>
      <c r="K227" s="251">
        <v>0</v>
      </c>
      <c r="L227" s="251">
        <v>2417881.8670187397</v>
      </c>
      <c r="M227" s="251">
        <v>0</v>
      </c>
      <c r="N227" s="251">
        <v>37238.295662029406</v>
      </c>
      <c r="O227" s="251">
        <v>0</v>
      </c>
      <c r="P227" s="251">
        <v>4082074.2136156103</v>
      </c>
      <c r="V227" s="3"/>
    </row>
    <row r="228" spans="1:22" s="806" customFormat="1" ht="12.75" hidden="1" customHeight="1" outlineLevel="1">
      <c r="A228" s="8"/>
      <c r="B228" s="8"/>
      <c r="C228" s="10"/>
      <c r="D228" s="10"/>
      <c r="E228" s="10"/>
      <c r="F228" s="10"/>
      <c r="G228" s="8"/>
      <c r="H228" s="804">
        <v>2018</v>
      </c>
      <c r="I228" s="804" t="s">
        <v>1080</v>
      </c>
      <c r="J228" s="804" t="s">
        <v>1582</v>
      </c>
      <c r="K228" s="251">
        <v>0</v>
      </c>
      <c r="L228" s="251">
        <v>6653.6840122066587</v>
      </c>
      <c r="M228" s="251">
        <v>0</v>
      </c>
      <c r="N228" s="251">
        <v>0</v>
      </c>
      <c r="O228" s="251">
        <v>0</v>
      </c>
      <c r="P228" s="251">
        <v>0</v>
      </c>
      <c r="V228" s="3"/>
    </row>
    <row r="229" spans="1:22" s="806" customFormat="1" ht="12.75" hidden="1" customHeight="1" outlineLevel="1">
      <c r="A229" s="8"/>
      <c r="B229" s="8"/>
      <c r="C229" s="10"/>
      <c r="D229" s="10"/>
      <c r="E229" s="10"/>
      <c r="F229" s="10"/>
      <c r="G229" s="8"/>
      <c r="H229" s="804">
        <v>2018</v>
      </c>
      <c r="I229" s="804" t="s">
        <v>1080</v>
      </c>
      <c r="J229" s="804" t="s">
        <v>1583</v>
      </c>
      <c r="K229" s="251">
        <v>0</v>
      </c>
      <c r="L229" s="251">
        <v>0</v>
      </c>
      <c r="M229" s="251">
        <v>0</v>
      </c>
      <c r="N229" s="251">
        <v>1276.0386336801046</v>
      </c>
      <c r="O229" s="251">
        <v>0</v>
      </c>
      <c r="P229" s="251">
        <v>6147.2354894923519</v>
      </c>
      <c r="V229" s="3"/>
    </row>
    <row r="230" spans="1:22" s="806" customFormat="1" ht="12.75" hidden="1" customHeight="1" outlineLevel="1">
      <c r="A230" s="8"/>
      <c r="B230" s="8"/>
      <c r="C230" s="10"/>
      <c r="D230" s="10"/>
      <c r="E230" s="10"/>
      <c r="F230" s="10"/>
      <c r="G230" s="8"/>
      <c r="H230" s="804">
        <v>2018</v>
      </c>
      <c r="I230" s="804" t="s">
        <v>1081</v>
      </c>
      <c r="J230" s="804" t="s">
        <v>1581</v>
      </c>
      <c r="K230" s="251">
        <v>13832901.542593725</v>
      </c>
      <c r="L230" s="251">
        <v>0</v>
      </c>
      <c r="M230" s="251">
        <v>505324.96972788021</v>
      </c>
      <c r="N230" s="251">
        <v>0</v>
      </c>
      <c r="O230" s="251">
        <v>8790486.159924509</v>
      </c>
      <c r="P230" s="251">
        <v>0</v>
      </c>
      <c r="V230" s="3"/>
    </row>
    <row r="231" spans="1:22" s="806" customFormat="1" ht="12.75" hidden="1" customHeight="1" outlineLevel="1">
      <c r="A231" s="8"/>
      <c r="B231" s="8"/>
      <c r="C231" s="10"/>
      <c r="D231" s="10"/>
      <c r="E231" s="10"/>
      <c r="F231" s="10"/>
      <c r="G231" s="8"/>
      <c r="H231" s="804">
        <v>2018</v>
      </c>
      <c r="I231" s="804" t="s">
        <v>1081</v>
      </c>
      <c r="J231" s="804" t="s">
        <v>1582</v>
      </c>
      <c r="K231" s="251">
        <v>642559.94722689188</v>
      </c>
      <c r="L231" s="251">
        <v>0</v>
      </c>
      <c r="M231" s="251">
        <v>154096.65679930919</v>
      </c>
      <c r="N231" s="251">
        <v>0</v>
      </c>
      <c r="O231" s="251">
        <v>2277698.1262197131</v>
      </c>
      <c r="P231" s="251">
        <v>0</v>
      </c>
      <c r="V231" s="3"/>
    </row>
    <row r="232" spans="1:22" s="806" customFormat="1" ht="12.75" hidden="1" customHeight="1" outlineLevel="1">
      <c r="A232" s="8"/>
      <c r="B232" s="8"/>
      <c r="C232" s="10"/>
      <c r="D232" s="10"/>
      <c r="E232" s="10"/>
      <c r="F232" s="10"/>
      <c r="G232" s="8"/>
      <c r="H232" s="804">
        <v>2018</v>
      </c>
      <c r="I232" s="804" t="s">
        <v>1081</v>
      </c>
      <c r="J232" s="804" t="s">
        <v>1583</v>
      </c>
      <c r="K232" s="251">
        <v>1493473.0565467475</v>
      </c>
      <c r="L232" s="251">
        <v>0</v>
      </c>
      <c r="M232" s="251">
        <v>314038.3590728108</v>
      </c>
      <c r="N232" s="251">
        <v>0</v>
      </c>
      <c r="O232" s="251">
        <v>875933.79570146918</v>
      </c>
      <c r="P232" s="251">
        <v>0</v>
      </c>
      <c r="V232" s="3"/>
    </row>
    <row r="233" spans="1:22" s="806" customFormat="1" ht="12.75" hidden="1" customHeight="1" outlineLevel="1">
      <c r="A233" s="8"/>
      <c r="B233" s="8"/>
      <c r="C233" s="10"/>
      <c r="D233" s="10"/>
      <c r="E233" s="10"/>
      <c r="F233" s="10"/>
      <c r="G233" s="8"/>
      <c r="H233" s="804">
        <v>2018</v>
      </c>
      <c r="I233" s="804" t="s">
        <v>1082</v>
      </c>
      <c r="J233" s="804" t="s">
        <v>1581</v>
      </c>
      <c r="K233" s="251">
        <v>0</v>
      </c>
      <c r="L233" s="251">
        <v>1213957.3782574364</v>
      </c>
      <c r="M233" s="251">
        <v>0</v>
      </c>
      <c r="N233" s="251">
        <v>8304.7453226229227</v>
      </c>
      <c r="O233" s="251">
        <v>0</v>
      </c>
      <c r="P233" s="251">
        <v>1572966.6368265161</v>
      </c>
      <c r="V233" s="3"/>
    </row>
    <row r="234" spans="1:22" s="806" customFormat="1" ht="12.75" hidden="1" customHeight="1" outlineLevel="1">
      <c r="A234" s="8"/>
      <c r="B234" s="8"/>
      <c r="C234" s="10"/>
      <c r="D234" s="10"/>
      <c r="E234" s="10"/>
      <c r="F234" s="10"/>
      <c r="G234" s="8"/>
      <c r="H234" s="804">
        <v>2018</v>
      </c>
      <c r="I234" s="804" t="s">
        <v>1082</v>
      </c>
      <c r="J234" s="804" t="s">
        <v>1582</v>
      </c>
      <c r="K234" s="251">
        <v>0</v>
      </c>
      <c r="L234" s="251">
        <v>0</v>
      </c>
      <c r="M234" s="251">
        <v>0</v>
      </c>
      <c r="N234" s="251">
        <v>0</v>
      </c>
      <c r="O234" s="251">
        <v>0</v>
      </c>
      <c r="P234" s="251">
        <v>26477.574080461593</v>
      </c>
      <c r="V234" s="3"/>
    </row>
    <row r="235" spans="1:22" s="806" customFormat="1" ht="12.75" hidden="1" customHeight="1" outlineLevel="1">
      <c r="A235" s="8"/>
      <c r="B235" s="8"/>
      <c r="C235" s="10"/>
      <c r="D235" s="10"/>
      <c r="E235" s="10"/>
      <c r="F235" s="10"/>
      <c r="G235" s="8"/>
      <c r="H235" s="804">
        <v>2018</v>
      </c>
      <c r="I235" s="804" t="s">
        <v>1082</v>
      </c>
      <c r="J235" s="804" t="s">
        <v>1583</v>
      </c>
      <c r="K235" s="251">
        <v>0</v>
      </c>
      <c r="L235" s="251">
        <v>109.67611009131819</v>
      </c>
      <c r="M235" s="251">
        <v>0</v>
      </c>
      <c r="N235" s="251">
        <v>556.64729036562403</v>
      </c>
      <c r="O235" s="251">
        <v>0</v>
      </c>
      <c r="P235" s="251">
        <v>1669.341919895091</v>
      </c>
      <c r="V235" s="3"/>
    </row>
    <row r="236" spans="1:22" s="806" customFormat="1" ht="12.75" hidden="1" customHeight="1" outlineLevel="1">
      <c r="A236" s="8"/>
      <c r="B236" s="8"/>
      <c r="C236" s="10"/>
      <c r="D236" s="10"/>
      <c r="E236" s="10"/>
      <c r="F236" s="10"/>
      <c r="G236" s="8"/>
      <c r="H236" s="804">
        <v>2018</v>
      </c>
      <c r="I236" s="804" t="s">
        <v>1083</v>
      </c>
      <c r="J236" s="804" t="s">
        <v>1581</v>
      </c>
      <c r="K236" s="251">
        <v>0</v>
      </c>
      <c r="L236" s="251">
        <v>6455794.0641677929</v>
      </c>
      <c r="M236" s="251">
        <v>0</v>
      </c>
      <c r="N236" s="251">
        <v>62001.950599662996</v>
      </c>
      <c r="O236" s="251">
        <v>0</v>
      </c>
      <c r="P236" s="251">
        <v>2590882.6114138886</v>
      </c>
      <c r="V236" s="3"/>
    </row>
    <row r="237" spans="1:22" s="806" customFormat="1" ht="12.75" hidden="1" customHeight="1" outlineLevel="1">
      <c r="A237" s="8"/>
      <c r="B237" s="8"/>
      <c r="C237" s="10"/>
      <c r="D237" s="10"/>
      <c r="E237" s="10"/>
      <c r="F237" s="10"/>
      <c r="G237" s="8"/>
      <c r="H237" s="804">
        <v>2018</v>
      </c>
      <c r="I237" s="804" t="s">
        <v>1083</v>
      </c>
      <c r="J237" s="804" t="s">
        <v>1582</v>
      </c>
      <c r="K237" s="251">
        <v>0</v>
      </c>
      <c r="L237" s="251">
        <v>799642.42398185295</v>
      </c>
      <c r="M237" s="251">
        <v>0</v>
      </c>
      <c r="N237" s="251">
        <v>11955.642046748917</v>
      </c>
      <c r="O237" s="251">
        <v>0</v>
      </c>
      <c r="P237" s="251">
        <v>244341.92678393074</v>
      </c>
      <c r="V237" s="3"/>
    </row>
    <row r="238" spans="1:22" s="806" customFormat="1" ht="12.75" hidden="1" customHeight="1" outlineLevel="1">
      <c r="A238" s="8"/>
      <c r="B238" s="8"/>
      <c r="C238" s="10"/>
      <c r="D238" s="10"/>
      <c r="E238" s="10"/>
      <c r="F238" s="10"/>
      <c r="G238" s="8"/>
      <c r="H238" s="804">
        <v>2018</v>
      </c>
      <c r="I238" s="804" t="s">
        <v>1083</v>
      </c>
      <c r="J238" s="804" t="s">
        <v>1583</v>
      </c>
      <c r="K238" s="251">
        <v>0</v>
      </c>
      <c r="L238" s="251">
        <v>70722.330662554145</v>
      </c>
      <c r="M238" s="251">
        <v>0</v>
      </c>
      <c r="N238" s="251">
        <v>2.0525897517919942</v>
      </c>
      <c r="O238" s="251">
        <v>0</v>
      </c>
      <c r="P238" s="251">
        <v>175830.32970160709</v>
      </c>
      <c r="V238" s="3"/>
    </row>
    <row r="239" spans="1:22" s="806" customFormat="1" ht="12.75" hidden="1" customHeight="1" outlineLevel="1">
      <c r="A239" s="8"/>
      <c r="B239" s="8"/>
      <c r="C239" s="10"/>
      <c r="D239" s="10"/>
      <c r="E239" s="10"/>
      <c r="F239" s="10"/>
      <c r="G239" s="8"/>
      <c r="H239" s="804"/>
      <c r="I239" s="804"/>
      <c r="J239" s="804"/>
      <c r="K239" s="251">
        <f t="shared" ref="K239:P239" si="34">SUM(K227:K238)</f>
        <v>15968934.546367364</v>
      </c>
      <c r="L239" s="251">
        <f t="shared" si="34"/>
        <v>10964761.424210673</v>
      </c>
      <c r="M239" s="251">
        <f t="shared" si="34"/>
        <v>973459.98560000025</v>
      </c>
      <c r="N239" s="251">
        <f t="shared" si="34"/>
        <v>121335.37214486177</v>
      </c>
      <c r="O239" s="251">
        <f t="shared" si="34"/>
        <v>11944118.081845691</v>
      </c>
      <c r="P239" s="251">
        <f t="shared" si="34"/>
        <v>8700389.8698314019</v>
      </c>
      <c r="Q239" s="155">
        <v>2018</v>
      </c>
      <c r="V239" s="3"/>
    </row>
    <row r="240" spans="1:22" s="806" customFormat="1" ht="12.75" hidden="1" customHeight="1" outlineLevel="1">
      <c r="A240" s="8"/>
      <c r="B240" s="8"/>
      <c r="C240" s="10"/>
      <c r="D240" s="10"/>
      <c r="E240" s="10"/>
      <c r="F240" s="10"/>
      <c r="G240" s="8"/>
      <c r="H240" s="804"/>
      <c r="I240" s="804"/>
      <c r="J240" s="804"/>
      <c r="K240" s="804"/>
      <c r="L240" s="804"/>
      <c r="M240" s="804"/>
      <c r="N240" s="804"/>
      <c r="O240" s="804"/>
      <c r="P240" s="804"/>
      <c r="V240" s="3"/>
    </row>
    <row r="241" spans="1:22" s="806" customFormat="1" ht="18.600000000000001" hidden="1" customHeight="1" outlineLevel="1">
      <c r="A241" s="8"/>
      <c r="B241" s="8"/>
      <c r="C241" s="10"/>
      <c r="D241" s="10"/>
      <c r="E241" s="10"/>
      <c r="F241" s="10"/>
      <c r="G241" s="8"/>
      <c r="H241" s="804"/>
      <c r="I241" s="296" t="s">
        <v>1311</v>
      </c>
      <c r="J241" s="804"/>
      <c r="K241" s="804"/>
      <c r="L241" s="804"/>
      <c r="M241" s="804"/>
      <c r="N241" s="804"/>
      <c r="O241" s="804"/>
      <c r="P241" s="804"/>
      <c r="V241" s="3"/>
    </row>
    <row r="242" spans="1:22" s="806" customFormat="1" ht="12.75" hidden="1" customHeight="1" outlineLevel="1">
      <c r="A242" s="8"/>
      <c r="B242" s="8"/>
      <c r="C242" s="10"/>
      <c r="D242" s="10"/>
      <c r="E242" s="10"/>
      <c r="F242" s="10"/>
      <c r="G242" s="8"/>
      <c r="H242" s="804"/>
      <c r="I242" s="804"/>
      <c r="J242" s="804"/>
      <c r="K242" s="804" t="s">
        <v>301</v>
      </c>
      <c r="L242" s="804" t="s">
        <v>302</v>
      </c>
      <c r="M242" s="804" t="s">
        <v>301</v>
      </c>
      <c r="N242" s="804" t="s">
        <v>302</v>
      </c>
      <c r="O242" s="804" t="s">
        <v>301</v>
      </c>
      <c r="P242" s="804" t="s">
        <v>302</v>
      </c>
      <c r="V242" s="3"/>
    </row>
    <row r="243" spans="1:22" s="806" customFormat="1" ht="12.75" hidden="1" customHeight="1" outlineLevel="1">
      <c r="A243" s="8"/>
      <c r="B243" s="8"/>
      <c r="C243" s="10"/>
      <c r="D243" s="10"/>
      <c r="E243" s="10"/>
      <c r="F243" s="10"/>
      <c r="G243" s="8"/>
      <c r="H243" s="430" t="s">
        <v>8</v>
      </c>
      <c r="I243" s="72" t="s">
        <v>1584</v>
      </c>
      <c r="J243" s="72" t="s">
        <v>1585</v>
      </c>
      <c r="K243" s="18" t="s">
        <v>449</v>
      </c>
      <c r="L243" s="18" t="s">
        <v>450</v>
      </c>
      <c r="M243" s="18" t="s">
        <v>1074</v>
      </c>
      <c r="N243" s="18" t="s">
        <v>1075</v>
      </c>
      <c r="O243" s="18" t="s">
        <v>1076</v>
      </c>
      <c r="P243" s="18" t="s">
        <v>1077</v>
      </c>
      <c r="V243" s="3"/>
    </row>
    <row r="244" spans="1:22" s="806" customFormat="1" ht="12.75" hidden="1" customHeight="1" outlineLevel="1">
      <c r="A244" s="8"/>
      <c r="B244" s="8"/>
      <c r="C244" s="10"/>
      <c r="D244" s="10"/>
      <c r="E244" s="10"/>
      <c r="F244" s="10"/>
      <c r="G244" s="8"/>
      <c r="H244" s="804">
        <v>2019</v>
      </c>
      <c r="I244" s="804" t="s">
        <v>1080</v>
      </c>
      <c r="J244" s="804" t="s">
        <v>1581</v>
      </c>
      <c r="K244" s="251">
        <v>0</v>
      </c>
      <c r="L244" s="251">
        <v>2168097.2083048797</v>
      </c>
      <c r="M244" s="251">
        <v>0</v>
      </c>
      <c r="N244" s="251">
        <v>31611.755476064369</v>
      </c>
      <c r="O244" s="251">
        <v>0</v>
      </c>
      <c r="P244" s="251">
        <v>4073358.1785822278</v>
      </c>
      <c r="V244" s="3"/>
    </row>
    <row r="245" spans="1:22" s="806" customFormat="1" ht="12.75" hidden="1" customHeight="1" outlineLevel="1">
      <c r="A245" s="8"/>
      <c r="B245" s="8"/>
      <c r="C245" s="10"/>
      <c r="D245" s="10"/>
      <c r="E245" s="10"/>
      <c r="F245" s="10"/>
      <c r="G245" s="8"/>
      <c r="H245" s="804">
        <v>2019</v>
      </c>
      <c r="I245" s="804" t="s">
        <v>1080</v>
      </c>
      <c r="J245" s="804" t="s">
        <v>1582</v>
      </c>
      <c r="K245" s="251">
        <v>0</v>
      </c>
      <c r="L245" s="251">
        <v>5966.3104010929992</v>
      </c>
      <c r="M245" s="251">
        <v>0</v>
      </c>
      <c r="N245" s="251">
        <v>0</v>
      </c>
      <c r="O245" s="251">
        <v>0</v>
      </c>
      <c r="P245" s="251">
        <v>0</v>
      </c>
      <c r="V245" s="3"/>
    </row>
    <row r="246" spans="1:22" s="806" customFormat="1" ht="12.75" hidden="1" customHeight="1" outlineLevel="1">
      <c r="A246" s="8"/>
      <c r="B246" s="8"/>
      <c r="C246" s="10"/>
      <c r="D246" s="10"/>
      <c r="E246" s="10"/>
      <c r="F246" s="10"/>
      <c r="G246" s="8"/>
      <c r="H246" s="804">
        <v>2019</v>
      </c>
      <c r="I246" s="804" t="s">
        <v>1080</v>
      </c>
      <c r="J246" s="804" t="s">
        <v>1583</v>
      </c>
      <c r="K246" s="251">
        <v>0</v>
      </c>
      <c r="L246" s="251">
        <v>0</v>
      </c>
      <c r="M246" s="251">
        <v>0</v>
      </c>
      <c r="N246" s="251">
        <v>1083.2348943143984</v>
      </c>
      <c r="O246" s="251">
        <v>0</v>
      </c>
      <c r="P246" s="251">
        <v>6134.1099270745608</v>
      </c>
      <c r="V246" s="3"/>
    </row>
    <row r="247" spans="1:22" s="806" customFormat="1" ht="12.75" hidden="1" customHeight="1" outlineLevel="1">
      <c r="A247" s="8"/>
      <c r="B247" s="8"/>
      <c r="C247" s="10"/>
      <c r="D247" s="10"/>
      <c r="E247" s="10"/>
      <c r="F247" s="10"/>
      <c r="G247" s="8"/>
      <c r="H247" s="804">
        <v>2019</v>
      </c>
      <c r="I247" s="804" t="s">
        <v>1081</v>
      </c>
      <c r="J247" s="804" t="s">
        <v>1581</v>
      </c>
      <c r="K247" s="251">
        <v>13789223.976196323</v>
      </c>
      <c r="L247" s="251">
        <v>0</v>
      </c>
      <c r="M247" s="251">
        <v>243039.13903782709</v>
      </c>
      <c r="N247" s="251">
        <v>0</v>
      </c>
      <c r="O247" s="251">
        <v>8771716.7350387946</v>
      </c>
      <c r="P247" s="251">
        <v>0</v>
      </c>
      <c r="V247" s="3"/>
    </row>
    <row r="248" spans="1:22" s="806" customFormat="1" ht="12.75" hidden="1" customHeight="1" outlineLevel="1">
      <c r="A248" s="8"/>
      <c r="B248" s="8"/>
      <c r="C248" s="10"/>
      <c r="D248" s="10"/>
      <c r="E248" s="10"/>
      <c r="F248" s="10"/>
      <c r="G248" s="8"/>
      <c r="H248" s="804">
        <v>2019</v>
      </c>
      <c r="I248" s="804" t="s">
        <v>1081</v>
      </c>
      <c r="J248" s="804" t="s">
        <v>1582</v>
      </c>
      <c r="K248" s="251">
        <v>640531.05584261531</v>
      </c>
      <c r="L248" s="251">
        <v>0</v>
      </c>
      <c r="M248" s="251">
        <v>74113.730847853105</v>
      </c>
      <c r="N248" s="251">
        <v>0</v>
      </c>
      <c r="O248" s="251">
        <v>2272834.7906641313</v>
      </c>
      <c r="P248" s="251">
        <v>0</v>
      </c>
      <c r="V248" s="3"/>
    </row>
    <row r="249" spans="1:22" s="806" customFormat="1" ht="12.75" hidden="1" customHeight="1" outlineLevel="1">
      <c r="A249" s="8"/>
      <c r="B249" s="8"/>
      <c r="C249" s="10"/>
      <c r="D249" s="10"/>
      <c r="E249" s="10"/>
      <c r="F249" s="10"/>
      <c r="G249" s="8"/>
      <c r="H249" s="804">
        <v>2019</v>
      </c>
      <c r="I249" s="804" t="s">
        <v>1081</v>
      </c>
      <c r="J249" s="804" t="s">
        <v>1583</v>
      </c>
      <c r="K249" s="251">
        <v>1488757.3959610637</v>
      </c>
      <c r="L249" s="251">
        <v>0</v>
      </c>
      <c r="M249" s="251">
        <v>151038.6721143199</v>
      </c>
      <c r="N249" s="251">
        <v>0</v>
      </c>
      <c r="O249" s="251">
        <v>874063.50396968436</v>
      </c>
      <c r="P249" s="251">
        <v>0</v>
      </c>
      <c r="V249" s="3"/>
    </row>
    <row r="250" spans="1:22" s="806" customFormat="1" ht="12.75" hidden="1" customHeight="1" outlineLevel="1">
      <c r="A250" s="8"/>
      <c r="B250" s="8"/>
      <c r="C250" s="10"/>
      <c r="D250" s="10"/>
      <c r="E250" s="10"/>
      <c r="F250" s="10"/>
      <c r="G250" s="8"/>
      <c r="H250" s="804">
        <v>2019</v>
      </c>
      <c r="I250" s="804" t="s">
        <v>1082</v>
      </c>
      <c r="J250" s="804" t="s">
        <v>1581</v>
      </c>
      <c r="K250" s="251">
        <v>0</v>
      </c>
      <c r="L250" s="251">
        <v>1088546.8139294581</v>
      </c>
      <c r="M250" s="251">
        <v>0</v>
      </c>
      <c r="N250" s="251">
        <v>7049.9353894285596</v>
      </c>
      <c r="O250" s="251">
        <v>0</v>
      </c>
      <c r="P250" s="251">
        <v>1569608.0422504565</v>
      </c>
      <c r="V250" s="3"/>
    </row>
    <row r="251" spans="1:22" s="806" customFormat="1" ht="12.75" hidden="1" customHeight="1" outlineLevel="1">
      <c r="A251" s="8"/>
      <c r="B251" s="8"/>
      <c r="C251" s="10"/>
      <c r="D251" s="10"/>
      <c r="E251" s="10"/>
      <c r="F251" s="10"/>
      <c r="G251" s="8"/>
      <c r="H251" s="804">
        <v>2019</v>
      </c>
      <c r="I251" s="804" t="s">
        <v>1082</v>
      </c>
      <c r="J251" s="804" t="s">
        <v>1582</v>
      </c>
      <c r="K251" s="251">
        <v>0</v>
      </c>
      <c r="L251" s="251">
        <v>0</v>
      </c>
      <c r="M251" s="251">
        <v>0</v>
      </c>
      <c r="N251" s="251">
        <v>0</v>
      </c>
      <c r="O251" s="251">
        <v>0</v>
      </c>
      <c r="P251" s="251">
        <v>26421.039228029331</v>
      </c>
      <c r="V251" s="3"/>
    </row>
    <row r="252" spans="1:22" s="806" customFormat="1" ht="12.75" hidden="1" customHeight="1" outlineLevel="1">
      <c r="A252" s="8"/>
      <c r="B252" s="8"/>
      <c r="C252" s="10"/>
      <c r="D252" s="10"/>
      <c r="E252" s="10"/>
      <c r="F252" s="10"/>
      <c r="G252" s="8"/>
      <c r="H252" s="804">
        <v>2019</v>
      </c>
      <c r="I252" s="804" t="s">
        <v>1082</v>
      </c>
      <c r="J252" s="804" t="s">
        <v>1583</v>
      </c>
      <c r="K252" s="251">
        <v>0</v>
      </c>
      <c r="L252" s="251">
        <v>98.345775842191969</v>
      </c>
      <c r="M252" s="251">
        <v>0</v>
      </c>
      <c r="N252" s="251">
        <v>472.54037051417862</v>
      </c>
      <c r="O252" s="251">
        <v>0</v>
      </c>
      <c r="P252" s="251">
        <v>1665.7775450466452</v>
      </c>
      <c r="V252" s="3"/>
    </row>
    <row r="253" spans="1:22" s="806" customFormat="1" ht="12.75" hidden="1" customHeight="1" outlineLevel="1">
      <c r="A253" s="8"/>
      <c r="B253" s="8"/>
      <c r="C253" s="10"/>
      <c r="D253" s="10"/>
      <c r="E253" s="10"/>
      <c r="F253" s="10"/>
      <c r="G253" s="8"/>
      <c r="H253" s="804">
        <v>2019</v>
      </c>
      <c r="I253" s="804" t="s">
        <v>1083</v>
      </c>
      <c r="J253" s="804" t="s">
        <v>1581</v>
      </c>
      <c r="K253" s="251">
        <v>0</v>
      </c>
      <c r="L253" s="251">
        <v>5788863.9138402212</v>
      </c>
      <c r="M253" s="251">
        <v>0</v>
      </c>
      <c r="N253" s="251">
        <v>52633.732735359939</v>
      </c>
      <c r="O253" s="251">
        <v>0</v>
      </c>
      <c r="P253" s="251">
        <v>2585350.5650995071</v>
      </c>
      <c r="V253" s="3"/>
    </row>
    <row r="254" spans="1:22" s="806" customFormat="1" ht="12.75" hidden="1" customHeight="1" outlineLevel="1">
      <c r="A254" s="8"/>
      <c r="B254" s="8"/>
      <c r="C254" s="10"/>
      <c r="D254" s="10"/>
      <c r="E254" s="10"/>
      <c r="F254" s="10"/>
      <c r="G254" s="8"/>
      <c r="H254" s="804">
        <v>2019</v>
      </c>
      <c r="I254" s="804" t="s">
        <v>1083</v>
      </c>
      <c r="J254" s="804" t="s">
        <v>1582</v>
      </c>
      <c r="K254" s="251">
        <v>0</v>
      </c>
      <c r="L254" s="251">
        <v>717033.58659737406</v>
      </c>
      <c r="M254" s="251">
        <v>0</v>
      </c>
      <c r="N254" s="251">
        <v>10149.197921712392</v>
      </c>
      <c r="O254" s="251">
        <v>0</v>
      </c>
      <c r="P254" s="251">
        <v>243820.20849011102</v>
      </c>
      <c r="V254" s="3"/>
    </row>
    <row r="255" spans="1:22" s="806" customFormat="1" ht="12.75" hidden="1" customHeight="1" outlineLevel="1">
      <c r="A255" s="8"/>
      <c r="B255" s="8"/>
      <c r="C255" s="10"/>
      <c r="D255" s="10"/>
      <c r="E255" s="10"/>
      <c r="F255" s="10"/>
      <c r="G255" s="8"/>
      <c r="H255" s="804">
        <v>2019</v>
      </c>
      <c r="I255" s="804" t="s">
        <v>1083</v>
      </c>
      <c r="J255" s="804" t="s">
        <v>1583</v>
      </c>
      <c r="K255" s="251">
        <v>0</v>
      </c>
      <c r="L255" s="251">
        <v>63416.203151131784</v>
      </c>
      <c r="M255" s="251">
        <v>0</v>
      </c>
      <c r="N255" s="251">
        <v>1.7424526061885839</v>
      </c>
      <c r="O255" s="251">
        <v>0</v>
      </c>
      <c r="P255" s="251">
        <v>175454.89720493698</v>
      </c>
      <c r="V255" s="3"/>
    </row>
    <row r="256" spans="1:22" s="806" customFormat="1" ht="12.75" hidden="1" customHeight="1" outlineLevel="1">
      <c r="A256" s="8"/>
      <c r="B256" s="8"/>
      <c r="C256" s="10"/>
      <c r="D256" s="10"/>
      <c r="E256" s="10"/>
      <c r="F256" s="10"/>
      <c r="G256" s="8"/>
      <c r="K256" s="251">
        <f t="shared" ref="K256:P256" si="35">SUM(K244:K255)</f>
        <v>15918512.428000001</v>
      </c>
      <c r="L256" s="251">
        <f t="shared" si="35"/>
        <v>9832022.3819999993</v>
      </c>
      <c r="M256" s="251">
        <f t="shared" si="35"/>
        <v>468191.54200000013</v>
      </c>
      <c r="N256" s="251">
        <f t="shared" si="35"/>
        <v>103002.13924000003</v>
      </c>
      <c r="O256" s="251">
        <f t="shared" si="35"/>
        <v>11918615.02967261</v>
      </c>
      <c r="P256" s="251">
        <f t="shared" si="35"/>
        <v>8681812.8183273915</v>
      </c>
      <c r="Q256" s="155">
        <v>2019</v>
      </c>
      <c r="V256" s="3"/>
    </row>
    <row r="257" spans="1:37" s="806" customFormat="1" ht="12.75" hidden="1" customHeight="1" outlineLevel="1">
      <c r="A257" s="8"/>
      <c r="B257" s="8"/>
      <c r="C257" s="10"/>
      <c r="D257" s="10"/>
      <c r="E257" s="10"/>
      <c r="F257" s="10"/>
      <c r="G257" s="8"/>
      <c r="M257" s="2"/>
      <c r="N257" s="2"/>
      <c r="O257" s="2"/>
      <c r="P257" s="2"/>
      <c r="V257" s="3"/>
    </row>
    <row r="258" spans="1:37" s="806" customFormat="1" ht="12.75" hidden="1" customHeight="1" outlineLevel="1">
      <c r="A258" s="8"/>
      <c r="B258" s="8"/>
      <c r="C258" s="10"/>
      <c r="D258" s="10"/>
      <c r="E258" s="10"/>
      <c r="F258" s="10"/>
      <c r="G258" s="8"/>
      <c r="M258" s="2"/>
      <c r="N258" s="2"/>
      <c r="O258" s="2"/>
      <c r="P258" s="2"/>
      <c r="V258" s="3"/>
    </row>
    <row r="259" spans="1:37" s="806" customFormat="1" ht="30" hidden="1" customHeight="1" outlineLevel="1" thickBot="1">
      <c r="A259" s="8"/>
      <c r="B259" s="8"/>
      <c r="C259" s="10"/>
      <c r="D259" s="10"/>
      <c r="E259" s="10"/>
      <c r="F259" s="10"/>
      <c r="G259" s="8"/>
      <c r="H259" s="90" t="s">
        <v>931</v>
      </c>
      <c r="I259" s="90"/>
      <c r="J259" s="90"/>
      <c r="K259" s="90"/>
      <c r="L259" s="90"/>
      <c r="M259" s="90"/>
      <c r="N259" s="90"/>
      <c r="O259" s="90"/>
      <c r="P259" s="90"/>
      <c r="Q259" s="90"/>
      <c r="R259" s="90"/>
      <c r="S259" s="90"/>
      <c r="T259" s="90"/>
      <c r="U259" s="90"/>
      <c r="V259" s="90"/>
    </row>
    <row r="260" spans="1:37" s="806" customFormat="1" ht="17.25" hidden="1" customHeight="1" outlineLevel="1" thickTop="1">
      <c r="A260" s="8"/>
      <c r="B260" s="8"/>
      <c r="C260" s="10"/>
      <c r="D260" s="10"/>
      <c r="E260" s="10"/>
      <c r="F260" s="10"/>
      <c r="G260" s="8"/>
      <c r="H260" s="75"/>
      <c r="I260" s="75"/>
      <c r="J260" s="75"/>
      <c r="K260" s="75"/>
      <c r="L260" s="75"/>
      <c r="M260" s="75"/>
      <c r="N260" s="75"/>
      <c r="O260" s="75"/>
      <c r="P260" s="75"/>
      <c r="Q260" s="75"/>
      <c r="R260" s="75"/>
      <c r="S260" s="75"/>
      <c r="T260" s="75"/>
      <c r="U260" s="75"/>
      <c r="V260" s="75"/>
    </row>
    <row r="261" spans="1:37" s="806" customFormat="1" ht="51" hidden="1" customHeight="1" outlineLevel="1">
      <c r="A261" s="8"/>
      <c r="B261" s="8"/>
      <c r="C261" s="10"/>
      <c r="D261" s="10"/>
      <c r="E261" s="10"/>
      <c r="F261" s="10"/>
      <c r="G261" s="8"/>
      <c r="H261" s="2998" t="s">
        <v>2091</v>
      </c>
      <c r="I261" s="2998"/>
      <c r="J261" s="2998"/>
      <c r="K261" s="2998"/>
      <c r="L261" s="2998"/>
      <c r="M261" s="2998"/>
      <c r="N261" s="2998"/>
      <c r="O261" s="2998"/>
      <c r="P261" s="2998"/>
      <c r="Q261" s="2998"/>
      <c r="R261" s="2998"/>
      <c r="S261" s="2998"/>
      <c r="T261" s="75"/>
      <c r="U261" s="75"/>
      <c r="V261" s="75"/>
    </row>
    <row r="262" spans="1:37" s="806" customFormat="1" ht="17.25" hidden="1" customHeight="1" outlineLevel="1" thickBot="1">
      <c r="A262" s="8"/>
      <c r="B262" s="8"/>
      <c r="C262" s="10"/>
      <c r="D262" s="10"/>
      <c r="E262" s="10"/>
      <c r="F262" s="10"/>
      <c r="G262" s="8"/>
      <c r="H262" s="75"/>
      <c r="I262" s="75"/>
      <c r="J262" s="75"/>
      <c r="K262" s="75"/>
      <c r="L262" s="75"/>
      <c r="M262" s="75"/>
      <c r="N262" s="75"/>
      <c r="O262" s="75"/>
      <c r="P262" s="75"/>
      <c r="Q262" s="75"/>
      <c r="R262" s="75"/>
      <c r="S262" s="75"/>
      <c r="T262" s="75"/>
      <c r="U262" s="75"/>
      <c r="V262" s="75"/>
    </row>
    <row r="263" spans="1:37" s="806" customFormat="1" ht="48" hidden="1" outlineLevel="1" thickBot="1">
      <c r="A263" s="8"/>
      <c r="B263" s="8"/>
      <c r="C263" s="10"/>
      <c r="D263" s="10"/>
      <c r="E263" s="10"/>
      <c r="F263" s="10"/>
      <c r="G263" s="8"/>
      <c r="H263" s="75"/>
      <c r="I263" s="805"/>
      <c r="J263" s="805"/>
      <c r="K263" s="804" t="s">
        <v>914</v>
      </c>
      <c r="L263" s="804" t="s">
        <v>914</v>
      </c>
      <c r="M263" s="805"/>
      <c r="N263" s="805"/>
      <c r="O263" s="805"/>
      <c r="P263" s="1270" t="s">
        <v>2092</v>
      </c>
      <c r="Q263" s="1271" t="s">
        <v>2093</v>
      </c>
      <c r="R263" s="1272"/>
      <c r="S263" s="1271" t="s">
        <v>2094</v>
      </c>
      <c r="W263" s="805"/>
      <c r="X263" s="805"/>
      <c r="Y263" s="805"/>
      <c r="Z263" s="805"/>
      <c r="AA263" s="805"/>
      <c r="AB263" s="805"/>
      <c r="AC263" s="805"/>
      <c r="AD263" s="805"/>
      <c r="AE263" s="805"/>
      <c r="AF263" s="805"/>
      <c r="AG263" s="805"/>
      <c r="AH263" s="805"/>
      <c r="AI263" s="805"/>
      <c r="AJ263" s="805"/>
      <c r="AK263" s="805"/>
    </row>
    <row r="264" spans="1:37" s="806" customFormat="1" ht="16.5" hidden="1" customHeight="1" outlineLevel="1" thickTop="1" thickBot="1">
      <c r="A264" s="8"/>
      <c r="B264" s="8"/>
      <c r="C264" s="10"/>
      <c r="D264" s="10"/>
      <c r="E264" s="10"/>
      <c r="F264" s="10"/>
      <c r="G264" s="8"/>
      <c r="H264" s="76"/>
      <c r="I264" s="76"/>
      <c r="J264" s="77" t="s">
        <v>2095</v>
      </c>
      <c r="K264" s="949" t="s">
        <v>2096</v>
      </c>
      <c r="L264" s="949" t="s">
        <v>2097</v>
      </c>
      <c r="M264" s="77"/>
      <c r="N264" s="1273"/>
      <c r="O264" s="4"/>
      <c r="P264" s="78" t="s">
        <v>301</v>
      </c>
      <c r="Q264" s="79" t="s">
        <v>302</v>
      </c>
      <c r="R264" s="80"/>
      <c r="S264" s="1274" t="s">
        <v>301</v>
      </c>
      <c r="W264" s="4"/>
      <c r="X264" s="4"/>
      <c r="Y264" s="4"/>
      <c r="Z264" s="4"/>
      <c r="AA264" s="4"/>
      <c r="AB264" s="4"/>
      <c r="AC264" s="4"/>
      <c r="AD264" s="4"/>
      <c r="AE264" s="4"/>
      <c r="AF264" s="4"/>
      <c r="AG264" s="4"/>
      <c r="AH264" s="4"/>
      <c r="AI264" s="4"/>
      <c r="AJ264" s="4"/>
      <c r="AK264" s="4"/>
    </row>
    <row r="265" spans="1:37" s="806" customFormat="1" ht="37.5" hidden="1" customHeight="1" outlineLevel="1" thickTop="1" thickBot="1">
      <c r="A265" s="8"/>
      <c r="B265" s="8"/>
      <c r="C265" s="10"/>
      <c r="D265" s="10"/>
      <c r="E265" s="10"/>
      <c r="F265" s="10"/>
      <c r="G265" s="8"/>
      <c r="H265" s="74" t="s">
        <v>303</v>
      </c>
      <c r="I265" s="74"/>
      <c r="J265" s="81" t="s">
        <v>2098</v>
      </c>
      <c r="K265" s="77" t="s">
        <v>2099</v>
      </c>
      <c r="L265" s="77" t="s">
        <v>2100</v>
      </c>
      <c r="M265" s="81"/>
      <c r="N265" s="82" t="s">
        <v>304</v>
      </c>
      <c r="P265" s="1275">
        <f>SUMIF($O$266:$O$280,P$264,$N$266:$N$280)</f>
        <v>2.8102135209586514</v>
      </c>
      <c r="Q265" s="1275">
        <f>SUMIF($O$266:$O$280,Q$264,$N$266:$N$280)</f>
        <v>10.217843948316546</v>
      </c>
      <c r="R265" s="1277"/>
      <c r="S265" s="1276">
        <f>SUMPRODUCT(M269:M271,K269:K271)</f>
        <v>4.2336423096313567</v>
      </c>
    </row>
    <row r="266" spans="1:37" s="806" customFormat="1" ht="12.75" hidden="1" customHeight="1" outlineLevel="1">
      <c r="A266" s="8"/>
      <c r="B266" s="8"/>
      <c r="C266" s="10"/>
      <c r="D266" s="10"/>
      <c r="E266" s="10"/>
      <c r="F266" s="10"/>
      <c r="G266" s="8"/>
      <c r="H266" s="1351" t="s">
        <v>2101</v>
      </c>
      <c r="I266" s="1352"/>
      <c r="J266" s="1353">
        <v>8.1081096380314688E-2</v>
      </c>
      <c r="K266" s="1353"/>
      <c r="L266" s="1354">
        <f t="shared" ref="L266:L280" si="36">AI298</f>
        <v>11.170597062375409</v>
      </c>
      <c r="M266" s="1349">
        <f>IF(O266="GP",$J266/SUMIFS($J$266:$J$280,$O$266:$O$280,"GP"),$J266/SUMIFS($J$266:$J$280,$O$266:$O$280,"SP"))</f>
        <v>0.22664341870244981</v>
      </c>
      <c r="N266" s="1355">
        <f>IFERROR(L266*M266,0)</f>
        <v>2.5317423071643055</v>
      </c>
      <c r="O266" s="180" t="s">
        <v>302</v>
      </c>
      <c r="P266" s="806" t="s">
        <v>305</v>
      </c>
      <c r="Q266" s="806" t="s">
        <v>305</v>
      </c>
      <c r="S266" s="806" t="s">
        <v>305</v>
      </c>
    </row>
    <row r="267" spans="1:37" s="806" customFormat="1" ht="12.75" hidden="1" customHeight="1" outlineLevel="1">
      <c r="A267" s="8"/>
      <c r="B267" s="8"/>
      <c r="C267" s="10"/>
      <c r="D267" s="10"/>
      <c r="E267" s="10"/>
      <c r="F267" s="10"/>
      <c r="G267" s="8"/>
      <c r="H267" s="1356" t="s">
        <v>2102</v>
      </c>
      <c r="I267" s="1357"/>
      <c r="J267" s="1358">
        <v>2.2238302428260096E-2</v>
      </c>
      <c r="K267" s="1358"/>
      <c r="L267" s="1359">
        <f>AI299</f>
        <v>7.3726267527105973</v>
      </c>
      <c r="M267" s="1350">
        <f t="shared" ref="M267:M280" si="37">IF(O267="GP",$J267/SUMIFS($J$266:$J$280,$O$266:$O$280,"GP"),$J267/SUMIFS($J$266:$J$280,$O$266:$O$280,"SP"))</f>
        <v>6.2162021895198961E-2</v>
      </c>
      <c r="N267" s="1360">
        <f t="shared" ref="N267:N280" si="38">IFERROR(L267*M267,0)</f>
        <v>0.45829738562712574</v>
      </c>
      <c r="O267" s="180" t="s">
        <v>302</v>
      </c>
    </row>
    <row r="268" spans="1:37" s="806" customFormat="1" ht="12.75" hidden="1" customHeight="1" outlineLevel="1">
      <c r="A268" s="8"/>
      <c r="B268" s="8"/>
      <c r="C268" s="10"/>
      <c r="D268" s="10"/>
      <c r="E268" s="10"/>
      <c r="F268" s="10"/>
      <c r="G268" s="8"/>
      <c r="H268" s="1356" t="s">
        <v>2103</v>
      </c>
      <c r="I268" s="1357"/>
      <c r="J268" s="1358">
        <v>4.3690429447174121E-4</v>
      </c>
      <c r="K268" s="1358"/>
      <c r="L268" s="1359"/>
      <c r="M268" s="1350">
        <f t="shared" si="37"/>
        <v>1.2212647258787962E-3</v>
      </c>
      <c r="N268" s="1360">
        <f t="shared" si="38"/>
        <v>0</v>
      </c>
      <c r="O268" s="180" t="s">
        <v>302</v>
      </c>
    </row>
    <row r="269" spans="1:37" s="806" customFormat="1" ht="12.75" hidden="1" customHeight="1" outlineLevel="1">
      <c r="A269" s="8"/>
      <c r="B269" s="8"/>
      <c r="C269" s="10"/>
      <c r="D269" s="10"/>
      <c r="E269" s="10"/>
      <c r="F269" s="10"/>
      <c r="G269" s="8"/>
      <c r="H269" s="1361" t="s">
        <v>2104</v>
      </c>
      <c r="I269" s="1362"/>
      <c r="J269" s="1363">
        <v>6.7706707657562287E-2</v>
      </c>
      <c r="K269" s="1364">
        <f>AO287</f>
        <v>10.181969784907883</v>
      </c>
      <c r="L269" s="1365">
        <f t="shared" si="36"/>
        <v>0.90185792365713735</v>
      </c>
      <c r="M269" s="1350">
        <f t="shared" si="37"/>
        <v>0.10542068474723527</v>
      </c>
      <c r="N269" s="1366">
        <f t="shared" si="38"/>
        <v>9.507447985665525E-2</v>
      </c>
      <c r="O269" s="180" t="s">
        <v>301</v>
      </c>
      <c r="Q269" s="89"/>
    </row>
    <row r="270" spans="1:37" s="806" customFormat="1" ht="12.75" hidden="1" customHeight="1" outlineLevel="1">
      <c r="A270" s="8"/>
      <c r="B270" s="8"/>
      <c r="C270" s="10"/>
      <c r="D270" s="10"/>
      <c r="E270" s="10"/>
      <c r="F270" s="10"/>
      <c r="G270" s="8"/>
      <c r="H270" s="1361" t="s">
        <v>2105</v>
      </c>
      <c r="I270" s="1362"/>
      <c r="J270" s="1363">
        <v>0.52245631623218058</v>
      </c>
      <c r="K270" s="1364">
        <f t="shared" ref="K270:K271" si="39">AO288</f>
        <v>3.9973247277667134</v>
      </c>
      <c r="L270" s="1365">
        <f t="shared" si="36"/>
        <v>2.7155146319740551</v>
      </c>
      <c r="M270" s="1350">
        <f t="shared" si="37"/>
        <v>0.81347483156733935</v>
      </c>
      <c r="N270" s="1366">
        <f t="shared" si="38"/>
        <v>2.2090028078637398</v>
      </c>
      <c r="O270" s="180" t="s">
        <v>301</v>
      </c>
    </row>
    <row r="271" spans="1:37" s="806" customFormat="1" ht="12.75" hidden="1" customHeight="1" outlineLevel="1">
      <c r="A271" s="8"/>
      <c r="B271" s="8"/>
      <c r="C271" s="10"/>
      <c r="D271" s="10"/>
      <c r="E271" s="10"/>
      <c r="F271" s="10"/>
      <c r="G271" s="8"/>
      <c r="H271" s="1361" t="s">
        <v>2106</v>
      </c>
      <c r="I271" s="1362"/>
      <c r="J271" s="1363">
        <v>5.2089564583772424E-2</v>
      </c>
      <c r="K271" s="1364">
        <f t="shared" si="39"/>
        <v>-1.1278165232401054</v>
      </c>
      <c r="L271" s="1365">
        <f t="shared" si="36"/>
        <v>6.2405456546813571</v>
      </c>
      <c r="M271" s="1350">
        <f t="shared" si="37"/>
        <v>8.1104483685425346E-2</v>
      </c>
      <c r="N271" s="1366">
        <f t="shared" si="38"/>
        <v>0.50613623323825618</v>
      </c>
      <c r="O271" s="180" t="s">
        <v>301</v>
      </c>
    </row>
    <row r="272" spans="1:37" s="806" customFormat="1" ht="12.75" hidden="1" customHeight="1" outlineLevel="1">
      <c r="A272" s="8"/>
      <c r="B272" s="8"/>
      <c r="C272" s="10"/>
      <c r="D272" s="10"/>
      <c r="E272" s="10"/>
      <c r="F272" s="10"/>
      <c r="G272" s="8"/>
      <c r="H272" s="1356" t="s">
        <v>2107</v>
      </c>
      <c r="I272" s="1357"/>
      <c r="J272" s="1358">
        <v>4.4519699203299436E-2</v>
      </c>
      <c r="K272" s="1358"/>
      <c r="L272" s="1359">
        <f t="shared" si="36"/>
        <v>8.4701925667059701</v>
      </c>
      <c r="M272" s="1350">
        <f t="shared" si="37"/>
        <v>0.12444450405199804</v>
      </c>
      <c r="N272" s="1360">
        <f t="shared" si="38"/>
        <v>1.0540689131886447</v>
      </c>
      <c r="O272" s="180" t="s">
        <v>302</v>
      </c>
    </row>
    <row r="273" spans="1:41" s="806" customFormat="1" ht="12.75" hidden="1" customHeight="1" outlineLevel="1">
      <c r="A273" s="8"/>
      <c r="B273" s="8"/>
      <c r="C273" s="10"/>
      <c r="D273" s="10"/>
      <c r="E273" s="10"/>
      <c r="F273" s="10"/>
      <c r="G273" s="8"/>
      <c r="H273" s="1356" t="s">
        <v>2108</v>
      </c>
      <c r="I273" s="1357"/>
      <c r="J273" s="1358">
        <v>2.7146974784998612E-2</v>
      </c>
      <c r="K273" s="1358"/>
      <c r="L273" s="1359">
        <f t="shared" si="36"/>
        <v>4.9459295924881062</v>
      </c>
      <c r="M273" s="1350">
        <f t="shared" si="37"/>
        <v>7.5883078144896296E-2</v>
      </c>
      <c r="N273" s="1360">
        <f t="shared" si="38"/>
        <v>0.37531236176593002</v>
      </c>
      <c r="O273" s="180" t="s">
        <v>302</v>
      </c>
    </row>
    <row r="274" spans="1:41" s="806" customFormat="1" ht="12.75" hidden="1" customHeight="1" outlineLevel="1">
      <c r="A274" s="8"/>
      <c r="B274" s="8"/>
      <c r="C274" s="10"/>
      <c r="D274" s="10"/>
      <c r="E274" s="10"/>
      <c r="F274" s="10"/>
      <c r="G274" s="8"/>
      <c r="H274" s="1356" t="s">
        <v>2109</v>
      </c>
      <c r="I274" s="1357"/>
      <c r="J274" s="1358">
        <v>2.0455466875122243E-3</v>
      </c>
      <c r="K274" s="1358"/>
      <c r="L274" s="1359"/>
      <c r="M274" s="1350">
        <f t="shared" si="37"/>
        <v>5.7178518183653966E-3</v>
      </c>
      <c r="N274" s="1360">
        <f t="shared" si="38"/>
        <v>0</v>
      </c>
      <c r="O274" s="180" t="s">
        <v>302</v>
      </c>
    </row>
    <row r="275" spans="1:41" s="806" customFormat="1" ht="12.75" hidden="1" customHeight="1" outlineLevel="1">
      <c r="A275" s="8"/>
      <c r="B275" s="8"/>
      <c r="C275" s="10"/>
      <c r="D275" s="10"/>
      <c r="E275" s="10"/>
      <c r="F275" s="10"/>
      <c r="G275" s="8"/>
      <c r="H275" s="1356" t="s">
        <v>2110</v>
      </c>
      <c r="I275" s="1357"/>
      <c r="J275" s="1358">
        <v>1.4160782440713806E-2</v>
      </c>
      <c r="K275" s="1358"/>
      <c r="L275" s="1359">
        <f t="shared" si="36"/>
        <v>11.66161231270231</v>
      </c>
      <c r="M275" s="1350">
        <f t="shared" si="37"/>
        <v>3.9583186305361867E-2</v>
      </c>
      <c r="N275" s="1360">
        <f t="shared" si="38"/>
        <v>0.46160377279459741</v>
      </c>
      <c r="O275" s="180" t="s">
        <v>302</v>
      </c>
    </row>
    <row r="276" spans="1:41" s="806" customFormat="1" ht="12.75" hidden="1" customHeight="1" outlineLevel="1">
      <c r="A276" s="8"/>
      <c r="B276" s="8"/>
      <c r="C276" s="10"/>
      <c r="D276" s="10"/>
      <c r="E276" s="10"/>
      <c r="F276" s="10"/>
      <c r="G276" s="8"/>
      <c r="H276" s="1356" t="s">
        <v>2111</v>
      </c>
      <c r="I276" s="1357"/>
      <c r="J276" s="1358">
        <v>0.14309044911569505</v>
      </c>
      <c r="K276" s="1358"/>
      <c r="L276" s="1359">
        <f t="shared" si="36"/>
        <v>7.279170103037738</v>
      </c>
      <c r="M276" s="1350">
        <f t="shared" si="37"/>
        <v>0.39997619690702302</v>
      </c>
      <c r="N276" s="1360">
        <f t="shared" si="38"/>
        <v>2.9114947744523372</v>
      </c>
      <c r="O276" s="180" t="s">
        <v>302</v>
      </c>
    </row>
    <row r="277" spans="1:41" s="806" customFormat="1" ht="12.75" hidden="1" customHeight="1" outlineLevel="1">
      <c r="A277" s="8"/>
      <c r="B277" s="8"/>
      <c r="C277" s="10"/>
      <c r="D277" s="10"/>
      <c r="E277" s="10"/>
      <c r="F277" s="10"/>
      <c r="G277" s="8"/>
      <c r="H277" s="1356" t="s">
        <v>2112</v>
      </c>
      <c r="I277" s="1357"/>
      <c r="J277" s="1358">
        <v>1.1758790054771059E-2</v>
      </c>
      <c r="K277" s="1358"/>
      <c r="L277" s="1359">
        <f t="shared" si="36"/>
        <v>52.063507824373595</v>
      </c>
      <c r="M277" s="1350">
        <f t="shared" si="37"/>
        <v>3.2868973124353502E-2</v>
      </c>
      <c r="N277" s="1360">
        <f t="shared" si="38"/>
        <v>1.7112740394389039</v>
      </c>
      <c r="O277" s="180" t="s">
        <v>302</v>
      </c>
    </row>
    <row r="278" spans="1:41" s="806" customFormat="1" ht="12.75" hidden="1" customHeight="1" outlineLevel="1">
      <c r="A278" s="8"/>
      <c r="B278" s="8"/>
      <c r="C278" s="10"/>
      <c r="D278" s="10"/>
      <c r="E278" s="10"/>
      <c r="F278" s="10"/>
      <c r="G278" s="8"/>
      <c r="H278" s="1356" t="s">
        <v>2113</v>
      </c>
      <c r="I278" s="1357"/>
      <c r="J278" s="1358">
        <v>1.8451136646785988E-4</v>
      </c>
      <c r="K278" s="1358"/>
      <c r="L278" s="1359"/>
      <c r="M278" s="1350">
        <f t="shared" si="37"/>
        <v>5.157587742719423E-4</v>
      </c>
      <c r="N278" s="1360">
        <f t="shared" si="38"/>
        <v>0</v>
      </c>
      <c r="O278" s="180" t="s">
        <v>302</v>
      </c>
    </row>
    <row r="279" spans="1:41" s="806" customFormat="1" ht="12.75" hidden="1" customHeight="1" outlineLevel="1">
      <c r="A279" s="8"/>
      <c r="B279" s="8"/>
      <c r="C279" s="10"/>
      <c r="D279" s="10"/>
      <c r="E279" s="10"/>
      <c r="F279" s="10"/>
      <c r="G279" s="8"/>
      <c r="H279" s="1356" t="s">
        <v>2114</v>
      </c>
      <c r="I279" s="1357"/>
      <c r="J279" s="1358">
        <v>2.2775014342185534E-3</v>
      </c>
      <c r="K279" s="1358"/>
      <c r="L279" s="1359">
        <f t="shared" si="36"/>
        <v>26.66371805057673</v>
      </c>
      <c r="M279" s="1350">
        <f t="shared" si="37"/>
        <v>6.3662275696156805E-3</v>
      </c>
      <c r="N279" s="1360">
        <f t="shared" si="38"/>
        <v>0.16974729696204086</v>
      </c>
      <c r="O279" s="180" t="s">
        <v>302</v>
      </c>
    </row>
    <row r="280" spans="1:41" s="806" customFormat="1" ht="12.75" hidden="1" customHeight="1" outlineLevel="1">
      <c r="A280" s="8"/>
      <c r="B280" s="8"/>
      <c r="C280" s="10"/>
      <c r="D280" s="10"/>
      <c r="E280" s="10"/>
      <c r="F280" s="10"/>
      <c r="G280" s="8"/>
      <c r="H280" s="1367" t="s">
        <v>2115</v>
      </c>
      <c r="I280" s="1368"/>
      <c r="J280" s="1369">
        <v>8.8068533357615695E-3</v>
      </c>
      <c r="K280" s="1369"/>
      <c r="L280" s="1370">
        <f t="shared" si="36"/>
        <v>22.11039704944654</v>
      </c>
      <c r="M280" s="1372">
        <f t="shared" si="37"/>
        <v>2.4617517980586652E-2</v>
      </c>
      <c r="N280" s="1371">
        <f t="shared" si="38"/>
        <v>0.54430309692266021</v>
      </c>
      <c r="O280" s="180" t="s">
        <v>302</v>
      </c>
    </row>
    <row r="281" spans="1:41" s="806" customFormat="1" ht="12.75" hidden="1" customHeight="1" outlineLevel="1">
      <c r="A281" s="8"/>
      <c r="B281" s="8"/>
      <c r="C281" s="10"/>
      <c r="D281" s="10"/>
      <c r="E281" s="10"/>
      <c r="F281" s="10"/>
      <c r="G281" s="8"/>
      <c r="H281" s="1290"/>
      <c r="I281" s="1290"/>
      <c r="J281" s="1291"/>
      <c r="K281" s="1291"/>
      <c r="L281" s="1292"/>
      <c r="M281" s="1293"/>
      <c r="N281" s="1294"/>
      <c r="O281" s="180"/>
    </row>
    <row r="282" spans="1:41" s="806" customFormat="1" ht="12.75" hidden="1" customHeight="1" outlineLevel="1" thickBot="1">
      <c r="A282" s="8"/>
      <c r="B282" s="8"/>
      <c r="C282" s="10"/>
      <c r="D282" s="10"/>
      <c r="E282" s="10"/>
      <c r="F282" s="10"/>
      <c r="G282" s="8"/>
      <c r="H282" s="1290"/>
      <c r="I282" s="1290"/>
      <c r="J282" s="1291"/>
      <c r="K282" s="1291"/>
      <c r="L282" s="1292"/>
      <c r="M282" s="1293"/>
      <c r="N282" s="1294"/>
      <c r="O282" s="180"/>
    </row>
    <row r="283" spans="1:41" s="806" customFormat="1" ht="12.75" hidden="1" customHeight="1" outlineLevel="1" thickTop="1" thickBot="1">
      <c r="A283" s="8"/>
      <c r="B283" s="8"/>
      <c r="C283" s="10"/>
      <c r="D283" s="10"/>
      <c r="E283" s="10"/>
      <c r="F283" s="10"/>
      <c r="G283" s="8"/>
      <c r="H283" s="804" t="s">
        <v>914</v>
      </c>
      <c r="I283" s="69" t="s">
        <v>2096</v>
      </c>
      <c r="J283" s="1291"/>
      <c r="K283" s="1291"/>
      <c r="L283" s="1292"/>
      <c r="M283" s="1293"/>
      <c r="N283" s="1294"/>
      <c r="O283" s="180"/>
    </row>
    <row r="284" spans="1:41" s="806" customFormat="1" ht="12.75" hidden="1" customHeight="1" outlineLevel="1" thickTop="1">
      <c r="A284" s="8"/>
      <c r="B284" s="8"/>
      <c r="C284" s="10"/>
      <c r="D284" s="10"/>
      <c r="E284" s="10"/>
      <c r="F284" s="10"/>
      <c r="G284" s="8"/>
      <c r="I284" s="98"/>
      <c r="J284" s="98"/>
      <c r="K284" s="98"/>
      <c r="L284" s="98"/>
      <c r="M284" s="98"/>
      <c r="N284" s="98"/>
      <c r="O284" s="98" t="s">
        <v>2116</v>
      </c>
      <c r="P284" s="98"/>
      <c r="Q284" s="98"/>
      <c r="R284" s="98"/>
      <c r="S284" s="98" t="s">
        <v>2117</v>
      </c>
      <c r="T284" s="98"/>
      <c r="U284" s="98" t="s">
        <v>2118</v>
      </c>
      <c r="V284" s="98"/>
      <c r="W284" s="98"/>
      <c r="X284" s="98"/>
      <c r="Y284" s="98"/>
      <c r="Z284" s="98"/>
      <c r="AA284" s="98"/>
      <c r="AB284" s="98"/>
      <c r="AC284" s="98"/>
      <c r="AD284" s="98"/>
      <c r="AE284" s="98"/>
      <c r="AF284" s="98"/>
      <c r="AG284" s="98"/>
      <c r="AH284" s="98"/>
      <c r="AI284" s="98"/>
      <c r="AJ284" s="98"/>
      <c r="AK284" s="98"/>
      <c r="AL284" s="98"/>
      <c r="AM284" s="98"/>
      <c r="AN284" s="98"/>
      <c r="AO284" s="98"/>
    </row>
    <row r="285" spans="1:41" s="806" customFormat="1" ht="12.75" hidden="1" customHeight="1" outlineLevel="1">
      <c r="A285" s="8"/>
      <c r="B285" s="8"/>
      <c r="C285" s="10"/>
      <c r="D285" s="10"/>
      <c r="E285" s="10"/>
      <c r="F285" s="10"/>
      <c r="G285" s="8"/>
      <c r="H285" s="98"/>
      <c r="I285" s="98"/>
      <c r="J285" s="98"/>
      <c r="K285" s="98"/>
      <c r="L285" s="98"/>
      <c r="M285" s="98"/>
      <c r="N285" s="98"/>
      <c r="O285" s="1295" t="s">
        <v>15</v>
      </c>
      <c r="P285" s="1296"/>
      <c r="Q285" s="1296"/>
      <c r="R285" s="91"/>
      <c r="S285" s="1297" t="s">
        <v>2119</v>
      </c>
      <c r="T285" s="1297"/>
      <c r="U285" s="1297"/>
      <c r="V285" s="1297"/>
      <c r="W285" s="1297"/>
      <c r="X285" s="91"/>
      <c r="Y285" s="1298" t="s">
        <v>2120</v>
      </c>
      <c r="Z285" s="1298"/>
      <c r="AA285" s="91"/>
      <c r="AB285" s="1299" t="s">
        <v>1934</v>
      </c>
      <c r="AC285" s="1299"/>
      <c r="AD285" s="91"/>
      <c r="AE285" s="1300" t="s">
        <v>2121</v>
      </c>
      <c r="AF285" s="1301"/>
      <c r="AG285" s="1301"/>
      <c r="AH285" s="1301"/>
      <c r="AI285" s="1301"/>
      <c r="AJ285" s="91"/>
      <c r="AK285" s="1299" t="s">
        <v>2122</v>
      </c>
      <c r="AL285" s="91"/>
      <c r="AM285" s="689" t="s">
        <v>718</v>
      </c>
      <c r="AN285" s="690"/>
      <c r="AO285" s="690"/>
    </row>
    <row r="286" spans="1:41" s="806" customFormat="1" ht="12.75" hidden="1" customHeight="1" outlineLevel="1">
      <c r="A286" s="8"/>
      <c r="B286" s="8"/>
      <c r="C286" s="10"/>
      <c r="D286" s="10"/>
      <c r="E286" s="10"/>
      <c r="F286" s="10"/>
      <c r="G286" s="8"/>
      <c r="H286" s="1302" t="s">
        <v>2123</v>
      </c>
      <c r="I286" s="1302" t="s">
        <v>2124</v>
      </c>
      <c r="J286" s="1302" t="s">
        <v>2125</v>
      </c>
      <c r="K286" s="1302" t="s">
        <v>2126</v>
      </c>
      <c r="L286" s="1302" t="s">
        <v>2127</v>
      </c>
      <c r="M286" s="1302" t="s">
        <v>2128</v>
      </c>
      <c r="N286" s="1302" t="s">
        <v>2129</v>
      </c>
      <c r="O286" s="1302" t="s">
        <v>2130</v>
      </c>
      <c r="P286" s="1302" t="s">
        <v>2131</v>
      </c>
      <c r="Q286" s="1302" t="s">
        <v>2132</v>
      </c>
      <c r="R286" s="1302" t="s">
        <v>2129</v>
      </c>
      <c r="S286" s="1302" t="s">
        <v>2133</v>
      </c>
      <c r="T286" s="1302" t="s">
        <v>2130</v>
      </c>
      <c r="U286" s="1302" t="s">
        <v>2134</v>
      </c>
      <c r="V286" s="1302" t="s">
        <v>2135</v>
      </c>
      <c r="W286" s="1302" t="s">
        <v>2132</v>
      </c>
      <c r="X286" s="1302" t="s">
        <v>2129</v>
      </c>
      <c r="Y286" s="1302" t="s">
        <v>2136</v>
      </c>
      <c r="Z286" s="1302" t="s">
        <v>2137</v>
      </c>
      <c r="AA286" s="1302" t="s">
        <v>2129</v>
      </c>
      <c r="AB286" s="1302" t="s">
        <v>2138</v>
      </c>
      <c r="AC286" s="1302" t="s">
        <v>2139</v>
      </c>
      <c r="AD286" s="1302" t="s">
        <v>2129</v>
      </c>
      <c r="AE286" s="1302" t="s">
        <v>2140</v>
      </c>
      <c r="AF286" s="1302" t="s">
        <v>2141</v>
      </c>
      <c r="AG286" s="1302" t="s">
        <v>2142</v>
      </c>
      <c r="AH286" s="1302" t="s">
        <v>2143</v>
      </c>
      <c r="AI286" s="1302" t="s">
        <v>2144</v>
      </c>
      <c r="AJ286" s="1302" t="s">
        <v>2129</v>
      </c>
      <c r="AK286" s="1302" t="s">
        <v>2145</v>
      </c>
      <c r="AL286" s="1302" t="s">
        <v>2129</v>
      </c>
      <c r="AM286" s="921" t="s">
        <v>273</v>
      </c>
      <c r="AN286" s="921" t="s">
        <v>274</v>
      </c>
      <c r="AO286" s="921" t="s">
        <v>275</v>
      </c>
    </row>
    <row r="287" spans="1:41" s="806" customFormat="1" ht="12.75" hidden="1" customHeight="1" outlineLevel="1">
      <c r="A287" s="8"/>
      <c r="B287" s="8"/>
      <c r="C287" s="10"/>
      <c r="D287" s="10"/>
      <c r="E287" s="10"/>
      <c r="F287" s="10"/>
      <c r="G287" s="8"/>
      <c r="H287" s="91" t="s">
        <v>2146</v>
      </c>
      <c r="I287" s="91" t="s">
        <v>2147</v>
      </c>
      <c r="J287" s="91" t="s">
        <v>2148</v>
      </c>
      <c r="K287" s="92">
        <v>1.7465101483744099</v>
      </c>
      <c r="L287" s="92">
        <v>0.91416456188155615</v>
      </c>
      <c r="M287" s="92">
        <v>473.98970089307483</v>
      </c>
      <c r="N287" s="92"/>
      <c r="O287" s="1303">
        <v>30</v>
      </c>
      <c r="P287" s="1304">
        <v>2.2922322650479003</v>
      </c>
      <c r="Q287" s="1303">
        <v>2.2212671328668137</v>
      </c>
      <c r="R287" s="91"/>
      <c r="S287" s="1305">
        <v>45</v>
      </c>
      <c r="T287" s="92">
        <v>10.533104464290552</v>
      </c>
      <c r="U287" s="1306">
        <v>2.1592275874141325</v>
      </c>
      <c r="V287" s="1307">
        <v>5447.6374269005855</v>
      </c>
      <c r="W287" s="92">
        <v>8.5397834253252132</v>
      </c>
      <c r="X287" s="91"/>
      <c r="Y287" s="1308">
        <v>1</v>
      </c>
      <c r="Z287" s="1308">
        <v>1</v>
      </c>
      <c r="AA287" s="91"/>
      <c r="AB287" s="1308">
        <v>0.81992431834677726</v>
      </c>
      <c r="AC287" s="91">
        <v>8.913509958799231E-3</v>
      </c>
      <c r="AD287" s="91"/>
      <c r="AE287" s="91">
        <v>19.137384950812596</v>
      </c>
      <c r="AF287" s="91">
        <v>6.7192024953416993</v>
      </c>
      <c r="AG287" s="92">
        <v>12.418182455470896</v>
      </c>
      <c r="AH287" s="92">
        <v>12.418182455470896</v>
      </c>
      <c r="AI287" s="92">
        <v>10.181969784907883</v>
      </c>
      <c r="AJ287" s="91"/>
      <c r="AK287" s="91">
        <v>-0.11068959298702573</v>
      </c>
      <c r="AL287" s="91"/>
      <c r="AM287" s="91" t="s">
        <v>2149</v>
      </c>
      <c r="AN287" s="91" t="s">
        <v>2148</v>
      </c>
      <c r="AO287" s="91">
        <v>10.181969784907883</v>
      </c>
    </row>
    <row r="288" spans="1:41" s="806" customFormat="1" ht="12.75" hidden="1" customHeight="1" outlineLevel="1">
      <c r="A288" s="8"/>
      <c r="B288" s="8"/>
      <c r="C288" s="10"/>
      <c r="D288" s="10"/>
      <c r="E288" s="10"/>
      <c r="F288" s="10"/>
      <c r="G288" s="8"/>
      <c r="H288" s="91" t="s">
        <v>2150</v>
      </c>
      <c r="I288" s="91" t="s">
        <v>2151</v>
      </c>
      <c r="J288" s="91" t="s">
        <v>2152</v>
      </c>
      <c r="K288" s="92">
        <v>1.8773637680174413</v>
      </c>
      <c r="L288" s="92">
        <v>0.85791980570535631</v>
      </c>
      <c r="M288" s="92">
        <v>949.2054457712826</v>
      </c>
      <c r="N288" s="92"/>
      <c r="O288" s="1303">
        <v>28.108457226419695</v>
      </c>
      <c r="P288" s="1304">
        <v>1.8938582807005411</v>
      </c>
      <c r="Q288" s="1303">
        <v>4.3220699727314233</v>
      </c>
      <c r="R288" s="91"/>
      <c r="S288" s="1305">
        <v>45</v>
      </c>
      <c r="T288" s="92">
        <v>21.093454350472946</v>
      </c>
      <c r="U288" s="1306">
        <v>1.4522786346527323</v>
      </c>
      <c r="V288" s="1307">
        <v>5447.6374269005855</v>
      </c>
      <c r="W288" s="92">
        <v>7.9445543113898527</v>
      </c>
      <c r="X288" s="91"/>
      <c r="Y288" s="1308">
        <v>1</v>
      </c>
      <c r="Z288" s="1308">
        <v>1</v>
      </c>
      <c r="AA288" s="91"/>
      <c r="AB288" s="1308">
        <v>0.83100362860466148</v>
      </c>
      <c r="AC288" s="91">
        <v>8.913509958799231E-3</v>
      </c>
      <c r="AD288" s="91"/>
      <c r="AE288" s="91">
        <v>19.274169147481086</v>
      </c>
      <c r="AF288" s="91">
        <v>14.463931754801317</v>
      </c>
      <c r="AG288" s="92">
        <v>4.8102373926797686</v>
      </c>
      <c r="AH288" s="92">
        <v>4.8102373926797686</v>
      </c>
      <c r="AI288" s="92">
        <v>3.9973247277667134</v>
      </c>
      <c r="AJ288" s="91"/>
      <c r="AK288" s="91">
        <v>-4.2876098903839567E-2</v>
      </c>
      <c r="AL288" s="91"/>
      <c r="AM288" s="91" t="s">
        <v>2153</v>
      </c>
      <c r="AN288" s="91" t="s">
        <v>2152</v>
      </c>
      <c r="AO288" s="91">
        <v>3.9973247277667134</v>
      </c>
    </row>
    <row r="289" spans="1:41" s="806" customFormat="1" ht="12.75" hidden="1" customHeight="1" outlineLevel="1">
      <c r="A289" s="8"/>
      <c r="B289" s="8"/>
      <c r="C289" s="10"/>
      <c r="D289" s="10"/>
      <c r="E289" s="10"/>
      <c r="F289" s="10"/>
      <c r="G289" s="8"/>
      <c r="H289" s="91" t="s">
        <v>2154</v>
      </c>
      <c r="I289" s="91" t="s">
        <v>2155</v>
      </c>
      <c r="J289" s="91" t="s">
        <v>2156</v>
      </c>
      <c r="K289" s="92">
        <v>1.9918551210859123</v>
      </c>
      <c r="L289" s="92">
        <v>0.78917112934974476</v>
      </c>
      <c r="M289" s="92">
        <v>1747.5999304005293</v>
      </c>
      <c r="N289" s="92"/>
      <c r="O289" s="1303">
        <v>37</v>
      </c>
      <c r="P289" s="1304">
        <v>1.8248331017915318</v>
      </c>
      <c r="Q289" s="1303">
        <v>3.8347243817323542</v>
      </c>
      <c r="R289" s="91"/>
      <c r="S289" s="1305">
        <v>45</v>
      </c>
      <c r="T289" s="92">
        <v>38.835554008900651</v>
      </c>
      <c r="U289" s="1306">
        <v>1.8911113019525783</v>
      </c>
      <c r="V289" s="1307">
        <v>5447.6374269005855</v>
      </c>
      <c r="W289" s="92">
        <v>7.4879032412351636</v>
      </c>
      <c r="X289" s="91"/>
      <c r="Y289" s="1308">
        <v>1</v>
      </c>
      <c r="Z289" s="1308">
        <v>1</v>
      </c>
      <c r="AA289" s="91"/>
      <c r="AB289" s="1308">
        <v>0.84454600956505743</v>
      </c>
      <c r="AC289" s="91">
        <v>8.913509958799231E-3</v>
      </c>
      <c r="AD289" s="91"/>
      <c r="AE289" s="91">
        <v>26.918428070135292</v>
      </c>
      <c r="AF289" s="91">
        <v>28.253839652768821</v>
      </c>
      <c r="AG289" s="92">
        <v>-1.3354115826335295</v>
      </c>
      <c r="AH289" s="92">
        <v>-1.3354115826335295</v>
      </c>
      <c r="AI289" s="92">
        <v>-1.1278165232401054</v>
      </c>
      <c r="AJ289" s="91"/>
      <c r="AK289" s="91">
        <v>1.1903204440899809E-2</v>
      </c>
      <c r="AL289" s="91"/>
      <c r="AM289" s="91" t="s">
        <v>2157</v>
      </c>
      <c r="AN289" s="91" t="s">
        <v>2156</v>
      </c>
      <c r="AO289" s="91">
        <v>-1.1278165232401054</v>
      </c>
    </row>
    <row r="290" spans="1:41" s="806" customFormat="1" ht="12.75" hidden="1" customHeight="1" outlineLevel="1">
      <c r="A290" s="8"/>
      <c r="B290" s="8"/>
      <c r="C290" s="10"/>
      <c r="D290" s="10"/>
      <c r="E290" s="10"/>
      <c r="F290" s="10"/>
      <c r="G290" s="8"/>
      <c r="H290" s="1290"/>
      <c r="I290" s="1290"/>
      <c r="J290" s="1291"/>
      <c r="K290" s="1291"/>
      <c r="L290" s="1292"/>
      <c r="M290" s="1293"/>
      <c r="N290" s="1294"/>
      <c r="O290" s="180"/>
    </row>
    <row r="291" spans="1:41" s="806" customFormat="1" ht="12.75" hidden="1" customHeight="1" outlineLevel="1">
      <c r="A291" s="8"/>
      <c r="B291" s="8"/>
      <c r="C291" s="10"/>
      <c r="D291" s="10"/>
      <c r="E291" s="10"/>
      <c r="F291" s="10"/>
      <c r="G291" s="8"/>
      <c r="H291" s="1290"/>
      <c r="I291" s="1290"/>
      <c r="J291" s="1291"/>
      <c r="K291" s="1291"/>
      <c r="L291" s="1292"/>
      <c r="M291" s="1293"/>
      <c r="N291" s="1294"/>
      <c r="O291" s="180"/>
    </row>
    <row r="292" spans="1:41" s="806" customFormat="1" ht="12.75" hidden="1" customHeight="1" outlineLevel="1">
      <c r="A292" s="8"/>
      <c r="B292" s="8"/>
      <c r="C292" s="10"/>
      <c r="D292" s="10"/>
      <c r="E292" s="10"/>
      <c r="F292" s="10"/>
      <c r="G292" s="8"/>
      <c r="H292" s="74"/>
      <c r="I292" s="74"/>
      <c r="J292" s="74"/>
      <c r="K292" s="74"/>
      <c r="L292" s="74"/>
    </row>
    <row r="293" spans="1:41" s="806" customFormat="1" ht="12.75" hidden="1" customHeight="1" outlineLevel="1" thickBot="1">
      <c r="A293" s="8"/>
      <c r="B293" s="8"/>
      <c r="C293" s="10"/>
      <c r="D293" s="10"/>
      <c r="E293" s="10"/>
      <c r="F293" s="10"/>
      <c r="G293" s="8"/>
      <c r="H293" s="74"/>
      <c r="I293" s="74"/>
      <c r="J293" s="1309"/>
      <c r="K293" s="74"/>
      <c r="L293" s="74"/>
      <c r="M293" s="1309"/>
    </row>
    <row r="294" spans="1:41" s="806" customFormat="1" ht="12.75" hidden="1" customHeight="1" outlineLevel="1" thickTop="1" thickBot="1">
      <c r="A294" s="8"/>
      <c r="B294" s="8"/>
      <c r="C294" s="10"/>
      <c r="D294" s="10"/>
      <c r="E294" s="10"/>
      <c r="F294" s="10"/>
      <c r="G294" s="8"/>
      <c r="H294" s="804" t="s">
        <v>914</v>
      </c>
      <c r="I294" s="69" t="s">
        <v>2050</v>
      </c>
      <c r="J294" s="74"/>
      <c r="K294" s="74"/>
      <c r="L294" s="74"/>
    </row>
    <row r="295" spans="1:41" s="806" customFormat="1" ht="12.75" hidden="1" customHeight="1" outlineLevel="1" thickTop="1">
      <c r="A295" s="8"/>
      <c r="B295" s="8"/>
      <c r="C295" s="10"/>
      <c r="D295" s="10"/>
      <c r="E295" s="10"/>
      <c r="F295" s="10"/>
      <c r="G295" s="8"/>
    </row>
    <row r="296" spans="1:41" s="806" customFormat="1" ht="12.75" hidden="1" customHeight="1" outlineLevel="1">
      <c r="A296" s="8"/>
      <c r="B296" s="8"/>
      <c r="C296" s="10"/>
      <c r="D296" s="10"/>
      <c r="E296" s="10"/>
      <c r="F296" s="10"/>
      <c r="G296" s="8"/>
      <c r="H296" s="1123"/>
      <c r="I296" s="1123"/>
      <c r="J296" s="1123"/>
      <c r="K296" s="1123"/>
      <c r="L296" s="1123"/>
      <c r="M296" s="1123"/>
      <c r="N296" s="1123"/>
      <c r="O296" s="1310" t="s">
        <v>15</v>
      </c>
      <c r="P296" s="1311"/>
      <c r="Q296" s="1311"/>
      <c r="R296" s="1123"/>
      <c r="S296" s="1312" t="s">
        <v>2119</v>
      </c>
      <c r="T296" s="1312"/>
      <c r="U296" s="1312"/>
      <c r="V296" s="1312"/>
      <c r="W296" s="1312"/>
      <c r="X296" s="1123"/>
      <c r="Y296" s="1313" t="s">
        <v>2120</v>
      </c>
      <c r="Z296" s="1313"/>
      <c r="AA296" s="1123"/>
      <c r="AB296" s="1314" t="s">
        <v>1934</v>
      </c>
      <c r="AC296" s="1314"/>
      <c r="AD296" s="1123"/>
      <c r="AE296" s="1315" t="s">
        <v>2121</v>
      </c>
      <c r="AF296" s="1316"/>
      <c r="AG296" s="1316"/>
      <c r="AH296" s="1316"/>
      <c r="AI296" s="1316"/>
      <c r="AJ296" s="1123"/>
      <c r="AK296" s="1314" t="s">
        <v>2122</v>
      </c>
    </row>
    <row r="297" spans="1:41" s="806" customFormat="1" ht="12.75" hidden="1" customHeight="1" outlineLevel="1">
      <c r="A297" s="8"/>
      <c r="B297" s="8"/>
      <c r="C297" s="10"/>
      <c r="D297" s="10"/>
      <c r="E297" s="10"/>
      <c r="F297" s="10"/>
      <c r="G297" s="8"/>
      <c r="H297" s="1317" t="s">
        <v>2123</v>
      </c>
      <c r="I297" s="1317" t="s">
        <v>2124</v>
      </c>
      <c r="J297" s="1317" t="s">
        <v>2125</v>
      </c>
      <c r="K297" s="1317" t="s">
        <v>2126</v>
      </c>
      <c r="L297" s="1317" t="s">
        <v>2127</v>
      </c>
      <c r="M297" s="1317" t="s">
        <v>2128</v>
      </c>
      <c r="N297" s="1317"/>
      <c r="O297" s="1317" t="s">
        <v>2130</v>
      </c>
      <c r="P297" s="1317" t="s">
        <v>2131</v>
      </c>
      <c r="Q297" s="1317" t="s">
        <v>2132</v>
      </c>
      <c r="R297" s="1317"/>
      <c r="S297" s="1317" t="s">
        <v>2133</v>
      </c>
      <c r="T297" s="1317" t="s">
        <v>2130</v>
      </c>
      <c r="U297" s="1317" t="s">
        <v>2134</v>
      </c>
      <c r="V297" s="1317" t="s">
        <v>2135</v>
      </c>
      <c r="W297" s="1317" t="s">
        <v>2132</v>
      </c>
      <c r="X297" s="1123"/>
      <c r="Y297" s="1317" t="s">
        <v>2136</v>
      </c>
      <c r="Z297" s="1317" t="s">
        <v>2137</v>
      </c>
      <c r="AA297" s="1123"/>
      <c r="AB297" s="1317" t="s">
        <v>2138</v>
      </c>
      <c r="AC297" s="1317" t="s">
        <v>2139</v>
      </c>
      <c r="AD297" s="1123"/>
      <c r="AE297" s="1317" t="s">
        <v>2140</v>
      </c>
      <c r="AF297" s="1317" t="s">
        <v>2141</v>
      </c>
      <c r="AG297" s="1317" t="s">
        <v>2142</v>
      </c>
      <c r="AH297" s="1317" t="s">
        <v>2143</v>
      </c>
      <c r="AI297" s="1317" t="s">
        <v>2144</v>
      </c>
      <c r="AJ297" s="1123"/>
      <c r="AK297" s="1317" t="s">
        <v>2145</v>
      </c>
    </row>
    <row r="298" spans="1:41" s="806" customFormat="1" ht="12.75" hidden="1" customHeight="1" outlineLevel="1">
      <c r="A298" s="8"/>
      <c r="B298" s="8"/>
      <c r="C298" s="10"/>
      <c r="D298" s="10"/>
      <c r="E298" s="10"/>
      <c r="F298" s="10"/>
      <c r="G298" s="8"/>
      <c r="H298" s="1318" t="s">
        <v>2158</v>
      </c>
      <c r="I298" s="1318" t="s">
        <v>2101</v>
      </c>
      <c r="J298" s="1318" t="s">
        <v>2159</v>
      </c>
      <c r="K298" s="1319">
        <v>1.7916917647822357</v>
      </c>
      <c r="L298" s="1319">
        <v>0.95039973261931343</v>
      </c>
      <c r="M298" s="1319">
        <v>416.60324051305236</v>
      </c>
      <c r="O298" s="1319">
        <v>37</v>
      </c>
      <c r="P298" s="1320">
        <v>1.6401583657682686</v>
      </c>
      <c r="Q298" s="1319">
        <v>1.7835655628514451</v>
      </c>
      <c r="R298" s="1318"/>
      <c r="S298" s="1321">
        <v>47.326460071899199</v>
      </c>
      <c r="T298" s="1321">
        <v>8.8027551581111556</v>
      </c>
      <c r="U298" s="1322">
        <v>3.4098621432623033</v>
      </c>
      <c r="V298" s="1323">
        <v>5447.6374269005855</v>
      </c>
      <c r="W298" s="1319">
        <v>8.3244332035331023</v>
      </c>
      <c r="X298" s="1318"/>
      <c r="Y298" s="1324">
        <v>0.74480000000000002</v>
      </c>
      <c r="Z298" s="1324">
        <v>1.0909090909090908</v>
      </c>
      <c r="AA298" s="1318"/>
      <c r="AB298" s="1324">
        <v>0.81278657385032416</v>
      </c>
      <c r="AC298" s="1318">
        <v>9.5435946083773787E-3</v>
      </c>
      <c r="AD298" s="1318"/>
      <c r="AE298" s="1325">
        <f t="shared" ref="AE298:AE312" si="40">O298*K298*365.25/1000</f>
        <v>24.213370432208329</v>
      </c>
      <c r="AF298" s="1325">
        <f t="shared" ref="AF298:AF312" si="41">T298*K298*365.25/1000</f>
        <v>5.7606586883075135</v>
      </c>
      <c r="AG298" s="1325">
        <f t="shared" ref="AG298:AG312" si="42">AE298-AF298</f>
        <v>18.452711743900814</v>
      </c>
      <c r="AH298" s="1325">
        <f t="shared" ref="AH298:AH312" si="43">AG298*Y298</f>
        <v>13.743579706857327</v>
      </c>
      <c r="AI298" s="1325">
        <f t="shared" ref="AI298:AI312" si="44">AH298*AB298</f>
        <v>11.170597062375409</v>
      </c>
      <c r="AJ298" s="1318"/>
      <c r="AK298" s="1318">
        <v>-0.13116315319016833</v>
      </c>
    </row>
    <row r="299" spans="1:41" s="806" customFormat="1" ht="12.75" hidden="1" customHeight="1" outlineLevel="1">
      <c r="A299" s="8"/>
      <c r="B299" s="8"/>
      <c r="C299" s="10"/>
      <c r="D299" s="10"/>
      <c r="E299" s="10"/>
      <c r="F299" s="10"/>
      <c r="G299" s="8"/>
      <c r="H299" s="1123" t="s">
        <v>2160</v>
      </c>
      <c r="I299" s="1123" t="s">
        <v>2102</v>
      </c>
      <c r="J299" s="1123" t="s">
        <v>2161</v>
      </c>
      <c r="K299" s="1303">
        <v>1.8789514442368003</v>
      </c>
      <c r="L299" s="1303">
        <v>0.91018036838446348</v>
      </c>
      <c r="M299" s="1303">
        <v>857.43632997438363</v>
      </c>
      <c r="O299" s="1326">
        <v>31.100271002710024</v>
      </c>
      <c r="P299" s="1327">
        <v>2.357302490345714</v>
      </c>
      <c r="Q299" s="1326">
        <v>1.7864498053021971</v>
      </c>
      <c r="R299" s="1123"/>
      <c r="S299" s="1328">
        <v>63.393650651669773</v>
      </c>
      <c r="T299" s="1328">
        <v>13.525586887017351</v>
      </c>
      <c r="U299" s="1329">
        <v>2.3872848720341966</v>
      </c>
      <c r="V299" s="1330">
        <v>5447.6374269005855</v>
      </c>
      <c r="W299" s="1303">
        <v>7.9378413226150304</v>
      </c>
      <c r="X299" s="1123"/>
      <c r="Y299" s="1308">
        <v>0.74480000000000002</v>
      </c>
      <c r="Z299" s="1308">
        <v>1.0909090909090908</v>
      </c>
      <c r="AA299" s="1123"/>
      <c r="AB299" s="1308">
        <v>0.82070914023743413</v>
      </c>
      <c r="AC299" s="1123">
        <v>9.1397252737278212E-3</v>
      </c>
      <c r="AD299" s="1123"/>
      <c r="AE299" s="1331">
        <f t="shared" si="40"/>
        <v>21.3437121523739</v>
      </c>
      <c r="AF299" s="1331">
        <f>T299*K299*365.25/1000</f>
        <v>9.2824346509156044</v>
      </c>
      <c r="AG299" s="1331">
        <f t="shared" si="42"/>
        <v>12.061277501458296</v>
      </c>
      <c r="AH299" s="1331">
        <f>AG299*Y299</f>
        <v>8.9832394830861393</v>
      </c>
      <c r="AI299" s="1331">
        <f>AH299*AB299</f>
        <v>7.3726267527105973</v>
      </c>
      <c r="AJ299" s="1123"/>
      <c r="AK299" s="1123">
        <v>-8.210434094351203E-2</v>
      </c>
    </row>
    <row r="300" spans="1:41" s="806" customFormat="1" ht="12.75" hidden="1" customHeight="1" outlineLevel="1">
      <c r="A300" s="8"/>
      <c r="B300" s="8"/>
      <c r="C300" s="10"/>
      <c r="D300" s="10"/>
      <c r="E300" s="10"/>
      <c r="F300" s="10"/>
      <c r="G300" s="8"/>
      <c r="H300" s="1123" t="s">
        <v>2162</v>
      </c>
      <c r="I300" s="1123" t="s">
        <v>2103</v>
      </c>
      <c r="J300" s="1123" t="s">
        <v>2163</v>
      </c>
      <c r="K300" s="1303">
        <v>1.6305080727614385</v>
      </c>
      <c r="L300" s="1303">
        <v>0.92758145848349127</v>
      </c>
      <c r="M300" s="1303">
        <v>2095.7287821060968</v>
      </c>
      <c r="O300" s="1326">
        <v>37</v>
      </c>
      <c r="P300" s="1327">
        <v>2.5719834880984087</v>
      </c>
      <c r="Q300" s="1326">
        <v>4.4344805227500377</v>
      </c>
      <c r="R300" s="1123"/>
      <c r="S300" s="1328" t="s">
        <v>2164</v>
      </c>
      <c r="T300" s="1328" t="e">
        <v>#VALUE!</v>
      </c>
      <c r="U300" s="1329">
        <v>3.4098621432623033</v>
      </c>
      <c r="V300" s="1330">
        <v>5447.6374269005855</v>
      </c>
      <c r="W300" s="1303">
        <v>9.1473441109618285</v>
      </c>
      <c r="X300" s="1123"/>
      <c r="Y300" s="1308">
        <v>0.74480000000000002</v>
      </c>
      <c r="Z300" s="1308">
        <v>1.0909090909090908</v>
      </c>
      <c r="AA300" s="1123"/>
      <c r="AB300" s="1308">
        <v>0.81728140600691201</v>
      </c>
      <c r="AC300" s="1123">
        <v>9.3144611705817514E-3</v>
      </c>
      <c r="AD300" s="1123"/>
      <c r="AE300" s="1331">
        <f t="shared" si="40"/>
        <v>22.035093722316269</v>
      </c>
      <c r="AF300" s="1331" t="e">
        <f t="shared" si="41"/>
        <v>#VALUE!</v>
      </c>
      <c r="AG300" s="1331" t="e">
        <f t="shared" si="42"/>
        <v>#VALUE!</v>
      </c>
      <c r="AH300" s="1331" t="e">
        <f t="shared" si="43"/>
        <v>#VALUE!</v>
      </c>
      <c r="AI300" s="1331" t="e">
        <f t="shared" si="44"/>
        <v>#VALUE!</v>
      </c>
      <c r="AJ300" s="1123"/>
      <c r="AK300" s="1123" t="e">
        <v>#VALUE!</v>
      </c>
    </row>
    <row r="301" spans="1:41" s="806" customFormat="1" ht="12.75" hidden="1" customHeight="1" outlineLevel="1">
      <c r="A301" s="8"/>
      <c r="B301" s="8"/>
      <c r="C301" s="10"/>
      <c r="D301" s="10"/>
      <c r="E301" s="10"/>
      <c r="F301" s="10"/>
      <c r="G301" s="8"/>
      <c r="H301" s="1123" t="s">
        <v>2146</v>
      </c>
      <c r="I301" s="1123" t="s">
        <v>2104</v>
      </c>
      <c r="J301" s="1123" t="s">
        <v>2165</v>
      </c>
      <c r="K301" s="1303">
        <v>1.7465101483744099</v>
      </c>
      <c r="L301" s="1303">
        <v>0.91416456188155615</v>
      </c>
      <c r="M301" s="1303">
        <v>473.98970089307483</v>
      </c>
      <c r="O301" s="1332">
        <f>M301/45</f>
        <v>10.533104464290552</v>
      </c>
      <c r="P301" s="1327">
        <v>2.1592275874141325</v>
      </c>
      <c r="Q301" s="1326">
        <v>8.5397834253252132</v>
      </c>
      <c r="R301" s="1123"/>
      <c r="S301" s="1328">
        <v>57.676743088551326</v>
      </c>
      <c r="T301" s="1328">
        <v>8.2180385977300521</v>
      </c>
      <c r="U301" s="1329">
        <v>2.1592275874141325</v>
      </c>
      <c r="V301" s="1330">
        <v>5447.6374269005855</v>
      </c>
      <c r="W301" s="1303">
        <v>8.5397834253252132</v>
      </c>
      <c r="X301" s="1123"/>
      <c r="Y301" s="1308">
        <v>0.74480000000000002</v>
      </c>
      <c r="Z301" s="1308">
        <v>1.0909090909090908</v>
      </c>
      <c r="AA301" s="1123"/>
      <c r="AB301" s="1308">
        <v>0.81992431834677726</v>
      </c>
      <c r="AC301" s="1123">
        <v>9.1797332054144101E-3</v>
      </c>
      <c r="AD301" s="1123"/>
      <c r="AE301" s="1331">
        <f t="shared" si="40"/>
        <v>6.7192024953416993</v>
      </c>
      <c r="AF301" s="1331">
        <f t="shared" si="41"/>
        <v>5.242392272846538</v>
      </c>
      <c r="AG301" s="1331">
        <f t="shared" si="42"/>
        <v>1.4768102224951614</v>
      </c>
      <c r="AH301" s="1331">
        <f t="shared" si="43"/>
        <v>1.0999282537143962</v>
      </c>
      <c r="AI301" s="1331">
        <f t="shared" si="44"/>
        <v>0.90185792365713735</v>
      </c>
      <c r="AJ301" s="1123"/>
      <c r="AK301" s="1123">
        <v>-1.0097047914195528E-2</v>
      </c>
    </row>
    <row r="302" spans="1:41" s="806" customFormat="1" ht="12.75" hidden="1" customHeight="1" outlineLevel="1">
      <c r="A302" s="8"/>
      <c r="B302" s="8"/>
      <c r="C302" s="10"/>
      <c r="D302" s="10"/>
      <c r="E302" s="10"/>
      <c r="F302" s="10"/>
      <c r="G302" s="8"/>
      <c r="H302" s="1123" t="s">
        <v>2150</v>
      </c>
      <c r="I302" s="1123" t="s">
        <v>2105</v>
      </c>
      <c r="J302" s="1123" t="s">
        <v>2166</v>
      </c>
      <c r="K302" s="1303">
        <v>1.8773637680174413</v>
      </c>
      <c r="L302" s="1303">
        <v>0.85791980570535631</v>
      </c>
      <c r="M302" s="1303">
        <v>949.2054457712826</v>
      </c>
      <c r="O302" s="1332">
        <f t="shared" ref="O302:O303" si="45">M302/45</f>
        <v>21.093454350472946</v>
      </c>
      <c r="P302" s="1327">
        <v>1.4522786346527323</v>
      </c>
      <c r="Q302" s="1326">
        <v>7.9445543113898527</v>
      </c>
      <c r="R302" s="1123"/>
      <c r="S302" s="1328">
        <v>64.593499437211094</v>
      </c>
      <c r="T302" s="1328">
        <v>14.695061485157177</v>
      </c>
      <c r="U302" s="1329">
        <v>1.4522786346527323</v>
      </c>
      <c r="V302" s="1330">
        <v>5447.6374269005855</v>
      </c>
      <c r="W302" s="1303">
        <v>7.9445543113898527</v>
      </c>
      <c r="X302" s="1123"/>
      <c r="Y302" s="1308">
        <v>0.74480000000000002</v>
      </c>
      <c r="Z302" s="1308">
        <v>1.0909090909090908</v>
      </c>
      <c r="AA302" s="1123"/>
      <c r="AB302" s="1308">
        <v>0.83100362860466148</v>
      </c>
      <c r="AC302" s="1123">
        <v>8.6149422723263754E-3</v>
      </c>
      <c r="AD302" s="1123"/>
      <c r="AE302" s="1331">
        <f t="shared" si="40"/>
        <v>14.463931754801317</v>
      </c>
      <c r="AF302" s="1331">
        <f t="shared" si="41"/>
        <v>10.076508234373525</v>
      </c>
      <c r="AG302" s="1331">
        <f t="shared" si="42"/>
        <v>4.3874235204277916</v>
      </c>
      <c r="AH302" s="1331">
        <f t="shared" si="43"/>
        <v>3.2677530380146194</v>
      </c>
      <c r="AI302" s="1331">
        <f t="shared" si="44"/>
        <v>2.7155146319740551</v>
      </c>
      <c r="AJ302" s="1123"/>
      <c r="AK302" s="1123">
        <v>-2.8151503782715082E-2</v>
      </c>
    </row>
    <row r="303" spans="1:41" s="806" customFormat="1" ht="12.75" hidden="1" customHeight="1" outlineLevel="1">
      <c r="A303" s="8"/>
      <c r="B303" s="8"/>
      <c r="C303" s="10"/>
      <c r="D303" s="10"/>
      <c r="E303" s="10"/>
      <c r="F303" s="10"/>
      <c r="G303" s="8"/>
      <c r="H303" s="1123" t="s">
        <v>2154</v>
      </c>
      <c r="I303" s="1123" t="s">
        <v>2106</v>
      </c>
      <c r="J303" s="1123" t="s">
        <v>2167</v>
      </c>
      <c r="K303" s="1303">
        <v>1.9918551210859123</v>
      </c>
      <c r="L303" s="1303">
        <v>0.78917112934974476</v>
      </c>
      <c r="M303" s="1303">
        <v>1747.5999304005293</v>
      </c>
      <c r="O303" s="1332">
        <f t="shared" si="45"/>
        <v>38.835554008900651</v>
      </c>
      <c r="P303" s="1327">
        <v>1.8911113019525783</v>
      </c>
      <c r="Q303" s="1326">
        <v>7.4879032412351636</v>
      </c>
      <c r="R303" s="1123"/>
      <c r="S303" s="1328">
        <v>69.3525583700429</v>
      </c>
      <c r="T303" s="1328">
        <v>25.198781003519716</v>
      </c>
      <c r="U303" s="1329">
        <v>1.8911113019525783</v>
      </c>
      <c r="V303" s="1330">
        <v>5447.6374269005855</v>
      </c>
      <c r="W303" s="1303">
        <v>7.4879032412351636</v>
      </c>
      <c r="X303" s="1123"/>
      <c r="Y303" s="1308">
        <v>0.74480000000000002</v>
      </c>
      <c r="Z303" s="1308">
        <v>1.0909090909090908</v>
      </c>
      <c r="AA303" s="1123"/>
      <c r="AB303" s="1308">
        <v>0.84454600956505743</v>
      </c>
      <c r="AC303" s="1123">
        <v>7.9245911763804085E-3</v>
      </c>
      <c r="AD303" s="1123"/>
      <c r="AE303" s="1331">
        <f t="shared" si="40"/>
        <v>28.253839652768821</v>
      </c>
      <c r="AF303" s="1331">
        <f t="shared" si="41"/>
        <v>18.332745240495598</v>
      </c>
      <c r="AG303" s="1331">
        <f t="shared" si="42"/>
        <v>9.9210944122732236</v>
      </c>
      <c r="AH303" s="1331">
        <f t="shared" si="43"/>
        <v>7.3892311182610975</v>
      </c>
      <c r="AI303" s="1331">
        <f t="shared" si="44"/>
        <v>6.2405456546813571</v>
      </c>
      <c r="AJ303" s="1123"/>
      <c r="AK303" s="1123">
        <v>-5.8556635720007431E-2</v>
      </c>
    </row>
    <row r="304" spans="1:41" s="806" customFormat="1" ht="12.75" hidden="1" customHeight="1" outlineLevel="1">
      <c r="A304" s="8"/>
      <c r="B304" s="8"/>
      <c r="C304" s="10"/>
      <c r="D304" s="10"/>
      <c r="E304" s="10"/>
      <c r="F304" s="10"/>
      <c r="G304" s="8"/>
      <c r="H304" s="1123" t="s">
        <v>2168</v>
      </c>
      <c r="I304" s="1123" t="s">
        <v>2107</v>
      </c>
      <c r="J304" s="1123" t="s">
        <v>2169</v>
      </c>
      <c r="K304" s="1303">
        <v>1.3853142296217029</v>
      </c>
      <c r="L304" s="1303">
        <v>0.99302587722156699</v>
      </c>
      <c r="M304" s="1303">
        <v>474.28450426267824</v>
      </c>
      <c r="O304" s="1326">
        <v>37</v>
      </c>
      <c r="P304" s="1327">
        <v>2.1737529557872382</v>
      </c>
      <c r="Q304" s="1326">
        <v>2.2408705642884907</v>
      </c>
      <c r="R304" s="1123"/>
      <c r="S304" s="1328">
        <v>52.357492193442624</v>
      </c>
      <c r="T304" s="1328">
        <v>9.0585794772286423</v>
      </c>
      <c r="U304" s="1329">
        <v>1.6906705607519905</v>
      </c>
      <c r="V304" s="1330">
        <v>5447.6374269005855</v>
      </c>
      <c r="W304" s="1303">
        <v>10.766379279394938</v>
      </c>
      <c r="X304" s="1123"/>
      <c r="Y304" s="1308">
        <v>0.74480000000000002</v>
      </c>
      <c r="Z304" s="1308">
        <v>1.0909090909090908</v>
      </c>
      <c r="AA304" s="1123"/>
      <c r="AB304" s="1308">
        <v>0.80438991052999065</v>
      </c>
      <c r="AC304" s="1123">
        <v>9.9716320223619329E-3</v>
      </c>
      <c r="AD304" s="1123"/>
      <c r="AE304" s="1331">
        <f t="shared" si="40"/>
        <v>18.721482827665099</v>
      </c>
      <c r="AF304" s="1331">
        <f t="shared" si="41"/>
        <v>4.5835145979993372</v>
      </c>
      <c r="AG304" s="1331">
        <f t="shared" si="42"/>
        <v>14.137968229665763</v>
      </c>
      <c r="AH304" s="1331">
        <f t="shared" si="43"/>
        <v>10.529958737455061</v>
      </c>
      <c r="AI304" s="1331">
        <f t="shared" si="44"/>
        <v>8.4701925667059701</v>
      </c>
      <c r="AJ304" s="1123"/>
      <c r="AK304" s="1123">
        <v>-0.10500087374055672</v>
      </c>
    </row>
    <row r="305" spans="1:37" s="806" customFormat="1" ht="12.75" hidden="1" customHeight="1" outlineLevel="1">
      <c r="A305" s="8"/>
      <c r="B305" s="8"/>
      <c r="C305" s="10"/>
      <c r="D305" s="10"/>
      <c r="E305" s="10"/>
      <c r="F305" s="10"/>
      <c r="G305" s="8"/>
      <c r="H305" s="1123" t="s">
        <v>2170</v>
      </c>
      <c r="I305" s="1123" t="s">
        <v>2108</v>
      </c>
      <c r="J305" s="1123" t="s">
        <v>2171</v>
      </c>
      <c r="K305" s="1303">
        <v>1.4133478593569577</v>
      </c>
      <c r="L305" s="1303">
        <v>0.97668256411584331</v>
      </c>
      <c r="M305" s="1303">
        <v>854.01386924203234</v>
      </c>
      <c r="O305" s="1326">
        <v>31.100271002710024</v>
      </c>
      <c r="P305" s="1327">
        <v>4.74556552718155</v>
      </c>
      <c r="Q305" s="1326">
        <v>2.7621105076077872</v>
      </c>
      <c r="R305" s="1123"/>
      <c r="S305" s="1328">
        <v>56.288681586763076</v>
      </c>
      <c r="T305" s="1328">
        <v>15.172035392686537</v>
      </c>
      <c r="U305" s="1329">
        <v>5.0118009549379394</v>
      </c>
      <c r="V305" s="1330">
        <v>5447.6374269005855</v>
      </c>
      <c r="W305" s="1303">
        <v>10.552829099013161</v>
      </c>
      <c r="X305" s="1123"/>
      <c r="Y305" s="1308">
        <v>0.74480000000000002</v>
      </c>
      <c r="Z305" s="1308">
        <v>1.0909090909090908</v>
      </c>
      <c r="AA305" s="1123"/>
      <c r="AB305" s="1308">
        <v>0.80760927974501229</v>
      </c>
      <c r="AC305" s="1123">
        <v>9.8075179664699526E-3</v>
      </c>
      <c r="AD305" s="1123"/>
      <c r="AE305" s="1331">
        <f t="shared" si="40"/>
        <v>16.054746903553813</v>
      </c>
      <c r="AF305" s="1331">
        <f t="shared" si="41"/>
        <v>7.832188607620739</v>
      </c>
      <c r="AG305" s="1331">
        <f t="shared" si="42"/>
        <v>8.222558295933073</v>
      </c>
      <c r="AH305" s="1331">
        <f t="shared" si="43"/>
        <v>6.124161418810953</v>
      </c>
      <c r="AI305" s="1331">
        <f t="shared" si="44"/>
        <v>4.9459295924881062</v>
      </c>
      <c r="AJ305" s="1123"/>
      <c r="AK305" s="1123">
        <v>-6.006282314455054E-2</v>
      </c>
    </row>
    <row r="306" spans="1:37" s="806" customFormat="1" ht="12.75" hidden="1" customHeight="1" outlineLevel="1">
      <c r="A306" s="8"/>
      <c r="B306" s="8"/>
      <c r="C306" s="10"/>
      <c r="D306" s="10"/>
      <c r="E306" s="10"/>
      <c r="F306" s="10"/>
      <c r="G306" s="8"/>
      <c r="H306" s="1123" t="s">
        <v>2172</v>
      </c>
      <c r="I306" s="1123" t="s">
        <v>2109</v>
      </c>
      <c r="J306" s="1123" t="s">
        <v>2173</v>
      </c>
      <c r="K306" s="1303">
        <v>1.8779135295448872</v>
      </c>
      <c r="L306" s="1303">
        <v>0.84854563840574837</v>
      </c>
      <c r="M306" s="1303">
        <v>1845.0029433386362</v>
      </c>
      <c r="O306" s="1326">
        <v>37</v>
      </c>
      <c r="P306" s="1327">
        <v>5.4627245082786207</v>
      </c>
      <c r="Q306" s="1326">
        <v>2.0492242794119604</v>
      </c>
      <c r="R306" s="1123"/>
      <c r="S306" s="1328" t="s">
        <v>2164</v>
      </c>
      <c r="T306" s="1328" t="e">
        <v>#VALUE!</v>
      </c>
      <c r="U306" s="1329">
        <v>5.0118009549379394</v>
      </c>
      <c r="V306" s="1330">
        <v>5447.6374269005855</v>
      </c>
      <c r="W306" s="1303">
        <v>7.9422285332087013</v>
      </c>
      <c r="X306" s="1123"/>
      <c r="Y306" s="1308">
        <v>0.74480000000000002</v>
      </c>
      <c r="Z306" s="1308">
        <v>1.0909090909090908</v>
      </c>
      <c r="AA306" s="1123"/>
      <c r="AB306" s="1308">
        <v>0.83285018844388103</v>
      </c>
      <c r="AC306" s="1123">
        <v>8.5208100357231469E-3</v>
      </c>
      <c r="AD306" s="1123"/>
      <c r="AE306" s="1331">
        <f t="shared" si="40"/>
        <v>25.378592916651993</v>
      </c>
      <c r="AF306" s="1331" t="e">
        <f t="shared" si="41"/>
        <v>#VALUE!</v>
      </c>
      <c r="AG306" s="1331" t="e">
        <f t="shared" si="42"/>
        <v>#VALUE!</v>
      </c>
      <c r="AH306" s="1331" t="e">
        <f t="shared" si="43"/>
        <v>#VALUE!</v>
      </c>
      <c r="AI306" s="1331" t="e">
        <f t="shared" si="44"/>
        <v>#VALUE!</v>
      </c>
      <c r="AJ306" s="1123"/>
      <c r="AK306" s="1123" t="e">
        <v>#VALUE!</v>
      </c>
    </row>
    <row r="307" spans="1:37" s="806" customFormat="1" ht="12.75" hidden="1" customHeight="1" outlineLevel="1">
      <c r="A307" s="8"/>
      <c r="B307" s="8"/>
      <c r="C307" s="10"/>
      <c r="D307" s="10"/>
      <c r="E307" s="10"/>
      <c r="F307" s="10"/>
      <c r="G307" s="8"/>
      <c r="H307" s="1123" t="s">
        <v>2174</v>
      </c>
      <c r="I307" s="1123" t="s">
        <v>2110</v>
      </c>
      <c r="J307" s="1123" t="s">
        <v>2175</v>
      </c>
      <c r="K307" s="1303">
        <v>1.9506803142955835</v>
      </c>
      <c r="L307" s="1303">
        <v>0.94622699649287401</v>
      </c>
      <c r="M307" s="1303">
        <v>479.73166573433264</v>
      </c>
      <c r="O307" s="1326">
        <v>38</v>
      </c>
      <c r="P307" s="1327">
        <v>4.6350044381489033</v>
      </c>
      <c r="Q307" s="1326">
        <v>2.1002897994909375</v>
      </c>
      <c r="R307" s="1123"/>
      <c r="S307" s="1328">
        <v>43.652276732987744</v>
      </c>
      <c r="T307" s="1328">
        <v>10.989842950661094</v>
      </c>
      <c r="U307" s="1329">
        <v>4.6039209937539276</v>
      </c>
      <c r="V307" s="1330">
        <v>5447.6374269005855</v>
      </c>
      <c r="W307" s="1303">
        <v>7.6459573144541624</v>
      </c>
      <c r="X307" s="1123"/>
      <c r="Y307" s="1308">
        <v>0.74480000000000002</v>
      </c>
      <c r="Z307" s="1308">
        <v>1.0909090909090908</v>
      </c>
      <c r="AA307" s="1123"/>
      <c r="AB307" s="1308">
        <v>0.81360853559950974</v>
      </c>
      <c r="AC307" s="1123">
        <v>9.5016933949913906E-3</v>
      </c>
      <c r="AD307" s="1123"/>
      <c r="AE307" s="1331">
        <f t="shared" si="40"/>
        <v>27.074467422265553</v>
      </c>
      <c r="AF307" s="1331">
        <f t="shared" si="41"/>
        <v>7.8301090774602242</v>
      </c>
      <c r="AG307" s="1331">
        <f t="shared" si="42"/>
        <v>19.244358344805327</v>
      </c>
      <c r="AH307" s="1331">
        <f t="shared" si="43"/>
        <v>14.333198095211008</v>
      </c>
      <c r="AI307" s="1331">
        <f t="shared" si="44"/>
        <v>11.66161231270231</v>
      </c>
      <c r="AJ307" s="1123"/>
      <c r="AK307" s="1123">
        <v>-0.13618965367036961</v>
      </c>
    </row>
    <row r="308" spans="1:37" s="806" customFormat="1" ht="12.75" hidden="1" customHeight="1" outlineLevel="1">
      <c r="A308" s="8"/>
      <c r="B308" s="8"/>
      <c r="C308" s="10"/>
      <c r="D308" s="10"/>
      <c r="E308" s="10"/>
      <c r="F308" s="10"/>
      <c r="G308" s="8"/>
      <c r="H308" s="1123" t="s">
        <v>2176</v>
      </c>
      <c r="I308" s="1123" t="s">
        <v>2111</v>
      </c>
      <c r="J308" s="1123" t="s">
        <v>2177</v>
      </c>
      <c r="K308" s="1303">
        <v>2.2112998582903738</v>
      </c>
      <c r="L308" s="1303">
        <v>0.82931998492682701</v>
      </c>
      <c r="M308" s="1303">
        <v>972.55453255182397</v>
      </c>
      <c r="O308" s="1326">
        <v>33.801608579088473</v>
      </c>
      <c r="P308" s="1327">
        <v>6.0025868409413388</v>
      </c>
      <c r="Q308" s="1326">
        <v>2.7605785479478313</v>
      </c>
      <c r="R308" s="1123"/>
      <c r="S308" s="1328">
        <v>50.291577048115769</v>
      </c>
      <c r="T308" s="1328">
        <v>19.338318454824869</v>
      </c>
      <c r="U308" s="1329">
        <v>3.1114505128260177</v>
      </c>
      <c r="V308" s="1330">
        <v>5447.6374269005855</v>
      </c>
      <c r="W308" s="1303">
        <v>6.7448195057459026</v>
      </c>
      <c r="X308" s="1123"/>
      <c r="Y308" s="1308">
        <v>0.74480000000000002</v>
      </c>
      <c r="Z308" s="1308">
        <v>1.0909090909090908</v>
      </c>
      <c r="AA308" s="1123"/>
      <c r="AB308" s="1308">
        <v>0.83663733224687387</v>
      </c>
      <c r="AC308" s="1123">
        <v>8.3277524867923537E-3</v>
      </c>
      <c r="AD308" s="1123"/>
      <c r="AE308" s="1331">
        <f t="shared" si="40"/>
        <v>27.300791048302866</v>
      </c>
      <c r="AF308" s="1331">
        <f t="shared" si="41"/>
        <v>15.619120318650532</v>
      </c>
      <c r="AG308" s="1331">
        <f t="shared" si="42"/>
        <v>11.681670729652334</v>
      </c>
      <c r="AH308" s="1331">
        <f t="shared" si="43"/>
        <v>8.7005083594450578</v>
      </c>
      <c r="AI308" s="1331">
        <f t="shared" si="44"/>
        <v>7.279170103037738</v>
      </c>
      <c r="AJ308" s="1123"/>
      <c r="AK308" s="1123">
        <v>-7.2455680126726249E-2</v>
      </c>
    </row>
    <row r="309" spans="1:37" s="806" customFormat="1" ht="12.75" hidden="1" customHeight="1" outlineLevel="1">
      <c r="A309" s="8"/>
      <c r="B309" s="8"/>
      <c r="C309" s="10"/>
      <c r="D309" s="10"/>
      <c r="E309" s="10"/>
      <c r="F309" s="10"/>
      <c r="G309" s="8"/>
      <c r="H309" s="1123" t="s">
        <v>2178</v>
      </c>
      <c r="I309" s="1123" t="s">
        <v>2112</v>
      </c>
      <c r="J309" s="1123" t="s">
        <v>2179</v>
      </c>
      <c r="K309" s="1303">
        <v>3.1412077290657425</v>
      </c>
      <c r="L309" s="1303">
        <v>0.2985167573190915</v>
      </c>
      <c r="M309" s="1303">
        <v>1835.2728077183538</v>
      </c>
      <c r="O309" s="1326">
        <v>92</v>
      </c>
      <c r="P309" s="1327">
        <v>6.8379432184399001</v>
      </c>
      <c r="Q309" s="1326">
        <v>1.8152462117520278</v>
      </c>
      <c r="R309" s="1123"/>
      <c r="S309" s="1328">
        <v>67.307692307692307</v>
      </c>
      <c r="T309" s="1328">
        <v>27.266910286101258</v>
      </c>
      <c r="U309" s="1329">
        <v>9.8501399999999997</v>
      </c>
      <c r="V309" s="1330">
        <v>5447.6374269005855</v>
      </c>
      <c r="W309" s="1303">
        <v>4.7481159170858227</v>
      </c>
      <c r="X309" s="1123"/>
      <c r="Y309" s="1308">
        <v>0.74480000000000002</v>
      </c>
      <c r="Z309" s="1308">
        <v>1.0909090909090908</v>
      </c>
      <c r="AA309" s="1123"/>
      <c r="AB309" s="1308">
        <v>0.94119701112838594</v>
      </c>
      <c r="AC309" s="1123">
        <v>2.9976049212567784E-3</v>
      </c>
      <c r="AD309" s="1123"/>
      <c r="AE309" s="1331">
        <f t="shared" si="40"/>
        <v>105.55400331979615</v>
      </c>
      <c r="AF309" s="1331">
        <f t="shared" si="41"/>
        <v>31.284038465866477</v>
      </c>
      <c r="AG309" s="1331">
        <f t="shared" si="42"/>
        <v>74.269964853929679</v>
      </c>
      <c r="AH309" s="1331">
        <f t="shared" si="43"/>
        <v>55.316269823206824</v>
      </c>
      <c r="AI309" s="1331">
        <f t="shared" si="44"/>
        <v>52.063507824373595</v>
      </c>
      <c r="AJ309" s="1123"/>
      <c r="AK309" s="1123">
        <v>-0.16581632264761259</v>
      </c>
    </row>
    <row r="310" spans="1:37" s="806" customFormat="1" ht="12.75" hidden="1" customHeight="1" outlineLevel="1">
      <c r="A310" s="8"/>
      <c r="B310" s="8"/>
      <c r="C310" s="10"/>
      <c r="D310" s="10"/>
      <c r="E310" s="10"/>
      <c r="F310" s="10"/>
      <c r="G310" s="8"/>
      <c r="H310" s="1123" t="s">
        <v>2180</v>
      </c>
      <c r="I310" s="1123" t="s">
        <v>2113</v>
      </c>
      <c r="J310" s="1123" t="s">
        <v>2181</v>
      </c>
      <c r="K310" s="1303">
        <v>1.6416684714322591</v>
      </c>
      <c r="L310" s="1303">
        <v>1</v>
      </c>
      <c r="M310" s="1303">
        <v>415.0645318455953</v>
      </c>
      <c r="O310" s="1326">
        <v>91</v>
      </c>
      <c r="P310" s="1327">
        <v>2.5086033161955381</v>
      </c>
      <c r="Q310" s="1326">
        <v>1.9664811264199897</v>
      </c>
      <c r="R310" s="1123"/>
      <c r="S310" s="1328" t="s">
        <v>2164</v>
      </c>
      <c r="T310" s="1328" t="e">
        <v>#VALUE!</v>
      </c>
      <c r="U310" s="1329">
        <v>12.376032587859543</v>
      </c>
      <c r="V310" s="1330">
        <v>5447.6374269005855</v>
      </c>
      <c r="W310" s="1303">
        <v>9.0851585912701136</v>
      </c>
      <c r="X310" s="1123"/>
      <c r="Y310" s="1308">
        <v>0.74480000000000002</v>
      </c>
      <c r="Z310" s="1308">
        <v>1.0909090909090908</v>
      </c>
      <c r="AA310" s="1123"/>
      <c r="AB310" s="1308">
        <v>0.8030161207708747</v>
      </c>
      <c r="AC310" s="1123">
        <v>1.0041663818733528E-2</v>
      </c>
      <c r="AD310" s="1123"/>
      <c r="AE310" s="1331">
        <f t="shared" si="40"/>
        <v>54.565366236347565</v>
      </c>
      <c r="AF310" s="1331" t="e">
        <f t="shared" si="41"/>
        <v>#VALUE!</v>
      </c>
      <c r="AG310" s="1331" t="e">
        <f t="shared" si="42"/>
        <v>#VALUE!</v>
      </c>
      <c r="AH310" s="1331" t="e">
        <f t="shared" si="43"/>
        <v>#VALUE!</v>
      </c>
      <c r="AI310" s="1331" t="e">
        <f t="shared" si="44"/>
        <v>#VALUE!</v>
      </c>
      <c r="AJ310" s="1123"/>
      <c r="AK310" s="1123" t="e">
        <v>#VALUE!</v>
      </c>
    </row>
    <row r="311" spans="1:37" s="806" customFormat="1" ht="12.75" hidden="1" customHeight="1" outlineLevel="1">
      <c r="A311" s="8"/>
      <c r="B311" s="8"/>
      <c r="C311" s="10"/>
      <c r="D311" s="10"/>
      <c r="E311" s="10"/>
      <c r="F311" s="10"/>
      <c r="G311" s="8"/>
      <c r="H311" s="1123" t="s">
        <v>2182</v>
      </c>
      <c r="I311" s="1123" t="s">
        <v>2114</v>
      </c>
      <c r="J311" s="1123" t="s">
        <v>2183</v>
      </c>
      <c r="K311" s="1303">
        <v>1.9012991277195712</v>
      </c>
      <c r="L311" s="1303">
        <v>0.9977909622715454</v>
      </c>
      <c r="M311" s="1303">
        <v>1132.8409655317996</v>
      </c>
      <c r="O311" s="1326">
        <v>91</v>
      </c>
      <c r="P311" s="1327">
        <v>6.020444707725451</v>
      </c>
      <c r="Q311" s="1326">
        <v>3.7098631590053808</v>
      </c>
      <c r="R311" s="1123"/>
      <c r="S311" s="1328">
        <v>42.211016724553993</v>
      </c>
      <c r="T311" s="1328">
        <v>26.837566432576125</v>
      </c>
      <c r="U311" s="1329">
        <v>10.627342351184137</v>
      </c>
      <c r="V311" s="1330">
        <v>5447.6374269005855</v>
      </c>
      <c r="W311" s="1303">
        <v>7.8445407141899759</v>
      </c>
      <c r="X311" s="1123"/>
      <c r="Y311" s="1308">
        <v>0.74480000000000002</v>
      </c>
      <c r="Z311" s="1308">
        <v>1.0909090909090908</v>
      </c>
      <c r="AA311" s="1123"/>
      <c r="AB311" s="1308">
        <v>0.80345126559198921</v>
      </c>
      <c r="AC311" s="1123">
        <v>1.0019481404501488E-2</v>
      </c>
      <c r="AD311" s="1123"/>
      <c r="AE311" s="1331">
        <f t="shared" si="40"/>
        <v>63.194905082361174</v>
      </c>
      <c r="AF311" s="1331">
        <f t="shared" si="41"/>
        <v>18.637334762068249</v>
      </c>
      <c r="AG311" s="1331">
        <f t="shared" si="42"/>
        <v>44.557570320292925</v>
      </c>
      <c r="AH311" s="1331">
        <f t="shared" si="43"/>
        <v>33.18647837455417</v>
      </c>
      <c r="AI311" s="1331">
        <f t="shared" si="44"/>
        <v>26.66371805057673</v>
      </c>
      <c r="AJ311" s="1123"/>
      <c r="AK311" s="1123">
        <v>-0.3325113029547363</v>
      </c>
    </row>
    <row r="312" spans="1:37" s="806" customFormat="1" ht="12.75" hidden="1" customHeight="1" outlineLevel="1">
      <c r="A312" s="8"/>
      <c r="B312" s="8"/>
      <c r="C312" s="10"/>
      <c r="D312" s="10"/>
      <c r="E312" s="10"/>
      <c r="F312" s="10"/>
      <c r="G312" s="8"/>
      <c r="H312" s="1123" t="s">
        <v>2184</v>
      </c>
      <c r="I312" s="1123" t="s">
        <v>2115</v>
      </c>
      <c r="J312" s="1123" t="s">
        <v>2185</v>
      </c>
      <c r="K312" s="1303">
        <v>1.9748391432257275</v>
      </c>
      <c r="L312" s="1303">
        <v>0.99652187968377692</v>
      </c>
      <c r="M312" s="1303">
        <v>1994.6302871120699</v>
      </c>
      <c r="O312" s="1326">
        <v>91</v>
      </c>
      <c r="P312" s="1327">
        <v>5.8123669887989093</v>
      </c>
      <c r="Q312" s="1326">
        <v>1.7652962324402386</v>
      </c>
      <c r="R312" s="1123"/>
      <c r="S312" s="1328">
        <v>50.126780200607627</v>
      </c>
      <c r="T312" s="1328">
        <v>39.791709723416297</v>
      </c>
      <c r="U312" s="1329">
        <v>12.376032587859543</v>
      </c>
      <c r="V312" s="1330">
        <v>5447.6374269005855</v>
      </c>
      <c r="W312" s="1303">
        <v>7.552421911633779</v>
      </c>
      <c r="X312" s="1123"/>
      <c r="Y312" s="1308">
        <v>0.74480000000000002</v>
      </c>
      <c r="Z312" s="1308">
        <v>1.0909090909090908</v>
      </c>
      <c r="AA312" s="1123"/>
      <c r="AB312" s="1308">
        <v>0.80370125440318996</v>
      </c>
      <c r="AC312" s="1123">
        <v>1.000673770379691E-2</v>
      </c>
      <c r="AD312" s="1123"/>
      <c r="AE312" s="1331">
        <f t="shared" si="40"/>
        <v>65.639209732750928</v>
      </c>
      <c r="AF312" s="1331">
        <f t="shared" si="41"/>
        <v>28.702158023736995</v>
      </c>
      <c r="AG312" s="1331">
        <f t="shared" si="42"/>
        <v>36.937051709013929</v>
      </c>
      <c r="AH312" s="1331">
        <f t="shared" si="43"/>
        <v>27.510716112873574</v>
      </c>
      <c r="AI312" s="1331">
        <f t="shared" si="44"/>
        <v>22.11039704944654</v>
      </c>
      <c r="AJ312" s="1123"/>
      <c r="AK312" s="1123">
        <v>-0.27529252018514516</v>
      </c>
    </row>
    <row r="313" spans="1:37" s="806" customFormat="1" ht="12.75" hidden="1" customHeight="1" outlineLevel="1">
      <c r="A313" s="8"/>
      <c r="B313" s="8"/>
      <c r="C313" s="10"/>
      <c r="D313" s="10"/>
      <c r="E313" s="10"/>
      <c r="F313" s="10"/>
      <c r="G313" s="8"/>
      <c r="M313" s="2"/>
      <c r="N313" s="2"/>
      <c r="O313" s="2"/>
      <c r="P313" s="2"/>
      <c r="V313" s="3"/>
    </row>
    <row r="314" spans="1:37" s="806" customFormat="1" ht="14.4" hidden="1" outlineLevel="1">
      <c r="A314" s="8"/>
      <c r="B314" s="8"/>
      <c r="C314" s="10"/>
      <c r="D314" s="10"/>
      <c r="E314" s="10"/>
      <c r="F314" s="10"/>
      <c r="G314" s="8"/>
      <c r="M314" s="2"/>
      <c r="N314" s="2"/>
      <c r="O314" s="2"/>
      <c r="P314" s="2"/>
      <c r="V314" s="3"/>
    </row>
    <row r="315" spans="1:37" s="806" customFormat="1" ht="18.600000000000001" hidden="1" outlineLevel="1" thickBot="1">
      <c r="A315" s="8"/>
      <c r="B315" s="8"/>
      <c r="C315" s="10"/>
      <c r="D315" s="10"/>
      <c r="E315" s="10"/>
      <c r="F315" s="10"/>
      <c r="G315" s="8"/>
      <c r="H315" s="204" t="s">
        <v>1096</v>
      </c>
      <c r="I315" s="207"/>
      <c r="J315" s="207"/>
      <c r="K315" s="207"/>
      <c r="L315" s="207"/>
      <c r="M315" s="207"/>
      <c r="N315" s="207"/>
      <c r="O315" s="207"/>
      <c r="P315" s="2"/>
      <c r="V315" s="3"/>
    </row>
    <row r="316" spans="1:37" s="806" customFormat="1" ht="36.75" hidden="1" customHeight="1" outlineLevel="1" thickTop="1">
      <c r="A316" s="8"/>
      <c r="B316" s="8"/>
      <c r="C316" s="10"/>
      <c r="D316" s="10"/>
      <c r="E316" s="10"/>
      <c r="F316" s="10"/>
      <c r="G316" s="8"/>
      <c r="H316" s="3003" t="s">
        <v>1095</v>
      </c>
      <c r="I316" s="3003"/>
      <c r="J316" s="3003"/>
      <c r="K316" s="3003"/>
      <c r="L316" s="3003"/>
      <c r="M316" s="3003"/>
      <c r="N316" s="3003"/>
      <c r="O316" s="3003"/>
      <c r="P316" s="3003"/>
      <c r="Q316" s="3003"/>
      <c r="R316" s="3003"/>
      <c r="S316" s="3003"/>
      <c r="V316" s="3"/>
    </row>
    <row r="317" spans="1:37" s="806" customFormat="1" ht="14.4" hidden="1" outlineLevel="1">
      <c r="A317" s="8"/>
      <c r="B317" s="8"/>
      <c r="C317" s="10"/>
      <c r="D317" s="10"/>
      <c r="E317" s="10"/>
      <c r="F317" s="10"/>
      <c r="G317" s="8"/>
      <c r="H317" s="197"/>
      <c r="I317" s="180"/>
      <c r="J317" s="180"/>
      <c r="K317" s="180"/>
      <c r="L317" s="180"/>
      <c r="M317" s="180"/>
      <c r="N317" s="180"/>
      <c r="O317" s="180"/>
      <c r="P317" s="2"/>
      <c r="V317" s="3"/>
    </row>
    <row r="318" spans="1:37" s="806" customFormat="1" ht="15" hidden="1" outlineLevel="1" thickBot="1">
      <c r="A318" s="8"/>
      <c r="B318" s="8"/>
      <c r="C318" s="10"/>
      <c r="D318" s="10"/>
      <c r="E318" s="10"/>
      <c r="F318" s="10"/>
      <c r="G318" s="8"/>
      <c r="H318" s="197"/>
      <c r="I318" s="180"/>
      <c r="J318" s="180"/>
      <c r="K318" s="180"/>
      <c r="L318" s="180"/>
      <c r="M318" s="180"/>
      <c r="N318" s="180"/>
      <c r="O318" s="180"/>
      <c r="P318" s="2"/>
      <c r="V318" s="3"/>
    </row>
    <row r="319" spans="1:37" s="806" customFormat="1" ht="15" hidden="1" outlineLevel="1" thickBot="1">
      <c r="A319" s="8"/>
      <c r="B319" s="8"/>
      <c r="C319" s="10"/>
      <c r="D319" s="10"/>
      <c r="E319" s="10"/>
      <c r="F319" s="10"/>
      <c r="G319" s="8"/>
      <c r="H319" s="180"/>
      <c r="I319" s="205" t="s">
        <v>934</v>
      </c>
      <c r="J319" s="195"/>
      <c r="K319" s="195"/>
      <c r="L319" s="195"/>
      <c r="M319" s="205" t="s">
        <v>935</v>
      </c>
      <c r="N319" s="195"/>
      <c r="O319" s="200"/>
      <c r="P319" s="2"/>
      <c r="V319" s="3"/>
    </row>
    <row r="320" spans="1:37" s="806" customFormat="1" ht="27" hidden="1" outlineLevel="1">
      <c r="A320" s="8"/>
      <c r="B320" s="8"/>
      <c r="C320" s="10"/>
      <c r="D320" s="10"/>
      <c r="E320" s="10"/>
      <c r="F320" s="10"/>
      <c r="G320" s="8"/>
      <c r="H320" s="180"/>
      <c r="I320" s="206" t="s">
        <v>8</v>
      </c>
      <c r="J320" s="196" t="s">
        <v>936</v>
      </c>
      <c r="K320" s="187" t="s">
        <v>937</v>
      </c>
      <c r="L320" s="201"/>
      <c r="M320" s="206" t="s">
        <v>8</v>
      </c>
      <c r="N320" s="196" t="s">
        <v>936</v>
      </c>
      <c r="O320" s="188" t="s">
        <v>937</v>
      </c>
      <c r="P320" s="2"/>
      <c r="V320" s="3"/>
    </row>
    <row r="321" spans="1:22" s="806" customFormat="1" ht="14.4" hidden="1" outlineLevel="1">
      <c r="A321" s="8"/>
      <c r="B321" s="8"/>
      <c r="C321" s="10"/>
      <c r="D321" s="10"/>
      <c r="E321" s="10"/>
      <c r="F321" s="10"/>
      <c r="G321" s="8"/>
      <c r="H321" s="180"/>
      <c r="I321" s="202">
        <v>16</v>
      </c>
      <c r="J321" s="194">
        <v>1.0000000000000002</v>
      </c>
      <c r="K321" s="179">
        <v>1.0000000000000231E-2</v>
      </c>
      <c r="L321" s="193"/>
      <c r="M321" s="202">
        <v>15</v>
      </c>
      <c r="N321" s="194">
        <v>1</v>
      </c>
      <c r="O321" s="203">
        <v>0</v>
      </c>
      <c r="P321" s="2"/>
      <c r="V321" s="3"/>
    </row>
    <row r="322" spans="1:22" s="806" customFormat="1" ht="14.4" hidden="1" outlineLevel="1">
      <c r="A322" s="8"/>
      <c r="B322" s="8"/>
      <c r="C322" s="10"/>
      <c r="D322" s="10"/>
      <c r="E322" s="10"/>
      <c r="F322" s="10"/>
      <c r="G322" s="8"/>
      <c r="H322" s="180"/>
      <c r="I322" s="202">
        <v>15</v>
      </c>
      <c r="J322" s="194">
        <v>0.99</v>
      </c>
      <c r="K322" s="179">
        <v>1.0000000000000009E-2</v>
      </c>
      <c r="L322" s="193"/>
      <c r="M322" s="202">
        <v>14</v>
      </c>
      <c r="N322" s="194">
        <v>1</v>
      </c>
      <c r="O322" s="203">
        <v>2.7350546085399774E-2</v>
      </c>
      <c r="P322" s="2"/>
      <c r="V322" s="3"/>
    </row>
    <row r="323" spans="1:22" s="806" customFormat="1" ht="14.4" hidden="1" outlineLevel="1">
      <c r="A323" s="8"/>
      <c r="B323" s="8"/>
      <c r="C323" s="10"/>
      <c r="D323" s="10"/>
      <c r="E323" s="10"/>
      <c r="F323" s="10"/>
      <c r="G323" s="8"/>
      <c r="H323" s="180"/>
      <c r="I323" s="202">
        <v>14</v>
      </c>
      <c r="J323" s="194">
        <v>0.98</v>
      </c>
      <c r="K323" s="179">
        <v>1.1081081081080857E-2</v>
      </c>
      <c r="L323" s="193"/>
      <c r="M323" s="202">
        <v>13</v>
      </c>
      <c r="N323" s="194">
        <v>0.97264945391460023</v>
      </c>
      <c r="O323" s="203">
        <v>1.9536104346714378E-2</v>
      </c>
      <c r="P323" s="2"/>
      <c r="V323" s="3"/>
    </row>
    <row r="324" spans="1:22" s="806" customFormat="1" ht="14.4" hidden="1" outlineLevel="1">
      <c r="A324" s="8"/>
      <c r="B324" s="8"/>
      <c r="C324" s="10"/>
      <c r="D324" s="10"/>
      <c r="E324" s="10"/>
      <c r="F324" s="10"/>
      <c r="G324" s="8"/>
      <c r="H324" s="180"/>
      <c r="I324" s="202">
        <v>13</v>
      </c>
      <c r="J324" s="194">
        <v>0.96891891891891913</v>
      </c>
      <c r="K324" s="179">
        <v>6.8918918918919103E-2</v>
      </c>
      <c r="L324" s="193"/>
      <c r="M324" s="202">
        <v>12</v>
      </c>
      <c r="N324" s="194">
        <v>0.95311334956788585</v>
      </c>
      <c r="O324" s="203">
        <v>0.20247113568030106</v>
      </c>
      <c r="P324" s="2"/>
      <c r="V324" s="3"/>
    </row>
    <row r="325" spans="1:22" s="806" customFormat="1" ht="14.4" hidden="1" outlineLevel="1">
      <c r="A325" s="8"/>
      <c r="B325" s="8"/>
      <c r="C325" s="10"/>
      <c r="D325" s="10"/>
      <c r="E325" s="10"/>
      <c r="F325" s="10"/>
      <c r="G325" s="8"/>
      <c r="H325" s="180"/>
      <c r="I325" s="202">
        <v>12</v>
      </c>
      <c r="J325" s="194">
        <v>0.9</v>
      </c>
      <c r="K325" s="179">
        <v>5.5405405405405284E-2</v>
      </c>
      <c r="L325" s="193"/>
      <c r="M325" s="202">
        <v>11</v>
      </c>
      <c r="N325" s="194">
        <v>0.75064221388758479</v>
      </c>
      <c r="O325" s="203">
        <v>2.2220017209006127E-2</v>
      </c>
      <c r="P325" s="2"/>
      <c r="V325" s="3"/>
    </row>
    <row r="326" spans="1:22" s="806" customFormat="1" ht="14.4" hidden="1" outlineLevel="1">
      <c r="A326" s="8"/>
      <c r="B326" s="8"/>
      <c r="C326" s="10"/>
      <c r="D326" s="10"/>
      <c r="E326" s="10"/>
      <c r="F326" s="10"/>
      <c r="G326" s="8"/>
      <c r="H326" s="180"/>
      <c r="I326" s="202">
        <v>11</v>
      </c>
      <c r="J326" s="194">
        <v>0.84459459459459474</v>
      </c>
      <c r="K326" s="179">
        <v>5.4594594594594703E-2</v>
      </c>
      <c r="L326" s="193"/>
      <c r="M326" s="202">
        <v>10</v>
      </c>
      <c r="N326" s="194">
        <v>0.72842219667857866</v>
      </c>
      <c r="O326" s="203">
        <v>0.28713258463611652</v>
      </c>
      <c r="P326" s="2"/>
      <c r="V326" s="3"/>
    </row>
    <row r="327" spans="1:22" s="806" customFormat="1" ht="14.4" hidden="1" outlineLevel="1">
      <c r="A327" s="8"/>
      <c r="B327" s="8"/>
      <c r="C327" s="10"/>
      <c r="D327" s="10"/>
      <c r="E327" s="10"/>
      <c r="F327" s="10"/>
      <c r="G327" s="8"/>
      <c r="H327" s="180"/>
      <c r="I327" s="202">
        <v>10</v>
      </c>
      <c r="J327" s="194">
        <v>0.79</v>
      </c>
      <c r="K327" s="179">
        <v>5.0000000000000044E-2</v>
      </c>
      <c r="L327" s="193"/>
      <c r="M327" s="202">
        <v>9</v>
      </c>
      <c r="N327" s="194">
        <v>0.44128961204246214</v>
      </c>
      <c r="O327" s="203">
        <v>9.641078435635736E-2</v>
      </c>
      <c r="P327" s="2"/>
      <c r="V327" s="3"/>
    </row>
    <row r="328" spans="1:22" s="806" customFormat="1" ht="14.4" hidden="1" outlineLevel="1">
      <c r="A328" s="8"/>
      <c r="B328" s="8"/>
      <c r="C328" s="10"/>
      <c r="D328" s="10"/>
      <c r="E328" s="10"/>
      <c r="F328" s="10"/>
      <c r="G328" s="8"/>
      <c r="H328" s="180"/>
      <c r="I328" s="202">
        <v>9</v>
      </c>
      <c r="J328" s="194">
        <v>0.74</v>
      </c>
      <c r="K328" s="179">
        <v>4.6756756756756723E-2</v>
      </c>
      <c r="L328" s="193"/>
      <c r="M328" s="202">
        <v>8</v>
      </c>
      <c r="N328" s="194">
        <v>0.34487882768610478</v>
      </c>
      <c r="O328" s="203">
        <v>0.21684530431115459</v>
      </c>
      <c r="P328" s="2"/>
      <c r="V328" s="3"/>
    </row>
    <row r="329" spans="1:22" s="806" customFormat="1" ht="14.4" hidden="1" outlineLevel="1">
      <c r="A329" s="8"/>
      <c r="B329" s="8"/>
      <c r="C329" s="10"/>
      <c r="D329" s="10"/>
      <c r="E329" s="10"/>
      <c r="F329" s="10"/>
      <c r="G329" s="8"/>
      <c r="H329" s="180"/>
      <c r="I329" s="202">
        <v>8</v>
      </c>
      <c r="J329" s="194">
        <v>0.69324324324324327</v>
      </c>
      <c r="K329" s="179">
        <v>4.3243243243243246E-2</v>
      </c>
      <c r="L329" s="193"/>
      <c r="M329" s="202">
        <v>7</v>
      </c>
      <c r="N329" s="194">
        <v>0.12803352337495019</v>
      </c>
      <c r="O329" s="203">
        <v>3.2334756834698983E-2</v>
      </c>
      <c r="P329" s="2"/>
      <c r="V329" s="3"/>
    </row>
    <row r="330" spans="1:22" s="806" customFormat="1" ht="14.4" hidden="1" outlineLevel="1">
      <c r="A330" s="8"/>
      <c r="B330" s="8"/>
      <c r="C330" s="10"/>
      <c r="D330" s="10"/>
      <c r="E330" s="10"/>
      <c r="F330" s="10"/>
      <c r="G330" s="8"/>
      <c r="H330" s="180"/>
      <c r="I330" s="202">
        <v>7</v>
      </c>
      <c r="J330" s="194">
        <v>0.65</v>
      </c>
      <c r="K330" s="179">
        <v>7.0000000000000062E-2</v>
      </c>
      <c r="L330" s="193"/>
      <c r="M330" s="202">
        <v>6</v>
      </c>
      <c r="N330" s="194">
        <v>9.5698766540251209E-2</v>
      </c>
      <c r="O330" s="203">
        <v>5.7347124418158979E-2</v>
      </c>
      <c r="P330" s="2"/>
      <c r="V330" s="3"/>
    </row>
    <row r="331" spans="1:22" s="806" customFormat="1" ht="14.4" hidden="1" outlineLevel="1">
      <c r="A331" s="8"/>
      <c r="B331" s="8"/>
      <c r="C331" s="10"/>
      <c r="D331" s="10"/>
      <c r="E331" s="10"/>
      <c r="F331" s="10"/>
      <c r="G331" s="8"/>
      <c r="H331" s="180"/>
      <c r="I331" s="202">
        <v>6</v>
      </c>
      <c r="J331" s="194">
        <v>0.57999999999999996</v>
      </c>
      <c r="K331" s="179">
        <v>0.12999999999999995</v>
      </c>
      <c r="L331" s="193"/>
      <c r="M331" s="202">
        <v>5</v>
      </c>
      <c r="N331" s="194">
        <v>3.835164212209223E-2</v>
      </c>
      <c r="O331" s="203">
        <v>1.7621110868476904E-2</v>
      </c>
      <c r="P331" s="2"/>
      <c r="V331" s="3"/>
    </row>
    <row r="332" spans="1:22" s="806" customFormat="1" ht="14.4" hidden="1" outlineLevel="1">
      <c r="A332" s="8"/>
      <c r="B332" s="8"/>
      <c r="C332" s="10"/>
      <c r="D332" s="10"/>
      <c r="E332" s="10"/>
      <c r="F332" s="10"/>
      <c r="G332" s="8"/>
      <c r="H332" s="180"/>
      <c r="I332" s="202">
        <v>5</v>
      </c>
      <c r="J332" s="194">
        <v>0.45</v>
      </c>
      <c r="K332" s="179">
        <v>0.10885135135135132</v>
      </c>
      <c r="L332" s="193"/>
      <c r="M332" s="202">
        <v>4</v>
      </c>
      <c r="N332" s="194">
        <v>2.0730531253615327E-2</v>
      </c>
      <c r="O332" s="192">
        <v>1.8850431755313597E-3</v>
      </c>
      <c r="P332" s="2"/>
      <c r="V332" s="3"/>
    </row>
    <row r="333" spans="1:22" s="806" customFormat="1" ht="14.4" hidden="1" outlineLevel="1">
      <c r="A333" s="8"/>
      <c r="B333" s="8"/>
      <c r="C333" s="10"/>
      <c r="D333" s="10"/>
      <c r="E333" s="10"/>
      <c r="F333" s="10"/>
      <c r="G333" s="8"/>
      <c r="H333" s="180"/>
      <c r="I333" s="202">
        <v>4</v>
      </c>
      <c r="J333" s="194">
        <v>0.34114864864864869</v>
      </c>
      <c r="K333" s="179">
        <v>0.14114864864864868</v>
      </c>
      <c r="L333" s="193"/>
      <c r="M333" s="202">
        <v>3</v>
      </c>
      <c r="N333" s="194">
        <v>1.8845488078083967E-2</v>
      </c>
      <c r="O333" s="192">
        <v>1.8850431755313563E-3</v>
      </c>
      <c r="P333" s="2"/>
      <c r="V333" s="3"/>
    </row>
    <row r="334" spans="1:22" s="806" customFormat="1" ht="14.4" hidden="1" outlineLevel="1">
      <c r="A334" s="8"/>
      <c r="B334" s="8"/>
      <c r="C334" s="10"/>
      <c r="D334" s="10"/>
      <c r="E334" s="10"/>
      <c r="F334" s="10"/>
      <c r="G334" s="8"/>
      <c r="H334" s="180"/>
      <c r="I334" s="202">
        <v>3</v>
      </c>
      <c r="J334" s="194">
        <v>0.2</v>
      </c>
      <c r="K334" s="179">
        <v>0.16375000000000001</v>
      </c>
      <c r="L334" s="193"/>
      <c r="M334" s="178">
        <v>2</v>
      </c>
      <c r="N334" s="191">
        <v>1.6960444902552611E-2</v>
      </c>
      <c r="O334" s="177">
        <v>1.6960444902552611E-2</v>
      </c>
      <c r="P334" s="2"/>
      <c r="V334" s="3"/>
    </row>
    <row r="335" spans="1:22" s="806" customFormat="1" ht="14.4" hidden="1" outlineLevel="1">
      <c r="A335" s="8"/>
      <c r="B335" s="8"/>
      <c r="C335" s="10"/>
      <c r="D335" s="10"/>
      <c r="E335" s="10"/>
      <c r="F335" s="10"/>
      <c r="G335" s="8"/>
      <c r="H335" s="180"/>
      <c r="I335" s="178">
        <v>2</v>
      </c>
      <c r="J335" s="191">
        <v>3.6250000000000004E-2</v>
      </c>
      <c r="K335" s="190">
        <v>3.2500000000000001E-2</v>
      </c>
      <c r="L335" s="193"/>
      <c r="M335" s="178">
        <v>1</v>
      </c>
      <c r="N335" s="191">
        <v>0</v>
      </c>
      <c r="O335" s="177">
        <v>0</v>
      </c>
      <c r="P335" s="2"/>
      <c r="V335" s="3"/>
    </row>
    <row r="336" spans="1:22" s="806" customFormat="1" ht="15" hidden="1" outlineLevel="1" thickBot="1">
      <c r="A336" s="8"/>
      <c r="B336" s="8"/>
      <c r="C336" s="10"/>
      <c r="D336" s="10"/>
      <c r="E336" s="10"/>
      <c r="F336" s="10"/>
      <c r="G336" s="8"/>
      <c r="H336" s="180"/>
      <c r="I336" s="186">
        <v>1</v>
      </c>
      <c r="J336" s="176">
        <v>3.7499999999999999E-3</v>
      </c>
      <c r="K336" s="175">
        <v>3.7499999999999999E-3</v>
      </c>
      <c r="L336" s="185"/>
      <c r="M336" s="174"/>
      <c r="N336" s="185"/>
      <c r="O336" s="199"/>
      <c r="P336" s="2"/>
      <c r="V336" s="3"/>
    </row>
    <row r="337" spans="1:22" s="806" customFormat="1" ht="28.8" hidden="1" outlineLevel="1">
      <c r="A337" s="8"/>
      <c r="B337" s="8"/>
      <c r="C337" s="10"/>
      <c r="D337" s="10"/>
      <c r="E337" s="10"/>
      <c r="F337" s="10"/>
      <c r="G337" s="8"/>
      <c r="H337" s="180"/>
      <c r="I337" s="198"/>
      <c r="J337" s="173" t="s">
        <v>442</v>
      </c>
      <c r="K337" s="173" t="s">
        <v>470</v>
      </c>
      <c r="L337" s="18" t="s">
        <v>1074</v>
      </c>
      <c r="M337" s="18" t="s">
        <v>1075</v>
      </c>
      <c r="N337" s="2"/>
      <c r="O337" s="2"/>
      <c r="P337" s="2"/>
      <c r="V337" s="3"/>
    </row>
    <row r="338" spans="1:22" s="806" customFormat="1" ht="14.4" hidden="1" outlineLevel="1">
      <c r="A338" s="8"/>
      <c r="B338" s="8"/>
      <c r="C338" s="10"/>
      <c r="D338" s="10"/>
      <c r="E338" s="10"/>
      <c r="F338" s="10"/>
      <c r="G338" s="8"/>
      <c r="H338" s="180"/>
      <c r="I338" s="198"/>
      <c r="J338" s="173" t="s">
        <v>938</v>
      </c>
      <c r="K338" s="173" t="s">
        <v>938</v>
      </c>
      <c r="L338" s="173" t="s">
        <v>939</v>
      </c>
      <c r="M338" s="173" t="s">
        <v>939</v>
      </c>
      <c r="N338" s="2"/>
      <c r="O338" s="2"/>
      <c r="P338" s="2"/>
      <c r="V338" s="3"/>
    </row>
    <row r="339" spans="1:22" s="806" customFormat="1" ht="14.4" hidden="1" outlineLevel="1">
      <c r="A339" s="8"/>
      <c r="B339" s="8"/>
      <c r="C339" s="10"/>
      <c r="D339" s="10"/>
      <c r="E339" s="10"/>
      <c r="F339" s="10"/>
      <c r="G339" s="8"/>
      <c r="H339" s="180"/>
      <c r="I339" s="198"/>
      <c r="J339" s="173"/>
      <c r="K339" s="173"/>
      <c r="L339" s="173"/>
      <c r="M339" s="173"/>
      <c r="N339" s="2"/>
      <c r="O339" s="2"/>
      <c r="P339" s="2"/>
      <c r="V339" s="3"/>
    </row>
    <row r="340" spans="1:22" s="806" customFormat="1" ht="43.2" hidden="1" outlineLevel="1">
      <c r="A340" s="8"/>
      <c r="B340" s="8"/>
      <c r="C340" s="10"/>
      <c r="D340" s="10"/>
      <c r="E340" s="10"/>
      <c r="F340" s="10"/>
      <c r="G340" s="8"/>
      <c r="H340" s="189"/>
      <c r="I340" s="172"/>
      <c r="J340" s="171" t="str">
        <f>J337&amp;J339&amp;J338</f>
        <v>GeneralRegional_Market</v>
      </c>
      <c r="K340" s="171" t="str">
        <f>K337&amp;K339&amp;K338</f>
        <v>SpecialtyRegional_Market</v>
      </c>
      <c r="L340" s="171" t="str">
        <f t="shared" ref="L340" si="46">L337&amp;L339&amp;L338</f>
        <v>CFL General PurposeRetirements</v>
      </c>
      <c r="M340" s="171" t="str">
        <f>M337&amp;M339&amp;M338</f>
        <v>CFL SpecialtyRetirements</v>
      </c>
      <c r="N340" s="2"/>
      <c r="O340" s="2"/>
      <c r="P340" s="2"/>
      <c r="V340" s="3"/>
    </row>
    <row r="341" spans="1:22" s="806" customFormat="1" ht="14.4" hidden="1" outlineLevel="1">
      <c r="A341" s="58" t="s">
        <v>45</v>
      </c>
      <c r="B341" s="8"/>
      <c r="C341" s="10"/>
      <c r="D341" s="10"/>
      <c r="E341" s="10"/>
      <c r="F341" s="10"/>
      <c r="G341" s="8"/>
      <c r="H341" s="189"/>
      <c r="I341" s="183">
        <v>2014</v>
      </c>
      <c r="J341" s="184"/>
      <c r="K341" s="184"/>
      <c r="L341" s="184"/>
      <c r="M341" s="181"/>
      <c r="N341" s="2"/>
      <c r="O341" s="2"/>
      <c r="P341" s="2"/>
      <c r="V341" s="3"/>
    </row>
    <row r="342" spans="1:22" s="806" customFormat="1" ht="14.4" hidden="1" outlineLevel="1">
      <c r="A342" s="58" t="s">
        <v>45</v>
      </c>
      <c r="B342" s="8"/>
      <c r="C342" s="10"/>
      <c r="D342" s="10"/>
      <c r="E342" s="10"/>
      <c r="F342" s="10"/>
      <c r="G342" s="8"/>
      <c r="H342" s="180"/>
      <c r="I342" s="183">
        <v>2015</v>
      </c>
      <c r="J342" s="184">
        <v>12772541.218281478</v>
      </c>
      <c r="K342" s="184">
        <v>2342087.6591266999</v>
      </c>
      <c r="L342" s="104" t="e">
        <f t="shared" ref="L342:L348" ca="1" si="47">IF(SUMPRODUCT(OFFSET(J$144,,,$I342-$I$143,1),OFFSET($K$138,,,$I$143-$I342,1))&gt;J342,J342,SUMPRODUCT(OFFSET(J$144,,,$I342-$I$143,1),OFFSET($K$138,,,$I$143-$I342,1)))</f>
        <v>#REF!</v>
      </c>
      <c r="M342" s="104" t="e">
        <f t="shared" ref="M342:M348" ca="1" si="48">IF(SUMPRODUCT(OFFSET(K$144,,,$I342-$I$143,1),OFFSET($O$137,,,$I$143-$I342,1))&gt;K342,K342,SUMPRODUCT(OFFSET(K$144,,,$I342-$I$143,1),OFFSET($O$137,,,$I$143-$I342,1)))</f>
        <v>#REF!</v>
      </c>
      <c r="N342" s="2"/>
      <c r="O342" s="2"/>
      <c r="P342" s="2"/>
      <c r="V342" s="3"/>
    </row>
    <row r="343" spans="1:22" s="806" customFormat="1" ht="14.4" hidden="1" outlineLevel="1">
      <c r="A343" s="58" t="s">
        <v>45</v>
      </c>
      <c r="B343" s="58" t="s">
        <v>46</v>
      </c>
      <c r="C343" s="10"/>
      <c r="D343" s="10"/>
      <c r="E343" s="10"/>
      <c r="F343" s="10"/>
      <c r="G343" s="8"/>
      <c r="H343" s="180"/>
      <c r="I343" s="183">
        <v>2016</v>
      </c>
      <c r="J343" s="184">
        <v>7307790.7239067201</v>
      </c>
      <c r="K343" s="184">
        <v>1192815.68272005</v>
      </c>
      <c r="L343" s="104" t="e">
        <f t="shared" ca="1" si="47"/>
        <v>#REF!</v>
      </c>
      <c r="M343" s="104" t="e">
        <f t="shared" ca="1" si="48"/>
        <v>#REF!</v>
      </c>
      <c r="N343" s="2"/>
      <c r="O343" s="2"/>
      <c r="P343" s="2"/>
      <c r="V343" s="3"/>
    </row>
    <row r="344" spans="1:22" s="806" customFormat="1" ht="15" hidden="1" outlineLevel="1" thickBot="1">
      <c r="A344" s="58" t="s">
        <v>45</v>
      </c>
      <c r="B344" s="58" t="s">
        <v>46</v>
      </c>
      <c r="C344" s="10"/>
      <c r="D344" s="10"/>
      <c r="E344" s="10"/>
      <c r="F344" s="10"/>
      <c r="G344" s="8"/>
      <c r="H344" s="180"/>
      <c r="I344" s="1333">
        <v>2017</v>
      </c>
      <c r="J344" s="184">
        <v>2128113.6923195999</v>
      </c>
      <c r="K344" s="184">
        <v>284674.83473673998</v>
      </c>
      <c r="L344" s="104" t="e">
        <f ca="1">IF(SUMPRODUCT(OFFSET(J$144,,,$I344-$I$143,1),OFFSET($K$138,,,$I$143-$I344,1))&gt;J344,J344,SUMPRODUCT(OFFSET(J$144,,,$I344-$I$143,1),OFFSET($K$138,,,$I$143-$I344,1)))</f>
        <v>#REF!</v>
      </c>
      <c r="M344" s="104" t="e">
        <f t="shared" ca="1" si="48"/>
        <v>#REF!</v>
      </c>
      <c r="N344" s="2"/>
      <c r="O344" s="2"/>
      <c r="P344" s="2"/>
      <c r="V344" s="3"/>
    </row>
    <row r="345" spans="1:22" s="806" customFormat="1" ht="14.4" hidden="1" outlineLevel="1">
      <c r="A345" s="58" t="s">
        <v>45</v>
      </c>
      <c r="B345" s="58" t="s">
        <v>46</v>
      </c>
      <c r="C345" s="10"/>
      <c r="D345" s="10"/>
      <c r="E345" s="10"/>
      <c r="F345" s="10"/>
      <c r="G345" s="8"/>
      <c r="H345" s="180"/>
      <c r="I345" s="183">
        <v>2018</v>
      </c>
      <c r="J345" s="184">
        <v>1659190.1522129399</v>
      </c>
      <c r="K345" s="184">
        <v>62794.399573150004</v>
      </c>
      <c r="L345" s="104" t="e">
        <f t="shared" ca="1" si="47"/>
        <v>#REF!</v>
      </c>
      <c r="M345" s="104" t="e">
        <f t="shared" ca="1" si="48"/>
        <v>#REF!</v>
      </c>
      <c r="N345" s="2"/>
      <c r="O345" s="2"/>
      <c r="P345" s="2"/>
      <c r="V345" s="3"/>
    </row>
    <row r="346" spans="1:22" s="806" customFormat="1" ht="15" hidden="1" outlineLevel="1" thickBot="1">
      <c r="A346" s="58" t="s">
        <v>45</v>
      </c>
      <c r="B346" s="58" t="s">
        <v>46</v>
      </c>
      <c r="C346" s="10"/>
      <c r="D346" s="10"/>
      <c r="E346" s="10"/>
      <c r="F346" s="10"/>
      <c r="G346" s="8"/>
      <c r="H346" s="180"/>
      <c r="I346" s="1333">
        <v>2019</v>
      </c>
      <c r="J346" s="184">
        <v>936383.08400000003</v>
      </c>
      <c r="K346" s="184">
        <v>60402.702114139996</v>
      </c>
      <c r="L346" s="104" t="e">
        <f ca="1">IF(SUMPRODUCT(OFFSET(J$144,,,$I346-$I$143,1),OFFSET($K$138,,,$I$143-$I346,1))&gt;J346,J346,SUMPRODUCT(OFFSET(J$144,,,$I346-$I$143,1),OFFSET($K$138,,,$I$143-$I346,1)))</f>
        <v>#REF!</v>
      </c>
      <c r="M346" s="104" t="e">
        <f t="shared" ca="1" si="48"/>
        <v>#REF!</v>
      </c>
      <c r="N346" s="2"/>
      <c r="O346" s="2"/>
      <c r="P346" s="2"/>
      <c r="V346" s="3"/>
    </row>
    <row r="347" spans="1:22" s="806" customFormat="1" ht="14.4" hidden="1" outlineLevel="1">
      <c r="A347" s="58" t="s">
        <v>45</v>
      </c>
      <c r="B347" s="58" t="s">
        <v>46</v>
      </c>
      <c r="C347" s="10"/>
      <c r="D347" s="10"/>
      <c r="E347" s="10"/>
      <c r="F347" s="10"/>
      <c r="G347" s="8"/>
      <c r="H347" s="180"/>
      <c r="I347" s="183">
        <v>2020</v>
      </c>
      <c r="J347" s="184">
        <v>441940.87839999999</v>
      </c>
      <c r="K347" s="184">
        <v>57016.030481939997</v>
      </c>
      <c r="L347" s="104" t="e">
        <f t="shared" ca="1" si="47"/>
        <v>#REF!</v>
      </c>
      <c r="M347" s="104" t="e">
        <f t="shared" ca="1" si="48"/>
        <v>#REF!</v>
      </c>
      <c r="N347" s="2"/>
      <c r="O347" s="2"/>
      <c r="P347" s="2"/>
      <c r="V347" s="3"/>
    </row>
    <row r="348" spans="1:22" s="806" customFormat="1" ht="12.75" hidden="1" customHeight="1" outlineLevel="1">
      <c r="A348" s="58" t="s">
        <v>45</v>
      </c>
      <c r="B348" s="58" t="s">
        <v>46</v>
      </c>
      <c r="C348" s="10"/>
      <c r="D348" s="10"/>
      <c r="E348" s="10"/>
      <c r="F348" s="10"/>
      <c r="G348" s="8"/>
      <c r="H348" s="180"/>
      <c r="I348" s="182">
        <v>2021</v>
      </c>
      <c r="J348" s="184">
        <v>0</v>
      </c>
      <c r="K348" s="184">
        <v>0</v>
      </c>
      <c r="L348" s="104" t="e">
        <f t="shared" ca="1" si="47"/>
        <v>#REF!</v>
      </c>
      <c r="M348" s="104" t="e">
        <f t="shared" ca="1" si="48"/>
        <v>#REF!</v>
      </c>
      <c r="N348" s="2"/>
      <c r="O348" s="2"/>
      <c r="P348" s="2"/>
      <c r="V348" s="3"/>
    </row>
    <row r="349" spans="1:22" s="806" customFormat="1" ht="12.75" hidden="1" customHeight="1" outlineLevel="1">
      <c r="A349" s="8"/>
      <c r="B349" s="8"/>
      <c r="C349" s="10"/>
      <c r="D349" s="10"/>
      <c r="E349" s="10"/>
      <c r="F349" s="10"/>
      <c r="G349" s="8"/>
      <c r="M349" s="2"/>
      <c r="N349" s="2"/>
      <c r="O349" s="2"/>
      <c r="P349" s="2"/>
      <c r="V349" s="3"/>
    </row>
    <row r="350" spans="1:22" s="806" customFormat="1" ht="12.75" hidden="1" customHeight="1" outlineLevel="1">
      <c r="A350" s="8"/>
      <c r="B350" s="8"/>
      <c r="C350" s="10"/>
      <c r="D350" s="10"/>
      <c r="E350" s="10"/>
      <c r="F350" s="10"/>
      <c r="G350" s="8"/>
      <c r="H350" s="804"/>
      <c r="I350" s="804"/>
      <c r="M350" s="2"/>
      <c r="N350" s="2"/>
      <c r="O350" s="2"/>
      <c r="P350" s="2"/>
      <c r="V350" s="3"/>
    </row>
    <row r="351" spans="1:22" s="806" customFormat="1" ht="30" hidden="1" customHeight="1" outlineLevel="1" thickBot="1">
      <c r="A351" s="8"/>
      <c r="B351" s="8"/>
      <c r="C351" s="10"/>
      <c r="D351" s="10"/>
      <c r="E351" s="10"/>
      <c r="F351" s="10"/>
      <c r="G351" s="8"/>
      <c r="H351" s="90" t="s">
        <v>932</v>
      </c>
      <c r="I351" s="90"/>
      <c r="J351" s="90"/>
      <c r="K351" s="90"/>
      <c r="L351" s="90"/>
      <c r="M351" s="90"/>
      <c r="N351" s="90"/>
      <c r="O351" s="90"/>
      <c r="P351" s="90"/>
      <c r="Q351" s="90"/>
      <c r="R351" s="90"/>
      <c r="S351" s="90"/>
      <c r="T351" s="90"/>
      <c r="U351" s="90"/>
      <c r="V351" s="90"/>
    </row>
    <row r="352" spans="1:22" s="806" customFormat="1" ht="30" hidden="1" customHeight="1" outlineLevel="1" thickTop="1">
      <c r="A352" s="8"/>
      <c r="B352" s="8"/>
      <c r="C352" s="10"/>
      <c r="D352" s="10"/>
      <c r="E352" s="10"/>
      <c r="F352" s="10"/>
      <c r="G352" s="8"/>
      <c r="H352" s="75"/>
      <c r="I352" s="75"/>
      <c r="J352" s="75"/>
      <c r="K352" s="75"/>
      <c r="L352" s="75"/>
      <c r="M352" s="75"/>
      <c r="N352" s="75"/>
      <c r="O352" s="75"/>
      <c r="P352" s="75"/>
      <c r="Q352" s="75"/>
      <c r="R352" s="75"/>
      <c r="S352" s="75"/>
      <c r="T352" s="75"/>
      <c r="U352" s="75"/>
      <c r="V352" s="75"/>
    </row>
    <row r="353" spans="1:37" s="806" customFormat="1" ht="36" hidden="1" customHeight="1" outlineLevel="1">
      <c r="A353" s="8"/>
      <c r="B353" s="8"/>
      <c r="C353" s="10"/>
      <c r="D353" s="10"/>
      <c r="E353" s="10"/>
      <c r="F353" s="10"/>
      <c r="G353" s="8"/>
      <c r="H353" s="2998" t="s">
        <v>2091</v>
      </c>
      <c r="I353" s="2998"/>
      <c r="J353" s="2998"/>
      <c r="K353" s="2998"/>
      <c r="L353" s="2998"/>
      <c r="M353" s="2998"/>
      <c r="N353" s="2998"/>
      <c r="O353" s="2998"/>
      <c r="P353" s="2998"/>
      <c r="Q353" s="2998"/>
      <c r="R353" s="2998"/>
      <c r="S353" s="2998"/>
      <c r="T353" s="75"/>
      <c r="U353" s="75"/>
      <c r="V353" s="75"/>
    </row>
    <row r="354" spans="1:37" s="806" customFormat="1" ht="17.25" hidden="1" customHeight="1" outlineLevel="1" thickBot="1">
      <c r="A354" s="8"/>
      <c r="B354" s="8"/>
      <c r="C354" s="10"/>
      <c r="D354" s="10"/>
      <c r="E354" s="10"/>
      <c r="F354" s="10"/>
      <c r="G354" s="8"/>
      <c r="H354" s="1334"/>
      <c r="I354" s="1334"/>
      <c r="J354" s="1334"/>
      <c r="K354" s="1334"/>
      <c r="L354" s="1334"/>
      <c r="M354" s="1334"/>
      <c r="N354" s="1334"/>
      <c r="O354" s="1334"/>
      <c r="P354" s="1334"/>
      <c r="Q354" s="1334"/>
      <c r="R354" s="1334"/>
      <c r="S354" s="1334"/>
      <c r="T354" s="75"/>
      <c r="U354" s="75"/>
      <c r="V354" s="75"/>
    </row>
    <row r="355" spans="1:37" s="806" customFormat="1" ht="53.25" hidden="1" customHeight="1" outlineLevel="1" thickBot="1">
      <c r="A355" s="8"/>
      <c r="B355" s="8"/>
      <c r="C355" s="10"/>
      <c r="D355" s="10"/>
      <c r="E355" s="10"/>
      <c r="F355" s="10"/>
      <c r="G355" s="8"/>
      <c r="H355" s="75"/>
      <c r="I355" s="805"/>
      <c r="J355" s="804" t="s">
        <v>914</v>
      </c>
      <c r="K355" s="804" t="s">
        <v>914</v>
      </c>
      <c r="L355" s="804" t="s">
        <v>914</v>
      </c>
      <c r="M355" s="805"/>
      <c r="N355" s="805"/>
      <c r="O355" s="805"/>
      <c r="P355" s="1335" t="s">
        <v>2186</v>
      </c>
      <c r="Q355" s="1336" t="s">
        <v>2187</v>
      </c>
      <c r="R355" s="1337"/>
      <c r="S355" s="1271" t="s">
        <v>2094</v>
      </c>
      <c r="W355" s="805"/>
      <c r="X355" s="805"/>
      <c r="Y355" s="805"/>
      <c r="Z355" s="805"/>
      <c r="AA355" s="805"/>
      <c r="AB355" s="805"/>
      <c r="AC355" s="805"/>
      <c r="AD355" s="805"/>
      <c r="AE355" s="805"/>
      <c r="AF355" s="805"/>
      <c r="AG355" s="805"/>
      <c r="AH355" s="805"/>
      <c r="AI355" s="805"/>
      <c r="AJ355" s="805"/>
      <c r="AK355" s="805"/>
    </row>
    <row r="356" spans="1:37" s="806" customFormat="1" ht="16.5" hidden="1" customHeight="1" outlineLevel="1" thickTop="1" thickBot="1">
      <c r="A356" s="8"/>
      <c r="B356" s="8"/>
      <c r="C356" s="10"/>
      <c r="D356" s="10"/>
      <c r="E356" s="10"/>
      <c r="F356" s="10"/>
      <c r="G356" s="8"/>
      <c r="H356" s="76"/>
      <c r="I356" s="76"/>
      <c r="J356" s="949" t="s">
        <v>2188</v>
      </c>
      <c r="K356" s="949" t="s">
        <v>2096</v>
      </c>
      <c r="L356" s="949" t="s">
        <v>2097</v>
      </c>
      <c r="M356" s="77"/>
      <c r="N356" s="1273"/>
      <c r="O356" s="4"/>
      <c r="P356" s="78" t="s">
        <v>301</v>
      </c>
      <c r="Q356" s="79" t="s">
        <v>302</v>
      </c>
      <c r="R356" s="80"/>
      <c r="S356" s="1274" t="s">
        <v>301</v>
      </c>
      <c r="W356" s="4"/>
      <c r="X356" s="4"/>
      <c r="Y356" s="4"/>
      <c r="Z356" s="4"/>
      <c r="AA356" s="4"/>
      <c r="AB356" s="4"/>
      <c r="AC356" s="4"/>
      <c r="AD356" s="4"/>
      <c r="AE356" s="4"/>
      <c r="AF356" s="4"/>
      <c r="AG356" s="4"/>
      <c r="AH356" s="4"/>
      <c r="AI356" s="4"/>
      <c r="AJ356" s="4"/>
      <c r="AK356" s="4"/>
    </row>
    <row r="357" spans="1:37" s="806" customFormat="1" ht="37.5" hidden="1" customHeight="1" outlineLevel="1" thickTop="1" thickBot="1">
      <c r="A357" s="8"/>
      <c r="B357" s="8"/>
      <c r="C357" s="10"/>
      <c r="D357" s="10"/>
      <c r="E357" s="10"/>
      <c r="F357" s="10"/>
      <c r="G357" s="8"/>
      <c r="H357" s="74" t="s">
        <v>303</v>
      </c>
      <c r="I357" s="74"/>
      <c r="J357" s="81" t="s">
        <v>2098</v>
      </c>
      <c r="K357" s="77" t="s">
        <v>2099</v>
      </c>
      <c r="L357" s="77" t="s">
        <v>2100</v>
      </c>
      <c r="M357" s="81"/>
      <c r="N357" s="82" t="s">
        <v>304</v>
      </c>
      <c r="P357" s="1275">
        <f>SUMIF($O$358:$O$372,P$356,$N$358:$N$372)</f>
        <v>6.5641574737942605</v>
      </c>
      <c r="Q357" s="1275">
        <f>SUMIF($O$358:$O$372,Q$356,$N$358:$N$372)</f>
        <v>16.566945737759969</v>
      </c>
      <c r="R357" s="1277"/>
      <c r="S357" s="1276">
        <f>SUMPRODUCT(M361:M363,K361:K363)</f>
        <v>4.2336423096313585</v>
      </c>
    </row>
    <row r="358" spans="1:37" s="806" customFormat="1" ht="12.75" hidden="1" customHeight="1" outlineLevel="1">
      <c r="A358" s="8"/>
      <c r="B358" s="8"/>
      <c r="C358" s="10"/>
      <c r="D358" s="10"/>
      <c r="E358" s="10"/>
      <c r="F358" s="10"/>
      <c r="G358" s="8"/>
      <c r="H358" s="1278" t="s">
        <v>2101</v>
      </c>
      <c r="I358" s="1279"/>
      <c r="J358" s="1280">
        <v>8.1081096380314688E-2</v>
      </c>
      <c r="K358" s="1280"/>
      <c r="L358" s="1281">
        <f>AI378</f>
        <v>16.216995093680232</v>
      </c>
      <c r="M358" s="1282">
        <f>IF(O358="GP",$J358/SUMIFS($J$358:$J$372,$O$358:$O$372,"GP"),$J358/SUMIFS($J$358:$J$372,$O$358:$O$372,"SP"))</f>
        <v>0.22664341870244981</v>
      </c>
      <c r="N358" s="1283">
        <f>IFERROR(L358*M358,0)</f>
        <v>3.6754752091125429</v>
      </c>
      <c r="O358" s="180" t="s">
        <v>302</v>
      </c>
      <c r="P358" s="806" t="s">
        <v>305</v>
      </c>
      <c r="Q358" s="806" t="s">
        <v>305</v>
      </c>
      <c r="S358" s="806" t="s">
        <v>305</v>
      </c>
    </row>
    <row r="359" spans="1:37" s="806" customFormat="1" ht="12.75" hidden="1" customHeight="1" outlineLevel="1">
      <c r="A359" s="8"/>
      <c r="B359" s="8"/>
      <c r="C359" s="10"/>
      <c r="D359" s="10"/>
      <c r="E359" s="10"/>
      <c r="F359" s="10"/>
      <c r="G359" s="8"/>
      <c r="H359" s="1284" t="s">
        <v>2102</v>
      </c>
      <c r="I359" s="83"/>
      <c r="J359" s="84">
        <v>2.2238302428260096E-2</v>
      </c>
      <c r="K359" s="84"/>
      <c r="L359" s="1281">
        <f t="shared" ref="L359:L372" si="49">AI379</f>
        <v>12.523963748236275</v>
      </c>
      <c r="M359" s="1282">
        <f t="shared" ref="M359:M371" si="50">IF(O359="GP",$J359/SUMIFS($J$358:$J$372,$O$358:$O$372,"GP"),$J359/SUMIFS($J$358:$J$372,$O$358:$O$372,"SP"))</f>
        <v>6.2162021895198961E-2</v>
      </c>
      <c r="N359" s="85">
        <f t="shared" ref="N359:N372" si="51">IFERROR(L359*M359,0)</f>
        <v>0.77851490873254137</v>
      </c>
      <c r="O359" s="180" t="s">
        <v>302</v>
      </c>
    </row>
    <row r="360" spans="1:37" s="806" customFormat="1" ht="12.75" hidden="1" customHeight="1" outlineLevel="1">
      <c r="A360" s="8"/>
      <c r="B360" s="8"/>
      <c r="C360" s="10"/>
      <c r="D360" s="10"/>
      <c r="E360" s="10"/>
      <c r="F360" s="10"/>
      <c r="G360" s="8"/>
      <c r="H360" s="1284" t="s">
        <v>2103</v>
      </c>
      <c r="I360" s="83"/>
      <c r="J360" s="84">
        <v>4.3690429447174121E-4</v>
      </c>
      <c r="K360" s="84"/>
      <c r="L360" s="1281">
        <f t="shared" si="49"/>
        <v>7.2658843629392704</v>
      </c>
      <c r="M360" s="1282">
        <f t="shared" si="50"/>
        <v>1.2212647258787962E-3</v>
      </c>
      <c r="N360" s="85">
        <f t="shared" si="51"/>
        <v>8.8735682747720594E-3</v>
      </c>
      <c r="O360" s="180" t="s">
        <v>302</v>
      </c>
    </row>
    <row r="361" spans="1:37" s="806" customFormat="1" ht="12.75" hidden="1" customHeight="1" outlineLevel="1">
      <c r="A361" s="8"/>
      <c r="B361" s="8"/>
      <c r="C361" s="10"/>
      <c r="D361" s="10"/>
      <c r="E361" s="10"/>
      <c r="F361" s="10"/>
      <c r="G361" s="8"/>
      <c r="H361" s="1285" t="s">
        <v>2104</v>
      </c>
      <c r="I361" s="86"/>
      <c r="J361" s="87">
        <v>6.7706707657562287E-2</v>
      </c>
      <c r="K361" s="170">
        <v>10.181969784907899</v>
      </c>
      <c r="L361" s="1281">
        <f t="shared" si="49"/>
        <v>1.9612997719429035</v>
      </c>
      <c r="M361" s="1282">
        <f t="shared" si="50"/>
        <v>0.10542068474723527</v>
      </c>
      <c r="N361" s="88">
        <f t="shared" si="51"/>
        <v>0.20676156495281728</v>
      </c>
      <c r="O361" s="180" t="s">
        <v>301</v>
      </c>
      <c r="Q361" s="89"/>
    </row>
    <row r="362" spans="1:37" s="806" customFormat="1" ht="12.75" hidden="1" customHeight="1" outlineLevel="1">
      <c r="A362" s="8"/>
      <c r="B362" s="8"/>
      <c r="C362" s="10"/>
      <c r="D362" s="10"/>
      <c r="E362" s="10"/>
      <c r="F362" s="10"/>
      <c r="G362" s="8"/>
      <c r="H362" s="1285" t="s">
        <v>2105</v>
      </c>
      <c r="I362" s="86"/>
      <c r="J362" s="87">
        <v>0.52245631623218058</v>
      </c>
      <c r="K362" s="170">
        <v>3.9973247277667134</v>
      </c>
      <c r="L362" s="1281">
        <f t="shared" si="49"/>
        <v>6.5744306102441747</v>
      </c>
      <c r="M362" s="1282">
        <f t="shared" si="50"/>
        <v>0.81347483156733935</v>
      </c>
      <c r="N362" s="88">
        <f t="shared" si="51"/>
        <v>5.3481338333195403</v>
      </c>
      <c r="O362" s="180" t="s">
        <v>301</v>
      </c>
    </row>
    <row r="363" spans="1:37" s="806" customFormat="1" ht="12.75" hidden="1" customHeight="1" outlineLevel="1">
      <c r="A363" s="8"/>
      <c r="B363" s="8"/>
      <c r="C363" s="10"/>
      <c r="D363" s="10"/>
      <c r="E363" s="10"/>
      <c r="F363" s="10"/>
      <c r="G363" s="8"/>
      <c r="H363" s="1285" t="s">
        <v>2106</v>
      </c>
      <c r="I363" s="86"/>
      <c r="J363" s="87">
        <v>5.2089564583772424E-2</v>
      </c>
      <c r="K363" s="170">
        <v>-1.1278165232401054</v>
      </c>
      <c r="L363" s="1281">
        <f t="shared" si="49"/>
        <v>12.4439738675418</v>
      </c>
      <c r="M363" s="1282">
        <f t="shared" si="50"/>
        <v>8.1104483685425346E-2</v>
      </c>
      <c r="N363" s="88">
        <f t="shared" si="51"/>
        <v>1.0092620755219033</v>
      </c>
      <c r="O363" s="180" t="s">
        <v>301</v>
      </c>
    </row>
    <row r="364" spans="1:37" s="806" customFormat="1" ht="12.75" hidden="1" customHeight="1" outlineLevel="1">
      <c r="A364" s="8"/>
      <c r="B364" s="8"/>
      <c r="C364" s="10"/>
      <c r="D364" s="10"/>
      <c r="E364" s="10"/>
      <c r="F364" s="10"/>
      <c r="G364" s="8"/>
      <c r="H364" s="1284" t="s">
        <v>2107</v>
      </c>
      <c r="I364" s="83"/>
      <c r="J364" s="84">
        <v>4.4519699203299436E-2</v>
      </c>
      <c r="K364" s="84"/>
      <c r="L364" s="1281">
        <f t="shared" si="49"/>
        <v>12.129474824334414</v>
      </c>
      <c r="M364" s="1282">
        <f t="shared" si="50"/>
        <v>0.12444450405199804</v>
      </c>
      <c r="N364" s="85">
        <f t="shared" si="51"/>
        <v>1.5094464789254922</v>
      </c>
      <c r="O364" s="180" t="s">
        <v>302</v>
      </c>
    </row>
    <row r="365" spans="1:37" s="806" customFormat="1" ht="12.75" hidden="1" customHeight="1" outlineLevel="1">
      <c r="A365" s="8"/>
      <c r="B365" s="8"/>
      <c r="C365" s="10"/>
      <c r="D365" s="10"/>
      <c r="E365" s="10"/>
      <c r="F365" s="10"/>
      <c r="G365" s="8"/>
      <c r="H365" s="1284" t="s">
        <v>2108</v>
      </c>
      <c r="I365" s="83"/>
      <c r="J365" s="84">
        <v>2.7146974784998612E-2</v>
      </c>
      <c r="K365" s="84"/>
      <c r="L365" s="1281">
        <f t="shared" si="49"/>
        <v>8.6493805344782562</v>
      </c>
      <c r="M365" s="1282">
        <f t="shared" si="50"/>
        <v>7.5883078144896296E-2</v>
      </c>
      <c r="N365" s="85">
        <f t="shared" si="51"/>
        <v>0.65634161900275845</v>
      </c>
      <c r="O365" s="180" t="s">
        <v>302</v>
      </c>
    </row>
    <row r="366" spans="1:37" s="806" customFormat="1" ht="12.75" hidden="1" customHeight="1" outlineLevel="1">
      <c r="A366" s="8"/>
      <c r="B366" s="8"/>
      <c r="C366" s="10"/>
      <c r="D366" s="10"/>
      <c r="E366" s="10"/>
      <c r="F366" s="10"/>
      <c r="G366" s="8"/>
      <c r="H366" s="1284" t="s">
        <v>2109</v>
      </c>
      <c r="I366" s="83"/>
      <c r="J366" s="84">
        <v>2.0455466875122243E-3</v>
      </c>
      <c r="K366" s="84"/>
      <c r="L366" s="1281">
        <f t="shared" si="49"/>
        <v>10.168024503041593</v>
      </c>
      <c r="M366" s="1282">
        <f t="shared" si="50"/>
        <v>5.7178518183653966E-3</v>
      </c>
      <c r="N366" s="85">
        <f t="shared" si="51"/>
        <v>5.813925739390028E-2</v>
      </c>
      <c r="O366" s="180" t="s">
        <v>302</v>
      </c>
    </row>
    <row r="367" spans="1:37" s="806" customFormat="1" ht="12.75" hidden="1" customHeight="1" outlineLevel="1">
      <c r="A367" s="8"/>
      <c r="B367" s="8"/>
      <c r="C367" s="10"/>
      <c r="D367" s="10"/>
      <c r="E367" s="10"/>
      <c r="F367" s="10"/>
      <c r="G367" s="8"/>
      <c r="H367" s="1284" t="s">
        <v>2110</v>
      </c>
      <c r="I367" s="83"/>
      <c r="J367" s="84">
        <v>1.4160782440713806E-2</v>
      </c>
      <c r="K367" s="84"/>
      <c r="L367" s="1281">
        <f t="shared" si="49"/>
        <v>17.311596551237056</v>
      </c>
      <c r="M367" s="1282">
        <f t="shared" si="50"/>
        <v>3.9583186305361867E-2</v>
      </c>
      <c r="N367" s="85">
        <f t="shared" si="51"/>
        <v>0.68524815153087637</v>
      </c>
      <c r="O367" s="180" t="s">
        <v>302</v>
      </c>
    </row>
    <row r="368" spans="1:37" s="806" customFormat="1" ht="12.75" hidden="1" customHeight="1" outlineLevel="1">
      <c r="A368" s="8"/>
      <c r="B368" s="8"/>
      <c r="C368" s="10"/>
      <c r="D368" s="10"/>
      <c r="E368" s="10"/>
      <c r="F368" s="10"/>
      <c r="G368" s="8"/>
      <c r="H368" s="1284" t="s">
        <v>2111</v>
      </c>
      <c r="I368" s="83"/>
      <c r="J368" s="84">
        <v>0.14309044911569505</v>
      </c>
      <c r="K368" s="84"/>
      <c r="L368" s="1281">
        <f t="shared" si="49"/>
        <v>13.889198387395224</v>
      </c>
      <c r="M368" s="1282">
        <f t="shared" si="50"/>
        <v>0.39997619690702302</v>
      </c>
      <c r="N368" s="85">
        <f t="shared" si="51"/>
        <v>5.5553487490774982</v>
      </c>
      <c r="O368" s="180" t="s">
        <v>302</v>
      </c>
    </row>
    <row r="369" spans="1:41" s="806" customFormat="1" ht="12.75" hidden="1" customHeight="1" outlineLevel="1">
      <c r="A369" s="8"/>
      <c r="B369" s="8"/>
      <c r="C369" s="10"/>
      <c r="D369" s="10"/>
      <c r="E369" s="10"/>
      <c r="F369" s="10"/>
      <c r="G369" s="8"/>
      <c r="H369" s="1284" t="s">
        <v>2112</v>
      </c>
      <c r="I369" s="83"/>
      <c r="J369" s="84">
        <v>1.1758790054771059E-2</v>
      </c>
      <c r="K369" s="84"/>
      <c r="L369" s="1281">
        <f t="shared" si="49"/>
        <v>71.742804651657806</v>
      </c>
      <c r="M369" s="1282">
        <f t="shared" si="50"/>
        <v>3.2868973124353502E-2</v>
      </c>
      <c r="N369" s="85">
        <f t="shared" si="51"/>
        <v>2.3581123179610839</v>
      </c>
      <c r="O369" s="180" t="s">
        <v>302</v>
      </c>
    </row>
    <row r="370" spans="1:41" s="806" customFormat="1" ht="12.75" hidden="1" customHeight="1" outlineLevel="1">
      <c r="A370" s="8"/>
      <c r="B370" s="8"/>
      <c r="C370" s="10"/>
      <c r="D370" s="10"/>
      <c r="E370" s="10"/>
      <c r="F370" s="10"/>
      <c r="G370" s="8"/>
      <c r="H370" s="1284" t="s">
        <v>2113</v>
      </c>
      <c r="I370" s="83"/>
      <c r="J370" s="84">
        <v>1.8451136646785988E-4</v>
      </c>
      <c r="K370" s="84"/>
      <c r="L370" s="1281">
        <f t="shared" si="49"/>
        <v>40.169214200922809</v>
      </c>
      <c r="M370" s="1282">
        <f t="shared" si="50"/>
        <v>5.157587742719423E-4</v>
      </c>
      <c r="N370" s="85">
        <f t="shared" si="51"/>
        <v>2.0717624679735046E-2</v>
      </c>
      <c r="O370" s="180" t="s">
        <v>302</v>
      </c>
    </row>
    <row r="371" spans="1:41" s="806" customFormat="1" ht="12.75" hidden="1" customHeight="1" outlineLevel="1">
      <c r="A371" s="8"/>
      <c r="B371" s="8"/>
      <c r="C371" s="10"/>
      <c r="D371" s="10"/>
      <c r="E371" s="10"/>
      <c r="F371" s="10"/>
      <c r="G371" s="8"/>
      <c r="H371" s="1284" t="s">
        <v>2114</v>
      </c>
      <c r="I371" s="83"/>
      <c r="J371" s="84">
        <v>2.2775014342185534E-3</v>
      </c>
      <c r="K371" s="84"/>
      <c r="L371" s="1281">
        <f t="shared" si="49"/>
        <v>43.676245541901203</v>
      </c>
      <c r="M371" s="1282">
        <f t="shared" si="50"/>
        <v>6.3662275696156805E-3</v>
      </c>
      <c r="N371" s="85">
        <f t="shared" si="51"/>
        <v>0.27805291850615538</v>
      </c>
      <c r="O371" s="180" t="s">
        <v>302</v>
      </c>
    </row>
    <row r="372" spans="1:41" s="806" customFormat="1" ht="12.75" hidden="1" customHeight="1" outlineLevel="1">
      <c r="A372" s="8"/>
      <c r="B372" s="8"/>
      <c r="C372" s="10"/>
      <c r="D372" s="10"/>
      <c r="E372" s="10"/>
      <c r="F372" s="10"/>
      <c r="G372" s="8"/>
      <c r="H372" s="1286" t="s">
        <v>2115</v>
      </c>
      <c r="I372" s="1287"/>
      <c r="J372" s="1288">
        <v>8.8068533357615695E-3</v>
      </c>
      <c r="K372" s="1288"/>
      <c r="L372" s="1281">
        <f t="shared" si="49"/>
        <v>39.917709630091395</v>
      </c>
      <c r="M372" s="1282">
        <f>IF(O372="GP",$J372/SUMIFS($J$358:$J$372,$O$358:$O$372,"GP"),$J372/SUMIFS($J$358:$J$372,$O$358:$O$372,"SP"))</f>
        <v>2.4617517980586652E-2</v>
      </c>
      <c r="N372" s="1289">
        <f t="shared" si="51"/>
        <v>0.9826749345626119</v>
      </c>
      <c r="O372" s="180" t="s">
        <v>302</v>
      </c>
    </row>
    <row r="373" spans="1:41" s="806" customFormat="1" ht="12.75" hidden="1" customHeight="1" outlineLevel="1">
      <c r="A373" s="8"/>
      <c r="B373" s="8"/>
      <c r="C373" s="10"/>
      <c r="D373" s="10"/>
      <c r="E373" s="10"/>
      <c r="F373" s="10"/>
      <c r="G373" s="8"/>
      <c r="H373" s="74"/>
      <c r="I373" s="74"/>
      <c r="J373" s="74"/>
      <c r="K373" s="74"/>
      <c r="L373" s="74"/>
    </row>
    <row r="374" spans="1:41" s="806" customFormat="1" ht="12.75" hidden="1" customHeight="1" outlineLevel="1" thickBot="1">
      <c r="A374" s="8"/>
      <c r="B374" s="8"/>
      <c r="C374" s="10"/>
      <c r="D374" s="10"/>
      <c r="E374" s="10"/>
      <c r="F374" s="10"/>
      <c r="G374" s="8"/>
      <c r="H374" s="74"/>
      <c r="I374" s="74"/>
      <c r="J374" s="74"/>
      <c r="K374" s="74"/>
      <c r="L374" s="74"/>
    </row>
    <row r="375" spans="1:41" s="806" customFormat="1" ht="12.75" hidden="1" customHeight="1" outlineLevel="1" thickTop="1" thickBot="1">
      <c r="A375" s="8"/>
      <c r="B375" s="8"/>
      <c r="C375" s="10"/>
      <c r="D375" s="10"/>
      <c r="E375" s="10"/>
      <c r="F375" s="10"/>
      <c r="G375" s="8"/>
      <c r="H375" s="804" t="s">
        <v>914</v>
      </c>
      <c r="I375" s="69" t="s">
        <v>2097</v>
      </c>
      <c r="M375" s="2"/>
      <c r="N375" s="2"/>
      <c r="O375" s="2"/>
      <c r="P375" s="2"/>
      <c r="V375" s="3"/>
    </row>
    <row r="376" spans="1:41" s="806" customFormat="1" ht="12.75" hidden="1" customHeight="1" outlineLevel="1" thickTop="1">
      <c r="A376" s="8"/>
      <c r="B376" s="8"/>
      <c r="C376" s="10"/>
      <c r="D376" s="10"/>
      <c r="E376" s="10"/>
      <c r="F376" s="10"/>
      <c r="G376" s="8"/>
      <c r="I376" s="98"/>
      <c r="J376" s="98"/>
      <c r="K376" s="98"/>
      <c r="L376" s="98"/>
      <c r="M376" s="98"/>
      <c r="N376" s="98"/>
      <c r="O376" s="1295" t="s">
        <v>15</v>
      </c>
      <c r="P376" s="1296"/>
      <c r="Q376" s="1296"/>
      <c r="R376" s="98"/>
      <c r="S376" s="1297" t="s">
        <v>2119</v>
      </c>
      <c r="T376" s="1297"/>
      <c r="U376" s="1297"/>
      <c r="V376" s="1297"/>
      <c r="W376" s="1297"/>
      <c r="X376" s="98"/>
      <c r="Y376" s="1298" t="s">
        <v>2120</v>
      </c>
      <c r="Z376" s="1298"/>
      <c r="AA376" s="98"/>
      <c r="AB376" s="1299" t="s">
        <v>1934</v>
      </c>
      <c r="AC376" s="1299"/>
      <c r="AD376" s="98"/>
      <c r="AE376" s="1300" t="s">
        <v>2121</v>
      </c>
      <c r="AF376" s="1301"/>
      <c r="AG376" s="1301"/>
      <c r="AH376" s="1301"/>
      <c r="AI376" s="1301"/>
      <c r="AJ376" s="98"/>
      <c r="AK376" s="1299" t="s">
        <v>2122</v>
      </c>
      <c r="AL376" s="98"/>
      <c r="AM376" s="689" t="s">
        <v>718</v>
      </c>
      <c r="AN376" s="690"/>
      <c r="AO376" s="690"/>
    </row>
    <row r="377" spans="1:41" s="806" customFormat="1" ht="12.75" hidden="1" customHeight="1" outlineLevel="1">
      <c r="A377" s="8"/>
      <c r="B377" s="8"/>
      <c r="C377" s="10"/>
      <c r="D377" s="10"/>
      <c r="E377" s="10"/>
      <c r="F377" s="10"/>
      <c r="G377" s="8"/>
      <c r="H377" s="1302" t="s">
        <v>2123</v>
      </c>
      <c r="I377" s="1302" t="s">
        <v>2124</v>
      </c>
      <c r="J377" s="1302" t="s">
        <v>2125</v>
      </c>
      <c r="K377" s="1302" t="s">
        <v>2126</v>
      </c>
      <c r="L377" s="1302" t="s">
        <v>2127</v>
      </c>
      <c r="M377" s="1302" t="s">
        <v>2128</v>
      </c>
      <c r="N377" s="1302"/>
      <c r="O377" s="1302" t="s">
        <v>2130</v>
      </c>
      <c r="P377" s="1302" t="s">
        <v>2131</v>
      </c>
      <c r="Q377" s="1302" t="s">
        <v>2132</v>
      </c>
      <c r="R377" s="1302"/>
      <c r="S377" s="1302" t="s">
        <v>2133</v>
      </c>
      <c r="T377" s="1302" t="s">
        <v>2130</v>
      </c>
      <c r="U377" s="1302" t="s">
        <v>2134</v>
      </c>
      <c r="V377" s="1302" t="s">
        <v>2135</v>
      </c>
      <c r="W377" s="1302" t="s">
        <v>2132</v>
      </c>
      <c r="X377" s="98"/>
      <c r="Y377" s="1302" t="s">
        <v>2136</v>
      </c>
      <c r="Z377" s="1302" t="s">
        <v>2137</v>
      </c>
      <c r="AA377" s="98"/>
      <c r="AB377" s="1302" t="s">
        <v>2138</v>
      </c>
      <c r="AC377" s="1302" t="s">
        <v>2139</v>
      </c>
      <c r="AD377" s="98"/>
      <c r="AE377" s="1302" t="s">
        <v>2140</v>
      </c>
      <c r="AF377" s="1302" t="s">
        <v>2141</v>
      </c>
      <c r="AG377" s="1302" t="s">
        <v>2142</v>
      </c>
      <c r="AH377" s="1302" t="s">
        <v>2143</v>
      </c>
      <c r="AI377" s="1302" t="s">
        <v>2144</v>
      </c>
      <c r="AJ377" s="98"/>
      <c r="AK377" s="1302" t="s">
        <v>2145</v>
      </c>
      <c r="AL377" s="98"/>
      <c r="AM377" s="921" t="s">
        <v>273</v>
      </c>
      <c r="AN377" s="921" t="s">
        <v>274</v>
      </c>
      <c r="AO377" s="921" t="s">
        <v>275</v>
      </c>
    </row>
    <row r="378" spans="1:41" s="806" customFormat="1" ht="12.75" hidden="1" customHeight="1" outlineLevel="1">
      <c r="A378" s="8"/>
      <c r="B378" s="8"/>
      <c r="C378" s="10"/>
      <c r="D378" s="10"/>
      <c r="E378" s="10"/>
      <c r="F378" s="10"/>
      <c r="G378" s="8"/>
      <c r="H378" s="91" t="s">
        <v>2158</v>
      </c>
      <c r="I378" s="91" t="s">
        <v>2189</v>
      </c>
      <c r="J378" s="91" t="s">
        <v>2190</v>
      </c>
      <c r="K378" s="92">
        <v>1.7916917647822357</v>
      </c>
      <c r="L378" s="92">
        <v>0.95039973261931343</v>
      </c>
      <c r="M378" s="92">
        <v>416.60324051305236</v>
      </c>
      <c r="N378" s="92"/>
      <c r="O378" s="92">
        <v>37</v>
      </c>
      <c r="P378" s="1338">
        <v>1.6401583657682686</v>
      </c>
      <c r="Q378" s="92">
        <v>1.7835655628514451</v>
      </c>
      <c r="R378" s="98"/>
      <c r="S378" s="1305">
        <v>70.742866115655303</v>
      </c>
      <c r="T378" s="1328">
        <f>M378/S378</f>
        <v>5.8889788241256822</v>
      </c>
      <c r="U378" s="1306">
        <v>9.9588534888181872</v>
      </c>
      <c r="V378" s="1339">
        <v>28708.42332613391</v>
      </c>
      <c r="W378" s="92">
        <v>12</v>
      </c>
      <c r="X378" s="98"/>
      <c r="Y378" s="1340">
        <v>0.98</v>
      </c>
      <c r="Z378" s="1340">
        <v>1</v>
      </c>
      <c r="AA378" s="98"/>
      <c r="AB378" s="1340">
        <v>0.81278657385032416</v>
      </c>
      <c r="AC378" s="91">
        <v>9.5435946083773787E-3</v>
      </c>
      <c r="AD378" s="98"/>
      <c r="AE378" s="1123">
        <f>O378*K378*365.25/1000</f>
        <v>24.213370432208329</v>
      </c>
      <c r="AF378" s="1123">
        <f>T378*K378*365.25/1000</f>
        <v>3.8538385334050207</v>
      </c>
      <c r="AG378" s="1123">
        <f>AE378-AF378</f>
        <v>20.359531898803308</v>
      </c>
      <c r="AH378" s="1123">
        <f>AG378*Y378</f>
        <v>19.952341260827243</v>
      </c>
      <c r="AI378" s="1123">
        <f>AH378*AB378</f>
        <v>16.216995093680232</v>
      </c>
      <c r="AJ378" s="1123"/>
      <c r="AK378" s="1123">
        <f>-1*AH378*AC378</f>
        <v>-0.19041705648133639</v>
      </c>
      <c r="AL378" s="1123"/>
      <c r="AM378" s="1123" t="str">
        <f>J378</f>
        <v>RetailLEDDecorative and Mini-Base250 to 664 lumensANY</v>
      </c>
      <c r="AN378" s="1123" t="str">
        <f>J378</f>
        <v>RetailLEDDecorative and Mini-Base250 to 664 lumensANY</v>
      </c>
      <c r="AO378" s="1123">
        <f>IF(ISERROR($AN378),0,AI378)</f>
        <v>16.216995093680232</v>
      </c>
    </row>
    <row r="379" spans="1:41" s="806" customFormat="1" ht="12.75" hidden="1" customHeight="1" outlineLevel="1">
      <c r="A379" s="8"/>
      <c r="B379" s="8"/>
      <c r="C379" s="10"/>
      <c r="D379" s="10"/>
      <c r="E379" s="10"/>
      <c r="F379" s="10"/>
      <c r="G379" s="8"/>
      <c r="H379" s="91" t="s">
        <v>2160</v>
      </c>
      <c r="I379" s="91" t="s">
        <v>2191</v>
      </c>
      <c r="J379" s="91" t="s">
        <v>2192</v>
      </c>
      <c r="K379" s="92">
        <v>1.8789514442368003</v>
      </c>
      <c r="L379" s="92">
        <v>0.91018036838446348</v>
      </c>
      <c r="M379" s="92">
        <v>857.43632997438363</v>
      </c>
      <c r="N379" s="92"/>
      <c r="O379" s="92">
        <v>31.100271002710024</v>
      </c>
      <c r="P379" s="1338">
        <v>2.357302490345714</v>
      </c>
      <c r="Q379" s="92">
        <v>1.7864498053021971</v>
      </c>
      <c r="R379" s="98"/>
      <c r="S379" s="1305">
        <v>101.94234116326925</v>
      </c>
      <c r="T379" s="1328">
        <f>M379/S379</f>
        <v>8.4109931181698787</v>
      </c>
      <c r="U379" s="1306">
        <v>17.827344793923771</v>
      </c>
      <c r="V379" s="1339">
        <v>28708.42332613391</v>
      </c>
      <c r="W379" s="92">
        <v>12</v>
      </c>
      <c r="X379" s="98"/>
      <c r="Y379" s="1340">
        <v>0.98</v>
      </c>
      <c r="Z379" s="1340">
        <v>1</v>
      </c>
      <c r="AA379" s="98"/>
      <c r="AB379" s="1340">
        <v>0.82070914023743413</v>
      </c>
      <c r="AC379" s="91">
        <v>9.1397252737278212E-3</v>
      </c>
      <c r="AD379" s="98"/>
      <c r="AE379" s="1123">
        <f t="shared" ref="AE379:AE392" si="52">O379*K379*365.25/1000</f>
        <v>21.3437121523739</v>
      </c>
      <c r="AF379" s="1123">
        <f t="shared" ref="AF379:AF392" si="53">T379*K379*365.25/1000</f>
        <v>5.7723553603173574</v>
      </c>
      <c r="AG379" s="1123">
        <f t="shared" ref="AG379:AG392" si="54">AE379-AF379</f>
        <v>15.571356792056543</v>
      </c>
      <c r="AH379" s="1123">
        <f t="shared" ref="AH379:AH392" si="55">AG379*Y379</f>
        <v>15.259929656215412</v>
      </c>
      <c r="AI379" s="1123">
        <f t="shared" ref="AI379:AI392" si="56">AH379*AB379</f>
        <v>12.523963748236275</v>
      </c>
      <c r="AJ379" s="1123"/>
      <c r="AK379" s="1123">
        <f t="shared" ref="AK379:AK392" si="57">-1*AH379*AC379</f>
        <v>-0.13947156475422071</v>
      </c>
      <c r="AL379" s="1123"/>
      <c r="AM379" s="1123" t="str">
        <f t="shared" ref="AM379:AM392" si="58">J379</f>
        <v>RetailLEDDecorative and Mini-Base665 to 1439 lumensANY</v>
      </c>
      <c r="AN379" s="1123" t="str">
        <f t="shared" ref="AN379:AN392" si="59">J379</f>
        <v>RetailLEDDecorative and Mini-Base665 to 1439 lumensANY</v>
      </c>
      <c r="AO379" s="1123">
        <f t="shared" ref="AO379:AO392" si="60">IF(ISERROR($AN379),0,AI379)</f>
        <v>12.523963748236275</v>
      </c>
    </row>
    <row r="380" spans="1:41" s="806" customFormat="1" ht="12.75" hidden="1" customHeight="1" outlineLevel="1">
      <c r="A380" s="8"/>
      <c r="B380" s="8"/>
      <c r="C380" s="10"/>
      <c r="D380" s="10"/>
      <c r="E380" s="10"/>
      <c r="F380" s="10"/>
      <c r="G380" s="8"/>
      <c r="H380" s="91" t="s">
        <v>2162</v>
      </c>
      <c r="I380" s="91" t="s">
        <v>2193</v>
      </c>
      <c r="J380" s="91" t="s">
        <v>2194</v>
      </c>
      <c r="K380" s="92">
        <v>1.6305080727614385</v>
      </c>
      <c r="L380" s="92">
        <v>0.92758145848349127</v>
      </c>
      <c r="M380" s="92">
        <v>2095.7287821060968</v>
      </c>
      <c r="N380" s="92"/>
      <c r="O380" s="92">
        <v>37</v>
      </c>
      <c r="P380" s="1338">
        <v>2.5719834880984087</v>
      </c>
      <c r="Q380" s="92">
        <v>4.4344805227500377</v>
      </c>
      <c r="R380" s="98"/>
      <c r="S380" s="1305">
        <v>96.278877765309844</v>
      </c>
      <c r="T380" s="1328">
        <f t="shared" ref="T380:T392" si="61">M380/S380</f>
        <v>21.767274720574349</v>
      </c>
      <c r="U380" s="1306">
        <v>43.384</v>
      </c>
      <c r="V380" s="1339">
        <v>28708.42332613391</v>
      </c>
      <c r="W380" s="92">
        <v>12</v>
      </c>
      <c r="X380" s="98"/>
      <c r="Y380" s="1340">
        <v>0.98</v>
      </c>
      <c r="Z380" s="1340">
        <v>1</v>
      </c>
      <c r="AA380" s="98"/>
      <c r="AB380" s="1340">
        <v>0.81728140600691201</v>
      </c>
      <c r="AC380" s="91">
        <v>9.3144611705817514E-3</v>
      </c>
      <c r="AD380" s="98"/>
      <c r="AE380" s="1123">
        <f t="shared" si="52"/>
        <v>22.035093722316269</v>
      </c>
      <c r="AF380" s="1123">
        <f t="shared" si="53"/>
        <v>12.963349690466526</v>
      </c>
      <c r="AG380" s="1123">
        <f t="shared" si="54"/>
        <v>9.0717440318497431</v>
      </c>
      <c r="AH380" s="1123">
        <f t="shared" si="55"/>
        <v>8.8903091512127475</v>
      </c>
      <c r="AI380" s="1123">
        <f t="shared" si="56"/>
        <v>7.2658843629392704</v>
      </c>
      <c r="AJ380" s="1123"/>
      <c r="AK380" s="1123">
        <f t="shared" si="57"/>
        <v>-8.2808439383438751E-2</v>
      </c>
      <c r="AL380" s="1123"/>
      <c r="AM380" s="1123" t="str">
        <f t="shared" si="58"/>
        <v>RetailLEDDecorative and Mini-Base1440 to 2600 lumensANY</v>
      </c>
      <c r="AN380" s="1123" t="str">
        <f t="shared" si="59"/>
        <v>RetailLEDDecorative and Mini-Base1440 to 2600 lumensANY</v>
      </c>
      <c r="AO380" s="1123">
        <f t="shared" si="60"/>
        <v>7.2658843629392704</v>
      </c>
    </row>
    <row r="381" spans="1:41" s="806" customFormat="1" ht="12.75" hidden="1" customHeight="1" outlineLevel="1">
      <c r="A381" s="8"/>
      <c r="B381" s="8"/>
      <c r="C381" s="10"/>
      <c r="D381" s="10"/>
      <c r="E381" s="10"/>
      <c r="F381" s="10"/>
      <c r="G381" s="8"/>
      <c r="H381" s="1341" t="s">
        <v>2146</v>
      </c>
      <c r="I381" s="1341" t="s">
        <v>2195</v>
      </c>
      <c r="J381" s="1341" t="s">
        <v>2196</v>
      </c>
      <c r="K381" s="1342">
        <v>1.7465101483744099</v>
      </c>
      <c r="L381" s="1342">
        <v>0.91416456188155615</v>
      </c>
      <c r="M381" s="1342">
        <v>473.98970089307483</v>
      </c>
      <c r="N381" s="1342"/>
      <c r="O381" s="1342">
        <v>10.533104464290552</v>
      </c>
      <c r="P381" s="1343">
        <v>2.1592275874141325</v>
      </c>
      <c r="Q381" s="1342">
        <v>8.5397834253252132</v>
      </c>
      <c r="R381" s="1341"/>
      <c r="S381" s="1305">
        <v>70.673307433947159</v>
      </c>
      <c r="T381" s="1344">
        <f t="shared" si="61"/>
        <v>6.706771171507377</v>
      </c>
      <c r="U381" s="1345">
        <v>4.9794267444090936</v>
      </c>
      <c r="V381" s="1346">
        <v>28708.42332613391</v>
      </c>
      <c r="W381" s="1342">
        <v>12</v>
      </c>
      <c r="X381" s="1341"/>
      <c r="Y381" s="1347">
        <v>0.98</v>
      </c>
      <c r="Z381" s="1347">
        <v>1</v>
      </c>
      <c r="AA381" s="1341"/>
      <c r="AB381" s="1347">
        <v>0.81992431834677726</v>
      </c>
      <c r="AC381" s="1341">
        <v>9.1797332054144101E-3</v>
      </c>
      <c r="AD381" s="1341"/>
      <c r="AE381" s="1348">
        <f t="shared" si="52"/>
        <v>6.7192024953416993</v>
      </c>
      <c r="AF381" s="1348">
        <f t="shared" si="53"/>
        <v>4.2783353895383014</v>
      </c>
      <c r="AG381" s="1348">
        <f t="shared" si="54"/>
        <v>2.4408671058033979</v>
      </c>
      <c r="AH381" s="1348">
        <f t="shared" si="55"/>
        <v>2.3920497636873299</v>
      </c>
      <c r="AI381" s="1348">
        <f t="shared" si="56"/>
        <v>1.9612997719429035</v>
      </c>
      <c r="AJ381" s="1348"/>
      <c r="AK381" s="1348">
        <f t="shared" si="57"/>
        <v>-2.1958378644724275E-2</v>
      </c>
      <c r="AL381" s="1348"/>
      <c r="AM381" s="1348" t="str">
        <f t="shared" si="58"/>
        <v>RetailLEDGeneral Purpose and Dimmable250 to 664 lumensANY</v>
      </c>
      <c r="AN381" s="1348" t="str">
        <f t="shared" si="59"/>
        <v>RetailLEDGeneral Purpose and Dimmable250 to 664 lumensANY</v>
      </c>
      <c r="AO381" s="1348">
        <f t="shared" si="60"/>
        <v>1.9612997719429035</v>
      </c>
    </row>
    <row r="382" spans="1:41" s="806" customFormat="1" ht="12.75" hidden="1" customHeight="1" outlineLevel="1">
      <c r="A382" s="8"/>
      <c r="B382" s="8"/>
      <c r="C382" s="10"/>
      <c r="D382" s="10"/>
      <c r="E382" s="10"/>
      <c r="F382" s="10"/>
      <c r="G382" s="8"/>
      <c r="H382" s="1341" t="s">
        <v>2150</v>
      </c>
      <c r="I382" s="1341" t="s">
        <v>2197</v>
      </c>
      <c r="J382" s="1341" t="s">
        <v>2198</v>
      </c>
      <c r="K382" s="1342">
        <v>1.8773637680174413</v>
      </c>
      <c r="L382" s="1342">
        <v>0.85791980570535631</v>
      </c>
      <c r="M382" s="1342">
        <v>949.2054457712826</v>
      </c>
      <c r="N382" s="1342"/>
      <c r="O382" s="1342">
        <v>21.093454350472946</v>
      </c>
      <c r="P382" s="1343">
        <v>1.4522786346527323</v>
      </c>
      <c r="Q382" s="1342">
        <v>7.9445543113898527</v>
      </c>
      <c r="R382" s="1341"/>
      <c r="S382" s="1305">
        <v>101.84210526315789</v>
      </c>
      <c r="T382" s="1344">
        <f t="shared" si="61"/>
        <v>9.3203635502089774</v>
      </c>
      <c r="U382" s="1345">
        <v>8.9136723969618856</v>
      </c>
      <c r="V382" s="1346">
        <v>28708.42332613391</v>
      </c>
      <c r="W382" s="1342">
        <v>12</v>
      </c>
      <c r="X382" s="1341"/>
      <c r="Y382" s="1347">
        <v>0.98</v>
      </c>
      <c r="Z382" s="1347">
        <v>1</v>
      </c>
      <c r="AA382" s="1341"/>
      <c r="AB382" s="1347">
        <v>0.83100362860466148</v>
      </c>
      <c r="AC382" s="1341">
        <v>8.6149422723263754E-3</v>
      </c>
      <c r="AD382" s="1341"/>
      <c r="AE382" s="1348">
        <f t="shared" si="52"/>
        <v>14.463931754801317</v>
      </c>
      <c r="AF382" s="1348">
        <f t="shared" si="53"/>
        <v>6.3910396125866296</v>
      </c>
      <c r="AG382" s="1348">
        <f t="shared" si="54"/>
        <v>8.0728921422146875</v>
      </c>
      <c r="AH382" s="1348">
        <f t="shared" si="55"/>
        <v>7.9114342993703932</v>
      </c>
      <c r="AI382" s="1348">
        <f t="shared" si="56"/>
        <v>6.5744306102441747</v>
      </c>
      <c r="AJ382" s="1348"/>
      <c r="AK382" s="1348">
        <f t="shared" si="57"/>
        <v>-6.81565497803788E-2</v>
      </c>
      <c r="AL382" s="1348"/>
      <c r="AM382" s="1348" t="str">
        <f t="shared" si="58"/>
        <v>RetailLEDGeneral Purpose and Dimmable665 to 1439 lumensANY</v>
      </c>
      <c r="AN382" s="1348" t="str">
        <f t="shared" si="59"/>
        <v>RetailLEDGeneral Purpose and Dimmable665 to 1439 lumensANY</v>
      </c>
      <c r="AO382" s="1348">
        <f t="shared" si="60"/>
        <v>6.5744306102441747</v>
      </c>
    </row>
    <row r="383" spans="1:41" s="806" customFormat="1" ht="12.75" hidden="1" customHeight="1" outlineLevel="1">
      <c r="A383" s="8"/>
      <c r="B383" s="8"/>
      <c r="C383" s="10"/>
      <c r="D383" s="10"/>
      <c r="E383" s="10"/>
      <c r="F383" s="10"/>
      <c r="G383" s="8"/>
      <c r="H383" s="1341" t="s">
        <v>2154</v>
      </c>
      <c r="I383" s="1341" t="s">
        <v>2199</v>
      </c>
      <c r="J383" s="1341" t="s">
        <v>2200</v>
      </c>
      <c r="K383" s="1342">
        <v>1.9918551210859123</v>
      </c>
      <c r="L383" s="1342">
        <v>0.78917112934974476</v>
      </c>
      <c r="M383" s="1342">
        <v>1747.5999304005293</v>
      </c>
      <c r="N383" s="1342"/>
      <c r="O383" s="1342">
        <v>38.835554008900651</v>
      </c>
      <c r="P383" s="1343">
        <v>1.8911113019525783</v>
      </c>
      <c r="Q383" s="1342">
        <v>7.4879032412351636</v>
      </c>
      <c r="R383" s="1341"/>
      <c r="S383" s="1305">
        <v>96.18421052631578</v>
      </c>
      <c r="T383" s="1344">
        <f t="shared" si="61"/>
        <v>18.169301601975409</v>
      </c>
      <c r="U383" s="1345">
        <v>21.692</v>
      </c>
      <c r="V383" s="1346">
        <v>28708.42332613391</v>
      </c>
      <c r="W383" s="1342">
        <v>12</v>
      </c>
      <c r="X383" s="1341"/>
      <c r="Y383" s="1347">
        <v>0.98</v>
      </c>
      <c r="Z383" s="1347">
        <v>1</v>
      </c>
      <c r="AA383" s="1341"/>
      <c r="AB383" s="1347">
        <v>0.84454600956505743</v>
      </c>
      <c r="AC383" s="1341">
        <v>7.9245911763804085E-3</v>
      </c>
      <c r="AD383" s="1341"/>
      <c r="AE383" s="1348">
        <f t="shared" si="52"/>
        <v>28.253839652768821</v>
      </c>
      <c r="AF383" s="1348">
        <f t="shared" si="53"/>
        <v>13.218622655604568</v>
      </c>
      <c r="AG383" s="1348">
        <f t="shared" si="54"/>
        <v>15.035216997164254</v>
      </c>
      <c r="AH383" s="1348">
        <f t="shared" si="55"/>
        <v>14.734512657220968</v>
      </c>
      <c r="AI383" s="1348">
        <f t="shared" si="56"/>
        <v>12.4439738675418</v>
      </c>
      <c r="AJ383" s="1348"/>
      <c r="AK383" s="1348">
        <f t="shared" si="57"/>
        <v>-0.11676498899167873</v>
      </c>
      <c r="AL383" s="1348"/>
      <c r="AM383" s="1348" t="str">
        <f t="shared" si="58"/>
        <v>RetailLEDGeneral Purpose and Dimmable1440 to 2600 lumensANY</v>
      </c>
      <c r="AN383" s="1348" t="str">
        <f t="shared" si="59"/>
        <v>RetailLEDGeneral Purpose and Dimmable1440 to 2600 lumensANY</v>
      </c>
      <c r="AO383" s="1348">
        <f t="shared" si="60"/>
        <v>12.4439738675418</v>
      </c>
    </row>
    <row r="384" spans="1:41" s="806" customFormat="1" ht="12.75" hidden="1" customHeight="1" outlineLevel="1">
      <c r="A384" s="8"/>
      <c r="B384" s="8"/>
      <c r="C384" s="10"/>
      <c r="D384" s="10"/>
      <c r="E384" s="10"/>
      <c r="F384" s="10"/>
      <c r="G384" s="8"/>
      <c r="H384" s="91" t="s">
        <v>2168</v>
      </c>
      <c r="I384" s="91" t="s">
        <v>2201</v>
      </c>
      <c r="J384" s="91" t="s">
        <v>2202</v>
      </c>
      <c r="K384" s="92">
        <v>1.3853142296217029</v>
      </c>
      <c r="L384" s="92">
        <v>0.99302587722156699</v>
      </c>
      <c r="M384" s="92">
        <v>474.28450426267824</v>
      </c>
      <c r="N384" s="92"/>
      <c r="O384" s="92">
        <v>37</v>
      </c>
      <c r="P384" s="1338">
        <v>2.1737529557872382</v>
      </c>
      <c r="Q384" s="92">
        <v>2.2408705642884907</v>
      </c>
      <c r="R384" s="98"/>
      <c r="S384" s="1305">
        <v>71.966027249664293</v>
      </c>
      <c r="T384" s="1328">
        <f t="shared" si="61"/>
        <v>6.5903944178729228</v>
      </c>
      <c r="U384" s="1306">
        <v>6.5889315175788843</v>
      </c>
      <c r="V384" s="1339">
        <v>28708.42332613391</v>
      </c>
      <c r="W384" s="92">
        <v>12</v>
      </c>
      <c r="X384" s="98"/>
      <c r="Y384" s="1340">
        <v>0.98</v>
      </c>
      <c r="Z384" s="1340">
        <v>1</v>
      </c>
      <c r="AA384" s="98"/>
      <c r="AB384" s="1340">
        <v>0.80438991052999065</v>
      </c>
      <c r="AC384" s="91">
        <v>9.9716320223619329E-3</v>
      </c>
      <c r="AD384" s="98"/>
      <c r="AE384" s="1123">
        <f t="shared" si="52"/>
        <v>18.721482827665099</v>
      </c>
      <c r="AF384" s="1123">
        <f t="shared" si="53"/>
        <v>3.3346474573445368</v>
      </c>
      <c r="AG384" s="1123">
        <f t="shared" si="54"/>
        <v>15.386835370320561</v>
      </c>
      <c r="AH384" s="1123">
        <f t="shared" si="55"/>
        <v>15.07909866291415</v>
      </c>
      <c r="AI384" s="1123">
        <f t="shared" si="56"/>
        <v>12.129474824334414</v>
      </c>
      <c r="AJ384" s="1123"/>
      <c r="AK384" s="1123">
        <f t="shared" si="57"/>
        <v>-0.15036322309546973</v>
      </c>
      <c r="AL384" s="1123"/>
      <c r="AM384" s="1123" t="str">
        <f t="shared" si="58"/>
        <v>RetailLEDGlobe250 to 664 lumensANY</v>
      </c>
      <c r="AN384" s="1123" t="str">
        <f t="shared" si="59"/>
        <v>RetailLEDGlobe250 to 664 lumensANY</v>
      </c>
      <c r="AO384" s="1123">
        <f t="shared" si="60"/>
        <v>12.129474824334414</v>
      </c>
    </row>
    <row r="385" spans="1:41" s="806" customFormat="1" ht="12.75" hidden="1" customHeight="1" outlineLevel="1">
      <c r="A385" s="8"/>
      <c r="B385" s="8"/>
      <c r="C385" s="10"/>
      <c r="D385" s="10"/>
      <c r="E385" s="10"/>
      <c r="F385" s="10"/>
      <c r="G385" s="8"/>
      <c r="H385" s="91" t="s">
        <v>2170</v>
      </c>
      <c r="I385" s="91" t="s">
        <v>2203</v>
      </c>
      <c r="J385" s="91" t="s">
        <v>2204</v>
      </c>
      <c r="K385" s="92">
        <v>1.4133478593569577</v>
      </c>
      <c r="L385" s="92">
        <v>0.97668256411584331</v>
      </c>
      <c r="M385" s="92">
        <v>854.01386924203234</v>
      </c>
      <c r="N385" s="92"/>
      <c r="O385" s="92">
        <v>31.100271002710024</v>
      </c>
      <c r="P385" s="1338">
        <v>4.74556552718155</v>
      </c>
      <c r="Q385" s="92">
        <v>2.7621105076077872</v>
      </c>
      <c r="R385" s="98"/>
      <c r="S385" s="1305">
        <v>86</v>
      </c>
      <c r="T385" s="1328">
        <f t="shared" si="61"/>
        <v>9.930393828395724</v>
      </c>
      <c r="U385" s="1306">
        <v>8.9136723969618856</v>
      </c>
      <c r="V385" s="1339">
        <v>28708.42332613391</v>
      </c>
      <c r="W385" s="92">
        <v>12</v>
      </c>
      <c r="X385" s="98"/>
      <c r="Y385" s="1340">
        <v>0.98</v>
      </c>
      <c r="Z385" s="1340">
        <v>1</v>
      </c>
      <c r="AA385" s="98"/>
      <c r="AB385" s="1340">
        <v>0.80760927974501229</v>
      </c>
      <c r="AC385" s="91">
        <v>9.8075179664699526E-3</v>
      </c>
      <c r="AD385" s="98"/>
      <c r="AE385" s="1123">
        <f t="shared" si="52"/>
        <v>16.054746903553813</v>
      </c>
      <c r="AF385" s="1123">
        <f t="shared" si="53"/>
        <v>5.1263205890911276</v>
      </c>
      <c r="AG385" s="1123">
        <f t="shared" si="54"/>
        <v>10.928426314462685</v>
      </c>
      <c r="AH385" s="1123">
        <f t="shared" si="55"/>
        <v>10.709857788173432</v>
      </c>
      <c r="AI385" s="1123">
        <f t="shared" si="56"/>
        <v>8.6493805344782562</v>
      </c>
      <c r="AJ385" s="1123"/>
      <c r="AK385" s="1123">
        <f t="shared" si="57"/>
        <v>-0.10503712267584908</v>
      </c>
      <c r="AL385" s="1123"/>
      <c r="AM385" s="1123" t="str">
        <f t="shared" si="58"/>
        <v>RetailLEDGlobe665 to 1439 lumensANY</v>
      </c>
      <c r="AN385" s="1123" t="str">
        <f t="shared" si="59"/>
        <v>RetailLEDGlobe665 to 1439 lumensANY</v>
      </c>
      <c r="AO385" s="1123">
        <f t="shared" si="60"/>
        <v>8.6493805344782562</v>
      </c>
    </row>
    <row r="386" spans="1:41" s="806" customFormat="1" ht="12.75" hidden="1" customHeight="1" outlineLevel="1">
      <c r="A386" s="8"/>
      <c r="B386" s="8"/>
      <c r="C386" s="10"/>
      <c r="D386" s="10"/>
      <c r="E386" s="10"/>
      <c r="F386" s="10"/>
      <c r="G386" s="8"/>
      <c r="H386" s="91" t="s">
        <v>2172</v>
      </c>
      <c r="I386" s="91" t="s">
        <v>2205</v>
      </c>
      <c r="J386" s="91" t="s">
        <v>2206</v>
      </c>
      <c r="K386" s="92">
        <v>1.8779135295448872</v>
      </c>
      <c r="L386" s="92">
        <v>0.84854563840574837</v>
      </c>
      <c r="M386" s="92">
        <v>1845.0029433386362</v>
      </c>
      <c r="N386" s="92"/>
      <c r="O386" s="92">
        <v>37</v>
      </c>
      <c r="P386" s="1338">
        <v>5.4627245082786207</v>
      </c>
      <c r="Q386" s="92">
        <v>2.0492242794119604</v>
      </c>
      <c r="R386" s="98"/>
      <c r="S386" s="1305">
        <v>97.943562669594044</v>
      </c>
      <c r="T386" s="1328">
        <f t="shared" si="61"/>
        <v>18.837408942970846</v>
      </c>
      <c r="U386" s="1306">
        <v>21.692</v>
      </c>
      <c r="V386" s="1339">
        <v>28708.42332613391</v>
      </c>
      <c r="W386" s="92">
        <v>12</v>
      </c>
      <c r="X386" s="98"/>
      <c r="Y386" s="1340">
        <v>0.98</v>
      </c>
      <c r="Z386" s="1340">
        <v>1</v>
      </c>
      <c r="AA386" s="98"/>
      <c r="AB386" s="1340">
        <v>0.83285018844388103</v>
      </c>
      <c r="AC386" s="91">
        <v>8.5208100357231469E-3</v>
      </c>
      <c r="AD386" s="98"/>
      <c r="AE386" s="1123">
        <f t="shared" si="52"/>
        <v>25.378592916651993</v>
      </c>
      <c r="AF386" s="1123">
        <f t="shared" si="53"/>
        <v>12.9207279234637</v>
      </c>
      <c r="AG386" s="1123">
        <f t="shared" si="54"/>
        <v>12.457864993188293</v>
      </c>
      <c r="AH386" s="1123">
        <f t="shared" si="55"/>
        <v>12.208707693324527</v>
      </c>
      <c r="AI386" s="1123">
        <f t="shared" si="56"/>
        <v>10.168024503041593</v>
      </c>
      <c r="AJ386" s="1123"/>
      <c r="AK386" s="1123">
        <f t="shared" si="57"/>
        <v>-0.10402807903649001</v>
      </c>
      <c r="AL386" s="1123"/>
      <c r="AM386" s="1123" t="str">
        <f t="shared" si="58"/>
        <v>RetailLEDGlobe1440 to 2600 lumensANY</v>
      </c>
      <c r="AN386" s="1123" t="str">
        <f t="shared" si="59"/>
        <v>RetailLEDGlobe1440 to 2600 lumensANY</v>
      </c>
      <c r="AO386" s="1123">
        <f t="shared" si="60"/>
        <v>10.168024503041593</v>
      </c>
    </row>
    <row r="387" spans="1:41" s="806" customFormat="1" ht="12.75" hidden="1" customHeight="1" outlineLevel="1">
      <c r="A387" s="8"/>
      <c r="B387" s="8"/>
      <c r="C387" s="10"/>
      <c r="D387" s="10"/>
      <c r="E387" s="10"/>
      <c r="F387" s="10"/>
      <c r="G387" s="8"/>
      <c r="H387" s="91" t="s">
        <v>2174</v>
      </c>
      <c r="I387" s="91" t="s">
        <v>2207</v>
      </c>
      <c r="J387" s="91" t="s">
        <v>2208</v>
      </c>
      <c r="K387" s="92">
        <v>1.9506803142955835</v>
      </c>
      <c r="L387" s="92">
        <v>0.94622699649287401</v>
      </c>
      <c r="M387" s="92">
        <v>479.73166573433264</v>
      </c>
      <c r="N387" s="92"/>
      <c r="O387" s="92">
        <v>38</v>
      </c>
      <c r="P387" s="1338">
        <v>4.6350044381489033</v>
      </c>
      <c r="Q387" s="92">
        <v>2.1002897994909375</v>
      </c>
      <c r="R387" s="98"/>
      <c r="S387" s="1305">
        <v>63.737161230660547</v>
      </c>
      <c r="T387" s="1328">
        <f t="shared" si="61"/>
        <v>7.5267184240950993</v>
      </c>
      <c r="U387" s="1306">
        <v>21.195435697005799</v>
      </c>
      <c r="V387" s="1339">
        <v>28708.42332613391</v>
      </c>
      <c r="W387" s="92">
        <v>12</v>
      </c>
      <c r="X387" s="98"/>
      <c r="Y387" s="1340">
        <v>0.98</v>
      </c>
      <c r="Z387" s="1340">
        <v>1</v>
      </c>
      <c r="AA387" s="98"/>
      <c r="AB387" s="1340">
        <v>0.81360853559950974</v>
      </c>
      <c r="AC387" s="91">
        <v>9.5016933949913906E-3</v>
      </c>
      <c r="AD387" s="98"/>
      <c r="AE387" s="1123">
        <f t="shared" si="52"/>
        <v>27.074467422265553</v>
      </c>
      <c r="AF387" s="1123">
        <f t="shared" si="53"/>
        <v>5.3626813886770703</v>
      </c>
      <c r="AG387" s="1123">
        <f t="shared" si="54"/>
        <v>21.711786033588481</v>
      </c>
      <c r="AH387" s="1123">
        <f t="shared" si="55"/>
        <v>21.277550312916713</v>
      </c>
      <c r="AI387" s="1123">
        <f t="shared" si="56"/>
        <v>17.311596551237056</v>
      </c>
      <c r="AJ387" s="1123"/>
      <c r="AK387" s="1123">
        <f t="shared" si="57"/>
        <v>-0.20217275926983772</v>
      </c>
      <c r="AL387" s="1123"/>
      <c r="AM387" s="1123" t="str">
        <f t="shared" si="58"/>
        <v>RetailLEDReflectors and Outdoor250 to 664 lumensANY</v>
      </c>
      <c r="AN387" s="1123" t="str">
        <f t="shared" si="59"/>
        <v>RetailLEDReflectors and Outdoor250 to 664 lumensANY</v>
      </c>
      <c r="AO387" s="1123">
        <f t="shared" si="60"/>
        <v>17.311596551237056</v>
      </c>
    </row>
    <row r="388" spans="1:41" s="806" customFormat="1" ht="12.75" hidden="1" customHeight="1" outlineLevel="1">
      <c r="A388" s="8"/>
      <c r="B388" s="8"/>
      <c r="C388" s="10"/>
      <c r="D388" s="10"/>
      <c r="E388" s="10"/>
      <c r="F388" s="10"/>
      <c r="G388" s="8"/>
      <c r="H388" s="91" t="s">
        <v>2176</v>
      </c>
      <c r="I388" s="91" t="s">
        <v>2209</v>
      </c>
      <c r="J388" s="91" t="s">
        <v>2210</v>
      </c>
      <c r="K388" s="92">
        <v>2.2112998582903738</v>
      </c>
      <c r="L388" s="92">
        <v>0.82931998492682701</v>
      </c>
      <c r="M388" s="92">
        <v>972.55453255182397</v>
      </c>
      <c r="N388" s="92"/>
      <c r="O388" s="92">
        <v>33.801608579088473</v>
      </c>
      <c r="P388" s="1338">
        <v>6.0025868409413388</v>
      </c>
      <c r="Q388" s="92">
        <v>2.7605785479478313</v>
      </c>
      <c r="R388" s="98"/>
      <c r="S388" s="1305">
        <v>75.815789473684205</v>
      </c>
      <c r="T388" s="1328">
        <f t="shared" si="61"/>
        <v>12.827862629978936</v>
      </c>
      <c r="U388" s="1306">
        <v>17.935480603886987</v>
      </c>
      <c r="V388" s="1339">
        <v>28708.42332613391</v>
      </c>
      <c r="W388" s="92">
        <v>12</v>
      </c>
      <c r="X388" s="98"/>
      <c r="Y388" s="1340">
        <v>0.98</v>
      </c>
      <c r="Z388" s="1340">
        <v>1</v>
      </c>
      <c r="AA388" s="98"/>
      <c r="AB388" s="1340">
        <v>0.83663733224687387</v>
      </c>
      <c r="AC388" s="91">
        <v>8.3277524867923537E-3</v>
      </c>
      <c r="AD388" s="98"/>
      <c r="AE388" s="1123">
        <f t="shared" si="52"/>
        <v>27.300791048302866</v>
      </c>
      <c r="AF388" s="1123">
        <f t="shared" si="53"/>
        <v>10.360773110485853</v>
      </c>
      <c r="AG388" s="1123">
        <f t="shared" si="54"/>
        <v>16.940017937817011</v>
      </c>
      <c r="AH388" s="1123">
        <f t="shared" si="55"/>
        <v>16.60121757906067</v>
      </c>
      <c r="AI388" s="1123">
        <f t="shared" si="56"/>
        <v>13.889198387395224</v>
      </c>
      <c r="AJ388" s="1123"/>
      <c r="AK388" s="1123">
        <f t="shared" si="57"/>
        <v>-0.13825083097780344</v>
      </c>
      <c r="AL388" s="1123"/>
      <c r="AM388" s="1123" t="str">
        <f t="shared" si="58"/>
        <v>RetailLEDReflectors and Outdoor665 to 1439 lumensANY</v>
      </c>
      <c r="AN388" s="1123" t="str">
        <f t="shared" si="59"/>
        <v>RetailLEDReflectors and Outdoor665 to 1439 lumensANY</v>
      </c>
      <c r="AO388" s="1123">
        <f t="shared" si="60"/>
        <v>13.889198387395224</v>
      </c>
    </row>
    <row r="389" spans="1:41" s="806" customFormat="1" ht="12.75" hidden="1" customHeight="1" outlineLevel="1">
      <c r="A389" s="8"/>
      <c r="B389" s="8"/>
      <c r="C389" s="10"/>
      <c r="D389" s="10"/>
      <c r="E389" s="10"/>
      <c r="F389" s="10"/>
      <c r="G389" s="8"/>
      <c r="H389" s="91" t="s">
        <v>2178</v>
      </c>
      <c r="I389" s="91" t="s">
        <v>2211</v>
      </c>
      <c r="J389" s="91" t="s">
        <v>2212</v>
      </c>
      <c r="K389" s="92">
        <v>3.1412077290657425</v>
      </c>
      <c r="L389" s="92">
        <v>0.2985167573190915</v>
      </c>
      <c r="M389" s="92">
        <v>1835.2728077183538</v>
      </c>
      <c r="N389" s="92"/>
      <c r="O389" s="92">
        <v>92</v>
      </c>
      <c r="P389" s="1338">
        <v>6.8379432184399001</v>
      </c>
      <c r="Q389" s="92">
        <v>1.8152462117520278</v>
      </c>
      <c r="R389" s="98"/>
      <c r="S389" s="1305">
        <v>75.815789473684205</v>
      </c>
      <c r="T389" s="1328">
        <f t="shared" si="61"/>
        <v>24.206999893543024</v>
      </c>
      <c r="U389" s="1306">
        <v>32.537999999999997</v>
      </c>
      <c r="V389" s="1339">
        <v>28708.42332613391</v>
      </c>
      <c r="W389" s="92">
        <v>12</v>
      </c>
      <c r="X389" s="98"/>
      <c r="Y389" s="1340">
        <v>0.98</v>
      </c>
      <c r="Z389" s="1340">
        <v>1</v>
      </c>
      <c r="AA389" s="98"/>
      <c r="AB389" s="1340">
        <v>0.94119701112838594</v>
      </c>
      <c r="AC389" s="91">
        <v>2.9976049212567784E-3</v>
      </c>
      <c r="AD389" s="98"/>
      <c r="AE389" s="1123">
        <f t="shared" si="52"/>
        <v>105.55400331979615</v>
      </c>
      <c r="AF389" s="1123">
        <f t="shared" si="53"/>
        <v>27.773323338318974</v>
      </c>
      <c r="AG389" s="1123">
        <f t="shared" si="54"/>
        <v>77.780679981477178</v>
      </c>
      <c r="AH389" s="1123">
        <f t="shared" si="55"/>
        <v>76.22506638184764</v>
      </c>
      <c r="AI389" s="1123">
        <f t="shared" si="56"/>
        <v>71.742804651657806</v>
      </c>
      <c r="AJ389" s="1123"/>
      <c r="AK389" s="1123">
        <f t="shared" si="57"/>
        <v>-0.22849263410935111</v>
      </c>
      <c r="AL389" s="1123"/>
      <c r="AM389" s="1123" t="str">
        <f t="shared" si="58"/>
        <v>RetailLEDReflectors and Outdoor1440 to 2600 lumensANY</v>
      </c>
      <c r="AN389" s="1123" t="str">
        <f t="shared" si="59"/>
        <v>RetailLEDReflectors and Outdoor1440 to 2600 lumensANY</v>
      </c>
      <c r="AO389" s="1123">
        <f t="shared" si="60"/>
        <v>71.742804651657806</v>
      </c>
    </row>
    <row r="390" spans="1:41" s="806" customFormat="1" ht="12.75" hidden="1" customHeight="1" outlineLevel="1">
      <c r="A390" s="8"/>
      <c r="B390" s="8"/>
      <c r="C390" s="10"/>
      <c r="D390" s="10"/>
      <c r="E390" s="10"/>
      <c r="F390" s="10"/>
      <c r="G390" s="8"/>
      <c r="H390" s="91" t="s">
        <v>2180</v>
      </c>
      <c r="I390" s="91" t="s">
        <v>2213</v>
      </c>
      <c r="J390" s="91" t="s">
        <v>2214</v>
      </c>
      <c r="K390" s="92">
        <v>1.6416684714322591</v>
      </c>
      <c r="L390" s="92">
        <v>1</v>
      </c>
      <c r="M390" s="92">
        <v>415.0645318455953</v>
      </c>
      <c r="N390" s="92"/>
      <c r="O390" s="92">
        <v>91</v>
      </c>
      <c r="P390" s="1338">
        <v>2.5086033161955381</v>
      </c>
      <c r="Q390" s="92">
        <v>1.9664811264199897</v>
      </c>
      <c r="R390" s="98"/>
      <c r="S390" s="1305">
        <v>70.673307433947159</v>
      </c>
      <c r="T390" s="1328">
        <f t="shared" si="61"/>
        <v>5.8730027915210252</v>
      </c>
      <c r="U390" s="1306">
        <v>21.195435697005799</v>
      </c>
      <c r="V390" s="1339">
        <v>28708.42332613391</v>
      </c>
      <c r="W390" s="92">
        <v>12</v>
      </c>
      <c r="X390" s="98"/>
      <c r="Y390" s="1340">
        <v>0.98</v>
      </c>
      <c r="Z390" s="1340">
        <v>1</v>
      </c>
      <c r="AA390" s="98"/>
      <c r="AB390" s="1340">
        <v>0.8030161207708747</v>
      </c>
      <c r="AC390" s="91">
        <v>1.0041663818733528E-2</v>
      </c>
      <c r="AD390" s="98"/>
      <c r="AE390" s="1123">
        <f t="shared" si="52"/>
        <v>54.565366236347565</v>
      </c>
      <c r="AF390" s="1123">
        <f t="shared" si="53"/>
        <v>3.5215664640267739</v>
      </c>
      <c r="AG390" s="1123">
        <f t="shared" si="54"/>
        <v>51.043799772320789</v>
      </c>
      <c r="AH390" s="1123">
        <f t="shared" si="55"/>
        <v>50.022923776874372</v>
      </c>
      <c r="AI390" s="1123">
        <f t="shared" si="56"/>
        <v>40.169214200922809</v>
      </c>
      <c r="AJ390" s="1123"/>
      <c r="AK390" s="1123">
        <f t="shared" si="57"/>
        <v>-0.50231338379750445</v>
      </c>
      <c r="AL390" s="1123"/>
      <c r="AM390" s="1123" t="str">
        <f t="shared" si="58"/>
        <v>RetailLEDThree-Way250 to 664 lumensANY</v>
      </c>
      <c r="AN390" s="1123" t="str">
        <f t="shared" si="59"/>
        <v>RetailLEDThree-Way250 to 664 lumensANY</v>
      </c>
      <c r="AO390" s="1123">
        <f t="shared" si="60"/>
        <v>40.169214200922809</v>
      </c>
    </row>
    <row r="391" spans="1:41" s="806" customFormat="1" ht="12.75" hidden="1" customHeight="1" outlineLevel="1">
      <c r="A391" s="8"/>
      <c r="B391" s="8"/>
      <c r="C391" s="10"/>
      <c r="D391" s="10"/>
      <c r="E391" s="10"/>
      <c r="F391" s="10"/>
      <c r="G391" s="8"/>
      <c r="H391" s="91" t="s">
        <v>2182</v>
      </c>
      <c r="I391" s="91" t="s">
        <v>2215</v>
      </c>
      <c r="J391" s="91" t="s">
        <v>2216</v>
      </c>
      <c r="K391" s="92">
        <v>1.9012991277195712</v>
      </c>
      <c r="L391" s="92">
        <v>0.9977909622715454</v>
      </c>
      <c r="M391" s="92">
        <v>1132.8409655317996</v>
      </c>
      <c r="N391" s="92"/>
      <c r="O391" s="92">
        <v>91</v>
      </c>
      <c r="P391" s="1338">
        <v>6.020444707725451</v>
      </c>
      <c r="Q391" s="92">
        <v>3.7098631590053808</v>
      </c>
      <c r="R391" s="98"/>
      <c r="S391" s="1305">
        <v>101.84210526315789</v>
      </c>
      <c r="T391" s="1328">
        <f t="shared" si="61"/>
        <v>11.123503020725682</v>
      </c>
      <c r="U391" s="1306">
        <v>17.935480603886987</v>
      </c>
      <c r="V391" s="1339">
        <v>28708.42332613391</v>
      </c>
      <c r="W391" s="92">
        <v>12</v>
      </c>
      <c r="X391" s="98"/>
      <c r="Y391" s="1340">
        <v>0.98</v>
      </c>
      <c r="Z391" s="1340">
        <v>1</v>
      </c>
      <c r="AA391" s="98"/>
      <c r="AB391" s="1340">
        <v>0.80345126559198921</v>
      </c>
      <c r="AC391" s="91">
        <v>1.0019481404501488E-2</v>
      </c>
      <c r="AD391" s="98"/>
      <c r="AE391" s="1123">
        <f t="shared" si="52"/>
        <v>63.194905082361174</v>
      </c>
      <c r="AF391" s="1123">
        <f t="shared" si="53"/>
        <v>7.7247111821771135</v>
      </c>
      <c r="AG391" s="1123">
        <f t="shared" si="54"/>
        <v>55.470193900184057</v>
      </c>
      <c r="AH391" s="1123">
        <f t="shared" si="55"/>
        <v>54.360790022180375</v>
      </c>
      <c r="AI391" s="1123">
        <f t="shared" si="56"/>
        <v>43.676245541901203</v>
      </c>
      <c r="AJ391" s="1123"/>
      <c r="AK391" s="1123">
        <f t="shared" si="57"/>
        <v>-0.54466692476124634</v>
      </c>
      <c r="AL391" s="1123"/>
      <c r="AM391" s="1123" t="str">
        <f t="shared" si="58"/>
        <v>RetailLEDThree-Way665 to 1439 lumensANY</v>
      </c>
      <c r="AN391" s="1123" t="str">
        <f t="shared" si="59"/>
        <v>RetailLEDThree-Way665 to 1439 lumensANY</v>
      </c>
      <c r="AO391" s="1123">
        <f t="shared" si="60"/>
        <v>43.676245541901203</v>
      </c>
    </row>
    <row r="392" spans="1:41" s="806" customFormat="1" ht="12.75" hidden="1" customHeight="1" outlineLevel="1">
      <c r="A392" s="8"/>
      <c r="B392" s="8"/>
      <c r="C392" s="10"/>
      <c r="D392" s="10"/>
      <c r="E392" s="10"/>
      <c r="F392" s="10"/>
      <c r="G392" s="8"/>
      <c r="H392" s="91" t="s">
        <v>2184</v>
      </c>
      <c r="I392" s="91" t="s">
        <v>2217</v>
      </c>
      <c r="J392" s="91" t="s">
        <v>2218</v>
      </c>
      <c r="K392" s="92">
        <v>1.9748391432257275</v>
      </c>
      <c r="L392" s="92">
        <v>0.99652187968377692</v>
      </c>
      <c r="M392" s="92">
        <v>1994.6302871120699</v>
      </c>
      <c r="N392" s="92"/>
      <c r="O392" s="92">
        <v>91</v>
      </c>
      <c r="P392" s="1338">
        <v>5.8123669887989093</v>
      </c>
      <c r="Q392" s="92">
        <v>1.7652962324402386</v>
      </c>
      <c r="R392" s="98"/>
      <c r="S392" s="1305">
        <v>96.18421052631578</v>
      </c>
      <c r="T392" s="1328">
        <f t="shared" si="61"/>
        <v>20.737606268196625</v>
      </c>
      <c r="U392" s="1306">
        <v>32.537999999999997</v>
      </c>
      <c r="V392" s="1339">
        <v>28708.42332613391</v>
      </c>
      <c r="W392" s="92">
        <v>12</v>
      </c>
      <c r="X392" s="98"/>
      <c r="Y392" s="1340">
        <v>0.98</v>
      </c>
      <c r="Z392" s="1340">
        <v>1</v>
      </c>
      <c r="AA392" s="98"/>
      <c r="AB392" s="1340">
        <v>0.80370125440318996</v>
      </c>
      <c r="AC392" s="91">
        <v>1.000673770379691E-2</v>
      </c>
      <c r="AD392" s="98"/>
      <c r="AE392" s="1123">
        <f t="shared" si="52"/>
        <v>65.639209732750928</v>
      </c>
      <c r="AF392" s="1123">
        <f t="shared" si="53"/>
        <v>14.958242716410645</v>
      </c>
      <c r="AG392" s="1123">
        <f t="shared" si="54"/>
        <v>50.680967016340283</v>
      </c>
      <c r="AH392" s="1123">
        <f t="shared" si="55"/>
        <v>49.667347676013478</v>
      </c>
      <c r="AI392" s="1123">
        <f t="shared" si="56"/>
        <v>39.917709630091395</v>
      </c>
      <c r="AJ392" s="1123"/>
      <c r="AK392" s="1123">
        <f t="shared" si="57"/>
        <v>-0.49700812063715388</v>
      </c>
      <c r="AL392" s="1123"/>
      <c r="AM392" s="1123" t="str">
        <f t="shared" si="58"/>
        <v>RetailLEDThree-Way1440 to 2600 lumensANY</v>
      </c>
      <c r="AN392" s="1123" t="str">
        <f t="shared" si="59"/>
        <v>RetailLEDThree-Way1440 to 2600 lumensANY</v>
      </c>
      <c r="AO392" s="1123">
        <f t="shared" si="60"/>
        <v>39.917709630091395</v>
      </c>
    </row>
    <row r="393" spans="1:41" s="806" customFormat="1" ht="12.75" customHeight="1" collapsed="1">
      <c r="A393" s="8"/>
      <c r="B393" s="8"/>
      <c r="C393" s="10"/>
      <c r="D393" s="10"/>
      <c r="E393" s="10"/>
      <c r="F393" s="10"/>
      <c r="G393" s="8"/>
      <c r="M393" s="2"/>
      <c r="N393" s="2"/>
      <c r="O393" s="2"/>
      <c r="P393" s="2"/>
      <c r="V393" s="3"/>
    </row>
    <row r="394" spans="1:41" s="806" customFormat="1" ht="12.75" customHeight="1">
      <c r="A394" s="8"/>
      <c r="B394" s="8"/>
      <c r="C394" s="10"/>
      <c r="D394" s="10"/>
      <c r="E394" s="10"/>
      <c r="F394" s="10"/>
      <c r="G394" s="8"/>
      <c r="M394" s="2"/>
      <c r="N394" s="2"/>
      <c r="O394" s="2"/>
      <c r="P394" s="2"/>
      <c r="V394" s="3"/>
    </row>
    <row r="395" spans="1:41" s="806" customFormat="1" ht="12.75" customHeight="1">
      <c r="A395" s="8"/>
      <c r="B395" s="8"/>
      <c r="C395" s="10"/>
      <c r="D395" s="10"/>
      <c r="E395" s="10"/>
      <c r="F395" s="10"/>
      <c r="G395" s="8"/>
      <c r="M395" s="2"/>
      <c r="N395" s="2"/>
      <c r="O395" s="2"/>
      <c r="P395" s="2"/>
      <c r="V395" s="3"/>
    </row>
    <row r="396" spans="1:41" s="806" customFormat="1" ht="12.75" customHeight="1">
      <c r="A396" s="8"/>
      <c r="B396" s="8"/>
      <c r="C396" s="10"/>
      <c r="D396" s="10"/>
      <c r="E396" s="10"/>
      <c r="F396" s="10"/>
      <c r="G396" s="8"/>
      <c r="M396" s="2"/>
      <c r="N396" s="2"/>
      <c r="O396" s="2"/>
      <c r="P396" s="2"/>
      <c r="V396" s="3"/>
    </row>
    <row r="397" spans="1:41" s="806" customFormat="1" ht="12.75" customHeight="1">
      <c r="A397" s="8"/>
      <c r="B397" s="8"/>
      <c r="C397" s="10"/>
      <c r="D397" s="10"/>
      <c r="E397" s="10"/>
      <c r="F397" s="10"/>
      <c r="G397" s="8"/>
      <c r="M397" s="2"/>
      <c r="N397" s="2"/>
      <c r="O397" s="2"/>
      <c r="P397" s="2"/>
      <c r="V397" s="3"/>
    </row>
    <row r="398" spans="1:41" s="806" customFormat="1" ht="12.75" customHeight="1">
      <c r="A398" s="8"/>
      <c r="B398" s="8"/>
      <c r="C398" s="10"/>
      <c r="D398" s="10"/>
      <c r="E398" s="10"/>
      <c r="F398" s="10"/>
      <c r="G398" s="8"/>
      <c r="M398" s="2"/>
      <c r="N398" s="2"/>
      <c r="O398" s="2"/>
      <c r="P398" s="2"/>
      <c r="V398" s="3"/>
    </row>
    <row r="399" spans="1:41" s="806" customFormat="1" ht="12.75" customHeight="1">
      <c r="A399" s="8"/>
      <c r="B399" s="8"/>
      <c r="C399" s="10"/>
      <c r="D399" s="10"/>
      <c r="E399" s="10"/>
      <c r="F399" s="10"/>
      <c r="G399" s="8"/>
      <c r="M399" s="2"/>
      <c r="N399" s="2"/>
      <c r="O399" s="2"/>
      <c r="P399" s="2"/>
      <c r="V399" s="3"/>
    </row>
    <row r="400" spans="1:41" s="806" customFormat="1" ht="12.75" customHeight="1">
      <c r="A400" s="8"/>
      <c r="B400" s="8"/>
      <c r="C400" s="10"/>
      <c r="D400" s="10"/>
      <c r="E400" s="10"/>
      <c r="F400" s="10"/>
      <c r="G400" s="8"/>
      <c r="M400" s="2"/>
      <c r="N400" s="2"/>
      <c r="O400" s="2"/>
      <c r="P400" s="2"/>
      <c r="V400" s="3"/>
    </row>
    <row r="401" spans="1:22" s="806" customFormat="1" ht="12.75" customHeight="1">
      <c r="A401" s="8"/>
      <c r="B401" s="8"/>
      <c r="C401" s="10"/>
      <c r="D401" s="10"/>
      <c r="E401" s="10"/>
      <c r="F401" s="10"/>
      <c r="G401" s="8"/>
      <c r="M401" s="2"/>
      <c r="N401" s="2"/>
      <c r="O401" s="2"/>
      <c r="P401" s="2"/>
      <c r="V401" s="3"/>
    </row>
    <row r="402" spans="1:22" s="806" customFormat="1" ht="12.75" customHeight="1">
      <c r="A402" s="8"/>
      <c r="B402" s="8"/>
      <c r="C402" s="10"/>
      <c r="D402" s="10"/>
      <c r="E402" s="10"/>
      <c r="F402" s="10"/>
      <c r="G402" s="8"/>
      <c r="M402" s="2"/>
      <c r="N402" s="2"/>
      <c r="O402" s="2"/>
      <c r="P402" s="2"/>
      <c r="V402" s="3"/>
    </row>
    <row r="403" spans="1:22" s="806" customFormat="1" ht="12.75" customHeight="1">
      <c r="A403" s="8"/>
      <c r="B403" s="8"/>
      <c r="C403" s="10"/>
      <c r="D403" s="10"/>
      <c r="E403" s="10"/>
      <c r="F403" s="10"/>
      <c r="G403" s="8"/>
      <c r="M403" s="2"/>
      <c r="N403" s="2"/>
      <c r="O403" s="2"/>
      <c r="P403" s="2"/>
      <c r="V403" s="3"/>
    </row>
    <row r="404" spans="1:22" s="806" customFormat="1" ht="12.75" customHeight="1">
      <c r="A404" s="8"/>
      <c r="B404" s="8"/>
      <c r="C404" s="10"/>
      <c r="D404" s="10"/>
      <c r="E404" s="10"/>
      <c r="F404" s="10"/>
      <c r="G404" s="8"/>
      <c r="M404" s="2"/>
      <c r="N404" s="2"/>
      <c r="O404" s="2"/>
      <c r="P404" s="2"/>
      <c r="V404" s="3"/>
    </row>
    <row r="405" spans="1:22" s="806" customFormat="1" ht="12.75" customHeight="1">
      <c r="A405" s="8"/>
      <c r="B405" s="8"/>
      <c r="C405" s="10"/>
      <c r="D405" s="10"/>
      <c r="E405" s="10"/>
      <c r="F405" s="10"/>
      <c r="G405" s="8"/>
      <c r="M405" s="2"/>
      <c r="N405" s="2"/>
      <c r="O405" s="2"/>
      <c r="P405" s="2"/>
      <c r="V405" s="3"/>
    </row>
    <row r="406" spans="1:22" s="806" customFormat="1" ht="12.75" customHeight="1">
      <c r="A406" s="8"/>
      <c r="B406" s="8"/>
      <c r="C406" s="10"/>
      <c r="D406" s="10"/>
      <c r="E406" s="10"/>
      <c r="F406" s="10"/>
      <c r="G406" s="8"/>
      <c r="M406" s="2"/>
      <c r="N406" s="2"/>
      <c r="O406" s="2"/>
      <c r="P406" s="2"/>
      <c r="V406" s="3"/>
    </row>
  </sheetData>
  <autoFilter ref="A5:BK22">
    <filterColumn colId="11">
      <filters blank="1">
        <filter val="2020"/>
        <filter val="2021"/>
      </filters>
    </filterColumn>
  </autoFilter>
  <dataConsolidate/>
  <mergeCells count="38">
    <mergeCell ref="P181:Q181"/>
    <mergeCell ref="A4:G4"/>
    <mergeCell ref="H4:L4"/>
    <mergeCell ref="M4:R4"/>
    <mergeCell ref="S4:T4"/>
    <mergeCell ref="J27:R27"/>
    <mergeCell ref="J28:R28"/>
    <mergeCell ref="I30:Q30"/>
    <mergeCell ref="U4:W4"/>
    <mergeCell ref="I2:L2"/>
    <mergeCell ref="P106:Q106"/>
    <mergeCell ref="U124:X124"/>
    <mergeCell ref="BA124:BC124"/>
    <mergeCell ref="BD124:BE124"/>
    <mergeCell ref="BF124:BG124"/>
    <mergeCell ref="BI124:BK124"/>
    <mergeCell ref="H142:S142"/>
    <mergeCell ref="Y124:AB124"/>
    <mergeCell ref="AC124:AG124"/>
    <mergeCell ref="AH124:AL124"/>
    <mergeCell ref="AM124:AQ124"/>
    <mergeCell ref="AR124:AU124"/>
    <mergeCell ref="U199:X199"/>
    <mergeCell ref="Y199:AB199"/>
    <mergeCell ref="AC199:AG199"/>
    <mergeCell ref="AH199:AL199"/>
    <mergeCell ref="AM199:AQ199"/>
    <mergeCell ref="AR199:AU199"/>
    <mergeCell ref="BA199:BC199"/>
    <mergeCell ref="BD199:BE199"/>
    <mergeCell ref="BF199:BG199"/>
    <mergeCell ref="BI199:BK199"/>
    <mergeCell ref="H353:S353"/>
    <mergeCell ref="J218:R218"/>
    <mergeCell ref="J219:R219"/>
    <mergeCell ref="I221:Q221"/>
    <mergeCell ref="H261:S261"/>
    <mergeCell ref="H316:S316"/>
  </mergeCells>
  <dataValidations count="1">
    <dataValidation type="list" allowBlank="1" showInputMessage="1" showErrorMessage="1" sqref="T1">
      <formula1>Source_list</formula1>
    </dataValidation>
  </dataValidations>
  <hyperlinks>
    <hyperlink ref="H1" location="' Summary by Program 2020-21'!H1" display="Summary Page"/>
  </hyperlinks>
  <pageMargins left="0.7" right="0.7" top="0.75" bottom="0.75" header="0.3" footer="0.3"/>
  <pageSetup scale="16"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filterMode="1">
    <tabColor rgb="FF0083CA"/>
    <pageSetUpPr fitToPage="1"/>
  </sheetPr>
  <dimension ref="A1:AF129"/>
  <sheetViews>
    <sheetView topLeftCell="H1" workbookViewId="0">
      <selection activeCell="H1" sqref="H1"/>
    </sheetView>
  </sheetViews>
  <sheetFormatPr defaultColWidth="18.6640625" defaultRowHeight="12.75" customHeight="1" outlineLevelCol="1"/>
  <cols>
    <col min="1" max="1" width="22.44140625" style="8" hidden="1" customWidth="1" outlineLevel="1"/>
    <col min="2" max="2" width="19.109375" style="8" hidden="1" customWidth="1" outlineLevel="1"/>
    <col min="3" max="3" width="20.6640625" style="10" hidden="1" customWidth="1" outlineLevel="1"/>
    <col min="4" max="4" width="16.44140625" style="10" hidden="1" customWidth="1" outlineLevel="1"/>
    <col min="5" max="5" width="16.5546875" style="10" hidden="1" customWidth="1" outlineLevel="1"/>
    <col min="6" max="6" width="13.109375" style="10" hidden="1" customWidth="1" outlineLevel="1"/>
    <col min="7" max="7" width="21.109375" style="8" hidden="1" customWidth="1" outlineLevel="1"/>
    <col min="8" max="8" width="13.88671875" style="462" customWidth="1" collapsed="1"/>
    <col min="9" max="9" width="46" style="462" customWidth="1"/>
    <col min="10" max="10" width="42" style="462" customWidth="1"/>
    <col min="11" max="11" width="30.6640625" style="462" customWidth="1"/>
    <col min="12" max="12" width="6.109375" style="462" bestFit="1" customWidth="1"/>
    <col min="13" max="13" width="12.88671875" style="463" customWidth="1"/>
    <col min="14" max="14" width="10.44140625" style="463" customWidth="1"/>
    <col min="15" max="15" width="9.109375" style="463" customWidth="1"/>
    <col min="16" max="16" width="29.88671875" style="463" bestFit="1" customWidth="1"/>
    <col min="17" max="17" width="14.33203125" style="462" customWidth="1"/>
    <col min="18" max="18" width="8" style="462" customWidth="1"/>
    <col min="19" max="19" width="39.6640625" style="462" customWidth="1"/>
    <col min="20" max="21" width="10.33203125" style="1379" customWidth="1"/>
    <col min="22" max="22" width="16" style="1379" customWidth="1"/>
    <col min="23" max="16384" width="18.6640625" style="462"/>
  </cols>
  <sheetData>
    <row r="1" spans="1:23" ht="12.75" customHeight="1">
      <c r="H1" s="239" t="s">
        <v>1067</v>
      </c>
    </row>
    <row r="2" spans="1:23" ht="86.25" customHeight="1">
      <c r="E2" s="10" t="str">
        <f>"2019RES_201403_P8T1"</f>
        <v>2019RES_201403_P8T1</v>
      </c>
      <c r="G2" s="8" t="s">
        <v>879</v>
      </c>
      <c r="H2" s="1164" t="str">
        <f>I6&amp;":"</f>
        <v>Residential New Construction/Next Step Homes:</v>
      </c>
      <c r="I2" s="2875" t="str">
        <f>INDEX(Programs!C:C,MATCH(I7,Programs!B:B,0))</f>
        <v>The Next Step Homes initiative leverages the infrastructure created by prior Efficient Homes programs to develop and increase market adoption of energy efficient advanced building practices for single-family homes, aimed at influencing and accelerating code adoption.</v>
      </c>
      <c r="J2" s="2875"/>
      <c r="K2" s="2875"/>
      <c r="L2" s="2875"/>
      <c r="Q2" s="458"/>
      <c r="R2" s="458"/>
    </row>
    <row r="3" spans="1:23" ht="16.5" customHeight="1">
      <c r="E3" s="10" t="s">
        <v>626</v>
      </c>
      <c r="F3" s="10" t="b">
        <f>E3=E2</f>
        <v>1</v>
      </c>
      <c r="H3" s="926"/>
      <c r="M3" s="1380"/>
    </row>
    <row r="4" spans="1:23" s="458" customFormat="1" ht="15.75" customHeight="1">
      <c r="A4" s="3019" t="s">
        <v>131</v>
      </c>
      <c r="B4" s="3020"/>
      <c r="C4" s="3020"/>
      <c r="D4" s="3020"/>
      <c r="E4" s="3020"/>
      <c r="F4" s="3020"/>
      <c r="G4" s="3021"/>
      <c r="H4" s="2879" t="s">
        <v>7</v>
      </c>
      <c r="I4" s="2880"/>
      <c r="J4" s="2880"/>
      <c r="K4" s="2880"/>
      <c r="L4" s="2959"/>
      <c r="M4" s="2881" t="s">
        <v>127</v>
      </c>
      <c r="N4" s="2882"/>
      <c r="O4" s="2882"/>
      <c r="P4" s="2882"/>
      <c r="Q4" s="2883"/>
      <c r="R4" s="2884" t="s">
        <v>129</v>
      </c>
      <c r="S4" s="2885"/>
      <c r="T4" s="3016" t="s">
        <v>130</v>
      </c>
      <c r="U4" s="3017"/>
      <c r="V4" s="3018"/>
    </row>
    <row r="5" spans="1:23" s="931" customFormat="1" ht="60" customHeight="1" thickBot="1">
      <c r="A5" s="107" t="s">
        <v>0</v>
      </c>
      <c r="B5" s="108" t="s">
        <v>11</v>
      </c>
      <c r="C5" s="109" t="s">
        <v>1</v>
      </c>
      <c r="D5" s="109" t="s">
        <v>2</v>
      </c>
      <c r="E5" s="109" t="s">
        <v>266</v>
      </c>
      <c r="F5" s="109" t="s">
        <v>306</v>
      </c>
      <c r="G5" s="110" t="s">
        <v>12</v>
      </c>
      <c r="H5" s="1112" t="s">
        <v>3</v>
      </c>
      <c r="I5" s="1112" t="s">
        <v>4</v>
      </c>
      <c r="J5" s="1112" t="s">
        <v>5</v>
      </c>
      <c r="K5" s="1112" t="s">
        <v>6</v>
      </c>
      <c r="L5" s="1112" t="s">
        <v>8</v>
      </c>
      <c r="M5" s="1113" t="s">
        <v>13</v>
      </c>
      <c r="N5" s="1112" t="s">
        <v>14</v>
      </c>
      <c r="O5" s="1112" t="s">
        <v>123</v>
      </c>
      <c r="P5" s="1112" t="s">
        <v>124</v>
      </c>
      <c r="Q5" s="1114" t="s">
        <v>16</v>
      </c>
      <c r="R5" s="1113" t="s">
        <v>870</v>
      </c>
      <c r="S5" s="1114" t="s">
        <v>125</v>
      </c>
      <c r="T5" s="1387" t="s">
        <v>126</v>
      </c>
      <c r="U5" s="1388" t="s">
        <v>18</v>
      </c>
      <c r="V5" s="1389" t="s">
        <v>17</v>
      </c>
    </row>
    <row r="6" spans="1:23" s="1" customFormat="1" ht="13.5" hidden="1" customHeight="1" thickTop="1">
      <c r="A6" s="58" t="s">
        <v>59</v>
      </c>
      <c r="B6" s="9" t="str">
        <f t="shared" ref="B6:B37" si="0">LEFT(A6,10)</f>
        <v>RES_201301</v>
      </c>
      <c r="C6" s="9">
        <v>0</v>
      </c>
      <c r="D6" s="9">
        <v>0</v>
      </c>
      <c r="E6" s="9">
        <f t="shared" ref="E6:E37" si="1">COUNTIFS($A:$A,A6,$L:$L,L6)</f>
        <v>1</v>
      </c>
      <c r="F6" s="9">
        <v>1</v>
      </c>
      <c r="G6" s="59" t="b">
        <v>1</v>
      </c>
      <c r="H6" s="54" t="str">
        <f t="shared" ref="H6:H37" si="2">IF(LEFT(A6,3)="Res","Residential",IF(LEFT(A6,3)="Ind","industrial",IF(LEFT(A6,3)="Com","Commercial",IF(LEFT(A6,3)="AGR","Agriculture",""))))</f>
        <v>Residential</v>
      </c>
      <c r="I6" s="18" t="s">
        <v>154</v>
      </c>
      <c r="J6" s="18" t="s">
        <v>460</v>
      </c>
      <c r="K6" s="18" t="s">
        <v>514</v>
      </c>
      <c r="L6" s="24">
        <v>2018</v>
      </c>
      <c r="M6" s="30">
        <v>0</v>
      </c>
      <c r="N6" s="19">
        <v>0</v>
      </c>
      <c r="O6" s="19">
        <v>0</v>
      </c>
      <c r="P6" s="20" t="s">
        <v>869</v>
      </c>
      <c r="Q6" s="269">
        <v>0</v>
      </c>
      <c r="R6" s="112">
        <v>0</v>
      </c>
      <c r="S6" s="71" t="s">
        <v>1601</v>
      </c>
      <c r="T6" s="48">
        <f t="shared" ref="T6:T37" si="3">(M6-O6)*Q6*R6/8760000</f>
        <v>0</v>
      </c>
      <c r="U6" s="21">
        <f t="shared" ref="U6:U37" si="4">IFERROR((N6-O6/M6*N6)*Q6*R6/8760/1000,0)</f>
        <v>0</v>
      </c>
      <c r="V6" s="49">
        <f t="shared" ref="V6:V37" si="5">T6-U6</f>
        <v>0</v>
      </c>
      <c r="W6" s="2">
        <f>M6-N6</f>
        <v>0</v>
      </c>
    </row>
    <row r="7" spans="1:23" s="1" customFormat="1" ht="13.5" hidden="1" customHeight="1">
      <c r="A7" s="58" t="s">
        <v>60</v>
      </c>
      <c r="B7" s="9" t="str">
        <f t="shared" si="0"/>
        <v>RES_201301</v>
      </c>
      <c r="C7" s="9">
        <v>0</v>
      </c>
      <c r="D7" s="9">
        <v>0</v>
      </c>
      <c r="E7" s="9">
        <f t="shared" si="1"/>
        <v>1</v>
      </c>
      <c r="F7" s="9">
        <v>1</v>
      </c>
      <c r="G7" s="59" t="b">
        <v>1</v>
      </c>
      <c r="H7" s="54" t="str">
        <f t="shared" si="2"/>
        <v>Residential</v>
      </c>
      <c r="I7" s="18" t="s">
        <v>154</v>
      </c>
      <c r="J7" s="18" t="s">
        <v>479</v>
      </c>
      <c r="K7" s="18" t="s">
        <v>514</v>
      </c>
      <c r="L7" s="24">
        <v>2018</v>
      </c>
      <c r="M7" s="30">
        <v>0</v>
      </c>
      <c r="N7" s="19">
        <v>0</v>
      </c>
      <c r="O7" s="19">
        <v>0</v>
      </c>
      <c r="P7" s="20" t="s">
        <v>869</v>
      </c>
      <c r="Q7" s="269">
        <v>0</v>
      </c>
      <c r="R7" s="112">
        <v>0</v>
      </c>
      <c r="S7" s="71" t="s">
        <v>1601</v>
      </c>
      <c r="T7" s="48">
        <f t="shared" si="3"/>
        <v>0</v>
      </c>
      <c r="U7" s="21">
        <f t="shared" si="4"/>
        <v>0</v>
      </c>
      <c r="V7" s="49">
        <f t="shared" si="5"/>
        <v>0</v>
      </c>
      <c r="W7" s="2">
        <f t="shared" ref="W7:W32" si="6">M7-N7</f>
        <v>0</v>
      </c>
    </row>
    <row r="8" spans="1:23" s="1" customFormat="1" ht="13.5" hidden="1" customHeight="1">
      <c r="A8" s="8" t="s">
        <v>69</v>
      </c>
      <c r="B8" s="9" t="str">
        <f t="shared" si="0"/>
        <v>RES_201301</v>
      </c>
      <c r="C8" s="9">
        <v>0</v>
      </c>
      <c r="D8" s="9">
        <v>0</v>
      </c>
      <c r="E8" s="9">
        <f t="shared" si="1"/>
        <v>1</v>
      </c>
      <c r="F8" s="9">
        <v>1</v>
      </c>
      <c r="G8" s="59" t="b">
        <v>1</v>
      </c>
      <c r="H8" s="54" t="str">
        <f t="shared" si="2"/>
        <v>Residential</v>
      </c>
      <c r="I8" s="18" t="s">
        <v>154</v>
      </c>
      <c r="J8" s="18" t="s">
        <v>446</v>
      </c>
      <c r="K8" s="18" t="s">
        <v>514</v>
      </c>
      <c r="L8" s="24">
        <v>2018</v>
      </c>
      <c r="M8" s="30">
        <v>0</v>
      </c>
      <c r="N8" s="19">
        <v>0</v>
      </c>
      <c r="O8" s="19">
        <v>0</v>
      </c>
      <c r="P8" s="20" t="s">
        <v>869</v>
      </c>
      <c r="Q8" s="269">
        <v>0</v>
      </c>
      <c r="R8" s="112">
        <v>0</v>
      </c>
      <c r="S8" s="71" t="s">
        <v>1601</v>
      </c>
      <c r="T8" s="48">
        <f t="shared" si="3"/>
        <v>0</v>
      </c>
      <c r="U8" s="21">
        <f t="shared" si="4"/>
        <v>0</v>
      </c>
      <c r="V8" s="49">
        <f t="shared" si="5"/>
        <v>0</v>
      </c>
      <c r="W8" s="2">
        <f t="shared" si="6"/>
        <v>0</v>
      </c>
    </row>
    <row r="9" spans="1:23" s="1" customFormat="1" ht="13.5" hidden="1" customHeight="1">
      <c r="A9" s="8" t="s">
        <v>70</v>
      </c>
      <c r="B9" s="9" t="str">
        <f t="shared" si="0"/>
        <v>RES_201301</v>
      </c>
      <c r="C9" s="9">
        <v>0</v>
      </c>
      <c r="D9" s="9">
        <v>0</v>
      </c>
      <c r="E9" s="9">
        <f t="shared" si="1"/>
        <v>1</v>
      </c>
      <c r="F9" s="9">
        <v>1</v>
      </c>
      <c r="G9" s="59" t="b">
        <v>1</v>
      </c>
      <c r="H9" s="54" t="str">
        <f t="shared" si="2"/>
        <v>Residential</v>
      </c>
      <c r="I9" s="18" t="s">
        <v>154</v>
      </c>
      <c r="J9" s="18" t="s">
        <v>454</v>
      </c>
      <c r="K9" s="18" t="s">
        <v>514</v>
      </c>
      <c r="L9" s="24">
        <v>2018</v>
      </c>
      <c r="M9" s="30">
        <v>0</v>
      </c>
      <c r="N9" s="19">
        <v>0</v>
      </c>
      <c r="O9" s="19">
        <v>0</v>
      </c>
      <c r="P9" s="20" t="s">
        <v>869</v>
      </c>
      <c r="Q9" s="269">
        <v>0</v>
      </c>
      <c r="R9" s="112">
        <v>0</v>
      </c>
      <c r="S9" s="71" t="s">
        <v>1601</v>
      </c>
      <c r="T9" s="48">
        <f t="shared" si="3"/>
        <v>0</v>
      </c>
      <c r="U9" s="21">
        <f t="shared" si="4"/>
        <v>0</v>
      </c>
      <c r="V9" s="49">
        <f t="shared" si="5"/>
        <v>0</v>
      </c>
      <c r="W9" s="2">
        <f t="shared" si="6"/>
        <v>0</v>
      </c>
    </row>
    <row r="10" spans="1:23" s="1" customFormat="1" ht="13.5" hidden="1" customHeight="1">
      <c r="A10" s="8" t="s">
        <v>76</v>
      </c>
      <c r="B10" s="9" t="str">
        <f t="shared" si="0"/>
        <v>RES_201301</v>
      </c>
      <c r="C10" s="9">
        <v>0</v>
      </c>
      <c r="D10" s="9">
        <v>0</v>
      </c>
      <c r="E10" s="9">
        <f t="shared" si="1"/>
        <v>1</v>
      </c>
      <c r="F10" s="9">
        <v>1</v>
      </c>
      <c r="G10" s="59" t="b">
        <v>1</v>
      </c>
      <c r="H10" s="54" t="str">
        <f t="shared" si="2"/>
        <v>Residential</v>
      </c>
      <c r="I10" s="18" t="s">
        <v>154</v>
      </c>
      <c r="J10" s="18" t="s">
        <v>1476</v>
      </c>
      <c r="K10" s="18" t="s">
        <v>1472</v>
      </c>
      <c r="L10" s="24">
        <v>2018</v>
      </c>
      <c r="M10" s="30">
        <v>1198</v>
      </c>
      <c r="N10" s="19">
        <v>79</v>
      </c>
      <c r="O10" s="19">
        <v>0</v>
      </c>
      <c r="P10" s="20" t="s">
        <v>869</v>
      </c>
      <c r="Q10" s="269">
        <v>0.14199999999999999</v>
      </c>
      <c r="R10" s="112">
        <v>1281.7754591</v>
      </c>
      <c r="S10" s="71" t="s">
        <v>1601</v>
      </c>
      <c r="T10" s="48">
        <f t="shared" si="3"/>
        <v>2.4891611187243787E-2</v>
      </c>
      <c r="U10" s="21">
        <f t="shared" si="4"/>
        <v>1.6414334589250909E-3</v>
      </c>
      <c r="V10" s="49">
        <f t="shared" si="5"/>
        <v>2.3250177728318697E-2</v>
      </c>
      <c r="W10" s="2">
        <f t="shared" si="6"/>
        <v>1119</v>
      </c>
    </row>
    <row r="11" spans="1:23" s="1" customFormat="1" ht="13.5" hidden="1" customHeight="1">
      <c r="A11" s="8" t="s">
        <v>77</v>
      </c>
      <c r="B11" s="9" t="str">
        <f t="shared" si="0"/>
        <v>RES_201301</v>
      </c>
      <c r="C11" s="9">
        <v>0</v>
      </c>
      <c r="D11" s="9">
        <v>0</v>
      </c>
      <c r="E11" s="9">
        <f t="shared" si="1"/>
        <v>1</v>
      </c>
      <c r="F11" s="9">
        <v>1</v>
      </c>
      <c r="G11" s="59" t="b">
        <v>1</v>
      </c>
      <c r="H11" s="54" t="str">
        <f t="shared" si="2"/>
        <v>Residential</v>
      </c>
      <c r="I11" s="18" t="s">
        <v>154</v>
      </c>
      <c r="J11" s="18" t="s">
        <v>1477</v>
      </c>
      <c r="K11" s="18" t="s">
        <v>1472</v>
      </c>
      <c r="L11" s="24">
        <v>2018</v>
      </c>
      <c r="M11" s="30">
        <v>1588.8</v>
      </c>
      <c r="N11" s="19">
        <v>0</v>
      </c>
      <c r="O11" s="19">
        <v>0</v>
      </c>
      <c r="P11" s="20" t="s">
        <v>869</v>
      </c>
      <c r="Q11" s="269">
        <v>0.14199999999999999</v>
      </c>
      <c r="R11" s="112">
        <v>2077.8401510399999</v>
      </c>
      <c r="S11" s="71" t="s">
        <v>1601</v>
      </c>
      <c r="T11" s="48">
        <f t="shared" si="3"/>
        <v>5.3513776865305236E-2</v>
      </c>
      <c r="U11" s="21">
        <f t="shared" si="4"/>
        <v>0</v>
      </c>
      <c r="V11" s="49">
        <f t="shared" si="5"/>
        <v>5.3513776865305236E-2</v>
      </c>
      <c r="W11" s="2">
        <f t="shared" si="6"/>
        <v>1588.8</v>
      </c>
    </row>
    <row r="12" spans="1:23" s="1" customFormat="1" ht="13.5" hidden="1" customHeight="1">
      <c r="A12" s="8" t="s">
        <v>78</v>
      </c>
      <c r="B12" s="9" t="str">
        <f t="shared" si="0"/>
        <v>RES_201301</v>
      </c>
      <c r="C12" s="9">
        <v>0</v>
      </c>
      <c r="D12" s="9">
        <v>0</v>
      </c>
      <c r="E12" s="9">
        <f t="shared" si="1"/>
        <v>1</v>
      </c>
      <c r="F12" s="9">
        <v>1</v>
      </c>
      <c r="G12" s="59" t="b">
        <v>1</v>
      </c>
      <c r="H12" s="54" t="str">
        <f t="shared" si="2"/>
        <v>Residential</v>
      </c>
      <c r="I12" s="18" t="s">
        <v>154</v>
      </c>
      <c r="J12" s="18" t="s">
        <v>1478</v>
      </c>
      <c r="K12" s="18" t="s">
        <v>1472</v>
      </c>
      <c r="L12" s="24">
        <v>2018</v>
      </c>
      <c r="M12" s="30">
        <v>205</v>
      </c>
      <c r="N12" s="19">
        <v>0</v>
      </c>
      <c r="O12" s="19">
        <v>0</v>
      </c>
      <c r="P12" s="20" t="s">
        <v>869</v>
      </c>
      <c r="Q12" s="269">
        <v>0.14199999999999999</v>
      </c>
      <c r="R12" s="112">
        <v>1854.7268292700001</v>
      </c>
      <c r="S12" s="71" t="s">
        <v>1601</v>
      </c>
      <c r="T12" s="48">
        <f t="shared" si="3"/>
        <v>6.1633673516038462E-3</v>
      </c>
      <c r="U12" s="21">
        <f t="shared" si="4"/>
        <v>0</v>
      </c>
      <c r="V12" s="49">
        <f t="shared" si="5"/>
        <v>6.1633673516038462E-3</v>
      </c>
      <c r="W12" s="2">
        <f t="shared" si="6"/>
        <v>205</v>
      </c>
    </row>
    <row r="13" spans="1:23" s="1" customFormat="1" ht="13.5" hidden="1" customHeight="1">
      <c r="A13" s="8" t="s">
        <v>79</v>
      </c>
      <c r="B13" s="9" t="str">
        <f t="shared" si="0"/>
        <v>RES_201301</v>
      </c>
      <c r="C13" s="9">
        <v>0</v>
      </c>
      <c r="D13" s="9">
        <v>0</v>
      </c>
      <c r="E13" s="9">
        <f t="shared" si="1"/>
        <v>1</v>
      </c>
      <c r="F13" s="9">
        <v>1</v>
      </c>
      <c r="G13" s="59" t="b">
        <v>1</v>
      </c>
      <c r="H13" s="54" t="str">
        <f t="shared" si="2"/>
        <v>Residential</v>
      </c>
      <c r="I13" s="18" t="s">
        <v>154</v>
      </c>
      <c r="J13" s="18" t="s">
        <v>1479</v>
      </c>
      <c r="K13" s="18" t="s">
        <v>1472</v>
      </c>
      <c r="L13" s="24">
        <v>2018</v>
      </c>
      <c r="M13" s="30">
        <v>93.1</v>
      </c>
      <c r="N13" s="19">
        <v>0</v>
      </c>
      <c r="O13" s="19">
        <v>0</v>
      </c>
      <c r="P13" s="20" t="s">
        <v>869</v>
      </c>
      <c r="Q13" s="269">
        <v>0.14199999999999999</v>
      </c>
      <c r="R13" s="112">
        <v>370.22580644999999</v>
      </c>
      <c r="S13" s="71" t="s">
        <v>1601</v>
      </c>
      <c r="T13" s="48">
        <f t="shared" si="3"/>
        <v>5.5872821991213351E-4</v>
      </c>
      <c r="U13" s="21">
        <f t="shared" si="4"/>
        <v>0</v>
      </c>
      <c r="V13" s="274">
        <f t="shared" si="5"/>
        <v>5.5872821991213351E-4</v>
      </c>
      <c r="W13" s="2">
        <f t="shared" si="6"/>
        <v>93.1</v>
      </c>
    </row>
    <row r="14" spans="1:23" s="1" customFormat="1" ht="13.5" hidden="1" customHeight="1">
      <c r="A14" s="8" t="s">
        <v>80</v>
      </c>
      <c r="B14" s="9" t="str">
        <f t="shared" si="0"/>
        <v>RES_201301</v>
      </c>
      <c r="C14" s="9">
        <v>0</v>
      </c>
      <c r="D14" s="9">
        <v>0</v>
      </c>
      <c r="E14" s="9">
        <f t="shared" si="1"/>
        <v>1</v>
      </c>
      <c r="F14" s="9">
        <v>1</v>
      </c>
      <c r="G14" s="59" t="b">
        <v>1</v>
      </c>
      <c r="H14" s="54" t="str">
        <f t="shared" si="2"/>
        <v>Residential</v>
      </c>
      <c r="I14" s="18" t="s">
        <v>154</v>
      </c>
      <c r="J14" s="18" t="s">
        <v>1480</v>
      </c>
      <c r="K14" s="18" t="s">
        <v>1472</v>
      </c>
      <c r="L14" s="24">
        <v>2018</v>
      </c>
      <c r="M14" s="30">
        <v>766.4</v>
      </c>
      <c r="N14" s="19">
        <v>18</v>
      </c>
      <c r="O14" s="19">
        <v>0</v>
      </c>
      <c r="P14" s="20" t="s">
        <v>869</v>
      </c>
      <c r="Q14" s="269">
        <v>0.14199999999999999</v>
      </c>
      <c r="R14" s="112">
        <v>1481.8668407299999</v>
      </c>
      <c r="S14" s="71" t="s">
        <v>1601</v>
      </c>
      <c r="T14" s="48">
        <f t="shared" si="3"/>
        <v>1.8409793383154908E-2</v>
      </c>
      <c r="U14" s="21">
        <f t="shared" si="4"/>
        <v>4.3238032476094514E-4</v>
      </c>
      <c r="V14" s="49">
        <f t="shared" si="5"/>
        <v>1.7977413058393961E-2</v>
      </c>
      <c r="W14" s="2">
        <f t="shared" si="6"/>
        <v>748.4</v>
      </c>
    </row>
    <row r="15" spans="1:23" s="1" customFormat="1" ht="13.5" hidden="1" customHeight="1">
      <c r="A15" s="8" t="s">
        <v>81</v>
      </c>
      <c r="B15" s="9" t="str">
        <f t="shared" si="0"/>
        <v>RES_201301</v>
      </c>
      <c r="C15" s="9">
        <v>0</v>
      </c>
      <c r="D15" s="9">
        <v>0</v>
      </c>
      <c r="E15" s="9">
        <f t="shared" si="1"/>
        <v>1</v>
      </c>
      <c r="F15" s="9">
        <v>1</v>
      </c>
      <c r="G15" s="59" t="b">
        <v>1</v>
      </c>
      <c r="H15" s="54" t="str">
        <f t="shared" si="2"/>
        <v>Residential</v>
      </c>
      <c r="I15" s="18" t="s">
        <v>154</v>
      </c>
      <c r="J15" s="18" t="s">
        <v>1471</v>
      </c>
      <c r="K15" s="18" t="s">
        <v>1472</v>
      </c>
      <c r="L15" s="24">
        <v>2018</v>
      </c>
      <c r="M15" s="30">
        <v>16</v>
      </c>
      <c r="N15" s="19">
        <v>0</v>
      </c>
      <c r="O15" s="19">
        <v>0</v>
      </c>
      <c r="P15" s="20" t="s">
        <v>869</v>
      </c>
      <c r="Q15" s="269">
        <v>0.14199999999999999</v>
      </c>
      <c r="R15" s="112">
        <v>1873</v>
      </c>
      <c r="S15" s="71" t="s">
        <v>1601</v>
      </c>
      <c r="T15" s="48">
        <f t="shared" si="3"/>
        <v>4.857826484018264E-4</v>
      </c>
      <c r="U15" s="21">
        <f t="shared" si="4"/>
        <v>0</v>
      </c>
      <c r="V15" s="49">
        <f t="shared" si="5"/>
        <v>4.857826484018264E-4</v>
      </c>
      <c r="W15" s="2">
        <f t="shared" si="6"/>
        <v>16</v>
      </c>
    </row>
    <row r="16" spans="1:23" s="1" customFormat="1" ht="13.5" hidden="1" customHeight="1">
      <c r="A16" s="8" t="s">
        <v>82</v>
      </c>
      <c r="B16" s="9" t="str">
        <f t="shared" si="0"/>
        <v>RES_201301</v>
      </c>
      <c r="C16" s="9">
        <v>0</v>
      </c>
      <c r="D16" s="9">
        <v>0</v>
      </c>
      <c r="E16" s="9">
        <f t="shared" si="1"/>
        <v>1</v>
      </c>
      <c r="F16" s="9">
        <v>1</v>
      </c>
      <c r="G16" s="59" t="b">
        <v>1</v>
      </c>
      <c r="H16" s="54" t="str">
        <f t="shared" si="2"/>
        <v>Residential</v>
      </c>
      <c r="I16" s="18" t="s">
        <v>154</v>
      </c>
      <c r="J16" s="18" t="s">
        <v>1473</v>
      </c>
      <c r="K16" s="18" t="s">
        <v>1472</v>
      </c>
      <c r="L16" s="24">
        <v>2018</v>
      </c>
      <c r="M16" s="30">
        <v>0</v>
      </c>
      <c r="N16" s="19">
        <v>0</v>
      </c>
      <c r="O16" s="19">
        <v>0</v>
      </c>
      <c r="P16" s="20" t="s">
        <v>869</v>
      </c>
      <c r="Q16" s="269">
        <v>0</v>
      </c>
      <c r="R16" s="112">
        <v>0</v>
      </c>
      <c r="S16" s="71" t="s">
        <v>1601</v>
      </c>
      <c r="T16" s="48">
        <f t="shared" si="3"/>
        <v>0</v>
      </c>
      <c r="U16" s="21">
        <f t="shared" si="4"/>
        <v>0</v>
      </c>
      <c r="V16" s="49">
        <f t="shared" si="5"/>
        <v>0</v>
      </c>
      <c r="W16" s="2">
        <f t="shared" si="6"/>
        <v>0</v>
      </c>
    </row>
    <row r="17" spans="1:32" s="1" customFormat="1" ht="13.5" hidden="1" customHeight="1">
      <c r="A17" s="8" t="s">
        <v>83</v>
      </c>
      <c r="B17" s="9" t="str">
        <f t="shared" si="0"/>
        <v>RES_201301</v>
      </c>
      <c r="C17" s="9">
        <v>0</v>
      </c>
      <c r="D17" s="9">
        <v>0</v>
      </c>
      <c r="E17" s="9">
        <f t="shared" si="1"/>
        <v>1</v>
      </c>
      <c r="F17" s="9">
        <v>1</v>
      </c>
      <c r="G17" s="59" t="b">
        <v>1</v>
      </c>
      <c r="H17" s="54" t="str">
        <f t="shared" si="2"/>
        <v>Residential</v>
      </c>
      <c r="I17" s="18" t="s">
        <v>154</v>
      </c>
      <c r="J17" s="18" t="s">
        <v>1474</v>
      </c>
      <c r="K17" s="18" t="s">
        <v>1472</v>
      </c>
      <c r="L17" s="24">
        <v>2018</v>
      </c>
      <c r="M17" s="30">
        <v>0</v>
      </c>
      <c r="N17" s="19">
        <v>0</v>
      </c>
      <c r="O17" s="19">
        <v>0</v>
      </c>
      <c r="P17" s="20" t="s">
        <v>869</v>
      </c>
      <c r="Q17" s="269">
        <v>0</v>
      </c>
      <c r="R17" s="112">
        <v>0</v>
      </c>
      <c r="S17" s="71" t="s">
        <v>1601</v>
      </c>
      <c r="T17" s="48">
        <f t="shared" si="3"/>
        <v>0</v>
      </c>
      <c r="U17" s="21">
        <f t="shared" si="4"/>
        <v>0</v>
      </c>
      <c r="V17" s="49">
        <f t="shared" si="5"/>
        <v>0</v>
      </c>
      <c r="W17" s="2">
        <f t="shared" si="6"/>
        <v>0</v>
      </c>
    </row>
    <row r="18" spans="1:32" s="1" customFormat="1" ht="13.5" hidden="1" customHeight="1">
      <c r="A18" s="8" t="s">
        <v>84</v>
      </c>
      <c r="B18" s="9" t="str">
        <f t="shared" si="0"/>
        <v>RES_201301</v>
      </c>
      <c r="C18" s="9">
        <v>0</v>
      </c>
      <c r="D18" s="9">
        <v>0</v>
      </c>
      <c r="E18" s="9">
        <f t="shared" si="1"/>
        <v>1</v>
      </c>
      <c r="F18" s="9">
        <v>1</v>
      </c>
      <c r="G18" s="59" t="b">
        <v>1</v>
      </c>
      <c r="H18" s="54" t="str">
        <f t="shared" si="2"/>
        <v>Residential</v>
      </c>
      <c r="I18" s="18" t="s">
        <v>154</v>
      </c>
      <c r="J18" s="18" t="s">
        <v>1475</v>
      </c>
      <c r="K18" s="18" t="s">
        <v>1472</v>
      </c>
      <c r="L18" s="24">
        <v>2018</v>
      </c>
      <c r="M18" s="30">
        <v>36</v>
      </c>
      <c r="N18" s="19">
        <v>4</v>
      </c>
      <c r="O18" s="19">
        <v>0</v>
      </c>
      <c r="P18" s="20" t="s">
        <v>869</v>
      </c>
      <c r="Q18" s="269">
        <v>0.14199999999999999</v>
      </c>
      <c r="R18" s="112">
        <v>1034</v>
      </c>
      <c r="S18" s="71" t="s">
        <v>1601</v>
      </c>
      <c r="T18" s="48">
        <f t="shared" si="3"/>
        <v>6.0340273972602724E-4</v>
      </c>
      <c r="U18" s="21">
        <f t="shared" si="4"/>
        <v>6.7044748858447479E-5</v>
      </c>
      <c r="V18" s="49">
        <f t="shared" si="5"/>
        <v>5.3635799086757972E-4</v>
      </c>
      <c r="W18" s="2">
        <f t="shared" si="6"/>
        <v>32</v>
      </c>
    </row>
    <row r="19" spans="1:32" s="2" customFormat="1" ht="13.5" hidden="1" customHeight="1">
      <c r="A19" s="8" t="s">
        <v>118</v>
      </c>
      <c r="B19" s="9" t="str">
        <f t="shared" si="0"/>
        <v>RES_201301</v>
      </c>
      <c r="C19" s="9">
        <v>0</v>
      </c>
      <c r="D19" s="9">
        <v>0</v>
      </c>
      <c r="E19" s="9">
        <f t="shared" si="1"/>
        <v>1</v>
      </c>
      <c r="F19" s="9">
        <v>1</v>
      </c>
      <c r="G19" s="59" t="b">
        <v>1</v>
      </c>
      <c r="H19" s="54" t="str">
        <f t="shared" si="2"/>
        <v>Residential</v>
      </c>
      <c r="I19" s="18" t="s">
        <v>154</v>
      </c>
      <c r="J19" s="18" t="s">
        <v>706</v>
      </c>
      <c r="K19" s="18" t="s">
        <v>1461</v>
      </c>
      <c r="L19" s="24">
        <v>2018</v>
      </c>
      <c r="M19" s="30">
        <v>0</v>
      </c>
      <c r="N19" s="19">
        <v>0</v>
      </c>
      <c r="O19" s="19">
        <v>0</v>
      </c>
      <c r="P19" s="20" t="s">
        <v>869</v>
      </c>
      <c r="Q19" s="269">
        <v>0</v>
      </c>
      <c r="R19" s="112">
        <v>0</v>
      </c>
      <c r="S19" s="71" t="s">
        <v>1601</v>
      </c>
      <c r="T19" s="48">
        <f t="shared" si="3"/>
        <v>0</v>
      </c>
      <c r="U19" s="21">
        <f t="shared" si="4"/>
        <v>0</v>
      </c>
      <c r="V19" s="49">
        <f t="shared" si="5"/>
        <v>0</v>
      </c>
      <c r="W19" s="2">
        <f t="shared" si="6"/>
        <v>0</v>
      </c>
      <c r="X19" s="1"/>
      <c r="Y19" s="1"/>
      <c r="Z19" s="1"/>
      <c r="AA19" s="1"/>
      <c r="AB19" s="1"/>
      <c r="AC19" s="1"/>
      <c r="AD19" s="1"/>
      <c r="AE19" s="1"/>
    </row>
    <row r="20" spans="1:32" s="2" customFormat="1" ht="13.5" hidden="1" customHeight="1">
      <c r="A20" s="8" t="s">
        <v>119</v>
      </c>
      <c r="B20" s="9" t="str">
        <f t="shared" si="0"/>
        <v>RES_201301</v>
      </c>
      <c r="C20" s="9">
        <v>0</v>
      </c>
      <c r="D20" s="9">
        <v>0</v>
      </c>
      <c r="E20" s="9">
        <f t="shared" si="1"/>
        <v>1</v>
      </c>
      <c r="F20" s="9">
        <v>1</v>
      </c>
      <c r="G20" s="59" t="b">
        <v>1</v>
      </c>
      <c r="H20" s="54" t="str">
        <f t="shared" si="2"/>
        <v>Residential</v>
      </c>
      <c r="I20" s="18" t="s">
        <v>154</v>
      </c>
      <c r="J20" s="18" t="s">
        <v>708</v>
      </c>
      <c r="K20" s="18" t="s">
        <v>1461</v>
      </c>
      <c r="L20" s="24">
        <v>2018</v>
      </c>
      <c r="M20" s="30">
        <v>0</v>
      </c>
      <c r="N20" s="19">
        <v>0</v>
      </c>
      <c r="O20" s="19">
        <v>0</v>
      </c>
      <c r="P20" s="20" t="s">
        <v>869</v>
      </c>
      <c r="Q20" s="269">
        <v>0</v>
      </c>
      <c r="R20" s="112">
        <v>0</v>
      </c>
      <c r="S20" s="71" t="s">
        <v>1601</v>
      </c>
      <c r="T20" s="48">
        <f t="shared" si="3"/>
        <v>0</v>
      </c>
      <c r="U20" s="21">
        <f t="shared" si="4"/>
        <v>0</v>
      </c>
      <c r="V20" s="49">
        <f t="shared" si="5"/>
        <v>0</v>
      </c>
      <c r="W20" s="2">
        <f t="shared" si="6"/>
        <v>0</v>
      </c>
      <c r="X20" s="3"/>
      <c r="Y20" s="1"/>
      <c r="Z20" s="1"/>
      <c r="AA20" s="1"/>
      <c r="AB20" s="1"/>
      <c r="AC20" s="1"/>
      <c r="AD20" s="1"/>
      <c r="AE20" s="1"/>
      <c r="AF20" s="1"/>
    </row>
    <row r="21" spans="1:32" s="1" customFormat="1" ht="13.5" hidden="1" customHeight="1">
      <c r="A21" s="58" t="s">
        <v>1088</v>
      </c>
      <c r="B21" s="9" t="str">
        <f t="shared" si="0"/>
        <v>Res_201301</v>
      </c>
      <c r="C21" s="9">
        <v>0</v>
      </c>
      <c r="D21" s="9">
        <v>0</v>
      </c>
      <c r="E21" s="9">
        <f t="shared" si="1"/>
        <v>1</v>
      </c>
      <c r="F21" s="9">
        <v>1</v>
      </c>
      <c r="G21" s="59" t="b">
        <v>1</v>
      </c>
      <c r="H21" s="54" t="str">
        <f t="shared" si="2"/>
        <v>Residential</v>
      </c>
      <c r="I21" s="18" t="s">
        <v>154</v>
      </c>
      <c r="J21" s="18" t="s">
        <v>1089</v>
      </c>
      <c r="K21" s="18" t="s">
        <v>1472</v>
      </c>
      <c r="L21" s="24">
        <v>2018</v>
      </c>
      <c r="M21" s="30">
        <v>3466</v>
      </c>
      <c r="N21" s="19">
        <v>3466</v>
      </c>
      <c r="O21" s="19">
        <v>0</v>
      </c>
      <c r="P21" s="20" t="s">
        <v>869</v>
      </c>
      <c r="Q21" s="269">
        <v>0.14199999999999999</v>
      </c>
      <c r="R21" s="112">
        <v>1488.61800346</v>
      </c>
      <c r="S21" s="71" t="s">
        <v>1601</v>
      </c>
      <c r="T21" s="48">
        <f t="shared" si="3"/>
        <v>8.363654109576657E-2</v>
      </c>
      <c r="U21" s="21">
        <f t="shared" si="4"/>
        <v>8.3636541095766556E-2</v>
      </c>
      <c r="V21" s="49">
        <f t="shared" si="5"/>
        <v>0</v>
      </c>
      <c r="W21" s="2">
        <f t="shared" si="6"/>
        <v>0</v>
      </c>
    </row>
    <row r="22" spans="1:32" s="1" customFormat="1" ht="13.5" hidden="1" customHeight="1">
      <c r="A22" s="428" t="s">
        <v>570</v>
      </c>
      <c r="B22" s="9" t="str">
        <f t="shared" si="0"/>
        <v>RES_201301</v>
      </c>
      <c r="C22" s="9">
        <v>0</v>
      </c>
      <c r="D22" s="9">
        <v>0</v>
      </c>
      <c r="E22" s="9">
        <f t="shared" si="1"/>
        <v>1</v>
      </c>
      <c r="F22" s="9">
        <v>1</v>
      </c>
      <c r="G22" s="59" t="b">
        <v>1</v>
      </c>
      <c r="H22" s="54" t="str">
        <f t="shared" si="2"/>
        <v>Residential</v>
      </c>
      <c r="I22" s="18" t="s">
        <v>154</v>
      </c>
      <c r="J22" s="18" t="s">
        <v>1463</v>
      </c>
      <c r="K22" s="18" t="s">
        <v>1461</v>
      </c>
      <c r="L22" s="24">
        <v>2018</v>
      </c>
      <c r="M22" s="30">
        <v>0</v>
      </c>
      <c r="N22" s="19">
        <v>0</v>
      </c>
      <c r="O22" s="19">
        <v>0</v>
      </c>
      <c r="P22" s="20" t="s">
        <v>869</v>
      </c>
      <c r="Q22" s="269">
        <v>0</v>
      </c>
      <c r="R22" s="112">
        <v>0</v>
      </c>
      <c r="S22" s="71" t="s">
        <v>1601</v>
      </c>
      <c r="T22" s="48">
        <f t="shared" si="3"/>
        <v>0</v>
      </c>
      <c r="U22" s="21">
        <f t="shared" si="4"/>
        <v>0</v>
      </c>
      <c r="V22" s="49">
        <f t="shared" si="5"/>
        <v>0</v>
      </c>
      <c r="W22" s="2">
        <f t="shared" si="6"/>
        <v>0</v>
      </c>
    </row>
    <row r="23" spans="1:32" s="1" customFormat="1" ht="13.5" hidden="1" customHeight="1">
      <c r="A23" s="10" t="s">
        <v>582</v>
      </c>
      <c r="B23" s="9" t="str">
        <f t="shared" si="0"/>
        <v>RES_201301</v>
      </c>
      <c r="C23" s="9">
        <v>0</v>
      </c>
      <c r="D23" s="9">
        <v>0</v>
      </c>
      <c r="E23" s="9">
        <f t="shared" si="1"/>
        <v>1</v>
      </c>
      <c r="F23" s="9">
        <v>1</v>
      </c>
      <c r="G23" s="59" t="b">
        <v>1</v>
      </c>
      <c r="H23" s="54" t="str">
        <f t="shared" si="2"/>
        <v>Residential</v>
      </c>
      <c r="I23" s="18" t="s">
        <v>154</v>
      </c>
      <c r="J23" s="18" t="s">
        <v>1464</v>
      </c>
      <c r="K23" s="18" t="s">
        <v>1461</v>
      </c>
      <c r="L23" s="24">
        <v>2018</v>
      </c>
      <c r="M23" s="30">
        <v>0</v>
      </c>
      <c r="N23" s="19">
        <v>0</v>
      </c>
      <c r="O23" s="19">
        <v>0</v>
      </c>
      <c r="P23" s="20" t="s">
        <v>869</v>
      </c>
      <c r="Q23" s="269">
        <v>0</v>
      </c>
      <c r="R23" s="112">
        <v>0</v>
      </c>
      <c r="S23" s="71" t="s">
        <v>1601</v>
      </c>
      <c r="T23" s="48">
        <f t="shared" si="3"/>
        <v>0</v>
      </c>
      <c r="U23" s="21">
        <f t="shared" si="4"/>
        <v>0</v>
      </c>
      <c r="V23" s="49">
        <f t="shared" si="5"/>
        <v>0</v>
      </c>
      <c r="W23" s="2">
        <f t="shared" si="6"/>
        <v>0</v>
      </c>
    </row>
    <row r="24" spans="1:32" s="1" customFormat="1" ht="13.5" hidden="1" customHeight="1">
      <c r="A24" s="10" t="s">
        <v>1211</v>
      </c>
      <c r="B24" s="9" t="str">
        <f t="shared" si="0"/>
        <v>RES_201301</v>
      </c>
      <c r="C24" s="9">
        <v>0</v>
      </c>
      <c r="D24" s="9">
        <v>0</v>
      </c>
      <c r="E24" s="9">
        <f t="shared" si="1"/>
        <v>1</v>
      </c>
      <c r="F24" s="9">
        <v>1</v>
      </c>
      <c r="G24" s="59" t="b">
        <v>1</v>
      </c>
      <c r="H24" s="54" t="str">
        <f t="shared" si="2"/>
        <v>Residential</v>
      </c>
      <c r="I24" s="18" t="s">
        <v>154</v>
      </c>
      <c r="J24" s="18" t="s">
        <v>1487</v>
      </c>
      <c r="K24" s="18" t="s">
        <v>1472</v>
      </c>
      <c r="L24" s="24">
        <v>2018</v>
      </c>
      <c r="M24" s="30">
        <v>145</v>
      </c>
      <c r="N24" s="19">
        <v>2</v>
      </c>
      <c r="O24" s="19">
        <v>0</v>
      </c>
      <c r="P24" s="20" t="s">
        <v>869</v>
      </c>
      <c r="Q24" s="269">
        <v>0.14199999999999999</v>
      </c>
      <c r="R24" s="112">
        <v>991.37241379</v>
      </c>
      <c r="S24" s="71" t="s">
        <v>1601</v>
      </c>
      <c r="T24" s="48">
        <f t="shared" si="3"/>
        <v>2.3301778538739838E-3</v>
      </c>
      <c r="U24" s="21">
        <f t="shared" si="4"/>
        <v>3.2140384191365293E-5</v>
      </c>
      <c r="V24" s="49">
        <f t="shared" si="5"/>
        <v>2.2980374696826185E-3</v>
      </c>
      <c r="W24" s="2">
        <f t="shared" si="6"/>
        <v>143</v>
      </c>
    </row>
    <row r="25" spans="1:32" s="1" customFormat="1" ht="13.5" hidden="1" customHeight="1">
      <c r="A25" s="10" t="s">
        <v>594</v>
      </c>
      <c r="B25" s="9" t="str">
        <f t="shared" si="0"/>
        <v>RES_201301</v>
      </c>
      <c r="C25" s="9">
        <v>0</v>
      </c>
      <c r="D25" s="9">
        <v>0</v>
      </c>
      <c r="E25" s="9">
        <f t="shared" si="1"/>
        <v>1</v>
      </c>
      <c r="F25" s="9">
        <v>1</v>
      </c>
      <c r="G25" s="59" t="b">
        <v>1</v>
      </c>
      <c r="H25" s="54" t="str">
        <f t="shared" si="2"/>
        <v>Residential</v>
      </c>
      <c r="I25" s="18" t="s">
        <v>154</v>
      </c>
      <c r="J25" s="18" t="s">
        <v>1465</v>
      </c>
      <c r="K25" s="18" t="s">
        <v>1461</v>
      </c>
      <c r="L25" s="24">
        <v>2018</v>
      </c>
      <c r="M25" s="30">
        <v>0</v>
      </c>
      <c r="N25" s="19">
        <v>0</v>
      </c>
      <c r="O25" s="19">
        <v>0</v>
      </c>
      <c r="P25" s="20" t="s">
        <v>869</v>
      </c>
      <c r="Q25" s="269">
        <v>0</v>
      </c>
      <c r="R25" s="112">
        <v>0</v>
      </c>
      <c r="S25" s="71" t="s">
        <v>1601</v>
      </c>
      <c r="T25" s="48">
        <f t="shared" si="3"/>
        <v>0</v>
      </c>
      <c r="U25" s="21">
        <f t="shared" si="4"/>
        <v>0</v>
      </c>
      <c r="V25" s="49">
        <f t="shared" si="5"/>
        <v>0</v>
      </c>
      <c r="W25" s="2">
        <f t="shared" si="6"/>
        <v>0</v>
      </c>
    </row>
    <row r="26" spans="1:32" s="1" customFormat="1" ht="13.5" hidden="1" customHeight="1">
      <c r="A26" s="10" t="s">
        <v>1212</v>
      </c>
      <c r="B26" s="9" t="str">
        <f t="shared" si="0"/>
        <v>RES_201301</v>
      </c>
      <c r="C26" s="9">
        <v>0</v>
      </c>
      <c r="D26" s="9">
        <v>0</v>
      </c>
      <c r="E26" s="9">
        <f t="shared" si="1"/>
        <v>1</v>
      </c>
      <c r="F26" s="9">
        <v>1</v>
      </c>
      <c r="G26" s="59" t="b">
        <v>1</v>
      </c>
      <c r="H26" s="54" t="str">
        <f t="shared" si="2"/>
        <v>Residential</v>
      </c>
      <c r="I26" s="18" t="s">
        <v>154</v>
      </c>
      <c r="J26" s="18" t="s">
        <v>1632</v>
      </c>
      <c r="K26" s="18" t="s">
        <v>1472</v>
      </c>
      <c r="L26" s="24">
        <v>2018</v>
      </c>
      <c r="M26" s="30">
        <v>414</v>
      </c>
      <c r="N26" s="19">
        <v>414</v>
      </c>
      <c r="O26" s="19">
        <v>0</v>
      </c>
      <c r="P26" s="20" t="s">
        <v>869</v>
      </c>
      <c r="Q26" s="269">
        <v>0.14199999999999999</v>
      </c>
      <c r="R26" s="112">
        <v>2203.22705314</v>
      </c>
      <c r="S26" s="71" t="s">
        <v>1601</v>
      </c>
      <c r="T26" s="48">
        <f t="shared" si="3"/>
        <v>1.4785766210045013E-2</v>
      </c>
      <c r="U26" s="21">
        <f t="shared" si="4"/>
        <v>1.4785766210045013E-2</v>
      </c>
      <c r="V26" s="49">
        <f t="shared" si="5"/>
        <v>0</v>
      </c>
      <c r="W26" s="2">
        <f t="shared" si="6"/>
        <v>0</v>
      </c>
    </row>
    <row r="27" spans="1:32" s="1" customFormat="1" ht="13.5" hidden="1" customHeight="1">
      <c r="A27" s="10" t="s">
        <v>1213</v>
      </c>
      <c r="B27" s="9" t="str">
        <f t="shared" si="0"/>
        <v>RES_201301</v>
      </c>
      <c r="C27" s="9">
        <v>0</v>
      </c>
      <c r="D27" s="9">
        <v>0</v>
      </c>
      <c r="E27" s="9">
        <f t="shared" si="1"/>
        <v>1</v>
      </c>
      <c r="F27" s="9">
        <v>1</v>
      </c>
      <c r="G27" s="59" t="b">
        <v>1</v>
      </c>
      <c r="H27" s="54" t="str">
        <f t="shared" si="2"/>
        <v>Residential</v>
      </c>
      <c r="I27" s="18" t="s">
        <v>154</v>
      </c>
      <c r="J27" s="18" t="s">
        <v>1633</v>
      </c>
      <c r="K27" s="18" t="s">
        <v>1472</v>
      </c>
      <c r="L27" s="24">
        <v>2018</v>
      </c>
      <c r="M27" s="30">
        <v>0</v>
      </c>
      <c r="N27" s="19">
        <v>0</v>
      </c>
      <c r="O27" s="19">
        <v>0</v>
      </c>
      <c r="P27" s="20" t="s">
        <v>869</v>
      </c>
      <c r="Q27" s="269">
        <v>0</v>
      </c>
      <c r="R27" s="112">
        <v>0</v>
      </c>
      <c r="S27" s="71" t="s">
        <v>1601</v>
      </c>
      <c r="T27" s="48">
        <f t="shared" si="3"/>
        <v>0</v>
      </c>
      <c r="U27" s="21">
        <f t="shared" si="4"/>
        <v>0</v>
      </c>
      <c r="V27" s="49">
        <f t="shared" si="5"/>
        <v>0</v>
      </c>
      <c r="W27" s="2">
        <f t="shared" si="6"/>
        <v>0</v>
      </c>
    </row>
    <row r="28" spans="1:32" s="1" customFormat="1" ht="13.5" hidden="1" customHeight="1">
      <c r="A28" s="10" t="s">
        <v>1214</v>
      </c>
      <c r="B28" s="9" t="str">
        <f t="shared" si="0"/>
        <v>RES_201301</v>
      </c>
      <c r="C28" s="9">
        <v>0</v>
      </c>
      <c r="D28" s="9">
        <v>0</v>
      </c>
      <c r="E28" s="9">
        <f t="shared" si="1"/>
        <v>1</v>
      </c>
      <c r="F28" s="9">
        <v>1</v>
      </c>
      <c r="G28" s="59" t="b">
        <v>1</v>
      </c>
      <c r="H28" s="54" t="str">
        <f t="shared" si="2"/>
        <v>Residential</v>
      </c>
      <c r="I28" s="18" t="s">
        <v>154</v>
      </c>
      <c r="J28" s="18" t="s">
        <v>1634</v>
      </c>
      <c r="K28" s="18" t="s">
        <v>1472</v>
      </c>
      <c r="L28" s="24">
        <v>2018</v>
      </c>
      <c r="M28" s="30">
        <v>17</v>
      </c>
      <c r="N28" s="19">
        <v>0</v>
      </c>
      <c r="O28" s="19">
        <v>0</v>
      </c>
      <c r="P28" s="20" t="s">
        <v>869</v>
      </c>
      <c r="Q28" s="269">
        <v>0.14199999999999999</v>
      </c>
      <c r="R28" s="112">
        <v>4032.17647059</v>
      </c>
      <c r="S28" s="71" t="s">
        <v>1601</v>
      </c>
      <c r="T28" s="48">
        <f t="shared" si="3"/>
        <v>1.1111500000004861E-3</v>
      </c>
      <c r="U28" s="21">
        <f t="shared" si="4"/>
        <v>0</v>
      </c>
      <c r="V28" s="49">
        <f t="shared" si="5"/>
        <v>1.1111500000004861E-3</v>
      </c>
      <c r="W28" s="2">
        <f t="shared" si="6"/>
        <v>17</v>
      </c>
    </row>
    <row r="29" spans="1:32" s="1" customFormat="1" ht="13.5" hidden="1" customHeight="1">
      <c r="A29" s="10" t="s">
        <v>1215</v>
      </c>
      <c r="B29" s="9" t="str">
        <f t="shared" si="0"/>
        <v>RES_201301</v>
      </c>
      <c r="C29" s="9">
        <v>0</v>
      </c>
      <c r="D29" s="9">
        <v>0</v>
      </c>
      <c r="E29" s="9">
        <f t="shared" si="1"/>
        <v>1</v>
      </c>
      <c r="F29" s="9">
        <v>1</v>
      </c>
      <c r="G29" s="59" t="b">
        <v>1</v>
      </c>
      <c r="H29" s="54" t="str">
        <f t="shared" si="2"/>
        <v>Residential</v>
      </c>
      <c r="I29" s="18" t="s">
        <v>154</v>
      </c>
      <c r="J29" s="18" t="s">
        <v>1635</v>
      </c>
      <c r="K29" s="18" t="s">
        <v>1472</v>
      </c>
      <c r="L29" s="24">
        <v>2018</v>
      </c>
      <c r="M29" s="30">
        <v>359</v>
      </c>
      <c r="N29" s="19">
        <v>333</v>
      </c>
      <c r="O29" s="19">
        <v>0</v>
      </c>
      <c r="P29" s="20" t="s">
        <v>869</v>
      </c>
      <c r="Q29" s="269">
        <v>0.14199999999999999</v>
      </c>
      <c r="R29" s="112">
        <v>856.62674095</v>
      </c>
      <c r="S29" s="71" t="s">
        <v>1601</v>
      </c>
      <c r="T29" s="48">
        <f t="shared" si="3"/>
        <v>4.9850591324371108E-3</v>
      </c>
      <c r="U29" s="21">
        <f t="shared" si="4"/>
        <v>4.6240242091965403E-3</v>
      </c>
      <c r="V29" s="49">
        <f t="shared" si="5"/>
        <v>3.6103492324057046E-4</v>
      </c>
      <c r="W29" s="2">
        <f t="shared" si="6"/>
        <v>26</v>
      </c>
    </row>
    <row r="30" spans="1:32" s="1" customFormat="1" ht="13.5" hidden="1" customHeight="1">
      <c r="A30" s="10" t="s">
        <v>709</v>
      </c>
      <c r="B30" s="9" t="str">
        <f t="shared" si="0"/>
        <v>Res_201301</v>
      </c>
      <c r="C30" s="9">
        <v>0</v>
      </c>
      <c r="D30" s="9">
        <v>0</v>
      </c>
      <c r="E30" s="9">
        <f t="shared" si="1"/>
        <v>1</v>
      </c>
      <c r="F30" s="9">
        <v>1</v>
      </c>
      <c r="G30" s="59" t="b">
        <v>1</v>
      </c>
      <c r="H30" s="54" t="str">
        <f t="shared" si="2"/>
        <v>Residential</v>
      </c>
      <c r="I30" s="18" t="s">
        <v>154</v>
      </c>
      <c r="J30" s="18" t="s">
        <v>1481</v>
      </c>
      <c r="K30" s="18" t="s">
        <v>1472</v>
      </c>
      <c r="L30" s="24">
        <v>2018</v>
      </c>
      <c r="M30" s="30">
        <v>1401</v>
      </c>
      <c r="N30" s="19">
        <v>268</v>
      </c>
      <c r="O30" s="19">
        <v>0</v>
      </c>
      <c r="P30" s="20" t="s">
        <v>869</v>
      </c>
      <c r="Q30" s="269">
        <v>0.14199999999999999</v>
      </c>
      <c r="R30" s="112">
        <v>2696.6331191999998</v>
      </c>
      <c r="S30" s="71" t="s">
        <v>1601</v>
      </c>
      <c r="T30" s="48">
        <f t="shared" si="3"/>
        <v>6.1241276940626289E-2</v>
      </c>
      <c r="U30" s="21">
        <f t="shared" si="4"/>
        <v>1.1714962326972053E-2</v>
      </c>
      <c r="V30" s="49">
        <f t="shared" si="5"/>
        <v>4.952631461365424E-2</v>
      </c>
      <c r="W30" s="2">
        <f t="shared" si="6"/>
        <v>1133</v>
      </c>
    </row>
    <row r="31" spans="1:32" s="1" customFormat="1" ht="13.5" hidden="1" customHeight="1">
      <c r="A31" s="10" t="s">
        <v>618</v>
      </c>
      <c r="B31" s="9" t="str">
        <f t="shared" si="0"/>
        <v>RES_201301</v>
      </c>
      <c r="C31" s="9">
        <v>0</v>
      </c>
      <c r="D31" s="9">
        <v>0</v>
      </c>
      <c r="E31" s="9">
        <f t="shared" si="1"/>
        <v>1</v>
      </c>
      <c r="F31" s="9">
        <v>1</v>
      </c>
      <c r="G31" s="59" t="b">
        <v>1</v>
      </c>
      <c r="H31" s="54" t="str">
        <f t="shared" si="2"/>
        <v>Residential</v>
      </c>
      <c r="I31" s="18" t="s">
        <v>154</v>
      </c>
      <c r="J31" s="18" t="s">
        <v>1460</v>
      </c>
      <c r="K31" s="18" t="s">
        <v>1461</v>
      </c>
      <c r="L31" s="24">
        <v>2018</v>
      </c>
      <c r="M31" s="30">
        <v>0</v>
      </c>
      <c r="N31" s="19">
        <v>0</v>
      </c>
      <c r="O31" s="19">
        <v>0</v>
      </c>
      <c r="P31" s="20" t="s">
        <v>869</v>
      </c>
      <c r="Q31" s="269">
        <v>0</v>
      </c>
      <c r="R31" s="112">
        <v>0</v>
      </c>
      <c r="S31" s="71" t="s">
        <v>1601</v>
      </c>
      <c r="T31" s="48">
        <f t="shared" si="3"/>
        <v>0</v>
      </c>
      <c r="U31" s="273">
        <f t="shared" si="4"/>
        <v>0</v>
      </c>
      <c r="V31" s="49">
        <f t="shared" si="5"/>
        <v>0</v>
      </c>
      <c r="W31" s="2">
        <f t="shared" si="6"/>
        <v>0</v>
      </c>
    </row>
    <row r="32" spans="1:32" s="1" customFormat="1" ht="13.5" hidden="1" customHeight="1">
      <c r="A32" s="10" t="s">
        <v>1216</v>
      </c>
      <c r="B32" s="9" t="str">
        <f t="shared" si="0"/>
        <v>RES_201301</v>
      </c>
      <c r="C32" s="9">
        <v>0</v>
      </c>
      <c r="D32" s="9">
        <v>0</v>
      </c>
      <c r="E32" s="9">
        <f t="shared" si="1"/>
        <v>1</v>
      </c>
      <c r="F32" s="9">
        <v>1</v>
      </c>
      <c r="G32" s="59" t="b">
        <v>1</v>
      </c>
      <c r="H32" s="54" t="str">
        <f t="shared" si="2"/>
        <v>Residential</v>
      </c>
      <c r="I32" s="18" t="s">
        <v>154</v>
      </c>
      <c r="J32" s="18" t="s">
        <v>1486</v>
      </c>
      <c r="K32" s="18" t="s">
        <v>1472</v>
      </c>
      <c r="L32" s="24">
        <v>2018</v>
      </c>
      <c r="M32" s="30">
        <v>301</v>
      </c>
      <c r="N32" s="19">
        <v>0</v>
      </c>
      <c r="O32" s="19">
        <v>0</v>
      </c>
      <c r="P32" s="20" t="s">
        <v>869</v>
      </c>
      <c r="Q32" s="269">
        <v>0.14199999999999999</v>
      </c>
      <c r="R32" s="112">
        <v>1661.28571429</v>
      </c>
      <c r="S32" s="71" t="s">
        <v>1601</v>
      </c>
      <c r="T32" s="48">
        <f t="shared" si="3"/>
        <v>8.1057847032172583E-3</v>
      </c>
      <c r="U32" s="21">
        <f t="shared" si="4"/>
        <v>0</v>
      </c>
      <c r="V32" s="49">
        <f t="shared" si="5"/>
        <v>8.1057847032172583E-3</v>
      </c>
      <c r="W32" s="2">
        <f t="shared" si="6"/>
        <v>301</v>
      </c>
    </row>
    <row r="33" spans="1:32" s="1" customFormat="1" ht="13.5" hidden="1" customHeight="1">
      <c r="A33" s="8" t="s">
        <v>59</v>
      </c>
      <c r="B33" s="9" t="str">
        <f t="shared" si="0"/>
        <v>RES_201301</v>
      </c>
      <c r="C33" s="9">
        <v>0</v>
      </c>
      <c r="D33" s="9">
        <v>0</v>
      </c>
      <c r="E33" s="9">
        <f t="shared" si="1"/>
        <v>1</v>
      </c>
      <c r="F33" s="9">
        <v>1</v>
      </c>
      <c r="G33" s="59" t="b">
        <v>1</v>
      </c>
      <c r="H33" s="54" t="str">
        <f t="shared" si="2"/>
        <v>Residential</v>
      </c>
      <c r="I33" s="18" t="s">
        <v>154</v>
      </c>
      <c r="J33" s="18" t="s">
        <v>460</v>
      </c>
      <c r="K33" s="18" t="s">
        <v>514</v>
      </c>
      <c r="L33" s="24">
        <v>2019</v>
      </c>
      <c r="M33" s="30">
        <v>0</v>
      </c>
      <c r="N33" s="19">
        <v>0</v>
      </c>
      <c r="O33" s="19">
        <v>0</v>
      </c>
      <c r="P33" s="20" t="s">
        <v>869</v>
      </c>
      <c r="Q33" s="269">
        <v>0</v>
      </c>
      <c r="R33" s="112">
        <v>710</v>
      </c>
      <c r="S33" s="71" t="s">
        <v>1601</v>
      </c>
      <c r="T33" s="48">
        <f t="shared" si="3"/>
        <v>0</v>
      </c>
      <c r="U33" s="21">
        <f t="shared" si="4"/>
        <v>0</v>
      </c>
      <c r="V33" s="49">
        <f t="shared" si="5"/>
        <v>0</v>
      </c>
    </row>
    <row r="34" spans="1:32" s="2" customFormat="1" ht="13.5" hidden="1" customHeight="1">
      <c r="A34" s="8" t="s">
        <v>60</v>
      </c>
      <c r="B34" s="9" t="str">
        <f t="shared" si="0"/>
        <v>RES_201301</v>
      </c>
      <c r="C34" s="9">
        <v>0</v>
      </c>
      <c r="D34" s="9">
        <v>0</v>
      </c>
      <c r="E34" s="9">
        <f t="shared" si="1"/>
        <v>1</v>
      </c>
      <c r="F34" s="9">
        <v>1</v>
      </c>
      <c r="G34" s="59" t="b">
        <v>1</v>
      </c>
      <c r="H34" s="54" t="str">
        <f t="shared" si="2"/>
        <v>Residential</v>
      </c>
      <c r="I34" s="18" t="s">
        <v>154</v>
      </c>
      <c r="J34" s="18" t="s">
        <v>479</v>
      </c>
      <c r="K34" s="18" t="s">
        <v>514</v>
      </c>
      <c r="L34" s="24">
        <v>2019</v>
      </c>
      <c r="M34" s="30">
        <v>0</v>
      </c>
      <c r="N34" s="19">
        <v>0</v>
      </c>
      <c r="O34" s="19">
        <v>0</v>
      </c>
      <c r="P34" s="20" t="s">
        <v>869</v>
      </c>
      <c r="Q34" s="269">
        <v>0</v>
      </c>
      <c r="R34" s="112">
        <v>388</v>
      </c>
      <c r="S34" s="71" t="s">
        <v>1601</v>
      </c>
      <c r="T34" s="48">
        <f t="shared" si="3"/>
        <v>0</v>
      </c>
      <c r="U34" s="21">
        <f t="shared" si="4"/>
        <v>0</v>
      </c>
      <c r="V34" s="49">
        <f t="shared" si="5"/>
        <v>0</v>
      </c>
      <c r="W34" s="1"/>
      <c r="X34" s="1"/>
      <c r="Y34" s="1"/>
      <c r="Z34" s="1"/>
      <c r="AA34" s="1"/>
      <c r="AB34" s="1"/>
      <c r="AC34" s="1"/>
      <c r="AD34" s="1"/>
      <c r="AE34" s="1"/>
      <c r="AF34" s="1"/>
    </row>
    <row r="35" spans="1:32" s="2" customFormat="1" ht="13.5" hidden="1" customHeight="1">
      <c r="A35" s="8" t="s">
        <v>69</v>
      </c>
      <c r="B35" s="9" t="str">
        <f t="shared" si="0"/>
        <v>RES_201301</v>
      </c>
      <c r="C35" s="9">
        <v>0</v>
      </c>
      <c r="D35" s="9">
        <v>0</v>
      </c>
      <c r="E35" s="9">
        <f t="shared" si="1"/>
        <v>1</v>
      </c>
      <c r="F35" s="9">
        <v>1</v>
      </c>
      <c r="G35" s="59" t="b">
        <v>1</v>
      </c>
      <c r="H35" s="54" t="str">
        <f t="shared" si="2"/>
        <v>Residential</v>
      </c>
      <c r="I35" s="18" t="s">
        <v>154</v>
      </c>
      <c r="J35" s="18" t="s">
        <v>446</v>
      </c>
      <c r="K35" s="18" t="s">
        <v>514</v>
      </c>
      <c r="L35" s="24">
        <v>2019</v>
      </c>
      <c r="M35" s="30">
        <v>0</v>
      </c>
      <c r="N35" s="19">
        <v>0</v>
      </c>
      <c r="O35" s="19">
        <v>0</v>
      </c>
      <c r="P35" s="20" t="s">
        <v>869</v>
      </c>
      <c r="Q35" s="269">
        <v>0</v>
      </c>
      <c r="R35" s="112">
        <v>685</v>
      </c>
      <c r="S35" s="71" t="s">
        <v>1601</v>
      </c>
      <c r="T35" s="48">
        <f t="shared" si="3"/>
        <v>0</v>
      </c>
      <c r="U35" s="21">
        <f t="shared" si="4"/>
        <v>0</v>
      </c>
      <c r="V35" s="49">
        <f t="shared" si="5"/>
        <v>0</v>
      </c>
      <c r="W35" s="1"/>
      <c r="X35" s="1"/>
      <c r="Y35" s="1"/>
      <c r="Z35" s="1"/>
      <c r="AA35" s="1"/>
      <c r="AB35" s="1"/>
      <c r="AC35" s="1"/>
      <c r="AD35" s="1"/>
      <c r="AE35" s="1"/>
      <c r="AF35" s="1"/>
    </row>
    <row r="36" spans="1:32" s="1" customFormat="1" ht="13.5" hidden="1" customHeight="1">
      <c r="A36" s="8" t="s">
        <v>70</v>
      </c>
      <c r="B36" s="9" t="str">
        <f t="shared" si="0"/>
        <v>RES_201301</v>
      </c>
      <c r="C36" s="9">
        <v>0</v>
      </c>
      <c r="D36" s="9">
        <v>0</v>
      </c>
      <c r="E36" s="9">
        <f t="shared" si="1"/>
        <v>1</v>
      </c>
      <c r="F36" s="9">
        <v>1</v>
      </c>
      <c r="G36" s="59" t="b">
        <v>1</v>
      </c>
      <c r="H36" s="54" t="str">
        <f t="shared" si="2"/>
        <v>Residential</v>
      </c>
      <c r="I36" s="18" t="s">
        <v>154</v>
      </c>
      <c r="J36" s="18" t="s">
        <v>454</v>
      </c>
      <c r="K36" s="18" t="s">
        <v>514</v>
      </c>
      <c r="L36" s="24">
        <v>2019</v>
      </c>
      <c r="M36" s="30">
        <v>0</v>
      </c>
      <c r="N36" s="19">
        <v>0</v>
      </c>
      <c r="O36" s="19">
        <v>0</v>
      </c>
      <c r="P36" s="20" t="s">
        <v>869</v>
      </c>
      <c r="Q36" s="269">
        <v>0</v>
      </c>
      <c r="R36" s="112">
        <v>486</v>
      </c>
      <c r="S36" s="71" t="s">
        <v>1601</v>
      </c>
      <c r="T36" s="48">
        <f t="shared" si="3"/>
        <v>0</v>
      </c>
      <c r="U36" s="21">
        <f t="shared" si="4"/>
        <v>0</v>
      </c>
      <c r="V36" s="49">
        <f t="shared" si="5"/>
        <v>0</v>
      </c>
    </row>
    <row r="37" spans="1:32" s="1" customFormat="1" ht="13.5" hidden="1" customHeight="1">
      <c r="A37" s="8" t="s">
        <v>76</v>
      </c>
      <c r="B37" s="9" t="str">
        <f t="shared" si="0"/>
        <v>RES_201301</v>
      </c>
      <c r="C37" s="9">
        <v>0</v>
      </c>
      <c r="D37" s="9">
        <v>0</v>
      </c>
      <c r="E37" s="9">
        <f t="shared" si="1"/>
        <v>1</v>
      </c>
      <c r="F37" s="9">
        <v>1</v>
      </c>
      <c r="G37" s="59" t="b">
        <v>1</v>
      </c>
      <c r="H37" s="54" t="str">
        <f t="shared" si="2"/>
        <v>Residential</v>
      </c>
      <c r="I37" s="18" t="s">
        <v>154</v>
      </c>
      <c r="J37" s="18" t="s">
        <v>1476</v>
      </c>
      <c r="K37" s="18" t="s">
        <v>1472</v>
      </c>
      <c r="L37" s="24">
        <v>2019</v>
      </c>
      <c r="M37" s="30">
        <v>1200</v>
      </c>
      <c r="N37" s="19">
        <v>144</v>
      </c>
      <c r="O37" s="19">
        <v>0</v>
      </c>
      <c r="P37" s="20" t="s">
        <v>869</v>
      </c>
      <c r="Q37" s="269">
        <v>0.14199999999999999</v>
      </c>
      <c r="R37" s="112">
        <v>800</v>
      </c>
      <c r="S37" s="71" t="s">
        <v>1601</v>
      </c>
      <c r="T37" s="48">
        <f t="shared" si="3"/>
        <v>1.5561643835616435E-2</v>
      </c>
      <c r="U37" s="21">
        <f t="shared" si="4"/>
        <v>1.8673972602739723E-3</v>
      </c>
      <c r="V37" s="49">
        <f t="shared" si="5"/>
        <v>1.3694246575342463E-2</v>
      </c>
    </row>
    <row r="38" spans="1:32" s="1" customFormat="1" ht="13.5" hidden="1" customHeight="1">
      <c r="A38" s="8" t="s">
        <v>77</v>
      </c>
      <c r="B38" s="9" t="str">
        <f t="shared" ref="B38:B59" si="7">LEFT(A38,10)</f>
        <v>RES_201301</v>
      </c>
      <c r="C38" s="9">
        <v>0</v>
      </c>
      <c r="D38" s="9">
        <v>0</v>
      </c>
      <c r="E38" s="9">
        <f t="shared" ref="E38:E69" si="8">COUNTIFS($A:$A,A38,$L:$L,L38)</f>
        <v>1</v>
      </c>
      <c r="F38" s="9">
        <v>1</v>
      </c>
      <c r="G38" s="59" t="b">
        <v>1</v>
      </c>
      <c r="H38" s="54" t="str">
        <f t="shared" ref="H38:H101" si="9">IF(LEFT(A38,3)="Res","Residential",IF(LEFT(A38,3)="Ind","industrial",IF(LEFT(A38,3)="Com","Commercial",IF(LEFT(A38,3)="AGR","Agriculture",""))))</f>
        <v>Residential</v>
      </c>
      <c r="I38" s="18" t="s">
        <v>154</v>
      </c>
      <c r="J38" s="18" t="s">
        <v>1477</v>
      </c>
      <c r="K38" s="18" t="s">
        <v>1472</v>
      </c>
      <c r="L38" s="24">
        <v>2019</v>
      </c>
      <c r="M38" s="30">
        <v>1260</v>
      </c>
      <c r="N38" s="19">
        <v>0</v>
      </c>
      <c r="O38" s="19">
        <v>0</v>
      </c>
      <c r="P38" s="20" t="s">
        <v>869</v>
      </c>
      <c r="Q38" s="269">
        <v>0.14199999999999999</v>
      </c>
      <c r="R38" s="112">
        <v>2641</v>
      </c>
      <c r="S38" s="71" t="s">
        <v>1601</v>
      </c>
      <c r="T38" s="48">
        <f t="shared" ref="T38:T59" si="10">(M38-O38)*Q38*R38/8760000</f>
        <v>5.3941520547945203E-2</v>
      </c>
      <c r="U38" s="21">
        <f t="shared" ref="U38:U59" si="11">IFERROR((N38-O38/M38*N38)*Q38*R38/8760/1000,0)</f>
        <v>0</v>
      </c>
      <c r="V38" s="49">
        <f t="shared" ref="V38:V59" si="12">T38-U38</f>
        <v>5.3941520547945203E-2</v>
      </c>
    </row>
    <row r="39" spans="1:32" s="1" customFormat="1" ht="13.5" hidden="1" customHeight="1">
      <c r="A39" s="8" t="s">
        <v>78</v>
      </c>
      <c r="B39" s="9" t="str">
        <f t="shared" si="7"/>
        <v>RES_201301</v>
      </c>
      <c r="C39" s="9">
        <v>0</v>
      </c>
      <c r="D39" s="9">
        <v>0</v>
      </c>
      <c r="E39" s="9">
        <f t="shared" si="8"/>
        <v>1</v>
      </c>
      <c r="F39" s="9">
        <v>1</v>
      </c>
      <c r="G39" s="59" t="b">
        <v>1</v>
      </c>
      <c r="H39" s="54" t="str">
        <f t="shared" si="9"/>
        <v>Residential</v>
      </c>
      <c r="I39" s="18" t="s">
        <v>154</v>
      </c>
      <c r="J39" s="18" t="s">
        <v>1478</v>
      </c>
      <c r="K39" s="18" t="s">
        <v>1472</v>
      </c>
      <c r="L39" s="24">
        <v>2019</v>
      </c>
      <c r="M39" s="30">
        <v>94</v>
      </c>
      <c r="N39" s="19">
        <v>0</v>
      </c>
      <c r="O39" s="19">
        <v>0</v>
      </c>
      <c r="P39" s="20" t="s">
        <v>869</v>
      </c>
      <c r="Q39" s="269">
        <v>0.14199999999999999</v>
      </c>
      <c r="R39" s="112">
        <v>1763</v>
      </c>
      <c r="S39" s="71" t="s">
        <v>1601</v>
      </c>
      <c r="T39" s="48">
        <f t="shared" si="10"/>
        <v>2.6863611872146114E-3</v>
      </c>
      <c r="U39" s="21">
        <f t="shared" si="11"/>
        <v>0</v>
      </c>
      <c r="V39" s="49">
        <f t="shared" si="12"/>
        <v>2.6863611872146114E-3</v>
      </c>
    </row>
    <row r="40" spans="1:32" s="1" customFormat="1" ht="13.5" hidden="1" customHeight="1">
      <c r="A40" s="8" t="s">
        <v>79</v>
      </c>
      <c r="B40" s="9" t="str">
        <f t="shared" si="7"/>
        <v>RES_201301</v>
      </c>
      <c r="C40" s="9">
        <v>0</v>
      </c>
      <c r="D40" s="9">
        <v>0</v>
      </c>
      <c r="E40" s="9">
        <f t="shared" si="8"/>
        <v>1</v>
      </c>
      <c r="F40" s="9">
        <v>1</v>
      </c>
      <c r="G40" s="59" t="b">
        <v>1</v>
      </c>
      <c r="H40" s="54" t="str">
        <f t="shared" si="9"/>
        <v>Residential</v>
      </c>
      <c r="I40" s="18" t="s">
        <v>154</v>
      </c>
      <c r="J40" s="18" t="s">
        <v>1479</v>
      </c>
      <c r="K40" s="18" t="s">
        <v>1472</v>
      </c>
      <c r="L40" s="24">
        <v>2019</v>
      </c>
      <c r="M40" s="30">
        <v>75</v>
      </c>
      <c r="N40" s="19">
        <v>2</v>
      </c>
      <c r="O40" s="19">
        <v>0</v>
      </c>
      <c r="P40" s="20" t="s">
        <v>869</v>
      </c>
      <c r="Q40" s="269">
        <v>0.14199999999999999</v>
      </c>
      <c r="R40" s="112">
        <v>437</v>
      </c>
      <c r="S40" s="71" t="s">
        <v>1601</v>
      </c>
      <c r="T40" s="48">
        <f t="shared" si="10"/>
        <v>5.3128424657534242E-4</v>
      </c>
      <c r="U40" s="21">
        <f t="shared" si="11"/>
        <v>1.4167579908675798E-5</v>
      </c>
      <c r="V40" s="274">
        <f t="shared" si="12"/>
        <v>5.1711666666666661E-4</v>
      </c>
    </row>
    <row r="41" spans="1:32" s="1" customFormat="1" ht="13.5" hidden="1" customHeight="1">
      <c r="A41" s="8" t="s">
        <v>80</v>
      </c>
      <c r="B41" s="9" t="str">
        <f t="shared" si="7"/>
        <v>RES_201301</v>
      </c>
      <c r="C41" s="9">
        <v>0</v>
      </c>
      <c r="D41" s="9">
        <v>0</v>
      </c>
      <c r="E41" s="9">
        <f t="shared" si="8"/>
        <v>1</v>
      </c>
      <c r="F41" s="9">
        <v>1</v>
      </c>
      <c r="G41" s="59" t="b">
        <v>1</v>
      </c>
      <c r="H41" s="54" t="str">
        <f t="shared" si="9"/>
        <v>Residential</v>
      </c>
      <c r="I41" s="18" t="s">
        <v>154</v>
      </c>
      <c r="J41" s="18" t="s">
        <v>1480</v>
      </c>
      <c r="K41" s="18" t="s">
        <v>1472</v>
      </c>
      <c r="L41" s="24">
        <v>2019</v>
      </c>
      <c r="M41" s="30">
        <v>1074</v>
      </c>
      <c r="N41" s="19">
        <v>107.4</v>
      </c>
      <c r="O41" s="19">
        <v>0</v>
      </c>
      <c r="P41" s="20" t="s">
        <v>869</v>
      </c>
      <c r="Q41" s="269">
        <v>0.14199999999999999</v>
      </c>
      <c r="R41" s="112">
        <v>800</v>
      </c>
      <c r="S41" s="71" t="s">
        <v>1601</v>
      </c>
      <c r="T41" s="48">
        <f t="shared" si="10"/>
        <v>1.392767123287671E-2</v>
      </c>
      <c r="U41" s="21">
        <f t="shared" si="11"/>
        <v>1.3927671232876714E-3</v>
      </c>
      <c r="V41" s="49">
        <f t="shared" si="12"/>
        <v>1.2534904109589039E-2</v>
      </c>
    </row>
    <row r="42" spans="1:32" s="1" customFormat="1" ht="13.5" hidden="1" customHeight="1">
      <c r="A42" s="8" t="s">
        <v>81</v>
      </c>
      <c r="B42" s="9" t="str">
        <f t="shared" si="7"/>
        <v>RES_201301</v>
      </c>
      <c r="C42" s="9">
        <v>0</v>
      </c>
      <c r="D42" s="9">
        <v>0</v>
      </c>
      <c r="E42" s="9">
        <f t="shared" si="8"/>
        <v>1</v>
      </c>
      <c r="F42" s="9">
        <v>1</v>
      </c>
      <c r="G42" s="59" t="b">
        <v>1</v>
      </c>
      <c r="H42" s="54" t="str">
        <f t="shared" si="9"/>
        <v>Residential</v>
      </c>
      <c r="I42" s="18" t="s">
        <v>154</v>
      </c>
      <c r="J42" s="18" t="s">
        <v>1471</v>
      </c>
      <c r="K42" s="18" t="s">
        <v>1472</v>
      </c>
      <c r="L42" s="24">
        <v>2019</v>
      </c>
      <c r="M42" s="30">
        <v>9</v>
      </c>
      <c r="N42" s="19">
        <v>0</v>
      </c>
      <c r="O42" s="19">
        <v>0</v>
      </c>
      <c r="P42" s="20" t="s">
        <v>869</v>
      </c>
      <c r="Q42" s="269">
        <v>0.14199999999999999</v>
      </c>
      <c r="R42" s="112">
        <v>0</v>
      </c>
      <c r="S42" s="71" t="s">
        <v>1601</v>
      </c>
      <c r="T42" s="48">
        <f t="shared" si="10"/>
        <v>0</v>
      </c>
      <c r="U42" s="21">
        <f t="shared" si="11"/>
        <v>0</v>
      </c>
      <c r="V42" s="49">
        <f t="shared" si="12"/>
        <v>0</v>
      </c>
    </row>
    <row r="43" spans="1:32" s="1" customFormat="1" ht="13.5" hidden="1" customHeight="1">
      <c r="A43" s="8" t="s">
        <v>82</v>
      </c>
      <c r="B43" s="9" t="str">
        <f t="shared" si="7"/>
        <v>RES_201301</v>
      </c>
      <c r="C43" s="9">
        <v>0</v>
      </c>
      <c r="D43" s="9">
        <v>0</v>
      </c>
      <c r="E43" s="9">
        <f t="shared" si="8"/>
        <v>1</v>
      </c>
      <c r="F43" s="9">
        <v>1</v>
      </c>
      <c r="G43" s="59" t="b">
        <v>1</v>
      </c>
      <c r="H43" s="54" t="str">
        <f t="shared" si="9"/>
        <v>Residential</v>
      </c>
      <c r="I43" s="18" t="s">
        <v>154</v>
      </c>
      <c r="J43" s="18" t="s">
        <v>1473</v>
      </c>
      <c r="K43" s="18" t="s">
        <v>1472</v>
      </c>
      <c r="L43" s="24">
        <v>2019</v>
      </c>
      <c r="M43" s="30">
        <v>0</v>
      </c>
      <c r="N43" s="19">
        <v>0</v>
      </c>
      <c r="O43" s="19">
        <v>0</v>
      </c>
      <c r="P43" s="20" t="s">
        <v>869</v>
      </c>
      <c r="Q43" s="269">
        <v>0</v>
      </c>
      <c r="R43" s="112">
        <v>0</v>
      </c>
      <c r="S43" s="71" t="s">
        <v>1601</v>
      </c>
      <c r="T43" s="48">
        <f t="shared" si="10"/>
        <v>0</v>
      </c>
      <c r="U43" s="21">
        <f t="shared" si="11"/>
        <v>0</v>
      </c>
      <c r="V43" s="49">
        <f t="shared" si="12"/>
        <v>0</v>
      </c>
    </row>
    <row r="44" spans="1:32" s="1" customFormat="1" ht="13.5" hidden="1" customHeight="1">
      <c r="A44" s="8" t="s">
        <v>83</v>
      </c>
      <c r="B44" s="9" t="str">
        <f t="shared" si="7"/>
        <v>RES_201301</v>
      </c>
      <c r="C44" s="9">
        <v>0</v>
      </c>
      <c r="D44" s="9">
        <v>0</v>
      </c>
      <c r="E44" s="9">
        <f t="shared" si="8"/>
        <v>1</v>
      </c>
      <c r="F44" s="9">
        <v>1</v>
      </c>
      <c r="G44" s="59" t="b">
        <v>1</v>
      </c>
      <c r="H44" s="54" t="str">
        <f t="shared" si="9"/>
        <v>Residential</v>
      </c>
      <c r="I44" s="18" t="s">
        <v>154</v>
      </c>
      <c r="J44" s="18" t="s">
        <v>1474</v>
      </c>
      <c r="K44" s="18" t="s">
        <v>1472</v>
      </c>
      <c r="L44" s="24">
        <v>2019</v>
      </c>
      <c r="M44" s="30">
        <v>0</v>
      </c>
      <c r="N44" s="19">
        <v>0</v>
      </c>
      <c r="O44" s="19">
        <v>0</v>
      </c>
      <c r="P44" s="20" t="s">
        <v>869</v>
      </c>
      <c r="Q44" s="269">
        <v>0</v>
      </c>
      <c r="R44" s="112">
        <v>0</v>
      </c>
      <c r="S44" s="71" t="s">
        <v>1601</v>
      </c>
      <c r="T44" s="48">
        <f t="shared" si="10"/>
        <v>0</v>
      </c>
      <c r="U44" s="21">
        <f t="shared" si="11"/>
        <v>0</v>
      </c>
      <c r="V44" s="49">
        <f t="shared" si="12"/>
        <v>0</v>
      </c>
    </row>
    <row r="45" spans="1:32" s="1" customFormat="1" ht="13.5" hidden="1" customHeight="1">
      <c r="A45" s="8" t="s">
        <v>84</v>
      </c>
      <c r="B45" s="9" t="str">
        <f t="shared" si="7"/>
        <v>RES_201301</v>
      </c>
      <c r="C45" s="9">
        <v>0</v>
      </c>
      <c r="D45" s="9">
        <v>0</v>
      </c>
      <c r="E45" s="9">
        <f t="shared" si="8"/>
        <v>1</v>
      </c>
      <c r="F45" s="9">
        <v>1</v>
      </c>
      <c r="G45" s="59" t="b">
        <v>1</v>
      </c>
      <c r="H45" s="54" t="str">
        <f t="shared" si="9"/>
        <v>Residential</v>
      </c>
      <c r="I45" s="18" t="s">
        <v>154</v>
      </c>
      <c r="J45" s="18" t="s">
        <v>1475</v>
      </c>
      <c r="K45" s="18" t="s">
        <v>1472</v>
      </c>
      <c r="L45" s="24">
        <v>2019</v>
      </c>
      <c r="M45" s="30">
        <v>86</v>
      </c>
      <c r="N45" s="19">
        <v>0</v>
      </c>
      <c r="O45" s="19">
        <v>0</v>
      </c>
      <c r="P45" s="20" t="s">
        <v>869</v>
      </c>
      <c r="Q45" s="269">
        <v>0.14199999999999999</v>
      </c>
      <c r="R45" s="112">
        <v>0</v>
      </c>
      <c r="S45" s="71" t="s">
        <v>1601</v>
      </c>
      <c r="T45" s="48">
        <f t="shared" si="10"/>
        <v>0</v>
      </c>
      <c r="U45" s="21">
        <f t="shared" si="11"/>
        <v>0</v>
      </c>
      <c r="V45" s="49">
        <f t="shared" si="12"/>
        <v>0</v>
      </c>
    </row>
    <row r="46" spans="1:32" s="1" customFormat="1" ht="13.5" hidden="1" customHeight="1">
      <c r="A46" s="8" t="s">
        <v>118</v>
      </c>
      <c r="B46" s="9" t="str">
        <f t="shared" si="7"/>
        <v>RES_201301</v>
      </c>
      <c r="C46" s="9">
        <v>0</v>
      </c>
      <c r="D46" s="9">
        <v>0</v>
      </c>
      <c r="E46" s="9">
        <f t="shared" si="8"/>
        <v>1</v>
      </c>
      <c r="F46" s="9">
        <v>1</v>
      </c>
      <c r="G46" s="59" t="b">
        <v>1</v>
      </c>
      <c r="H46" s="54" t="str">
        <f t="shared" si="9"/>
        <v>Residential</v>
      </c>
      <c r="I46" s="18" t="s">
        <v>154</v>
      </c>
      <c r="J46" s="18" t="s">
        <v>706</v>
      </c>
      <c r="K46" s="18" t="s">
        <v>1461</v>
      </c>
      <c r="L46" s="24">
        <v>2019</v>
      </c>
      <c r="M46" s="30">
        <v>0</v>
      </c>
      <c r="N46" s="19">
        <v>0</v>
      </c>
      <c r="O46" s="19">
        <v>0</v>
      </c>
      <c r="P46" s="20" t="s">
        <v>869</v>
      </c>
      <c r="Q46" s="269">
        <v>0</v>
      </c>
      <c r="R46" s="112">
        <v>506</v>
      </c>
      <c r="S46" s="71" t="s">
        <v>1601</v>
      </c>
      <c r="T46" s="48">
        <f t="shared" si="10"/>
        <v>0</v>
      </c>
      <c r="U46" s="21">
        <f t="shared" si="11"/>
        <v>0</v>
      </c>
      <c r="V46" s="49">
        <f t="shared" si="12"/>
        <v>0</v>
      </c>
      <c r="W46" s="3"/>
      <c r="AF46" s="2"/>
    </row>
    <row r="47" spans="1:32" s="1" customFormat="1" ht="13.5" hidden="1" customHeight="1">
      <c r="A47" s="8" t="s">
        <v>119</v>
      </c>
      <c r="B47" s="9" t="str">
        <f t="shared" si="7"/>
        <v>RES_201301</v>
      </c>
      <c r="C47" s="9">
        <v>0</v>
      </c>
      <c r="D47" s="9">
        <v>0</v>
      </c>
      <c r="E47" s="9">
        <f t="shared" si="8"/>
        <v>1</v>
      </c>
      <c r="F47" s="9">
        <v>1</v>
      </c>
      <c r="G47" s="59" t="b">
        <v>1</v>
      </c>
      <c r="H47" s="54" t="str">
        <f t="shared" si="9"/>
        <v>Residential</v>
      </c>
      <c r="I47" s="18" t="s">
        <v>154</v>
      </c>
      <c r="J47" s="18" t="s">
        <v>708</v>
      </c>
      <c r="K47" s="18" t="s">
        <v>1461</v>
      </c>
      <c r="L47" s="24">
        <v>2019</v>
      </c>
      <c r="M47" s="30">
        <v>0</v>
      </c>
      <c r="N47" s="19">
        <v>0</v>
      </c>
      <c r="O47" s="19">
        <v>0</v>
      </c>
      <c r="P47" s="20" t="s">
        <v>869</v>
      </c>
      <c r="Q47" s="269">
        <v>0</v>
      </c>
      <c r="R47" s="112">
        <v>200</v>
      </c>
      <c r="S47" s="71" t="s">
        <v>1601</v>
      </c>
      <c r="T47" s="48">
        <f t="shared" si="10"/>
        <v>0</v>
      </c>
      <c r="U47" s="21">
        <f t="shared" si="11"/>
        <v>0</v>
      </c>
      <c r="V47" s="49">
        <f t="shared" si="12"/>
        <v>0</v>
      </c>
      <c r="X47" s="3"/>
    </row>
    <row r="48" spans="1:32" s="1" customFormat="1" ht="13.5" hidden="1" customHeight="1">
      <c r="A48" s="8" t="s">
        <v>1088</v>
      </c>
      <c r="B48" s="9" t="str">
        <f t="shared" si="7"/>
        <v>Res_201301</v>
      </c>
      <c r="C48" s="9">
        <v>0</v>
      </c>
      <c r="D48" s="9">
        <v>0</v>
      </c>
      <c r="E48" s="9">
        <f t="shared" si="8"/>
        <v>1</v>
      </c>
      <c r="F48" s="9">
        <v>1</v>
      </c>
      <c r="G48" s="59" t="b">
        <v>1</v>
      </c>
      <c r="H48" s="54" t="str">
        <f t="shared" si="9"/>
        <v>Residential</v>
      </c>
      <c r="I48" s="18" t="s">
        <v>154</v>
      </c>
      <c r="J48" s="18" t="s">
        <v>1089</v>
      </c>
      <c r="K48" s="18" t="s">
        <v>1472</v>
      </c>
      <c r="L48" s="24">
        <v>2019</v>
      </c>
      <c r="M48" s="30">
        <v>3276</v>
      </c>
      <c r="N48" s="19">
        <v>3276</v>
      </c>
      <c r="O48" s="19">
        <v>0</v>
      </c>
      <c r="P48" s="20" t="s">
        <v>869</v>
      </c>
      <c r="Q48" s="269">
        <v>0.14199999999999999</v>
      </c>
      <c r="R48" s="112">
        <v>1500</v>
      </c>
      <c r="S48" s="71" t="s">
        <v>1601</v>
      </c>
      <c r="T48" s="48">
        <f t="shared" si="10"/>
        <v>7.9656164383561628E-2</v>
      </c>
      <c r="U48" s="21">
        <f t="shared" si="11"/>
        <v>7.9656164383561628E-2</v>
      </c>
      <c r="V48" s="49">
        <f t="shared" si="12"/>
        <v>0</v>
      </c>
    </row>
    <row r="49" spans="1:22" s="1" customFormat="1" ht="13.5" hidden="1" customHeight="1">
      <c r="A49" s="10" t="s">
        <v>570</v>
      </c>
      <c r="B49" s="9" t="str">
        <f t="shared" si="7"/>
        <v>RES_201301</v>
      </c>
      <c r="C49" s="9">
        <v>0</v>
      </c>
      <c r="D49" s="9">
        <v>0</v>
      </c>
      <c r="E49" s="9">
        <f t="shared" si="8"/>
        <v>1</v>
      </c>
      <c r="F49" s="9">
        <v>1</v>
      </c>
      <c r="G49" s="59" t="b">
        <v>1</v>
      </c>
      <c r="H49" s="54" t="str">
        <f t="shared" si="9"/>
        <v>Residential</v>
      </c>
      <c r="I49" s="18" t="s">
        <v>154</v>
      </c>
      <c r="J49" s="18" t="s">
        <v>1463</v>
      </c>
      <c r="K49" s="18" t="s">
        <v>1461</v>
      </c>
      <c r="L49" s="24">
        <v>2019</v>
      </c>
      <c r="M49" s="30">
        <v>0</v>
      </c>
      <c r="N49" s="19">
        <v>0</v>
      </c>
      <c r="O49" s="19">
        <v>0</v>
      </c>
      <c r="P49" s="20" t="s">
        <v>869</v>
      </c>
      <c r="Q49" s="269">
        <v>0</v>
      </c>
      <c r="R49" s="112">
        <v>685</v>
      </c>
      <c r="S49" s="71" t="s">
        <v>1601</v>
      </c>
      <c r="T49" s="48">
        <f t="shared" si="10"/>
        <v>0</v>
      </c>
      <c r="U49" s="21">
        <f t="shared" si="11"/>
        <v>0</v>
      </c>
      <c r="V49" s="49">
        <f t="shared" si="12"/>
        <v>0</v>
      </c>
    </row>
    <row r="50" spans="1:22" s="1" customFormat="1" ht="13.5" hidden="1" customHeight="1">
      <c r="A50" s="10" t="s">
        <v>582</v>
      </c>
      <c r="B50" s="9" t="str">
        <f t="shared" si="7"/>
        <v>RES_201301</v>
      </c>
      <c r="C50" s="9">
        <v>0</v>
      </c>
      <c r="D50" s="9">
        <v>0</v>
      </c>
      <c r="E50" s="9">
        <f t="shared" si="8"/>
        <v>1</v>
      </c>
      <c r="F50" s="9">
        <v>1</v>
      </c>
      <c r="G50" s="59" t="b">
        <v>1</v>
      </c>
      <c r="H50" s="54" t="str">
        <f t="shared" si="9"/>
        <v>Residential</v>
      </c>
      <c r="I50" s="18" t="s">
        <v>154</v>
      </c>
      <c r="J50" s="18" t="s">
        <v>1464</v>
      </c>
      <c r="K50" s="18" t="s">
        <v>1461</v>
      </c>
      <c r="L50" s="24">
        <v>2019</v>
      </c>
      <c r="M50" s="30">
        <v>0</v>
      </c>
      <c r="N50" s="19">
        <v>0</v>
      </c>
      <c r="O50" s="19">
        <v>0</v>
      </c>
      <c r="P50" s="20" t="s">
        <v>869</v>
      </c>
      <c r="Q50" s="269">
        <v>0</v>
      </c>
      <c r="R50" s="112">
        <v>486</v>
      </c>
      <c r="S50" s="71" t="s">
        <v>1601</v>
      </c>
      <c r="T50" s="48">
        <f t="shared" si="10"/>
        <v>0</v>
      </c>
      <c r="U50" s="21">
        <f t="shared" si="11"/>
        <v>0</v>
      </c>
      <c r="V50" s="49">
        <f t="shared" si="12"/>
        <v>0</v>
      </c>
    </row>
    <row r="51" spans="1:22" s="1" customFormat="1" ht="13.5" hidden="1" customHeight="1">
      <c r="A51" s="10" t="s">
        <v>1211</v>
      </c>
      <c r="B51" s="9" t="str">
        <f t="shared" si="7"/>
        <v>RES_201301</v>
      </c>
      <c r="C51" s="9">
        <v>0</v>
      </c>
      <c r="D51" s="9">
        <v>0</v>
      </c>
      <c r="E51" s="9">
        <f t="shared" si="8"/>
        <v>1</v>
      </c>
      <c r="F51" s="9">
        <v>1</v>
      </c>
      <c r="G51" s="59" t="b">
        <v>1</v>
      </c>
      <c r="H51" s="54" t="str">
        <f t="shared" si="9"/>
        <v>Residential</v>
      </c>
      <c r="I51" s="18" t="s">
        <v>154</v>
      </c>
      <c r="J51" s="18" t="s">
        <v>1487</v>
      </c>
      <c r="K51" s="18" t="s">
        <v>1472</v>
      </c>
      <c r="L51" s="24">
        <v>2019</v>
      </c>
      <c r="M51" s="30">
        <v>85</v>
      </c>
      <c r="N51" s="19">
        <v>2</v>
      </c>
      <c r="O51" s="19">
        <v>0</v>
      </c>
      <c r="P51" s="20" t="s">
        <v>869</v>
      </c>
      <c r="Q51" s="269">
        <v>0.14199999999999999</v>
      </c>
      <c r="R51" s="112">
        <v>612.09900990000006</v>
      </c>
      <c r="S51" s="71" t="s">
        <v>1601</v>
      </c>
      <c r="T51" s="48">
        <f t="shared" si="10"/>
        <v>8.4338299651746571E-4</v>
      </c>
      <c r="U51" s="21">
        <f t="shared" si="11"/>
        <v>1.9844305800410956E-5</v>
      </c>
      <c r="V51" s="49">
        <f t="shared" si="12"/>
        <v>8.235386907170548E-4</v>
      </c>
    </row>
    <row r="52" spans="1:22" s="1" customFormat="1" ht="13.5" hidden="1" customHeight="1">
      <c r="A52" s="10" t="s">
        <v>594</v>
      </c>
      <c r="B52" s="9" t="str">
        <f t="shared" si="7"/>
        <v>RES_201301</v>
      </c>
      <c r="C52" s="9">
        <v>0</v>
      </c>
      <c r="D52" s="9">
        <v>0</v>
      </c>
      <c r="E52" s="9">
        <f t="shared" si="8"/>
        <v>1</v>
      </c>
      <c r="F52" s="9">
        <v>1</v>
      </c>
      <c r="G52" s="59" t="b">
        <v>1</v>
      </c>
      <c r="H52" s="54" t="str">
        <f t="shared" si="9"/>
        <v>Residential</v>
      </c>
      <c r="I52" s="18" t="s">
        <v>154</v>
      </c>
      <c r="J52" s="18" t="s">
        <v>1465</v>
      </c>
      <c r="K52" s="18" t="s">
        <v>1461</v>
      </c>
      <c r="L52" s="24">
        <v>2019</v>
      </c>
      <c r="M52" s="30">
        <v>0</v>
      </c>
      <c r="N52" s="19">
        <v>0</v>
      </c>
      <c r="O52" s="19">
        <v>0</v>
      </c>
      <c r="P52" s="20" t="s">
        <v>869</v>
      </c>
      <c r="Q52" s="269">
        <v>0</v>
      </c>
      <c r="R52" s="112">
        <v>525</v>
      </c>
      <c r="S52" s="71" t="s">
        <v>1601</v>
      </c>
      <c r="T52" s="48">
        <f t="shared" si="10"/>
        <v>0</v>
      </c>
      <c r="U52" s="21">
        <f t="shared" si="11"/>
        <v>0</v>
      </c>
      <c r="V52" s="49">
        <f t="shared" si="12"/>
        <v>0</v>
      </c>
    </row>
    <row r="53" spans="1:22" s="1" customFormat="1" ht="13.5" hidden="1" customHeight="1">
      <c r="A53" s="10" t="s">
        <v>1212</v>
      </c>
      <c r="B53" s="9" t="str">
        <f t="shared" si="7"/>
        <v>RES_201301</v>
      </c>
      <c r="C53" s="9">
        <v>0</v>
      </c>
      <c r="D53" s="9">
        <v>0</v>
      </c>
      <c r="E53" s="9">
        <f t="shared" si="8"/>
        <v>1</v>
      </c>
      <c r="F53" s="9">
        <v>1</v>
      </c>
      <c r="G53" s="59" t="b">
        <v>1</v>
      </c>
      <c r="H53" s="54" t="str">
        <f t="shared" si="9"/>
        <v>Residential</v>
      </c>
      <c r="I53" s="18" t="s">
        <v>154</v>
      </c>
      <c r="J53" s="18" t="s">
        <v>1632</v>
      </c>
      <c r="K53" s="18" t="s">
        <v>1472</v>
      </c>
      <c r="L53" s="24">
        <v>2019</v>
      </c>
      <c r="M53" s="30">
        <v>350</v>
      </c>
      <c r="N53" s="19">
        <v>0</v>
      </c>
      <c r="O53" s="19">
        <v>0</v>
      </c>
      <c r="P53" s="20" t="s">
        <v>869</v>
      </c>
      <c r="Q53" s="269">
        <v>0.14199999999999999</v>
      </c>
      <c r="R53" s="112">
        <v>6000</v>
      </c>
      <c r="S53" s="71" t="s">
        <v>1601</v>
      </c>
      <c r="T53" s="48">
        <f t="shared" si="10"/>
        <v>3.4041095890410961E-2</v>
      </c>
      <c r="U53" s="21">
        <f t="shared" si="11"/>
        <v>0</v>
      </c>
      <c r="V53" s="49">
        <f t="shared" si="12"/>
        <v>3.4041095890410961E-2</v>
      </c>
    </row>
    <row r="54" spans="1:22" s="1" customFormat="1" ht="13.5" hidden="1" customHeight="1">
      <c r="A54" s="10" t="s">
        <v>1213</v>
      </c>
      <c r="B54" s="9" t="str">
        <f t="shared" si="7"/>
        <v>RES_201301</v>
      </c>
      <c r="C54" s="9">
        <v>0</v>
      </c>
      <c r="D54" s="9">
        <v>0</v>
      </c>
      <c r="E54" s="9">
        <f t="shared" si="8"/>
        <v>1</v>
      </c>
      <c r="F54" s="9">
        <v>1</v>
      </c>
      <c r="G54" s="59" t="b">
        <v>1</v>
      </c>
      <c r="H54" s="54" t="str">
        <f t="shared" si="9"/>
        <v>Residential</v>
      </c>
      <c r="I54" s="18" t="s">
        <v>154</v>
      </c>
      <c r="J54" s="18" t="s">
        <v>1633</v>
      </c>
      <c r="K54" s="18" t="s">
        <v>1472</v>
      </c>
      <c r="L54" s="24">
        <v>2019</v>
      </c>
      <c r="M54" s="30">
        <v>5</v>
      </c>
      <c r="N54" s="19">
        <v>0</v>
      </c>
      <c r="O54" s="19">
        <v>0</v>
      </c>
      <c r="P54" s="20" t="s">
        <v>869</v>
      </c>
      <c r="Q54" s="269">
        <v>0.14199999999999999</v>
      </c>
      <c r="R54" s="112">
        <v>3500</v>
      </c>
      <c r="S54" s="71" t="s">
        <v>1601</v>
      </c>
      <c r="T54" s="48">
        <f t="shared" si="10"/>
        <v>2.8367579908675797E-4</v>
      </c>
      <c r="U54" s="21">
        <f t="shared" si="11"/>
        <v>0</v>
      </c>
      <c r="V54" s="49">
        <f t="shared" si="12"/>
        <v>2.8367579908675797E-4</v>
      </c>
    </row>
    <row r="55" spans="1:22" s="1" customFormat="1" ht="13.5" hidden="1" customHeight="1">
      <c r="A55" s="10" t="s">
        <v>1214</v>
      </c>
      <c r="B55" s="9" t="str">
        <f t="shared" si="7"/>
        <v>RES_201301</v>
      </c>
      <c r="C55" s="9">
        <v>0</v>
      </c>
      <c r="D55" s="9">
        <v>0</v>
      </c>
      <c r="E55" s="9">
        <f t="shared" si="8"/>
        <v>1</v>
      </c>
      <c r="F55" s="9">
        <v>1</v>
      </c>
      <c r="G55" s="59" t="b">
        <v>1</v>
      </c>
      <c r="H55" s="54" t="str">
        <f t="shared" si="9"/>
        <v>Residential</v>
      </c>
      <c r="I55" s="18" t="s">
        <v>154</v>
      </c>
      <c r="J55" s="18" t="s">
        <v>1634</v>
      </c>
      <c r="K55" s="18" t="s">
        <v>1472</v>
      </c>
      <c r="L55" s="24">
        <v>2019</v>
      </c>
      <c r="M55" s="30">
        <v>40</v>
      </c>
      <c r="N55" s="19">
        <v>0</v>
      </c>
      <c r="O55" s="19">
        <v>0</v>
      </c>
      <c r="P55" s="20" t="s">
        <v>869</v>
      </c>
      <c r="Q55" s="269">
        <v>0.14199999999999999</v>
      </c>
      <c r="R55" s="112">
        <v>3610.5</v>
      </c>
      <c r="S55" s="71" t="s">
        <v>1601</v>
      </c>
      <c r="T55" s="48">
        <f t="shared" si="10"/>
        <v>2.3410547945205478E-3</v>
      </c>
      <c r="U55" s="21">
        <f t="shared" si="11"/>
        <v>0</v>
      </c>
      <c r="V55" s="49">
        <f t="shared" si="12"/>
        <v>2.3410547945205478E-3</v>
      </c>
    </row>
    <row r="56" spans="1:22" s="1" customFormat="1" ht="13.5" hidden="1" customHeight="1">
      <c r="A56" s="10" t="s">
        <v>1215</v>
      </c>
      <c r="B56" s="9" t="str">
        <f t="shared" si="7"/>
        <v>RES_201301</v>
      </c>
      <c r="C56" s="9">
        <v>0</v>
      </c>
      <c r="D56" s="9">
        <v>0</v>
      </c>
      <c r="E56" s="9">
        <f t="shared" si="8"/>
        <v>1</v>
      </c>
      <c r="F56" s="9">
        <v>1</v>
      </c>
      <c r="G56" s="59" t="b">
        <v>1</v>
      </c>
      <c r="H56" s="54" t="str">
        <f t="shared" si="9"/>
        <v>Residential</v>
      </c>
      <c r="I56" s="18" t="s">
        <v>154</v>
      </c>
      <c r="J56" s="18" t="s">
        <v>1635</v>
      </c>
      <c r="K56" s="18" t="s">
        <v>1472</v>
      </c>
      <c r="L56" s="24">
        <v>2019</v>
      </c>
      <c r="M56" s="30">
        <v>450</v>
      </c>
      <c r="N56" s="19">
        <v>0</v>
      </c>
      <c r="O56" s="19">
        <v>0</v>
      </c>
      <c r="P56" s="20" t="s">
        <v>869</v>
      </c>
      <c r="Q56" s="269">
        <v>0.14199999999999999</v>
      </c>
      <c r="R56" s="112">
        <v>1815.58333333</v>
      </c>
      <c r="S56" s="71" t="s">
        <v>1601</v>
      </c>
      <c r="T56" s="48">
        <f t="shared" si="10"/>
        <v>1.3243809931482532E-2</v>
      </c>
      <c r="U56" s="21">
        <f t="shared" si="11"/>
        <v>0</v>
      </c>
      <c r="V56" s="49">
        <f t="shared" si="12"/>
        <v>1.3243809931482532E-2</v>
      </c>
    </row>
    <row r="57" spans="1:22" s="1" customFormat="1" ht="13.5" hidden="1" customHeight="1">
      <c r="A57" s="10" t="s">
        <v>709</v>
      </c>
      <c r="B57" s="9" t="str">
        <f t="shared" si="7"/>
        <v>Res_201301</v>
      </c>
      <c r="C57" s="9">
        <v>0</v>
      </c>
      <c r="D57" s="9">
        <v>0</v>
      </c>
      <c r="E57" s="9">
        <f t="shared" si="8"/>
        <v>1</v>
      </c>
      <c r="F57" s="9">
        <v>1</v>
      </c>
      <c r="G57" s="59" t="b">
        <v>1</v>
      </c>
      <c r="H57" s="54" t="str">
        <f t="shared" si="9"/>
        <v>Residential</v>
      </c>
      <c r="I57" s="18" t="s">
        <v>154</v>
      </c>
      <c r="J57" s="18" t="s">
        <v>1481</v>
      </c>
      <c r="K57" s="18" t="s">
        <v>1472</v>
      </c>
      <c r="L57" s="24">
        <v>2019</v>
      </c>
      <c r="M57" s="30">
        <v>698</v>
      </c>
      <c r="N57" s="19">
        <v>698</v>
      </c>
      <c r="O57" s="19">
        <v>0</v>
      </c>
      <c r="P57" s="20" t="s">
        <v>869</v>
      </c>
      <c r="Q57" s="269">
        <v>0.14199999999999999</v>
      </c>
      <c r="R57" s="112">
        <v>600</v>
      </c>
      <c r="S57" s="71" t="s">
        <v>1601</v>
      </c>
      <c r="T57" s="48">
        <f t="shared" si="10"/>
        <v>6.7887671232876702E-3</v>
      </c>
      <c r="U57" s="21">
        <f t="shared" si="11"/>
        <v>6.7887671232876702E-3</v>
      </c>
      <c r="V57" s="49">
        <f t="shared" si="12"/>
        <v>0</v>
      </c>
    </row>
    <row r="58" spans="1:22" s="1" customFormat="1" ht="13.5" hidden="1" customHeight="1">
      <c r="A58" s="10" t="s">
        <v>618</v>
      </c>
      <c r="B58" s="9" t="str">
        <f t="shared" si="7"/>
        <v>RES_201301</v>
      </c>
      <c r="C58" s="9">
        <v>0</v>
      </c>
      <c r="D58" s="9">
        <v>0</v>
      </c>
      <c r="E58" s="9">
        <f t="shared" si="8"/>
        <v>1</v>
      </c>
      <c r="F58" s="9">
        <v>1</v>
      </c>
      <c r="G58" s="59" t="b">
        <v>1</v>
      </c>
      <c r="H58" s="54" t="str">
        <f t="shared" si="9"/>
        <v>Residential</v>
      </c>
      <c r="I58" s="18" t="s">
        <v>154</v>
      </c>
      <c r="J58" s="18" t="s">
        <v>1460</v>
      </c>
      <c r="K58" s="18" t="s">
        <v>1461</v>
      </c>
      <c r="L58" s="24">
        <v>2019</v>
      </c>
      <c r="M58" s="30">
        <v>0</v>
      </c>
      <c r="N58" s="19">
        <v>0</v>
      </c>
      <c r="O58" s="19">
        <v>0</v>
      </c>
      <c r="P58" s="20" t="s">
        <v>869</v>
      </c>
      <c r="Q58" s="269">
        <v>0</v>
      </c>
      <c r="R58" s="112">
        <v>388</v>
      </c>
      <c r="S58" s="71" t="s">
        <v>1601</v>
      </c>
      <c r="T58" s="48">
        <f t="shared" si="10"/>
        <v>0</v>
      </c>
      <c r="U58" s="273">
        <f t="shared" si="11"/>
        <v>0</v>
      </c>
      <c r="V58" s="49">
        <f t="shared" si="12"/>
        <v>0</v>
      </c>
    </row>
    <row r="59" spans="1:22" s="1" customFormat="1" ht="13.5" hidden="1" customHeight="1" thickBot="1">
      <c r="A59" s="10" t="s">
        <v>1216</v>
      </c>
      <c r="B59" s="9" t="str">
        <f t="shared" si="7"/>
        <v>RES_201301</v>
      </c>
      <c r="C59" s="9">
        <v>0</v>
      </c>
      <c r="D59" s="9">
        <v>0</v>
      </c>
      <c r="E59" s="9">
        <f t="shared" si="8"/>
        <v>1</v>
      </c>
      <c r="F59" s="9">
        <v>1</v>
      </c>
      <c r="G59" s="59" t="b">
        <v>1</v>
      </c>
      <c r="H59" s="691" t="str">
        <f t="shared" si="9"/>
        <v>Residential</v>
      </c>
      <c r="I59" s="692" t="s">
        <v>154</v>
      </c>
      <c r="J59" s="692" t="s">
        <v>1486</v>
      </c>
      <c r="K59" s="692" t="s">
        <v>1472</v>
      </c>
      <c r="L59" s="277">
        <v>2019</v>
      </c>
      <c r="M59" s="742">
        <v>137</v>
      </c>
      <c r="N59" s="743">
        <v>0</v>
      </c>
      <c r="O59" s="743">
        <v>0</v>
      </c>
      <c r="P59" s="693" t="s">
        <v>869</v>
      </c>
      <c r="Q59" s="694">
        <v>0.14199999999999999</v>
      </c>
      <c r="R59" s="695">
        <v>0</v>
      </c>
      <c r="S59" s="696" t="s">
        <v>1601</v>
      </c>
      <c r="T59" s="697">
        <f t="shared" si="10"/>
        <v>0</v>
      </c>
      <c r="U59" s="698">
        <f t="shared" si="11"/>
        <v>0</v>
      </c>
      <c r="V59" s="699">
        <f t="shared" si="12"/>
        <v>0</v>
      </c>
    </row>
    <row r="60" spans="1:22" s="753" customFormat="1" ht="13.5" hidden="1" customHeight="1" thickTop="1">
      <c r="A60" s="745" t="s">
        <v>59</v>
      </c>
      <c r="B60" s="746" t="str">
        <f t="shared" ref="B60:B113" si="13">LEFT(A60,10)</f>
        <v>RES_201301</v>
      </c>
      <c r="C60" s="746">
        <v>0</v>
      </c>
      <c r="D60" s="746">
        <v>0</v>
      </c>
      <c r="E60" s="746">
        <f t="shared" si="8"/>
        <v>1</v>
      </c>
      <c r="F60" s="746">
        <v>1</v>
      </c>
      <c r="G60" s="747" t="b">
        <v>1</v>
      </c>
      <c r="H60" s="748" t="str">
        <f t="shared" si="9"/>
        <v>Residential</v>
      </c>
      <c r="I60" s="700" t="s">
        <v>154</v>
      </c>
      <c r="J60" s="700" t="s">
        <v>460</v>
      </c>
      <c r="K60" s="700" t="s">
        <v>514</v>
      </c>
      <c r="L60" s="759">
        <v>2020</v>
      </c>
      <c r="M60" s="749">
        <v>0</v>
      </c>
      <c r="N60" s="750">
        <v>0</v>
      </c>
      <c r="O60" s="750">
        <v>0</v>
      </c>
      <c r="P60" s="702" t="s">
        <v>869</v>
      </c>
      <c r="Q60" s="703">
        <v>0</v>
      </c>
      <c r="R60" s="704">
        <v>710</v>
      </c>
      <c r="S60" s="705" t="s">
        <v>1601</v>
      </c>
      <c r="T60" s="706">
        <f t="shared" ref="T60:T113" si="14">(M60-O60)*Q60*R60/8760000</f>
        <v>0</v>
      </c>
      <c r="U60" s="707">
        <f t="shared" ref="U60:U113" si="15">IFERROR((N60-O60/M60*N60)*Q60*R60/8760/1000,0)</f>
        <v>0</v>
      </c>
      <c r="V60" s="752">
        <f t="shared" ref="V60:V113" si="16">T60-U60</f>
        <v>0</v>
      </c>
    </row>
    <row r="61" spans="1:22" s="73" customFormat="1" ht="13.5" hidden="1" customHeight="1">
      <c r="A61" s="754" t="s">
        <v>60</v>
      </c>
      <c r="B61" s="9" t="str">
        <f t="shared" si="13"/>
        <v>RES_201301</v>
      </c>
      <c r="C61" s="9">
        <v>0</v>
      </c>
      <c r="D61" s="9">
        <v>0</v>
      </c>
      <c r="E61" s="9">
        <f t="shared" si="8"/>
        <v>1</v>
      </c>
      <c r="F61" s="9">
        <v>1</v>
      </c>
      <c r="G61" s="59" t="b">
        <v>1</v>
      </c>
      <c r="H61" s="54" t="str">
        <f t="shared" si="9"/>
        <v>Residential</v>
      </c>
      <c r="I61" s="18" t="s">
        <v>154</v>
      </c>
      <c r="J61" s="18" t="s">
        <v>479</v>
      </c>
      <c r="K61" s="18" t="s">
        <v>514</v>
      </c>
      <c r="L61" s="271">
        <v>2020</v>
      </c>
      <c r="M61" s="30">
        <v>0</v>
      </c>
      <c r="N61" s="19">
        <v>0</v>
      </c>
      <c r="O61" s="19">
        <v>0</v>
      </c>
      <c r="P61" s="20" t="s">
        <v>869</v>
      </c>
      <c r="Q61" s="269">
        <v>0</v>
      </c>
      <c r="R61" s="112">
        <v>373</v>
      </c>
      <c r="S61" s="71" t="s">
        <v>1601</v>
      </c>
      <c r="T61" s="48">
        <f t="shared" si="14"/>
        <v>0</v>
      </c>
      <c r="U61" s="21">
        <f t="shared" si="15"/>
        <v>0</v>
      </c>
      <c r="V61" s="49">
        <f t="shared" si="16"/>
        <v>0</v>
      </c>
    </row>
    <row r="62" spans="1:22" s="73" customFormat="1" ht="13.5" hidden="1" customHeight="1">
      <c r="A62" s="754" t="s">
        <v>69</v>
      </c>
      <c r="B62" s="9" t="str">
        <f t="shared" si="13"/>
        <v>RES_201301</v>
      </c>
      <c r="C62" s="9">
        <v>0</v>
      </c>
      <c r="D62" s="9">
        <v>0</v>
      </c>
      <c r="E62" s="9">
        <f t="shared" si="8"/>
        <v>1</v>
      </c>
      <c r="F62" s="9">
        <v>1</v>
      </c>
      <c r="G62" s="59" t="b">
        <v>1</v>
      </c>
      <c r="H62" s="54" t="str">
        <f t="shared" si="9"/>
        <v>Residential</v>
      </c>
      <c r="I62" s="18" t="s">
        <v>154</v>
      </c>
      <c r="J62" s="18" t="s">
        <v>446</v>
      </c>
      <c r="K62" s="18" t="s">
        <v>514</v>
      </c>
      <c r="L62" s="271">
        <v>2020</v>
      </c>
      <c r="M62" s="30">
        <v>0</v>
      </c>
      <c r="N62" s="19">
        <v>0</v>
      </c>
      <c r="O62" s="19">
        <v>0</v>
      </c>
      <c r="P62" s="20" t="s">
        <v>869</v>
      </c>
      <c r="Q62" s="269">
        <v>0</v>
      </c>
      <c r="R62" s="112">
        <v>685</v>
      </c>
      <c r="S62" s="71" t="s">
        <v>1601</v>
      </c>
      <c r="T62" s="48">
        <f t="shared" si="14"/>
        <v>0</v>
      </c>
      <c r="U62" s="21">
        <f t="shared" si="15"/>
        <v>0</v>
      </c>
      <c r="V62" s="49">
        <f t="shared" si="16"/>
        <v>0</v>
      </c>
    </row>
    <row r="63" spans="1:22" s="73" customFormat="1" ht="13.5" hidden="1" customHeight="1">
      <c r="A63" s="754" t="s">
        <v>70</v>
      </c>
      <c r="B63" s="9" t="str">
        <f t="shared" si="13"/>
        <v>RES_201301</v>
      </c>
      <c r="C63" s="9">
        <v>0</v>
      </c>
      <c r="D63" s="9">
        <v>0</v>
      </c>
      <c r="E63" s="9">
        <f t="shared" si="8"/>
        <v>1</v>
      </c>
      <c r="F63" s="9">
        <v>1</v>
      </c>
      <c r="G63" s="59" t="b">
        <v>1</v>
      </c>
      <c r="H63" s="54" t="str">
        <f t="shared" si="9"/>
        <v>Residential</v>
      </c>
      <c r="I63" s="18" t="s">
        <v>154</v>
      </c>
      <c r="J63" s="18" t="s">
        <v>454</v>
      </c>
      <c r="K63" s="18" t="s">
        <v>514</v>
      </c>
      <c r="L63" s="271">
        <v>2020</v>
      </c>
      <c r="M63" s="30">
        <v>0</v>
      </c>
      <c r="N63" s="19">
        <v>0</v>
      </c>
      <c r="O63" s="19">
        <v>0</v>
      </c>
      <c r="P63" s="20" t="s">
        <v>869</v>
      </c>
      <c r="Q63" s="269">
        <v>0</v>
      </c>
      <c r="R63" s="112">
        <v>486</v>
      </c>
      <c r="S63" s="71" t="s">
        <v>1601</v>
      </c>
      <c r="T63" s="48">
        <f t="shared" si="14"/>
        <v>0</v>
      </c>
      <c r="U63" s="21">
        <f t="shared" si="15"/>
        <v>0</v>
      </c>
      <c r="V63" s="49">
        <f t="shared" si="16"/>
        <v>0</v>
      </c>
    </row>
    <row r="64" spans="1:22" s="482" customFormat="1" ht="13.5" customHeight="1" thickTop="1">
      <c r="A64" s="754" t="s">
        <v>76</v>
      </c>
      <c r="B64" s="9" t="str">
        <f t="shared" si="13"/>
        <v>RES_201301</v>
      </c>
      <c r="C64" s="9">
        <v>0</v>
      </c>
      <c r="D64" s="9">
        <v>0</v>
      </c>
      <c r="E64" s="9">
        <f t="shared" si="8"/>
        <v>1</v>
      </c>
      <c r="F64" s="9">
        <v>1</v>
      </c>
      <c r="G64" s="59" t="b">
        <v>1</v>
      </c>
      <c r="H64" s="501" t="str">
        <f t="shared" si="9"/>
        <v>Residential</v>
      </c>
      <c r="I64" s="502" t="s">
        <v>154</v>
      </c>
      <c r="J64" s="502" t="s">
        <v>1476</v>
      </c>
      <c r="K64" s="502" t="s">
        <v>1472</v>
      </c>
      <c r="L64" s="271">
        <v>2020</v>
      </c>
      <c r="M64" s="511">
        <v>1000</v>
      </c>
      <c r="N64" s="512">
        <v>140</v>
      </c>
      <c r="O64" s="512">
        <v>0</v>
      </c>
      <c r="P64" s="318" t="s">
        <v>869</v>
      </c>
      <c r="Q64" s="505">
        <v>0.13985600000000001</v>
      </c>
      <c r="R64" s="506">
        <v>600</v>
      </c>
      <c r="S64" s="71" t="s">
        <v>1601</v>
      </c>
      <c r="T64" s="604">
        <f t="shared" si="14"/>
        <v>9.5791780821917801E-3</v>
      </c>
      <c r="U64" s="1381">
        <f t="shared" si="15"/>
        <v>1.3410849315068493E-3</v>
      </c>
      <c r="V64" s="509">
        <f t="shared" si="16"/>
        <v>8.2380931506849317E-3</v>
      </c>
    </row>
    <row r="65" spans="1:22" s="482" customFormat="1" ht="13.5" customHeight="1">
      <c r="A65" s="754" t="s">
        <v>77</v>
      </c>
      <c r="B65" s="9" t="str">
        <f t="shared" si="13"/>
        <v>RES_201301</v>
      </c>
      <c r="C65" s="9">
        <v>0</v>
      </c>
      <c r="D65" s="9">
        <v>0</v>
      </c>
      <c r="E65" s="9">
        <f t="shared" si="8"/>
        <v>1</v>
      </c>
      <c r="F65" s="9">
        <v>1</v>
      </c>
      <c r="G65" s="59" t="b">
        <v>1</v>
      </c>
      <c r="H65" s="501" t="str">
        <f t="shared" si="9"/>
        <v>Residential</v>
      </c>
      <c r="I65" s="502" t="s">
        <v>154</v>
      </c>
      <c r="J65" s="502" t="s">
        <v>1477</v>
      </c>
      <c r="K65" s="502" t="s">
        <v>1472</v>
      </c>
      <c r="L65" s="271">
        <v>2020</v>
      </c>
      <c r="M65" s="511">
        <v>1332</v>
      </c>
      <c r="N65" s="512">
        <v>0</v>
      </c>
      <c r="O65" s="512">
        <v>0</v>
      </c>
      <c r="P65" s="318" t="s">
        <v>869</v>
      </c>
      <c r="Q65" s="505">
        <v>0.13985600000000001</v>
      </c>
      <c r="R65" s="506">
        <v>2641</v>
      </c>
      <c r="S65" s="71" t="s">
        <v>1601</v>
      </c>
      <c r="T65" s="604">
        <f t="shared" si="14"/>
        <v>5.6162912679452059E-2</v>
      </c>
      <c r="U65" s="1381">
        <f t="shared" si="15"/>
        <v>0</v>
      </c>
      <c r="V65" s="509">
        <f t="shared" si="16"/>
        <v>5.6162912679452059E-2</v>
      </c>
    </row>
    <row r="66" spans="1:22" s="482" customFormat="1" ht="13.5" customHeight="1">
      <c r="A66" s="754" t="s">
        <v>78</v>
      </c>
      <c r="B66" s="9" t="str">
        <f t="shared" si="13"/>
        <v>RES_201301</v>
      </c>
      <c r="C66" s="9">
        <v>0</v>
      </c>
      <c r="D66" s="9">
        <v>0</v>
      </c>
      <c r="E66" s="9">
        <f t="shared" si="8"/>
        <v>1</v>
      </c>
      <c r="F66" s="9">
        <v>1</v>
      </c>
      <c r="G66" s="59" t="b">
        <v>1</v>
      </c>
      <c r="H66" s="501" t="str">
        <f t="shared" si="9"/>
        <v>Residential</v>
      </c>
      <c r="I66" s="502" t="s">
        <v>154</v>
      </c>
      <c r="J66" s="502" t="s">
        <v>1478</v>
      </c>
      <c r="K66" s="502" t="s">
        <v>1472</v>
      </c>
      <c r="L66" s="271">
        <v>2020</v>
      </c>
      <c r="M66" s="511">
        <v>99</v>
      </c>
      <c r="N66" s="512">
        <v>0</v>
      </c>
      <c r="O66" s="512">
        <v>0</v>
      </c>
      <c r="P66" s="318" t="s">
        <v>869</v>
      </c>
      <c r="Q66" s="505">
        <v>0.13985600000000001</v>
      </c>
      <c r="R66" s="506">
        <v>1763</v>
      </c>
      <c r="S66" s="71" t="s">
        <v>1601</v>
      </c>
      <c r="T66" s="604">
        <f t="shared" si="14"/>
        <v>2.7865350082191785E-3</v>
      </c>
      <c r="U66" s="1381">
        <f t="shared" si="15"/>
        <v>0</v>
      </c>
      <c r="V66" s="509">
        <f t="shared" si="16"/>
        <v>2.7865350082191785E-3</v>
      </c>
    </row>
    <row r="67" spans="1:22" s="482" customFormat="1" ht="13.5" customHeight="1">
      <c r="A67" s="754" t="s">
        <v>79</v>
      </c>
      <c r="B67" s="9" t="str">
        <f t="shared" si="13"/>
        <v>RES_201301</v>
      </c>
      <c r="C67" s="9">
        <v>0</v>
      </c>
      <c r="D67" s="9">
        <v>0</v>
      </c>
      <c r="E67" s="9">
        <f t="shared" si="8"/>
        <v>1</v>
      </c>
      <c r="F67" s="9">
        <v>1</v>
      </c>
      <c r="G67" s="59" t="b">
        <v>1</v>
      </c>
      <c r="H67" s="501" t="str">
        <f t="shared" si="9"/>
        <v>Residential</v>
      </c>
      <c r="I67" s="502" t="s">
        <v>154</v>
      </c>
      <c r="J67" s="502" t="s">
        <v>1479</v>
      </c>
      <c r="K67" s="502" t="s">
        <v>1472</v>
      </c>
      <c r="L67" s="271">
        <v>2020</v>
      </c>
      <c r="M67" s="511">
        <v>73</v>
      </c>
      <c r="N67" s="512">
        <v>2</v>
      </c>
      <c r="O67" s="512">
        <v>0</v>
      </c>
      <c r="P67" s="318" t="s">
        <v>869</v>
      </c>
      <c r="Q67" s="505">
        <v>0.13985600000000001</v>
      </c>
      <c r="R67" s="506">
        <v>437</v>
      </c>
      <c r="S67" s="71" t="s">
        <v>1601</v>
      </c>
      <c r="T67" s="604">
        <f t="shared" si="14"/>
        <v>5.0930893333333335E-4</v>
      </c>
      <c r="U67" s="1381">
        <f t="shared" si="15"/>
        <v>1.3953669406392695E-5</v>
      </c>
      <c r="V67" s="509">
        <f t="shared" si="16"/>
        <v>4.9535526392694069E-4</v>
      </c>
    </row>
    <row r="68" spans="1:22" s="482" customFormat="1" ht="13.5" customHeight="1">
      <c r="A68" s="754" t="s">
        <v>80</v>
      </c>
      <c r="B68" s="9" t="str">
        <f t="shared" si="13"/>
        <v>RES_201301</v>
      </c>
      <c r="C68" s="9">
        <v>0</v>
      </c>
      <c r="D68" s="9">
        <v>0</v>
      </c>
      <c r="E68" s="9">
        <f t="shared" si="8"/>
        <v>1</v>
      </c>
      <c r="F68" s="9">
        <v>1</v>
      </c>
      <c r="G68" s="59" t="b">
        <v>1</v>
      </c>
      <c r="H68" s="501" t="str">
        <f t="shared" si="9"/>
        <v>Residential</v>
      </c>
      <c r="I68" s="502" t="s">
        <v>154</v>
      </c>
      <c r="J68" s="502" t="s">
        <v>1480</v>
      </c>
      <c r="K68" s="502" t="s">
        <v>1472</v>
      </c>
      <c r="L68" s="271">
        <v>2020</v>
      </c>
      <c r="M68" s="511">
        <v>1193</v>
      </c>
      <c r="N68" s="512">
        <v>178.95</v>
      </c>
      <c r="O68" s="512">
        <v>0</v>
      </c>
      <c r="P68" s="318" t="s">
        <v>869</v>
      </c>
      <c r="Q68" s="505">
        <v>0.13985600000000001</v>
      </c>
      <c r="R68" s="506">
        <v>600</v>
      </c>
      <c r="S68" s="71" t="s">
        <v>1601</v>
      </c>
      <c r="T68" s="604">
        <f t="shared" si="14"/>
        <v>1.1427959452054794E-2</v>
      </c>
      <c r="U68" s="1381">
        <f t="shared" si="15"/>
        <v>1.7141939178082191E-3</v>
      </c>
      <c r="V68" s="509">
        <f t="shared" si="16"/>
        <v>9.713765534246575E-3</v>
      </c>
    </row>
    <row r="69" spans="1:22" s="482" customFormat="1" ht="13.5" customHeight="1">
      <c r="A69" s="754" t="s">
        <v>81</v>
      </c>
      <c r="B69" s="9" t="str">
        <f t="shared" si="13"/>
        <v>RES_201301</v>
      </c>
      <c r="C69" s="9">
        <v>0</v>
      </c>
      <c r="D69" s="9">
        <v>0</v>
      </c>
      <c r="E69" s="9">
        <f t="shared" si="8"/>
        <v>1</v>
      </c>
      <c r="F69" s="9">
        <v>1</v>
      </c>
      <c r="G69" s="59" t="b">
        <v>1</v>
      </c>
      <c r="H69" s="501" t="str">
        <f t="shared" si="9"/>
        <v>Residential</v>
      </c>
      <c r="I69" s="502" t="s">
        <v>154</v>
      </c>
      <c r="J69" s="502" t="s">
        <v>1471</v>
      </c>
      <c r="K69" s="502" t="s">
        <v>1472</v>
      </c>
      <c r="L69" s="271">
        <v>2020</v>
      </c>
      <c r="M69" s="511">
        <v>9.5359961999999996</v>
      </c>
      <c r="N69" s="512">
        <v>0</v>
      </c>
      <c r="O69" s="512">
        <v>0</v>
      </c>
      <c r="P69" s="318" t="s">
        <v>869</v>
      </c>
      <c r="Q69" s="505">
        <v>0.13985600000000001</v>
      </c>
      <c r="R69" s="506">
        <v>0</v>
      </c>
      <c r="S69" s="71" t="s">
        <v>1601</v>
      </c>
      <c r="T69" s="604">
        <f t="shared" si="14"/>
        <v>0</v>
      </c>
      <c r="U69" s="1381">
        <f t="shared" si="15"/>
        <v>0</v>
      </c>
      <c r="V69" s="509">
        <f t="shared" si="16"/>
        <v>0</v>
      </c>
    </row>
    <row r="70" spans="1:22" s="73" customFormat="1" ht="13.5" hidden="1" customHeight="1">
      <c r="A70" s="754" t="s">
        <v>82</v>
      </c>
      <c r="B70" s="9" t="str">
        <f t="shared" si="13"/>
        <v>RES_201301</v>
      </c>
      <c r="C70" s="9">
        <v>0</v>
      </c>
      <c r="D70" s="9">
        <v>0</v>
      </c>
      <c r="E70" s="9">
        <f t="shared" ref="E70:E101" si="17">COUNTIFS($A:$A,A70,$L:$L,L70)</f>
        <v>1</v>
      </c>
      <c r="F70" s="9">
        <v>1</v>
      </c>
      <c r="G70" s="59" t="b">
        <v>1</v>
      </c>
      <c r="H70" s="54" t="str">
        <f t="shared" si="9"/>
        <v>Residential</v>
      </c>
      <c r="I70" s="18" t="s">
        <v>154</v>
      </c>
      <c r="J70" s="18" t="s">
        <v>1473</v>
      </c>
      <c r="K70" s="18" t="s">
        <v>1472</v>
      </c>
      <c r="L70" s="271">
        <v>2020</v>
      </c>
      <c r="M70" s="30">
        <v>0</v>
      </c>
      <c r="N70" s="19">
        <v>0</v>
      </c>
      <c r="O70" s="19">
        <v>0</v>
      </c>
      <c r="P70" s="20" t="s">
        <v>869</v>
      </c>
      <c r="Q70" s="269">
        <v>0</v>
      </c>
      <c r="R70" s="112">
        <v>0</v>
      </c>
      <c r="S70" s="71" t="s">
        <v>1601</v>
      </c>
      <c r="T70" s="48">
        <f t="shared" si="14"/>
        <v>0</v>
      </c>
      <c r="U70" s="21">
        <f t="shared" si="15"/>
        <v>0</v>
      </c>
      <c r="V70" s="49">
        <f t="shared" si="16"/>
        <v>0</v>
      </c>
    </row>
    <row r="71" spans="1:22" s="73" customFormat="1" ht="13.5" hidden="1" customHeight="1">
      <c r="A71" s="754" t="s">
        <v>83</v>
      </c>
      <c r="B71" s="9" t="str">
        <f t="shared" si="13"/>
        <v>RES_201301</v>
      </c>
      <c r="C71" s="9">
        <v>0</v>
      </c>
      <c r="D71" s="9">
        <v>0</v>
      </c>
      <c r="E71" s="9">
        <f t="shared" si="17"/>
        <v>1</v>
      </c>
      <c r="F71" s="9">
        <v>1</v>
      </c>
      <c r="G71" s="59" t="b">
        <v>1</v>
      </c>
      <c r="H71" s="54" t="str">
        <f t="shared" si="9"/>
        <v>Residential</v>
      </c>
      <c r="I71" s="18" t="s">
        <v>154</v>
      </c>
      <c r="J71" s="18" t="s">
        <v>1474</v>
      </c>
      <c r="K71" s="18" t="s">
        <v>1472</v>
      </c>
      <c r="L71" s="271">
        <v>2020</v>
      </c>
      <c r="M71" s="30">
        <v>0</v>
      </c>
      <c r="N71" s="19">
        <v>0</v>
      </c>
      <c r="O71" s="19">
        <v>0</v>
      </c>
      <c r="P71" s="20" t="s">
        <v>869</v>
      </c>
      <c r="Q71" s="269">
        <v>0</v>
      </c>
      <c r="R71" s="112">
        <v>0</v>
      </c>
      <c r="S71" s="71" t="s">
        <v>1601</v>
      </c>
      <c r="T71" s="48">
        <f t="shared" si="14"/>
        <v>0</v>
      </c>
      <c r="U71" s="21">
        <f t="shared" si="15"/>
        <v>0</v>
      </c>
      <c r="V71" s="49">
        <f t="shared" si="16"/>
        <v>0</v>
      </c>
    </row>
    <row r="72" spans="1:22" s="482" customFormat="1" ht="13.5" customHeight="1">
      <c r="A72" s="754" t="s">
        <v>84</v>
      </c>
      <c r="B72" s="9" t="str">
        <f t="shared" si="13"/>
        <v>RES_201301</v>
      </c>
      <c r="C72" s="9">
        <v>0</v>
      </c>
      <c r="D72" s="9">
        <v>0</v>
      </c>
      <c r="E72" s="9">
        <f t="shared" si="17"/>
        <v>1</v>
      </c>
      <c r="F72" s="9">
        <v>1</v>
      </c>
      <c r="G72" s="59" t="b">
        <v>1</v>
      </c>
      <c r="H72" s="501" t="str">
        <f t="shared" si="9"/>
        <v>Residential</v>
      </c>
      <c r="I72" s="502" t="s">
        <v>154</v>
      </c>
      <c r="J72" s="502" t="s">
        <v>1475</v>
      </c>
      <c r="K72" s="502" t="s">
        <v>1472</v>
      </c>
      <c r="L72" s="271">
        <v>2020</v>
      </c>
      <c r="M72" s="511">
        <v>93.384732029999995</v>
      </c>
      <c r="N72" s="512">
        <v>0</v>
      </c>
      <c r="O72" s="512">
        <v>0</v>
      </c>
      <c r="P72" s="318" t="s">
        <v>869</v>
      </c>
      <c r="Q72" s="505">
        <v>0.13985600000000001</v>
      </c>
      <c r="R72" s="506">
        <v>0</v>
      </c>
      <c r="S72" s="71" t="s">
        <v>1601</v>
      </c>
      <c r="T72" s="604">
        <f t="shared" si="14"/>
        <v>0</v>
      </c>
      <c r="U72" s="1381">
        <f t="shared" si="15"/>
        <v>0</v>
      </c>
      <c r="V72" s="509">
        <f t="shared" si="16"/>
        <v>0</v>
      </c>
    </row>
    <row r="73" spans="1:22" s="73" customFormat="1" ht="13.5" hidden="1" customHeight="1">
      <c r="A73" s="754" t="s">
        <v>118</v>
      </c>
      <c r="B73" s="9" t="str">
        <f t="shared" si="13"/>
        <v>RES_201301</v>
      </c>
      <c r="C73" s="9">
        <v>0</v>
      </c>
      <c r="D73" s="9">
        <v>0</v>
      </c>
      <c r="E73" s="9">
        <f t="shared" si="17"/>
        <v>1</v>
      </c>
      <c r="F73" s="9">
        <v>1</v>
      </c>
      <c r="G73" s="59" t="b">
        <v>1</v>
      </c>
      <c r="H73" s="54" t="str">
        <f t="shared" si="9"/>
        <v>Residential</v>
      </c>
      <c r="I73" s="18" t="s">
        <v>154</v>
      </c>
      <c r="J73" s="18" t="s">
        <v>706</v>
      </c>
      <c r="K73" s="18" t="s">
        <v>1461</v>
      </c>
      <c r="L73" s="271">
        <v>2020</v>
      </c>
      <c r="M73" s="30">
        <v>0</v>
      </c>
      <c r="N73" s="19">
        <v>0</v>
      </c>
      <c r="O73" s="19">
        <v>0</v>
      </c>
      <c r="P73" s="20" t="s">
        <v>869</v>
      </c>
      <c r="Q73" s="269">
        <v>0</v>
      </c>
      <c r="R73" s="112">
        <v>506</v>
      </c>
      <c r="S73" s="71" t="s">
        <v>1601</v>
      </c>
      <c r="T73" s="48">
        <f t="shared" si="14"/>
        <v>0</v>
      </c>
      <c r="U73" s="21">
        <f t="shared" si="15"/>
        <v>0</v>
      </c>
      <c r="V73" s="49">
        <f t="shared" si="16"/>
        <v>0</v>
      </c>
    </row>
    <row r="74" spans="1:22" s="73" customFormat="1" ht="13.5" hidden="1" customHeight="1">
      <c r="A74" s="754" t="s">
        <v>119</v>
      </c>
      <c r="B74" s="9" t="str">
        <f t="shared" si="13"/>
        <v>RES_201301</v>
      </c>
      <c r="C74" s="9">
        <v>0</v>
      </c>
      <c r="D74" s="9">
        <v>0</v>
      </c>
      <c r="E74" s="9">
        <f t="shared" si="17"/>
        <v>1</v>
      </c>
      <c r="F74" s="9">
        <v>1</v>
      </c>
      <c r="G74" s="59" t="b">
        <v>1</v>
      </c>
      <c r="H74" s="54" t="str">
        <f t="shared" si="9"/>
        <v>Residential</v>
      </c>
      <c r="I74" s="18" t="s">
        <v>154</v>
      </c>
      <c r="J74" s="18" t="s">
        <v>708</v>
      </c>
      <c r="K74" s="18" t="s">
        <v>1461</v>
      </c>
      <c r="L74" s="271">
        <v>2020</v>
      </c>
      <c r="M74" s="30">
        <v>0</v>
      </c>
      <c r="N74" s="19">
        <v>0</v>
      </c>
      <c r="O74" s="19">
        <v>0</v>
      </c>
      <c r="P74" s="20" t="s">
        <v>869</v>
      </c>
      <c r="Q74" s="269">
        <v>0</v>
      </c>
      <c r="R74" s="112">
        <v>200</v>
      </c>
      <c r="S74" s="71" t="s">
        <v>1601</v>
      </c>
      <c r="T74" s="48">
        <f t="shared" si="14"/>
        <v>0</v>
      </c>
      <c r="U74" s="21">
        <f t="shared" si="15"/>
        <v>0</v>
      </c>
      <c r="V74" s="49">
        <f t="shared" si="16"/>
        <v>0</v>
      </c>
    </row>
    <row r="75" spans="1:22" s="482" customFormat="1" ht="13.5" customHeight="1">
      <c r="A75" s="754" t="s">
        <v>1088</v>
      </c>
      <c r="B75" s="9" t="str">
        <f t="shared" si="13"/>
        <v>Res_201301</v>
      </c>
      <c r="C75" s="9">
        <v>0</v>
      </c>
      <c r="D75" s="9">
        <v>0</v>
      </c>
      <c r="E75" s="9">
        <f t="shared" si="17"/>
        <v>1</v>
      </c>
      <c r="F75" s="9">
        <v>1</v>
      </c>
      <c r="G75" s="59" t="b">
        <v>1</v>
      </c>
      <c r="H75" s="501" t="str">
        <f t="shared" si="9"/>
        <v>Residential</v>
      </c>
      <c r="I75" s="502" t="s">
        <v>154</v>
      </c>
      <c r="J75" s="502" t="s">
        <v>1089</v>
      </c>
      <c r="K75" s="502" t="s">
        <v>1472</v>
      </c>
      <c r="L75" s="271">
        <v>2020</v>
      </c>
      <c r="M75" s="511">
        <v>3502</v>
      </c>
      <c r="N75" s="512">
        <v>3502</v>
      </c>
      <c r="O75" s="512">
        <v>0</v>
      </c>
      <c r="P75" s="318" t="s">
        <v>869</v>
      </c>
      <c r="Q75" s="505">
        <v>0.13985600000000001</v>
      </c>
      <c r="R75" s="506">
        <v>1500</v>
      </c>
      <c r="S75" s="71" t="s">
        <v>1601</v>
      </c>
      <c r="T75" s="604">
        <f t="shared" si="14"/>
        <v>8.3865704109589045E-2</v>
      </c>
      <c r="U75" s="1381">
        <f t="shared" si="15"/>
        <v>8.3865704109589045E-2</v>
      </c>
      <c r="V75" s="509">
        <f t="shared" si="16"/>
        <v>0</v>
      </c>
    </row>
    <row r="76" spans="1:22" s="73" customFormat="1" ht="13.5" hidden="1" customHeight="1">
      <c r="A76" s="760" t="s">
        <v>570</v>
      </c>
      <c r="B76" s="9" t="str">
        <f t="shared" si="13"/>
        <v>RES_201301</v>
      </c>
      <c r="C76" s="9">
        <v>0</v>
      </c>
      <c r="D76" s="9">
        <v>0</v>
      </c>
      <c r="E76" s="9">
        <f t="shared" si="17"/>
        <v>1</v>
      </c>
      <c r="F76" s="9">
        <v>1</v>
      </c>
      <c r="G76" s="59" t="b">
        <v>1</v>
      </c>
      <c r="H76" s="54" t="str">
        <f t="shared" si="9"/>
        <v>Residential</v>
      </c>
      <c r="I76" s="18" t="s">
        <v>154</v>
      </c>
      <c r="J76" s="18" t="s">
        <v>1463</v>
      </c>
      <c r="K76" s="18" t="s">
        <v>1461</v>
      </c>
      <c r="L76" s="271">
        <v>2020</v>
      </c>
      <c r="M76" s="30">
        <v>0</v>
      </c>
      <c r="N76" s="19">
        <v>0</v>
      </c>
      <c r="O76" s="19">
        <v>0</v>
      </c>
      <c r="P76" s="20" t="s">
        <v>869</v>
      </c>
      <c r="Q76" s="269">
        <v>0</v>
      </c>
      <c r="R76" s="112">
        <v>685</v>
      </c>
      <c r="S76" s="71" t="s">
        <v>1601</v>
      </c>
      <c r="T76" s="48">
        <f t="shared" si="14"/>
        <v>0</v>
      </c>
      <c r="U76" s="21">
        <f t="shared" si="15"/>
        <v>0</v>
      </c>
      <c r="V76" s="49">
        <f t="shared" si="16"/>
        <v>0</v>
      </c>
    </row>
    <row r="77" spans="1:22" s="73" customFormat="1" ht="13.5" hidden="1" customHeight="1">
      <c r="A77" s="760" t="s">
        <v>582</v>
      </c>
      <c r="B77" s="9" t="str">
        <f t="shared" si="13"/>
        <v>RES_201301</v>
      </c>
      <c r="C77" s="9">
        <v>0</v>
      </c>
      <c r="D77" s="9">
        <v>0</v>
      </c>
      <c r="E77" s="9">
        <f t="shared" si="17"/>
        <v>1</v>
      </c>
      <c r="F77" s="9">
        <v>1</v>
      </c>
      <c r="G77" s="59" t="b">
        <v>1</v>
      </c>
      <c r="H77" s="54" t="str">
        <f t="shared" si="9"/>
        <v>Residential</v>
      </c>
      <c r="I77" s="18" t="s">
        <v>154</v>
      </c>
      <c r="J77" s="18" t="s">
        <v>1464</v>
      </c>
      <c r="K77" s="18" t="s">
        <v>1461</v>
      </c>
      <c r="L77" s="271">
        <v>2020</v>
      </c>
      <c r="M77" s="30">
        <v>0</v>
      </c>
      <c r="N77" s="19">
        <v>0</v>
      </c>
      <c r="O77" s="19">
        <v>0</v>
      </c>
      <c r="P77" s="20" t="s">
        <v>869</v>
      </c>
      <c r="Q77" s="269">
        <v>0</v>
      </c>
      <c r="R77" s="112">
        <v>486</v>
      </c>
      <c r="S77" s="71" t="s">
        <v>1601</v>
      </c>
      <c r="T77" s="48">
        <f t="shared" si="14"/>
        <v>0</v>
      </c>
      <c r="U77" s="21">
        <f t="shared" si="15"/>
        <v>0</v>
      </c>
      <c r="V77" s="49">
        <f t="shared" si="16"/>
        <v>0</v>
      </c>
    </row>
    <row r="78" spans="1:22" s="482" customFormat="1" ht="13.5" customHeight="1">
      <c r="A78" s="760" t="s">
        <v>1211</v>
      </c>
      <c r="B78" s="9" t="str">
        <f t="shared" si="13"/>
        <v>RES_201301</v>
      </c>
      <c r="C78" s="9">
        <v>0</v>
      </c>
      <c r="D78" s="9">
        <v>0</v>
      </c>
      <c r="E78" s="9">
        <f t="shared" si="17"/>
        <v>1</v>
      </c>
      <c r="F78" s="9">
        <v>1</v>
      </c>
      <c r="G78" s="59" t="b">
        <v>1</v>
      </c>
      <c r="H78" s="501" t="str">
        <f t="shared" si="9"/>
        <v>Residential</v>
      </c>
      <c r="I78" s="502" t="s">
        <v>154</v>
      </c>
      <c r="J78" s="502" t="s">
        <v>1487</v>
      </c>
      <c r="K78" s="502" t="s">
        <v>1472</v>
      </c>
      <c r="L78" s="271">
        <v>2020</v>
      </c>
      <c r="M78" s="511">
        <v>89.081999999999994</v>
      </c>
      <c r="N78" s="512">
        <v>2</v>
      </c>
      <c r="O78" s="512">
        <v>0</v>
      </c>
      <c r="P78" s="318" t="s">
        <v>869</v>
      </c>
      <c r="Q78" s="505">
        <v>0.13985600000000001</v>
      </c>
      <c r="R78" s="506">
        <v>165.54295042999999</v>
      </c>
      <c r="S78" s="71" t="s">
        <v>1601</v>
      </c>
      <c r="T78" s="604">
        <f t="shared" si="14"/>
        <v>2.3543858929735926E-4</v>
      </c>
      <c r="U78" s="1381">
        <f t="shared" si="15"/>
        <v>5.2858846747347212E-6</v>
      </c>
      <c r="V78" s="509">
        <f t="shared" si="16"/>
        <v>2.3015270462262453E-4</v>
      </c>
    </row>
    <row r="79" spans="1:22" s="73" customFormat="1" ht="13.5" hidden="1" customHeight="1">
      <c r="A79" s="760" t="s">
        <v>594</v>
      </c>
      <c r="B79" s="9" t="str">
        <f t="shared" si="13"/>
        <v>RES_201301</v>
      </c>
      <c r="C79" s="9">
        <v>0</v>
      </c>
      <c r="D79" s="9">
        <v>0</v>
      </c>
      <c r="E79" s="9">
        <f t="shared" si="17"/>
        <v>1</v>
      </c>
      <c r="F79" s="9">
        <v>1</v>
      </c>
      <c r="G79" s="59" t="b">
        <v>1</v>
      </c>
      <c r="H79" s="54" t="str">
        <f t="shared" si="9"/>
        <v>Residential</v>
      </c>
      <c r="I79" s="18" t="s">
        <v>154</v>
      </c>
      <c r="J79" s="18" t="s">
        <v>1465</v>
      </c>
      <c r="K79" s="18" t="s">
        <v>1461</v>
      </c>
      <c r="L79" s="271">
        <v>2020</v>
      </c>
      <c r="M79" s="30">
        <v>0</v>
      </c>
      <c r="N79" s="19">
        <v>0</v>
      </c>
      <c r="O79" s="19">
        <v>0</v>
      </c>
      <c r="P79" s="20" t="s">
        <v>869</v>
      </c>
      <c r="Q79" s="269">
        <v>0</v>
      </c>
      <c r="R79" s="112">
        <v>525</v>
      </c>
      <c r="S79" s="71" t="s">
        <v>1601</v>
      </c>
      <c r="T79" s="48">
        <f t="shared" si="14"/>
        <v>0</v>
      </c>
      <c r="U79" s="21">
        <f t="shared" si="15"/>
        <v>0</v>
      </c>
      <c r="V79" s="49">
        <f t="shared" si="16"/>
        <v>0</v>
      </c>
    </row>
    <row r="80" spans="1:22" s="482" customFormat="1" ht="13.5" customHeight="1">
      <c r="A80" s="760" t="s">
        <v>1212</v>
      </c>
      <c r="B80" s="9" t="str">
        <f t="shared" si="13"/>
        <v>RES_201301</v>
      </c>
      <c r="C80" s="9">
        <v>0</v>
      </c>
      <c r="D80" s="9">
        <v>0</v>
      </c>
      <c r="E80" s="9">
        <f t="shared" si="17"/>
        <v>1</v>
      </c>
      <c r="F80" s="9">
        <v>1</v>
      </c>
      <c r="G80" s="59" t="b">
        <v>1</v>
      </c>
      <c r="H80" s="501" t="str">
        <f t="shared" si="9"/>
        <v>Residential</v>
      </c>
      <c r="I80" s="502" t="s">
        <v>154</v>
      </c>
      <c r="J80" s="502" t="s">
        <v>1482</v>
      </c>
      <c r="K80" s="502" t="s">
        <v>1472</v>
      </c>
      <c r="L80" s="271">
        <v>2020</v>
      </c>
      <c r="M80" s="511">
        <v>400</v>
      </c>
      <c r="N80" s="512">
        <v>0</v>
      </c>
      <c r="O80" s="512">
        <v>0</v>
      </c>
      <c r="P80" s="318" t="s">
        <v>869</v>
      </c>
      <c r="Q80" s="505">
        <v>0.13985600000000001</v>
      </c>
      <c r="R80" s="506">
        <v>6000</v>
      </c>
      <c r="S80" s="71" t="s">
        <v>1601</v>
      </c>
      <c r="T80" s="604">
        <f t="shared" si="14"/>
        <v>3.8316712328767127E-2</v>
      </c>
      <c r="U80" s="1381">
        <f t="shared" si="15"/>
        <v>0</v>
      </c>
      <c r="V80" s="509">
        <f t="shared" si="16"/>
        <v>3.8316712328767127E-2</v>
      </c>
    </row>
    <row r="81" spans="1:22" s="482" customFormat="1" ht="13.5" customHeight="1">
      <c r="A81" s="760" t="s">
        <v>1213</v>
      </c>
      <c r="B81" s="9" t="str">
        <f t="shared" si="13"/>
        <v>RES_201301</v>
      </c>
      <c r="C81" s="9">
        <v>0</v>
      </c>
      <c r="D81" s="9">
        <v>0</v>
      </c>
      <c r="E81" s="9">
        <f t="shared" si="17"/>
        <v>1</v>
      </c>
      <c r="F81" s="9">
        <v>1</v>
      </c>
      <c r="G81" s="59" t="b">
        <v>1</v>
      </c>
      <c r="H81" s="501" t="str">
        <f t="shared" si="9"/>
        <v>Residential</v>
      </c>
      <c r="I81" s="502" t="s">
        <v>154</v>
      </c>
      <c r="J81" s="502" t="s">
        <v>1483</v>
      </c>
      <c r="K81" s="502" t="s">
        <v>1472</v>
      </c>
      <c r="L81" s="271">
        <v>2020</v>
      </c>
      <c r="M81" s="511">
        <v>10</v>
      </c>
      <c r="N81" s="512">
        <v>0</v>
      </c>
      <c r="O81" s="512">
        <v>0</v>
      </c>
      <c r="P81" s="318" t="s">
        <v>869</v>
      </c>
      <c r="Q81" s="505">
        <v>0.13985600000000001</v>
      </c>
      <c r="R81" s="506">
        <v>3500</v>
      </c>
      <c r="S81" s="71" t="s">
        <v>1601</v>
      </c>
      <c r="T81" s="604">
        <f t="shared" si="14"/>
        <v>5.5878538812785387E-4</v>
      </c>
      <c r="U81" s="1381">
        <f t="shared" si="15"/>
        <v>0</v>
      </c>
      <c r="V81" s="509">
        <f t="shared" si="16"/>
        <v>5.5878538812785387E-4</v>
      </c>
    </row>
    <row r="82" spans="1:22" s="482" customFormat="1" ht="13.5" customHeight="1">
      <c r="A82" s="760" t="s">
        <v>1214</v>
      </c>
      <c r="B82" s="9" t="str">
        <f t="shared" si="13"/>
        <v>RES_201301</v>
      </c>
      <c r="C82" s="9">
        <v>0</v>
      </c>
      <c r="D82" s="9">
        <v>0</v>
      </c>
      <c r="E82" s="9">
        <f t="shared" si="17"/>
        <v>1</v>
      </c>
      <c r="F82" s="9">
        <v>1</v>
      </c>
      <c r="G82" s="59" t="b">
        <v>1</v>
      </c>
      <c r="H82" s="501" t="str">
        <f t="shared" si="9"/>
        <v>Residential</v>
      </c>
      <c r="I82" s="502" t="s">
        <v>154</v>
      </c>
      <c r="J82" s="502" t="s">
        <v>1484</v>
      </c>
      <c r="K82" s="502" t="s">
        <v>1472</v>
      </c>
      <c r="L82" s="271">
        <v>2020</v>
      </c>
      <c r="M82" s="511">
        <v>50</v>
      </c>
      <c r="N82" s="512">
        <v>0</v>
      </c>
      <c r="O82" s="512">
        <v>0</v>
      </c>
      <c r="P82" s="318" t="s">
        <v>869</v>
      </c>
      <c r="Q82" s="505">
        <v>0.13985600000000001</v>
      </c>
      <c r="R82" s="506">
        <v>3429.6</v>
      </c>
      <c r="S82" s="71" t="s">
        <v>1601</v>
      </c>
      <c r="T82" s="604">
        <f t="shared" si="14"/>
        <v>2.737729095890411E-3</v>
      </c>
      <c r="U82" s="1381">
        <f t="shared" si="15"/>
        <v>0</v>
      </c>
      <c r="V82" s="509">
        <f t="shared" si="16"/>
        <v>2.737729095890411E-3</v>
      </c>
    </row>
    <row r="83" spans="1:22" s="482" customFormat="1" ht="13.5" customHeight="1">
      <c r="A83" s="760" t="s">
        <v>1215</v>
      </c>
      <c r="B83" s="9" t="str">
        <f t="shared" si="13"/>
        <v>RES_201301</v>
      </c>
      <c r="C83" s="9">
        <v>0</v>
      </c>
      <c r="D83" s="9">
        <v>0</v>
      </c>
      <c r="E83" s="9">
        <f t="shared" si="17"/>
        <v>1</v>
      </c>
      <c r="F83" s="9">
        <v>1</v>
      </c>
      <c r="G83" s="59" t="b">
        <v>1</v>
      </c>
      <c r="H83" s="501" t="str">
        <f t="shared" si="9"/>
        <v>Residential</v>
      </c>
      <c r="I83" s="502" t="s">
        <v>154</v>
      </c>
      <c r="J83" s="502" t="s">
        <v>1485</v>
      </c>
      <c r="K83" s="502" t="s">
        <v>1472</v>
      </c>
      <c r="L83" s="271">
        <v>2020</v>
      </c>
      <c r="M83" s="511">
        <v>500</v>
      </c>
      <c r="N83" s="512">
        <v>0</v>
      </c>
      <c r="O83" s="512">
        <v>0</v>
      </c>
      <c r="P83" s="318" t="s">
        <v>869</v>
      </c>
      <c r="Q83" s="505">
        <v>0.13985600000000001</v>
      </c>
      <c r="R83" s="506">
        <v>2021.33333333</v>
      </c>
      <c r="S83" s="71" t="s">
        <v>1601</v>
      </c>
      <c r="T83" s="604">
        <f t="shared" si="14"/>
        <v>1.6135593302865323E-2</v>
      </c>
      <c r="U83" s="1381">
        <f t="shared" si="15"/>
        <v>0</v>
      </c>
      <c r="V83" s="509">
        <f t="shared" si="16"/>
        <v>1.6135593302865323E-2</v>
      </c>
    </row>
    <row r="84" spans="1:22" s="482" customFormat="1" ht="13.5" customHeight="1">
      <c r="A84" s="760" t="s">
        <v>709</v>
      </c>
      <c r="B84" s="9" t="str">
        <f t="shared" si="13"/>
        <v>Res_201301</v>
      </c>
      <c r="C84" s="9">
        <v>0</v>
      </c>
      <c r="D84" s="9">
        <v>0</v>
      </c>
      <c r="E84" s="9">
        <f t="shared" si="17"/>
        <v>1</v>
      </c>
      <c r="F84" s="9">
        <v>1</v>
      </c>
      <c r="G84" s="59" t="b">
        <v>1</v>
      </c>
      <c r="H84" s="501" t="str">
        <f t="shared" si="9"/>
        <v>Residential</v>
      </c>
      <c r="I84" s="502" t="s">
        <v>154</v>
      </c>
      <c r="J84" s="502" t="s">
        <v>1481</v>
      </c>
      <c r="K84" s="502" t="s">
        <v>1472</v>
      </c>
      <c r="L84" s="271">
        <v>2020</v>
      </c>
      <c r="M84" s="511">
        <v>757.32740002000003</v>
      </c>
      <c r="N84" s="512">
        <v>757.32740002000003</v>
      </c>
      <c r="O84" s="512">
        <v>0</v>
      </c>
      <c r="P84" s="318" t="s">
        <v>869</v>
      </c>
      <c r="Q84" s="505">
        <v>0.13985600000000001</v>
      </c>
      <c r="R84" s="506">
        <v>600</v>
      </c>
      <c r="S84" s="71" t="s">
        <v>1601</v>
      </c>
      <c r="T84" s="604">
        <f t="shared" si="14"/>
        <v>7.2545740313148723E-3</v>
      </c>
      <c r="U84" s="1381">
        <f t="shared" si="15"/>
        <v>7.2545740313148723E-3</v>
      </c>
      <c r="V84" s="509">
        <f t="shared" si="16"/>
        <v>0</v>
      </c>
    </row>
    <row r="85" spans="1:22" s="73" customFormat="1" ht="13.5" hidden="1" customHeight="1">
      <c r="A85" s="760" t="s">
        <v>618</v>
      </c>
      <c r="B85" s="9" t="str">
        <f t="shared" si="13"/>
        <v>RES_201301</v>
      </c>
      <c r="C85" s="9">
        <v>0</v>
      </c>
      <c r="D85" s="9">
        <v>0</v>
      </c>
      <c r="E85" s="9">
        <f t="shared" si="17"/>
        <v>1</v>
      </c>
      <c r="F85" s="9">
        <v>1</v>
      </c>
      <c r="G85" s="59" t="b">
        <v>1</v>
      </c>
      <c r="H85" s="54" t="str">
        <f t="shared" si="9"/>
        <v>Residential</v>
      </c>
      <c r="I85" s="18" t="s">
        <v>154</v>
      </c>
      <c r="J85" s="18" t="s">
        <v>1460</v>
      </c>
      <c r="K85" s="18" t="s">
        <v>1461</v>
      </c>
      <c r="L85" s="271">
        <v>2020</v>
      </c>
      <c r="M85" s="30">
        <v>0</v>
      </c>
      <c r="N85" s="19">
        <v>0</v>
      </c>
      <c r="O85" s="19">
        <v>0</v>
      </c>
      <c r="P85" s="20" t="s">
        <v>869</v>
      </c>
      <c r="Q85" s="269">
        <v>0</v>
      </c>
      <c r="R85" s="112">
        <v>373</v>
      </c>
      <c r="S85" s="71" t="s">
        <v>1601</v>
      </c>
      <c r="T85" s="48">
        <f t="shared" si="14"/>
        <v>0</v>
      </c>
      <c r="U85" s="21">
        <f t="shared" si="15"/>
        <v>0</v>
      </c>
      <c r="V85" s="49">
        <f t="shared" si="16"/>
        <v>0</v>
      </c>
    </row>
    <row r="86" spans="1:22" s="482" customFormat="1" ht="13.5" customHeight="1">
      <c r="A86" s="760" t="s">
        <v>1216</v>
      </c>
      <c r="B86" s="9" t="str">
        <f t="shared" si="13"/>
        <v>RES_201301</v>
      </c>
      <c r="C86" s="9">
        <v>0</v>
      </c>
      <c r="D86" s="9">
        <v>0</v>
      </c>
      <c r="E86" s="9">
        <f t="shared" si="17"/>
        <v>1</v>
      </c>
      <c r="F86" s="9">
        <v>1</v>
      </c>
      <c r="G86" s="59" t="b">
        <v>1</v>
      </c>
      <c r="H86" s="501" t="str">
        <f t="shared" si="9"/>
        <v>Residential</v>
      </c>
      <c r="I86" s="502" t="s">
        <v>154</v>
      </c>
      <c r="J86" s="502" t="s">
        <v>1486</v>
      </c>
      <c r="K86" s="502" t="s">
        <v>1472</v>
      </c>
      <c r="L86" s="271">
        <v>2020</v>
      </c>
      <c r="M86" s="511">
        <v>143.5455</v>
      </c>
      <c r="N86" s="512">
        <v>0</v>
      </c>
      <c r="O86" s="512">
        <v>0</v>
      </c>
      <c r="P86" s="318" t="s">
        <v>869</v>
      </c>
      <c r="Q86" s="505">
        <v>0.13985600000000001</v>
      </c>
      <c r="R86" s="506">
        <v>0</v>
      </c>
      <c r="S86" s="71" t="s">
        <v>1601</v>
      </c>
      <c r="T86" s="604">
        <f t="shared" si="14"/>
        <v>0</v>
      </c>
      <c r="U86" s="1381">
        <f t="shared" si="15"/>
        <v>0</v>
      </c>
      <c r="V86" s="509">
        <f t="shared" si="16"/>
        <v>0</v>
      </c>
    </row>
    <row r="87" spans="1:22" s="73" customFormat="1" ht="13.5" hidden="1" customHeight="1">
      <c r="A87" s="754" t="s">
        <v>59</v>
      </c>
      <c r="B87" s="9" t="str">
        <f t="shared" si="13"/>
        <v>RES_201301</v>
      </c>
      <c r="C87" s="9">
        <v>0</v>
      </c>
      <c r="D87" s="9">
        <v>0</v>
      </c>
      <c r="E87" s="9">
        <f t="shared" si="17"/>
        <v>1</v>
      </c>
      <c r="F87" s="9">
        <v>1</v>
      </c>
      <c r="G87" s="59" t="b">
        <v>1</v>
      </c>
      <c r="H87" s="54" t="str">
        <f t="shared" si="9"/>
        <v>Residential</v>
      </c>
      <c r="I87" s="18" t="s">
        <v>154</v>
      </c>
      <c r="J87" s="18" t="s">
        <v>460</v>
      </c>
      <c r="K87" s="18" t="s">
        <v>514</v>
      </c>
      <c r="L87" s="271">
        <v>2021</v>
      </c>
      <c r="M87" s="30">
        <v>0</v>
      </c>
      <c r="N87" s="19">
        <v>0</v>
      </c>
      <c r="O87" s="19">
        <v>0</v>
      </c>
      <c r="P87" s="20" t="s">
        <v>869</v>
      </c>
      <c r="Q87" s="269">
        <v>0</v>
      </c>
      <c r="R87" s="112">
        <v>444</v>
      </c>
      <c r="S87" s="71" t="s">
        <v>1601</v>
      </c>
      <c r="T87" s="48">
        <f t="shared" si="14"/>
        <v>0</v>
      </c>
      <c r="U87" s="21">
        <f t="shared" si="15"/>
        <v>0</v>
      </c>
      <c r="V87" s="49">
        <f t="shared" si="16"/>
        <v>0</v>
      </c>
    </row>
    <row r="88" spans="1:22" s="73" customFormat="1" ht="13.5" hidden="1" customHeight="1">
      <c r="A88" s="754" t="s">
        <v>60</v>
      </c>
      <c r="B88" s="9" t="str">
        <f t="shared" si="13"/>
        <v>RES_201301</v>
      </c>
      <c r="C88" s="9">
        <v>0</v>
      </c>
      <c r="D88" s="9">
        <v>0</v>
      </c>
      <c r="E88" s="9">
        <f t="shared" si="17"/>
        <v>1</v>
      </c>
      <c r="F88" s="9">
        <v>1</v>
      </c>
      <c r="G88" s="59" t="b">
        <v>1</v>
      </c>
      <c r="H88" s="54" t="str">
        <f t="shared" si="9"/>
        <v>Residential</v>
      </c>
      <c r="I88" s="18" t="s">
        <v>154</v>
      </c>
      <c r="J88" s="18" t="s">
        <v>479</v>
      </c>
      <c r="K88" s="18" t="s">
        <v>514</v>
      </c>
      <c r="L88" s="271">
        <v>2021</v>
      </c>
      <c r="M88" s="30">
        <v>0</v>
      </c>
      <c r="N88" s="19">
        <v>0</v>
      </c>
      <c r="O88" s="19">
        <v>0</v>
      </c>
      <c r="P88" s="20" t="s">
        <v>869</v>
      </c>
      <c r="Q88" s="269">
        <v>0</v>
      </c>
      <c r="R88" s="112">
        <v>373</v>
      </c>
      <c r="S88" s="71" t="s">
        <v>1601</v>
      </c>
      <c r="T88" s="48">
        <f t="shared" si="14"/>
        <v>0</v>
      </c>
      <c r="U88" s="21">
        <f t="shared" si="15"/>
        <v>0</v>
      </c>
      <c r="V88" s="49">
        <f t="shared" si="16"/>
        <v>0</v>
      </c>
    </row>
    <row r="89" spans="1:22" s="73" customFormat="1" ht="13.5" hidden="1" customHeight="1">
      <c r="A89" s="754" t="s">
        <v>69</v>
      </c>
      <c r="B89" s="9" t="str">
        <f t="shared" si="13"/>
        <v>RES_201301</v>
      </c>
      <c r="C89" s="9">
        <v>0</v>
      </c>
      <c r="D89" s="9">
        <v>0</v>
      </c>
      <c r="E89" s="9">
        <f t="shared" si="17"/>
        <v>1</v>
      </c>
      <c r="F89" s="9">
        <v>1</v>
      </c>
      <c r="G89" s="59" t="b">
        <v>1</v>
      </c>
      <c r="H89" s="54" t="str">
        <f t="shared" si="9"/>
        <v>Residential</v>
      </c>
      <c r="I89" s="18" t="s">
        <v>154</v>
      </c>
      <c r="J89" s="18" t="s">
        <v>446</v>
      </c>
      <c r="K89" s="18" t="s">
        <v>514</v>
      </c>
      <c r="L89" s="271">
        <v>2021</v>
      </c>
      <c r="M89" s="30">
        <v>0</v>
      </c>
      <c r="N89" s="19">
        <v>0</v>
      </c>
      <c r="O89" s="19">
        <v>0</v>
      </c>
      <c r="P89" s="20" t="s">
        <v>869</v>
      </c>
      <c r="Q89" s="269">
        <v>0</v>
      </c>
      <c r="R89" s="112">
        <v>600</v>
      </c>
      <c r="S89" s="71" t="s">
        <v>1601</v>
      </c>
      <c r="T89" s="48">
        <f t="shared" si="14"/>
        <v>0</v>
      </c>
      <c r="U89" s="21">
        <f t="shared" si="15"/>
        <v>0</v>
      </c>
      <c r="V89" s="49">
        <f t="shared" si="16"/>
        <v>0</v>
      </c>
    </row>
    <row r="90" spans="1:22" s="73" customFormat="1" ht="13.5" hidden="1" customHeight="1">
      <c r="A90" s="754" t="s">
        <v>70</v>
      </c>
      <c r="B90" s="9" t="str">
        <f t="shared" si="13"/>
        <v>RES_201301</v>
      </c>
      <c r="C90" s="9">
        <v>0</v>
      </c>
      <c r="D90" s="9">
        <v>0</v>
      </c>
      <c r="E90" s="9">
        <f t="shared" si="17"/>
        <v>1</v>
      </c>
      <c r="F90" s="9">
        <v>1</v>
      </c>
      <c r="G90" s="59" t="b">
        <v>1</v>
      </c>
      <c r="H90" s="54" t="str">
        <f t="shared" si="9"/>
        <v>Residential</v>
      </c>
      <c r="I90" s="18" t="s">
        <v>154</v>
      </c>
      <c r="J90" s="18" t="s">
        <v>454</v>
      </c>
      <c r="K90" s="18" t="s">
        <v>514</v>
      </c>
      <c r="L90" s="271">
        <v>2021</v>
      </c>
      <c r="M90" s="30">
        <v>0</v>
      </c>
      <c r="N90" s="19">
        <v>0</v>
      </c>
      <c r="O90" s="19">
        <v>0</v>
      </c>
      <c r="P90" s="20" t="s">
        <v>869</v>
      </c>
      <c r="Q90" s="269">
        <v>0</v>
      </c>
      <c r="R90" s="112">
        <v>486</v>
      </c>
      <c r="S90" s="71" t="s">
        <v>1601</v>
      </c>
      <c r="T90" s="48">
        <f t="shared" si="14"/>
        <v>0</v>
      </c>
      <c r="U90" s="21">
        <f t="shared" si="15"/>
        <v>0</v>
      </c>
      <c r="V90" s="49">
        <f t="shared" si="16"/>
        <v>0</v>
      </c>
    </row>
    <row r="91" spans="1:22" s="482" customFormat="1" ht="13.5" customHeight="1">
      <c r="A91" s="754" t="s">
        <v>76</v>
      </c>
      <c r="B91" s="9" t="str">
        <f t="shared" si="13"/>
        <v>RES_201301</v>
      </c>
      <c r="C91" s="9">
        <v>0</v>
      </c>
      <c r="D91" s="9">
        <v>0</v>
      </c>
      <c r="E91" s="9">
        <f t="shared" si="17"/>
        <v>1</v>
      </c>
      <c r="F91" s="9">
        <v>1</v>
      </c>
      <c r="G91" s="59" t="b">
        <v>1</v>
      </c>
      <c r="H91" s="501" t="str">
        <f t="shared" si="9"/>
        <v>Residential</v>
      </c>
      <c r="I91" s="502" t="s">
        <v>154</v>
      </c>
      <c r="J91" s="502" t="s">
        <v>1476</v>
      </c>
      <c r="K91" s="502" t="s">
        <v>1472</v>
      </c>
      <c r="L91" s="271">
        <v>2021</v>
      </c>
      <c r="M91" s="511">
        <v>428.20316150999997</v>
      </c>
      <c r="N91" s="512">
        <v>68.512505840000003</v>
      </c>
      <c r="O91" s="512">
        <v>0</v>
      </c>
      <c r="P91" s="318" t="s">
        <v>869</v>
      </c>
      <c r="Q91" s="505">
        <v>0.13985600000000001</v>
      </c>
      <c r="R91" s="506">
        <v>600</v>
      </c>
      <c r="S91" s="71" t="s">
        <v>1601</v>
      </c>
      <c r="T91" s="604">
        <f t="shared" si="14"/>
        <v>4.1018343394618184E-3</v>
      </c>
      <c r="U91" s="1381">
        <f t="shared" si="15"/>
        <v>6.5629349429856428E-4</v>
      </c>
      <c r="V91" s="509">
        <f t="shared" si="16"/>
        <v>3.445540845163254E-3</v>
      </c>
    </row>
    <row r="92" spans="1:22" s="482" customFormat="1" ht="13.5" customHeight="1">
      <c r="A92" s="754" t="s">
        <v>77</v>
      </c>
      <c r="B92" s="9" t="str">
        <f t="shared" si="13"/>
        <v>RES_201301</v>
      </c>
      <c r="C92" s="9">
        <v>0</v>
      </c>
      <c r="D92" s="9">
        <v>0</v>
      </c>
      <c r="E92" s="9">
        <f t="shared" si="17"/>
        <v>1</v>
      </c>
      <c r="F92" s="9">
        <v>1</v>
      </c>
      <c r="G92" s="59" t="b">
        <v>1</v>
      </c>
      <c r="H92" s="501" t="str">
        <f t="shared" si="9"/>
        <v>Residential</v>
      </c>
      <c r="I92" s="502" t="s">
        <v>154</v>
      </c>
      <c r="J92" s="502" t="s">
        <v>1477</v>
      </c>
      <c r="K92" s="502" t="s">
        <v>1472</v>
      </c>
      <c r="L92" s="271">
        <v>2021</v>
      </c>
      <c r="M92" s="511">
        <v>667</v>
      </c>
      <c r="N92" s="512">
        <v>0</v>
      </c>
      <c r="O92" s="512">
        <v>0</v>
      </c>
      <c r="P92" s="318" t="s">
        <v>869</v>
      </c>
      <c r="Q92" s="505">
        <v>0.13985600000000001</v>
      </c>
      <c r="R92" s="506">
        <v>2641</v>
      </c>
      <c r="S92" s="71" t="s">
        <v>1601</v>
      </c>
      <c r="T92" s="604">
        <f t="shared" si="14"/>
        <v>2.8123620688584476E-2</v>
      </c>
      <c r="U92" s="1381">
        <f t="shared" si="15"/>
        <v>0</v>
      </c>
      <c r="V92" s="509">
        <f t="shared" si="16"/>
        <v>2.8123620688584476E-2</v>
      </c>
    </row>
    <row r="93" spans="1:22" s="482" customFormat="1" ht="13.5" customHeight="1">
      <c r="A93" s="754" t="s">
        <v>78</v>
      </c>
      <c r="B93" s="9" t="str">
        <f t="shared" si="13"/>
        <v>RES_201301</v>
      </c>
      <c r="C93" s="9">
        <v>0</v>
      </c>
      <c r="D93" s="9">
        <v>0</v>
      </c>
      <c r="E93" s="9">
        <f t="shared" si="17"/>
        <v>1</v>
      </c>
      <c r="F93" s="9">
        <v>1</v>
      </c>
      <c r="G93" s="59" t="b">
        <v>1</v>
      </c>
      <c r="H93" s="501" t="str">
        <f t="shared" si="9"/>
        <v>Residential</v>
      </c>
      <c r="I93" s="502" t="s">
        <v>154</v>
      </c>
      <c r="J93" s="502" t="s">
        <v>1478</v>
      </c>
      <c r="K93" s="502" t="s">
        <v>1472</v>
      </c>
      <c r="L93" s="271">
        <v>2021</v>
      </c>
      <c r="M93" s="511">
        <v>104</v>
      </c>
      <c r="N93" s="512">
        <v>0</v>
      </c>
      <c r="O93" s="512">
        <v>0</v>
      </c>
      <c r="P93" s="318" t="s">
        <v>869</v>
      </c>
      <c r="Q93" s="505">
        <v>0.13985600000000001</v>
      </c>
      <c r="R93" s="506">
        <v>1763</v>
      </c>
      <c r="S93" s="71" t="s">
        <v>1601</v>
      </c>
      <c r="T93" s="604">
        <f t="shared" si="14"/>
        <v>2.9272690995433793E-3</v>
      </c>
      <c r="U93" s="1381">
        <f t="shared" si="15"/>
        <v>0</v>
      </c>
      <c r="V93" s="509">
        <f t="shared" si="16"/>
        <v>2.9272690995433793E-3</v>
      </c>
    </row>
    <row r="94" spans="1:22" s="482" customFormat="1" ht="13.5" customHeight="1">
      <c r="A94" s="754" t="s">
        <v>79</v>
      </c>
      <c r="B94" s="9" t="str">
        <f t="shared" si="13"/>
        <v>RES_201301</v>
      </c>
      <c r="C94" s="9">
        <v>0</v>
      </c>
      <c r="D94" s="9">
        <v>0</v>
      </c>
      <c r="E94" s="9">
        <f t="shared" si="17"/>
        <v>1</v>
      </c>
      <c r="F94" s="9">
        <v>1</v>
      </c>
      <c r="G94" s="59" t="b">
        <v>1</v>
      </c>
      <c r="H94" s="501" t="str">
        <f t="shared" si="9"/>
        <v>Residential</v>
      </c>
      <c r="I94" s="502" t="s">
        <v>154</v>
      </c>
      <c r="J94" s="502" t="s">
        <v>1479</v>
      </c>
      <c r="K94" s="502" t="s">
        <v>1472</v>
      </c>
      <c r="L94" s="271">
        <v>2021</v>
      </c>
      <c r="M94" s="511">
        <v>36</v>
      </c>
      <c r="N94" s="512">
        <v>2</v>
      </c>
      <c r="O94" s="512">
        <v>0</v>
      </c>
      <c r="P94" s="318" t="s">
        <v>869</v>
      </c>
      <c r="Q94" s="505">
        <v>0.13985600000000001</v>
      </c>
      <c r="R94" s="506">
        <v>437</v>
      </c>
      <c r="S94" s="71" t="s">
        <v>1601</v>
      </c>
      <c r="T94" s="604">
        <f t="shared" si="14"/>
        <v>2.5116604931506851E-4</v>
      </c>
      <c r="U94" s="1381">
        <f t="shared" si="15"/>
        <v>1.3953669406392695E-5</v>
      </c>
      <c r="V94" s="509">
        <f t="shared" si="16"/>
        <v>2.3721237990867583E-4</v>
      </c>
    </row>
    <row r="95" spans="1:22" s="482" customFormat="1" ht="13.5" customHeight="1">
      <c r="A95" s="754" t="s">
        <v>80</v>
      </c>
      <c r="B95" s="9" t="str">
        <f t="shared" si="13"/>
        <v>RES_201301</v>
      </c>
      <c r="C95" s="9">
        <v>0</v>
      </c>
      <c r="D95" s="9">
        <v>0</v>
      </c>
      <c r="E95" s="9">
        <f t="shared" si="17"/>
        <v>1</v>
      </c>
      <c r="F95" s="9">
        <v>1</v>
      </c>
      <c r="G95" s="59" t="b">
        <v>1</v>
      </c>
      <c r="H95" s="501" t="str">
        <f t="shared" si="9"/>
        <v>Residential</v>
      </c>
      <c r="I95" s="502" t="s">
        <v>154</v>
      </c>
      <c r="J95" s="502" t="s">
        <v>1480</v>
      </c>
      <c r="K95" s="502" t="s">
        <v>1472</v>
      </c>
      <c r="L95" s="271">
        <v>2021</v>
      </c>
      <c r="M95" s="511">
        <v>596</v>
      </c>
      <c r="N95" s="512">
        <v>89.4</v>
      </c>
      <c r="O95" s="512">
        <v>0</v>
      </c>
      <c r="P95" s="318" t="s">
        <v>869</v>
      </c>
      <c r="Q95" s="505">
        <v>0.13985600000000001</v>
      </c>
      <c r="R95" s="506">
        <v>600</v>
      </c>
      <c r="S95" s="71" t="s">
        <v>1601</v>
      </c>
      <c r="T95" s="604">
        <f t="shared" si="14"/>
        <v>5.7091901369863019E-3</v>
      </c>
      <c r="U95" s="1381">
        <f t="shared" si="15"/>
        <v>8.5637852054794533E-4</v>
      </c>
      <c r="V95" s="509">
        <f t="shared" si="16"/>
        <v>4.8528116164383564E-3</v>
      </c>
    </row>
    <row r="96" spans="1:22" s="482" customFormat="1" ht="13.5" customHeight="1">
      <c r="A96" s="754" t="s">
        <v>81</v>
      </c>
      <c r="B96" s="9" t="str">
        <f t="shared" si="13"/>
        <v>RES_201301</v>
      </c>
      <c r="C96" s="9">
        <v>0</v>
      </c>
      <c r="D96" s="9">
        <v>0</v>
      </c>
      <c r="E96" s="9">
        <f t="shared" si="17"/>
        <v>1</v>
      </c>
      <c r="F96" s="9">
        <v>1</v>
      </c>
      <c r="G96" s="59" t="b">
        <v>1</v>
      </c>
      <c r="H96" s="501" t="str">
        <f t="shared" si="9"/>
        <v>Residential</v>
      </c>
      <c r="I96" s="502" t="s">
        <v>154</v>
      </c>
      <c r="J96" s="502" t="s">
        <v>1471</v>
      </c>
      <c r="K96" s="502" t="s">
        <v>1472</v>
      </c>
      <c r="L96" s="271">
        <v>2021</v>
      </c>
      <c r="M96" s="511">
        <v>4.7679980999999998</v>
      </c>
      <c r="N96" s="512">
        <v>0</v>
      </c>
      <c r="O96" s="512">
        <v>0</v>
      </c>
      <c r="P96" s="318" t="s">
        <v>869</v>
      </c>
      <c r="Q96" s="505">
        <v>0.13985600000000001</v>
      </c>
      <c r="R96" s="506">
        <v>0</v>
      </c>
      <c r="S96" s="71" t="s">
        <v>1601</v>
      </c>
      <c r="T96" s="604">
        <f t="shared" si="14"/>
        <v>0</v>
      </c>
      <c r="U96" s="1381">
        <f t="shared" si="15"/>
        <v>0</v>
      </c>
      <c r="V96" s="509">
        <f t="shared" si="16"/>
        <v>0</v>
      </c>
    </row>
    <row r="97" spans="1:22" s="73" customFormat="1" ht="13.5" hidden="1" customHeight="1">
      <c r="A97" s="754" t="s">
        <v>82</v>
      </c>
      <c r="B97" s="9" t="str">
        <f t="shared" si="13"/>
        <v>RES_201301</v>
      </c>
      <c r="C97" s="9">
        <v>0</v>
      </c>
      <c r="D97" s="9">
        <v>0</v>
      </c>
      <c r="E97" s="9">
        <f t="shared" si="17"/>
        <v>1</v>
      </c>
      <c r="F97" s="9">
        <v>1</v>
      </c>
      <c r="G97" s="59" t="b">
        <v>1</v>
      </c>
      <c r="H97" s="54" t="str">
        <f t="shared" si="9"/>
        <v>Residential</v>
      </c>
      <c r="I97" s="18" t="s">
        <v>154</v>
      </c>
      <c r="J97" s="18" t="s">
        <v>1473</v>
      </c>
      <c r="K97" s="18" t="s">
        <v>1472</v>
      </c>
      <c r="L97" s="271">
        <v>2021</v>
      </c>
      <c r="M97" s="30">
        <v>0</v>
      </c>
      <c r="N97" s="19">
        <v>0</v>
      </c>
      <c r="O97" s="19">
        <v>0</v>
      </c>
      <c r="P97" s="20" t="s">
        <v>869</v>
      </c>
      <c r="Q97" s="269">
        <v>0</v>
      </c>
      <c r="R97" s="112">
        <v>0</v>
      </c>
      <c r="S97" s="71" t="s">
        <v>1601</v>
      </c>
      <c r="T97" s="48">
        <f t="shared" si="14"/>
        <v>0</v>
      </c>
      <c r="U97" s="21">
        <f t="shared" si="15"/>
        <v>0</v>
      </c>
      <c r="V97" s="49">
        <f t="shared" si="16"/>
        <v>0</v>
      </c>
    </row>
    <row r="98" spans="1:22" s="73" customFormat="1" ht="13.5" hidden="1" customHeight="1">
      <c r="A98" s="754" t="s">
        <v>83</v>
      </c>
      <c r="B98" s="9" t="str">
        <f t="shared" si="13"/>
        <v>RES_201301</v>
      </c>
      <c r="C98" s="9">
        <v>0</v>
      </c>
      <c r="D98" s="9">
        <v>0</v>
      </c>
      <c r="E98" s="9">
        <f t="shared" si="17"/>
        <v>1</v>
      </c>
      <c r="F98" s="9">
        <v>1</v>
      </c>
      <c r="G98" s="59" t="b">
        <v>1</v>
      </c>
      <c r="H98" s="54" t="str">
        <f t="shared" si="9"/>
        <v>Residential</v>
      </c>
      <c r="I98" s="18" t="s">
        <v>154</v>
      </c>
      <c r="J98" s="18" t="s">
        <v>1474</v>
      </c>
      <c r="K98" s="18" t="s">
        <v>1472</v>
      </c>
      <c r="L98" s="271">
        <v>2021</v>
      </c>
      <c r="M98" s="30">
        <v>0</v>
      </c>
      <c r="N98" s="19">
        <v>0</v>
      </c>
      <c r="O98" s="19">
        <v>0</v>
      </c>
      <c r="P98" s="20" t="s">
        <v>869</v>
      </c>
      <c r="Q98" s="269">
        <v>0</v>
      </c>
      <c r="R98" s="112">
        <v>0</v>
      </c>
      <c r="S98" s="71" t="s">
        <v>1601</v>
      </c>
      <c r="T98" s="48">
        <f t="shared" si="14"/>
        <v>0</v>
      </c>
      <c r="U98" s="21">
        <f t="shared" si="15"/>
        <v>0</v>
      </c>
      <c r="V98" s="49">
        <f t="shared" si="16"/>
        <v>0</v>
      </c>
    </row>
    <row r="99" spans="1:22" s="482" customFormat="1" ht="13.5" customHeight="1">
      <c r="A99" s="754" t="s">
        <v>84</v>
      </c>
      <c r="B99" s="9" t="str">
        <f t="shared" si="13"/>
        <v>RES_201301</v>
      </c>
      <c r="C99" s="9">
        <v>0</v>
      </c>
      <c r="D99" s="9">
        <v>0</v>
      </c>
      <c r="E99" s="9">
        <f t="shared" si="17"/>
        <v>1</v>
      </c>
      <c r="F99" s="9">
        <v>1</v>
      </c>
      <c r="G99" s="59" t="b">
        <v>1</v>
      </c>
      <c r="H99" s="501" t="str">
        <f t="shared" si="9"/>
        <v>Residential</v>
      </c>
      <c r="I99" s="502" t="s">
        <v>154</v>
      </c>
      <c r="J99" s="502" t="s">
        <v>1475</v>
      </c>
      <c r="K99" s="502" t="s">
        <v>1472</v>
      </c>
      <c r="L99" s="271">
        <v>2021</v>
      </c>
      <c r="M99" s="511">
        <v>46.692366020000001</v>
      </c>
      <c r="N99" s="512">
        <v>0</v>
      </c>
      <c r="O99" s="512">
        <v>0</v>
      </c>
      <c r="P99" s="318" t="s">
        <v>869</v>
      </c>
      <c r="Q99" s="505">
        <v>0.13985600000000001</v>
      </c>
      <c r="R99" s="506">
        <v>0</v>
      </c>
      <c r="S99" s="71" t="s">
        <v>1601</v>
      </c>
      <c r="T99" s="604">
        <f t="shared" si="14"/>
        <v>0</v>
      </c>
      <c r="U99" s="1381">
        <f t="shared" si="15"/>
        <v>0</v>
      </c>
      <c r="V99" s="509">
        <f t="shared" si="16"/>
        <v>0</v>
      </c>
    </row>
    <row r="100" spans="1:22" s="73" customFormat="1" ht="13.5" hidden="1" customHeight="1">
      <c r="A100" s="754" t="s">
        <v>118</v>
      </c>
      <c r="B100" s="9" t="str">
        <f t="shared" si="13"/>
        <v>RES_201301</v>
      </c>
      <c r="C100" s="9">
        <v>0</v>
      </c>
      <c r="D100" s="9">
        <v>0</v>
      </c>
      <c r="E100" s="9">
        <f t="shared" si="17"/>
        <v>1</v>
      </c>
      <c r="F100" s="9">
        <v>1</v>
      </c>
      <c r="G100" s="59" t="b">
        <v>1</v>
      </c>
      <c r="H100" s="54" t="str">
        <f t="shared" si="9"/>
        <v>Residential</v>
      </c>
      <c r="I100" s="18" t="s">
        <v>154</v>
      </c>
      <c r="J100" s="18" t="s">
        <v>706</v>
      </c>
      <c r="K100" s="18" t="s">
        <v>1461</v>
      </c>
      <c r="L100" s="271">
        <v>2021</v>
      </c>
      <c r="M100" s="30">
        <v>0</v>
      </c>
      <c r="N100" s="19">
        <v>0</v>
      </c>
      <c r="O100" s="19">
        <v>0</v>
      </c>
      <c r="P100" s="20" t="s">
        <v>869</v>
      </c>
      <c r="Q100" s="269">
        <v>0</v>
      </c>
      <c r="R100" s="112">
        <v>506</v>
      </c>
      <c r="S100" s="71" t="s">
        <v>1601</v>
      </c>
      <c r="T100" s="48">
        <f t="shared" si="14"/>
        <v>0</v>
      </c>
      <c r="U100" s="21">
        <f t="shared" si="15"/>
        <v>0</v>
      </c>
      <c r="V100" s="49">
        <f t="shared" si="16"/>
        <v>0</v>
      </c>
    </row>
    <row r="101" spans="1:22" s="73" customFormat="1" ht="13.5" hidden="1" customHeight="1">
      <c r="A101" s="754" t="s">
        <v>119</v>
      </c>
      <c r="B101" s="9" t="str">
        <f t="shared" si="13"/>
        <v>RES_201301</v>
      </c>
      <c r="C101" s="9">
        <v>0</v>
      </c>
      <c r="D101" s="9">
        <v>0</v>
      </c>
      <c r="E101" s="9">
        <f t="shared" si="17"/>
        <v>1</v>
      </c>
      <c r="F101" s="9">
        <v>1</v>
      </c>
      <c r="G101" s="59" t="b">
        <v>1</v>
      </c>
      <c r="H101" s="54" t="str">
        <f t="shared" si="9"/>
        <v>Residential</v>
      </c>
      <c r="I101" s="18" t="s">
        <v>154</v>
      </c>
      <c r="J101" s="18" t="s">
        <v>708</v>
      </c>
      <c r="K101" s="18" t="s">
        <v>1461</v>
      </c>
      <c r="L101" s="271">
        <v>2021</v>
      </c>
      <c r="M101" s="30">
        <v>0</v>
      </c>
      <c r="N101" s="19">
        <v>0</v>
      </c>
      <c r="O101" s="19">
        <v>0</v>
      </c>
      <c r="P101" s="20" t="s">
        <v>869</v>
      </c>
      <c r="Q101" s="269">
        <v>0</v>
      </c>
      <c r="R101" s="112">
        <v>200</v>
      </c>
      <c r="S101" s="71" t="s">
        <v>1601</v>
      </c>
      <c r="T101" s="48">
        <f t="shared" si="14"/>
        <v>0</v>
      </c>
      <c r="U101" s="21">
        <f t="shared" si="15"/>
        <v>0</v>
      </c>
      <c r="V101" s="49">
        <f t="shared" si="16"/>
        <v>0</v>
      </c>
    </row>
    <row r="102" spans="1:22" s="482" customFormat="1" ht="13.5" customHeight="1">
      <c r="A102" s="754" t="s">
        <v>1088</v>
      </c>
      <c r="B102" s="9" t="str">
        <f t="shared" si="13"/>
        <v>Res_201301</v>
      </c>
      <c r="C102" s="9">
        <v>0</v>
      </c>
      <c r="D102" s="9">
        <v>0</v>
      </c>
      <c r="E102" s="9">
        <f t="shared" ref="E102:E113" si="18">COUNTIFS($A:$A,A102,$L:$L,L102)</f>
        <v>1</v>
      </c>
      <c r="F102" s="9">
        <v>1</v>
      </c>
      <c r="G102" s="59" t="b">
        <v>1</v>
      </c>
      <c r="H102" s="501" t="str">
        <f t="shared" ref="H102:H113" si="19">IF(LEFT(A102,3)="Res","Residential",IF(LEFT(A102,3)="Ind","industrial",IF(LEFT(A102,3)="Com","Commercial",IF(LEFT(A102,3)="AGR","Agriculture",""))))</f>
        <v>Residential</v>
      </c>
      <c r="I102" s="502" t="s">
        <v>154</v>
      </c>
      <c r="J102" s="502" t="s">
        <v>1089</v>
      </c>
      <c r="K102" s="502" t="s">
        <v>1472</v>
      </c>
      <c r="L102" s="271">
        <v>2021</v>
      </c>
      <c r="M102" s="511">
        <v>3694</v>
      </c>
      <c r="N102" s="512">
        <v>3694</v>
      </c>
      <c r="O102" s="512">
        <v>0</v>
      </c>
      <c r="P102" s="318" t="s">
        <v>869</v>
      </c>
      <c r="Q102" s="505">
        <v>0.13985600000000001</v>
      </c>
      <c r="R102" s="506">
        <v>1500</v>
      </c>
      <c r="S102" s="71" t="s">
        <v>1601</v>
      </c>
      <c r="T102" s="604">
        <f t="shared" si="14"/>
        <v>8.8463709589041095E-2</v>
      </c>
      <c r="U102" s="1381">
        <f t="shared" si="15"/>
        <v>8.8463709589041095E-2</v>
      </c>
      <c r="V102" s="509">
        <f t="shared" si="16"/>
        <v>0</v>
      </c>
    </row>
    <row r="103" spans="1:22" s="73" customFormat="1" ht="13.5" hidden="1" customHeight="1">
      <c r="A103" s="760" t="s">
        <v>570</v>
      </c>
      <c r="B103" s="9" t="str">
        <f t="shared" si="13"/>
        <v>RES_201301</v>
      </c>
      <c r="C103" s="9">
        <v>0</v>
      </c>
      <c r="D103" s="9">
        <v>0</v>
      </c>
      <c r="E103" s="9">
        <f t="shared" si="18"/>
        <v>1</v>
      </c>
      <c r="F103" s="9">
        <v>1</v>
      </c>
      <c r="G103" s="59" t="b">
        <v>1</v>
      </c>
      <c r="H103" s="54" t="str">
        <f t="shared" si="19"/>
        <v>Residential</v>
      </c>
      <c r="I103" s="18" t="s">
        <v>154</v>
      </c>
      <c r="J103" s="18" t="s">
        <v>1463</v>
      </c>
      <c r="K103" s="18" t="s">
        <v>1461</v>
      </c>
      <c r="L103" s="271">
        <v>2021</v>
      </c>
      <c r="M103" s="30">
        <v>0</v>
      </c>
      <c r="N103" s="19">
        <v>0</v>
      </c>
      <c r="O103" s="19">
        <v>0</v>
      </c>
      <c r="P103" s="20" t="s">
        <v>869</v>
      </c>
      <c r="Q103" s="269">
        <v>0</v>
      </c>
      <c r="R103" s="112">
        <v>685</v>
      </c>
      <c r="S103" s="71" t="s">
        <v>1601</v>
      </c>
      <c r="T103" s="48">
        <f t="shared" si="14"/>
        <v>0</v>
      </c>
      <c r="U103" s="21">
        <f t="shared" si="15"/>
        <v>0</v>
      </c>
      <c r="V103" s="49">
        <f t="shared" si="16"/>
        <v>0</v>
      </c>
    </row>
    <row r="104" spans="1:22" s="73" customFormat="1" ht="13.5" hidden="1" customHeight="1">
      <c r="A104" s="760" t="s">
        <v>582</v>
      </c>
      <c r="B104" s="9" t="str">
        <f t="shared" si="13"/>
        <v>RES_201301</v>
      </c>
      <c r="C104" s="9">
        <v>0</v>
      </c>
      <c r="D104" s="9">
        <v>0</v>
      </c>
      <c r="E104" s="9">
        <f t="shared" si="18"/>
        <v>1</v>
      </c>
      <c r="F104" s="9">
        <v>1</v>
      </c>
      <c r="G104" s="59" t="b">
        <v>1</v>
      </c>
      <c r="H104" s="54" t="str">
        <f t="shared" si="19"/>
        <v>Residential</v>
      </c>
      <c r="I104" s="18" t="s">
        <v>154</v>
      </c>
      <c r="J104" s="18" t="s">
        <v>1464</v>
      </c>
      <c r="K104" s="18" t="s">
        <v>1461</v>
      </c>
      <c r="L104" s="271">
        <v>2021</v>
      </c>
      <c r="M104" s="30">
        <v>0</v>
      </c>
      <c r="N104" s="19">
        <v>0</v>
      </c>
      <c r="O104" s="19">
        <v>0</v>
      </c>
      <c r="P104" s="20" t="s">
        <v>869</v>
      </c>
      <c r="Q104" s="269">
        <v>0</v>
      </c>
      <c r="R104" s="112">
        <v>486</v>
      </c>
      <c r="S104" s="71" t="s">
        <v>1601</v>
      </c>
      <c r="T104" s="48">
        <f t="shared" si="14"/>
        <v>0</v>
      </c>
      <c r="U104" s="21">
        <f t="shared" si="15"/>
        <v>0</v>
      </c>
      <c r="V104" s="49">
        <f t="shared" si="16"/>
        <v>0</v>
      </c>
    </row>
    <row r="105" spans="1:22" s="482" customFormat="1" ht="13.5" customHeight="1">
      <c r="A105" s="760" t="s">
        <v>1211</v>
      </c>
      <c r="B105" s="9" t="str">
        <f t="shared" si="13"/>
        <v>RES_201301</v>
      </c>
      <c r="C105" s="9">
        <v>0</v>
      </c>
      <c r="D105" s="9">
        <v>0</v>
      </c>
      <c r="E105" s="9">
        <f t="shared" si="18"/>
        <v>1</v>
      </c>
      <c r="F105" s="9">
        <v>1</v>
      </c>
      <c r="G105" s="59" t="b">
        <v>1</v>
      </c>
      <c r="H105" s="501" t="str">
        <f t="shared" si="19"/>
        <v>Residential</v>
      </c>
      <c r="I105" s="502" t="s">
        <v>154</v>
      </c>
      <c r="J105" s="502" t="s">
        <v>1487</v>
      </c>
      <c r="K105" s="502" t="s">
        <v>1472</v>
      </c>
      <c r="L105" s="271">
        <v>2021</v>
      </c>
      <c r="M105" s="511">
        <v>44.540999999999997</v>
      </c>
      <c r="N105" s="512">
        <v>4</v>
      </c>
      <c r="O105" s="512">
        <v>0</v>
      </c>
      <c r="P105" s="318" t="s">
        <v>869</v>
      </c>
      <c r="Q105" s="505">
        <v>0.13985600000000001</v>
      </c>
      <c r="R105" s="506">
        <v>165.54295042999999</v>
      </c>
      <c r="S105" s="71" t="s">
        <v>1601</v>
      </c>
      <c r="T105" s="604">
        <f t="shared" si="14"/>
        <v>1.1771929464867963E-4</v>
      </c>
      <c r="U105" s="1381">
        <f t="shared" si="15"/>
        <v>1.0571769349469442E-5</v>
      </c>
      <c r="V105" s="509">
        <f t="shared" si="16"/>
        <v>1.0714752529921019E-4</v>
      </c>
    </row>
    <row r="106" spans="1:22" s="73" customFormat="1" ht="13.5" hidden="1" customHeight="1">
      <c r="A106" s="760" t="s">
        <v>594</v>
      </c>
      <c r="B106" s="9" t="str">
        <f t="shared" si="13"/>
        <v>RES_201301</v>
      </c>
      <c r="C106" s="9">
        <v>0</v>
      </c>
      <c r="D106" s="9">
        <v>0</v>
      </c>
      <c r="E106" s="9">
        <f t="shared" si="18"/>
        <v>1</v>
      </c>
      <c r="F106" s="9">
        <v>1</v>
      </c>
      <c r="G106" s="59" t="b">
        <v>1</v>
      </c>
      <c r="H106" s="54" t="str">
        <f t="shared" si="19"/>
        <v>Residential</v>
      </c>
      <c r="I106" s="18" t="s">
        <v>154</v>
      </c>
      <c r="J106" s="18" t="s">
        <v>1465</v>
      </c>
      <c r="K106" s="18" t="s">
        <v>1461</v>
      </c>
      <c r="L106" s="271">
        <v>2021</v>
      </c>
      <c r="M106" s="30">
        <v>0</v>
      </c>
      <c r="N106" s="19">
        <v>0</v>
      </c>
      <c r="O106" s="19">
        <v>0</v>
      </c>
      <c r="P106" s="20" t="s">
        <v>869</v>
      </c>
      <c r="Q106" s="269">
        <v>0</v>
      </c>
      <c r="R106" s="112">
        <v>525</v>
      </c>
      <c r="S106" s="71" t="s">
        <v>1601</v>
      </c>
      <c r="T106" s="48">
        <f t="shared" si="14"/>
        <v>0</v>
      </c>
      <c r="U106" s="21">
        <f t="shared" si="15"/>
        <v>0</v>
      </c>
      <c r="V106" s="49">
        <f t="shared" si="16"/>
        <v>0</v>
      </c>
    </row>
    <row r="107" spans="1:22" s="73" customFormat="1" ht="13.5" hidden="1" customHeight="1">
      <c r="A107" s="760" t="s">
        <v>1212</v>
      </c>
      <c r="B107" s="9" t="str">
        <f t="shared" si="13"/>
        <v>RES_201301</v>
      </c>
      <c r="C107" s="9">
        <v>0</v>
      </c>
      <c r="D107" s="9">
        <v>0</v>
      </c>
      <c r="E107" s="9">
        <f t="shared" si="18"/>
        <v>1</v>
      </c>
      <c r="F107" s="9">
        <v>1</v>
      </c>
      <c r="G107" s="59" t="b">
        <v>1</v>
      </c>
      <c r="H107" s="54" t="str">
        <f t="shared" si="19"/>
        <v>Residential</v>
      </c>
      <c r="I107" s="18" t="s">
        <v>154</v>
      </c>
      <c r="J107" s="18" t="s">
        <v>1632</v>
      </c>
      <c r="K107" s="18" t="s">
        <v>1472</v>
      </c>
      <c r="L107" s="271">
        <v>2021</v>
      </c>
      <c r="M107" s="30">
        <v>0</v>
      </c>
      <c r="N107" s="19">
        <v>0</v>
      </c>
      <c r="O107" s="19">
        <v>0</v>
      </c>
      <c r="P107" s="20" t="s">
        <v>869</v>
      </c>
      <c r="Q107" s="269">
        <v>0</v>
      </c>
      <c r="R107" s="112">
        <v>0</v>
      </c>
      <c r="S107" s="71" t="s">
        <v>1601</v>
      </c>
      <c r="T107" s="48">
        <f t="shared" si="14"/>
        <v>0</v>
      </c>
      <c r="U107" s="21">
        <f t="shared" si="15"/>
        <v>0</v>
      </c>
      <c r="V107" s="49">
        <f t="shared" si="16"/>
        <v>0</v>
      </c>
    </row>
    <row r="108" spans="1:22" s="73" customFormat="1" ht="13.5" hidden="1" customHeight="1">
      <c r="A108" s="760" t="s">
        <v>1213</v>
      </c>
      <c r="B108" s="9" t="str">
        <f t="shared" si="13"/>
        <v>RES_201301</v>
      </c>
      <c r="C108" s="9">
        <v>0</v>
      </c>
      <c r="D108" s="9">
        <v>0</v>
      </c>
      <c r="E108" s="9">
        <f t="shared" si="18"/>
        <v>1</v>
      </c>
      <c r="F108" s="9">
        <v>1</v>
      </c>
      <c r="G108" s="59" t="b">
        <v>1</v>
      </c>
      <c r="H108" s="54" t="str">
        <f t="shared" si="19"/>
        <v>Residential</v>
      </c>
      <c r="I108" s="18" t="s">
        <v>154</v>
      </c>
      <c r="J108" s="18" t="s">
        <v>1633</v>
      </c>
      <c r="K108" s="18" t="s">
        <v>1472</v>
      </c>
      <c r="L108" s="271">
        <v>2021</v>
      </c>
      <c r="M108" s="30">
        <v>0</v>
      </c>
      <c r="N108" s="19">
        <v>0</v>
      </c>
      <c r="O108" s="19">
        <v>0</v>
      </c>
      <c r="P108" s="20" t="s">
        <v>869</v>
      </c>
      <c r="Q108" s="269">
        <v>0</v>
      </c>
      <c r="R108" s="112">
        <v>0</v>
      </c>
      <c r="S108" s="71" t="s">
        <v>1601</v>
      </c>
      <c r="T108" s="48">
        <f t="shared" si="14"/>
        <v>0</v>
      </c>
      <c r="U108" s="21">
        <f t="shared" si="15"/>
        <v>0</v>
      </c>
      <c r="V108" s="49">
        <f t="shared" si="16"/>
        <v>0</v>
      </c>
    </row>
    <row r="109" spans="1:22" s="73" customFormat="1" ht="13.5" hidden="1" customHeight="1">
      <c r="A109" s="760" t="s">
        <v>1214</v>
      </c>
      <c r="B109" s="9" t="str">
        <f t="shared" si="13"/>
        <v>RES_201301</v>
      </c>
      <c r="C109" s="9">
        <v>0</v>
      </c>
      <c r="D109" s="9">
        <v>0</v>
      </c>
      <c r="E109" s="9">
        <f t="shared" si="18"/>
        <v>1</v>
      </c>
      <c r="F109" s="9">
        <v>1</v>
      </c>
      <c r="G109" s="59" t="b">
        <v>1</v>
      </c>
      <c r="H109" s="54" t="str">
        <f t="shared" si="19"/>
        <v>Residential</v>
      </c>
      <c r="I109" s="18" t="s">
        <v>154</v>
      </c>
      <c r="J109" s="18" t="s">
        <v>1634</v>
      </c>
      <c r="K109" s="18" t="s">
        <v>1472</v>
      </c>
      <c r="L109" s="271">
        <v>2021</v>
      </c>
      <c r="M109" s="30">
        <v>0</v>
      </c>
      <c r="N109" s="19">
        <v>0</v>
      </c>
      <c r="O109" s="19">
        <v>0</v>
      </c>
      <c r="P109" s="20" t="s">
        <v>869</v>
      </c>
      <c r="Q109" s="269">
        <v>0</v>
      </c>
      <c r="R109" s="112">
        <v>0</v>
      </c>
      <c r="S109" s="71" t="s">
        <v>1601</v>
      </c>
      <c r="T109" s="48">
        <f t="shared" si="14"/>
        <v>0</v>
      </c>
      <c r="U109" s="21">
        <f t="shared" si="15"/>
        <v>0</v>
      </c>
      <c r="V109" s="49">
        <f t="shared" si="16"/>
        <v>0</v>
      </c>
    </row>
    <row r="110" spans="1:22" s="73" customFormat="1" ht="13.5" hidden="1" customHeight="1">
      <c r="A110" s="760" t="s">
        <v>1215</v>
      </c>
      <c r="B110" s="9" t="str">
        <f t="shared" si="13"/>
        <v>RES_201301</v>
      </c>
      <c r="C110" s="9">
        <v>0</v>
      </c>
      <c r="D110" s="9">
        <v>0</v>
      </c>
      <c r="E110" s="9">
        <f t="shared" si="18"/>
        <v>1</v>
      </c>
      <c r="F110" s="9">
        <v>1</v>
      </c>
      <c r="G110" s="59" t="b">
        <v>1</v>
      </c>
      <c r="H110" s="54" t="str">
        <f t="shared" si="19"/>
        <v>Residential</v>
      </c>
      <c r="I110" s="18" t="s">
        <v>154</v>
      </c>
      <c r="J110" s="18" t="s">
        <v>1635</v>
      </c>
      <c r="K110" s="18" t="s">
        <v>1472</v>
      </c>
      <c r="L110" s="271">
        <v>2021</v>
      </c>
      <c r="M110" s="30">
        <v>0</v>
      </c>
      <c r="N110" s="19">
        <v>0</v>
      </c>
      <c r="O110" s="19">
        <v>0</v>
      </c>
      <c r="P110" s="20" t="s">
        <v>869</v>
      </c>
      <c r="Q110" s="269">
        <v>0</v>
      </c>
      <c r="R110" s="112">
        <v>0</v>
      </c>
      <c r="S110" s="71" t="s">
        <v>1601</v>
      </c>
      <c r="T110" s="48">
        <f t="shared" si="14"/>
        <v>0</v>
      </c>
      <c r="U110" s="21">
        <f t="shared" si="15"/>
        <v>0</v>
      </c>
      <c r="V110" s="49">
        <f t="shared" si="16"/>
        <v>0</v>
      </c>
    </row>
    <row r="111" spans="1:22" s="482" customFormat="1" ht="13.5" customHeight="1">
      <c r="A111" s="760" t="s">
        <v>709</v>
      </c>
      <c r="B111" s="9" t="str">
        <f t="shared" si="13"/>
        <v>Res_201301</v>
      </c>
      <c r="C111" s="9">
        <v>0</v>
      </c>
      <c r="D111" s="9">
        <v>0</v>
      </c>
      <c r="E111" s="9">
        <f t="shared" si="18"/>
        <v>1</v>
      </c>
      <c r="F111" s="9">
        <v>1</v>
      </c>
      <c r="G111" s="59" t="b">
        <v>1</v>
      </c>
      <c r="H111" s="501" t="str">
        <f t="shared" si="19"/>
        <v>Residential</v>
      </c>
      <c r="I111" s="502" t="s">
        <v>154</v>
      </c>
      <c r="J111" s="502" t="s">
        <v>1481</v>
      </c>
      <c r="K111" s="502" t="s">
        <v>1472</v>
      </c>
      <c r="L111" s="271">
        <v>2021</v>
      </c>
      <c r="M111" s="511">
        <v>378.66370001000001</v>
      </c>
      <c r="N111" s="512">
        <v>378.66370001000001</v>
      </c>
      <c r="O111" s="512">
        <v>0</v>
      </c>
      <c r="P111" s="318" t="s">
        <v>869</v>
      </c>
      <c r="Q111" s="505">
        <v>0.13985600000000001</v>
      </c>
      <c r="R111" s="506">
        <v>600</v>
      </c>
      <c r="S111" s="71" t="s">
        <v>1601</v>
      </c>
      <c r="T111" s="604">
        <f t="shared" si="14"/>
        <v>3.6272870156574362E-3</v>
      </c>
      <c r="U111" s="1381">
        <f t="shared" si="15"/>
        <v>3.6272870156574362E-3</v>
      </c>
      <c r="V111" s="509">
        <f t="shared" si="16"/>
        <v>0</v>
      </c>
    </row>
    <row r="112" spans="1:22" s="73" customFormat="1" ht="13.5" hidden="1" customHeight="1">
      <c r="A112" s="760" t="s">
        <v>618</v>
      </c>
      <c r="B112" s="9" t="str">
        <f t="shared" si="13"/>
        <v>RES_201301</v>
      </c>
      <c r="C112" s="9">
        <v>0</v>
      </c>
      <c r="D112" s="9">
        <v>0</v>
      </c>
      <c r="E112" s="9">
        <f t="shared" si="18"/>
        <v>1</v>
      </c>
      <c r="F112" s="9">
        <v>1</v>
      </c>
      <c r="G112" s="59" t="b">
        <v>1</v>
      </c>
      <c r="H112" s="54" t="str">
        <f t="shared" si="19"/>
        <v>Residential</v>
      </c>
      <c r="I112" s="18" t="s">
        <v>154</v>
      </c>
      <c r="J112" s="18" t="s">
        <v>1460</v>
      </c>
      <c r="K112" s="18" t="s">
        <v>1461</v>
      </c>
      <c r="L112" s="271">
        <v>2021</v>
      </c>
      <c r="M112" s="30">
        <v>0</v>
      </c>
      <c r="N112" s="19">
        <v>0</v>
      </c>
      <c r="O112" s="19">
        <v>0</v>
      </c>
      <c r="P112" s="20" t="s">
        <v>869</v>
      </c>
      <c r="Q112" s="269">
        <v>0</v>
      </c>
      <c r="R112" s="112">
        <v>373</v>
      </c>
      <c r="S112" s="71" t="s">
        <v>1601</v>
      </c>
      <c r="T112" s="48">
        <f t="shared" si="14"/>
        <v>0</v>
      </c>
      <c r="U112" s="21">
        <f t="shared" si="15"/>
        <v>0</v>
      </c>
      <c r="V112" s="49">
        <f t="shared" si="16"/>
        <v>0</v>
      </c>
    </row>
    <row r="113" spans="1:22" s="496" customFormat="1" ht="13.5" customHeight="1" thickBot="1">
      <c r="A113" s="761" t="s">
        <v>1216</v>
      </c>
      <c r="B113" s="756" t="str">
        <f t="shared" si="13"/>
        <v>RES_201301</v>
      </c>
      <c r="C113" s="756">
        <v>0</v>
      </c>
      <c r="D113" s="756">
        <v>0</v>
      </c>
      <c r="E113" s="756">
        <f t="shared" si="18"/>
        <v>1</v>
      </c>
      <c r="F113" s="756">
        <v>1</v>
      </c>
      <c r="G113" s="757" t="b">
        <v>1</v>
      </c>
      <c r="H113" s="576" t="str">
        <f t="shared" si="19"/>
        <v>Residential</v>
      </c>
      <c r="I113" s="577" t="s">
        <v>154</v>
      </c>
      <c r="J113" s="577" t="s">
        <v>1486</v>
      </c>
      <c r="K113" s="577" t="s">
        <v>1472</v>
      </c>
      <c r="L113" s="2445">
        <v>2021</v>
      </c>
      <c r="M113" s="519">
        <v>71.772750000000002</v>
      </c>
      <c r="N113" s="520">
        <v>0</v>
      </c>
      <c r="O113" s="520">
        <v>0</v>
      </c>
      <c r="P113" s="321" t="s">
        <v>869</v>
      </c>
      <c r="Q113" s="521">
        <v>0.13985600000000001</v>
      </c>
      <c r="R113" s="2446">
        <v>0</v>
      </c>
      <c r="S113" s="244" t="s">
        <v>1601</v>
      </c>
      <c r="T113" s="1930">
        <f t="shared" si="14"/>
        <v>0</v>
      </c>
      <c r="U113" s="1931">
        <f t="shared" si="15"/>
        <v>0</v>
      </c>
      <c r="V113" s="530">
        <f t="shared" si="16"/>
        <v>0</v>
      </c>
    </row>
    <row r="114" spans="1:22" ht="13.5" customHeight="1">
      <c r="A114" s="10"/>
      <c r="B114" s="9"/>
      <c r="C114" s="9"/>
      <c r="D114" s="9"/>
      <c r="E114" s="9"/>
      <c r="F114" s="9"/>
      <c r="G114" s="9"/>
      <c r="H114" s="1382"/>
      <c r="I114" s="1382"/>
      <c r="J114" s="1382"/>
      <c r="K114" s="1382"/>
      <c r="L114" s="271"/>
      <c r="M114" s="1383"/>
      <c r="N114" s="1383"/>
      <c r="O114" s="1383"/>
      <c r="P114" s="807"/>
      <c r="Q114" s="1384"/>
      <c r="R114" s="1385"/>
      <c r="S114" s="272"/>
      <c r="T114" s="1386"/>
      <c r="U114" s="1386"/>
      <c r="V114" s="1386"/>
    </row>
    <row r="116" spans="1:22" ht="12.75" customHeight="1">
      <c r="H116" s="1151" t="s">
        <v>1603</v>
      </c>
    </row>
    <row r="117" spans="1:22" ht="12.75" customHeight="1">
      <c r="H117" s="2950" t="s">
        <v>1602</v>
      </c>
      <c r="I117" s="2951"/>
      <c r="J117" s="2951"/>
      <c r="K117" s="2951"/>
      <c r="L117" s="2951"/>
      <c r="M117" s="2951"/>
      <c r="N117" s="2952"/>
    </row>
    <row r="118" spans="1:22" ht="12.75" customHeight="1">
      <c r="H118" s="3014"/>
      <c r="I118" s="2766"/>
      <c r="J118" s="2766"/>
      <c r="K118" s="2766"/>
      <c r="L118" s="2766"/>
      <c r="M118" s="2766"/>
      <c r="N118" s="3015"/>
    </row>
    <row r="119" spans="1:22" ht="12.75" customHeight="1">
      <c r="H119" s="3014"/>
      <c r="I119" s="2766"/>
      <c r="J119" s="2766"/>
      <c r="K119" s="2766"/>
      <c r="L119" s="2766"/>
      <c r="M119" s="2766"/>
      <c r="N119" s="3015"/>
    </row>
    <row r="120" spans="1:22" ht="12.75" customHeight="1">
      <c r="H120" s="3014"/>
      <c r="I120" s="2766"/>
      <c r="J120" s="2766"/>
      <c r="K120" s="2766"/>
      <c r="L120" s="2766"/>
      <c r="M120" s="2766"/>
      <c r="N120" s="3015"/>
    </row>
    <row r="121" spans="1:22" ht="12.75" customHeight="1">
      <c r="H121" s="2953"/>
      <c r="I121" s="2954"/>
      <c r="J121" s="2954"/>
      <c r="K121" s="2954"/>
      <c r="L121" s="2954"/>
      <c r="M121" s="2954"/>
      <c r="N121" s="2955"/>
    </row>
    <row r="123" spans="1:22" ht="12.75" customHeight="1">
      <c r="H123" s="1151" t="s">
        <v>1596</v>
      </c>
    </row>
    <row r="124" spans="1:22" ht="12.75" customHeight="1">
      <c r="H124" s="2990" t="s">
        <v>2636</v>
      </c>
      <c r="I124" s="2991"/>
      <c r="J124" s="2991"/>
      <c r="K124" s="2991"/>
      <c r="L124" s="2991"/>
      <c r="M124" s="2991"/>
      <c r="N124" s="2992"/>
    </row>
    <row r="125" spans="1:22" ht="12.75" customHeight="1">
      <c r="H125" s="2978"/>
      <c r="I125" s="2979"/>
      <c r="J125" s="2979"/>
      <c r="K125" s="2979"/>
      <c r="L125" s="2979"/>
      <c r="M125" s="2979"/>
      <c r="N125" s="2980"/>
    </row>
    <row r="126" spans="1:22" ht="12.75" customHeight="1">
      <c r="H126" s="2978"/>
      <c r="I126" s="2979"/>
      <c r="J126" s="2979"/>
      <c r="K126" s="2979"/>
      <c r="L126" s="2979"/>
      <c r="M126" s="2979"/>
      <c r="N126" s="2980"/>
    </row>
    <row r="127" spans="1:22" ht="12.75" customHeight="1">
      <c r="H127" s="2978"/>
      <c r="I127" s="2979"/>
      <c r="J127" s="2979"/>
      <c r="K127" s="2979"/>
      <c r="L127" s="2979"/>
      <c r="M127" s="2979"/>
      <c r="N127" s="2980"/>
    </row>
    <row r="128" spans="1:22" ht="12.75" customHeight="1">
      <c r="H128" s="2978"/>
      <c r="I128" s="2979"/>
      <c r="J128" s="2979"/>
      <c r="K128" s="2979"/>
      <c r="L128" s="2979"/>
      <c r="M128" s="2979"/>
      <c r="N128" s="2980"/>
    </row>
    <row r="129" spans="8:14" ht="12.75" customHeight="1">
      <c r="H129" s="2981"/>
      <c r="I129" s="2982"/>
      <c r="J129" s="2982"/>
      <c r="K129" s="2982"/>
      <c r="L129" s="2982"/>
      <c r="M129" s="2982"/>
      <c r="N129" s="2983"/>
    </row>
  </sheetData>
  <autoFilter ref="A5:AF113">
    <filterColumn colId="11">
      <filters>
        <filter val="2020"/>
        <filter val="2021"/>
      </filters>
    </filterColumn>
    <filterColumn colId="12">
      <filters>
        <filter val="1,000"/>
        <filter val="1,193"/>
        <filter val="1,332"/>
        <filter val="10"/>
        <filter val="104"/>
        <filter val="144"/>
        <filter val="3,502"/>
        <filter val="3,694"/>
        <filter val="36"/>
        <filter val="379"/>
        <filter val="400"/>
        <filter val="428"/>
        <filter val="45"/>
        <filter val="47"/>
        <filter val="5"/>
        <filter val="50"/>
        <filter val="500"/>
        <filter val="596"/>
        <filter val="667"/>
        <filter val="72"/>
        <filter val="73"/>
        <filter val="757"/>
        <filter val="89"/>
        <filter val="93"/>
        <filter val="99"/>
      </filters>
    </filterColumn>
  </autoFilter>
  <dataConsolidate/>
  <mergeCells count="8">
    <mergeCell ref="H117:N121"/>
    <mergeCell ref="H124:N129"/>
    <mergeCell ref="T4:V4"/>
    <mergeCell ref="I2:L2"/>
    <mergeCell ref="A4:G4"/>
    <mergeCell ref="H4:L4"/>
    <mergeCell ref="M4:Q4"/>
    <mergeCell ref="R4:S4"/>
  </mergeCells>
  <hyperlinks>
    <hyperlink ref="H1" location="' Summary by Program 2020-21'!H1" display="Summary Page"/>
  </hyperlinks>
  <pageMargins left="0.7" right="0.7" top="0.75" bottom="0.75" header="0.3" footer="0.3"/>
  <pageSetup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filterMode="1">
    <tabColor rgb="FF0083CA"/>
    <pageSetUpPr fitToPage="1"/>
  </sheetPr>
  <dimension ref="A1:AD117"/>
  <sheetViews>
    <sheetView topLeftCell="H1" workbookViewId="0">
      <selection activeCell="H1" sqref="H1"/>
    </sheetView>
  </sheetViews>
  <sheetFormatPr defaultColWidth="18.6640625" defaultRowHeight="12.75" customHeight="1" outlineLevelCol="1"/>
  <cols>
    <col min="1" max="1" width="13.88671875" style="8" hidden="1" customWidth="1" outlineLevel="1"/>
    <col min="2" max="2" width="12" style="8" hidden="1" customWidth="1" outlineLevel="1"/>
    <col min="3" max="3" width="5.33203125" style="10" hidden="1" customWidth="1" outlineLevel="1"/>
    <col min="4" max="4" width="20.44140625" style="10" hidden="1" customWidth="1" outlineLevel="1"/>
    <col min="5" max="5" width="9.88671875" style="10" hidden="1" customWidth="1" outlineLevel="1"/>
    <col min="6" max="6" width="11.6640625" style="10" hidden="1" customWidth="1" outlineLevel="1"/>
    <col min="7" max="7" width="15.109375" style="8" hidden="1" customWidth="1" outlineLevel="1"/>
    <col min="8" max="8" width="14.5546875" style="462" customWidth="1" collapsed="1"/>
    <col min="9" max="9" width="26.109375" style="462" customWidth="1"/>
    <col min="10" max="10" width="10.5546875" style="462" customWidth="1"/>
    <col min="11" max="11" width="18.5546875" style="462" customWidth="1"/>
    <col min="12" max="12" width="14.33203125" style="462" customWidth="1"/>
    <col min="13" max="13" width="14.88671875" style="463" customWidth="1"/>
    <col min="14" max="14" width="12.88671875" style="463" customWidth="1"/>
    <col min="15" max="15" width="10.44140625" style="463" customWidth="1"/>
    <col min="16" max="16" width="14.88671875" style="463" customWidth="1"/>
    <col min="17" max="17" width="14.33203125" style="462" customWidth="1"/>
    <col min="18" max="18" width="11.6640625" style="462" customWidth="1"/>
    <col min="19" max="19" width="14.6640625" style="462" customWidth="1"/>
    <col min="20" max="20" width="9.6640625" style="462" customWidth="1"/>
    <col min="21" max="21" width="10.5546875" style="462" customWidth="1"/>
    <col min="22" max="22" width="12.6640625" style="464" customWidth="1"/>
    <col min="23" max="23" width="18.6640625" style="462"/>
    <col min="24" max="24" width="7.5546875" style="462" bestFit="1" customWidth="1"/>
    <col min="25" max="25" width="7.109375" style="462" bestFit="1" customWidth="1"/>
    <col min="26" max="26" width="5" style="462" bestFit="1" customWidth="1"/>
    <col min="27" max="27" width="10.33203125" style="462" bestFit="1" customWidth="1"/>
    <col min="28" max="28" width="9.5546875" style="462" customWidth="1"/>
    <col min="29" max="16384" width="18.6640625" style="462"/>
  </cols>
  <sheetData>
    <row r="1" spans="1:30" ht="12.75" customHeight="1">
      <c r="H1" s="239" t="s">
        <v>1067</v>
      </c>
    </row>
    <row r="2" spans="1:30" ht="51.75" customHeight="1">
      <c r="E2" s="10" t="str">
        <f>"2019RES_201403_P8T1"</f>
        <v>2019RES_201403_P8T1</v>
      </c>
      <c r="H2" s="1164" t="str">
        <f>I6&amp;":"</f>
        <v>Retail Product Portfolio:</v>
      </c>
      <c r="I2" s="2875" t="str">
        <f>INDEX(Programs!C:C,MATCH(I7,Programs!B:B,0))</f>
        <v>The Retail Product Portfolio initiative uses mid-stream incentives to influence retail stocking practices, ultimately driving manufacturing and standards for a portfolio of energy-efficient product sold through the retail channel.</v>
      </c>
      <c r="J2" s="2875"/>
      <c r="K2" s="2875"/>
      <c r="L2" s="2875"/>
      <c r="Q2" s="458"/>
      <c r="R2" s="458"/>
      <c r="AC2" s="1959"/>
      <c r="AD2" s="1959" t="s">
        <v>419</v>
      </c>
    </row>
    <row r="3" spans="1:30" ht="27.75" customHeight="1">
      <c r="E3" s="10" t="s">
        <v>626</v>
      </c>
      <c r="F3" s="10" t="b">
        <f>E3=E2</f>
        <v>1</v>
      </c>
      <c r="H3" s="926"/>
      <c r="M3" s="1380"/>
      <c r="AC3" s="1959"/>
      <c r="AD3" s="1959" t="s">
        <v>420</v>
      </c>
    </row>
    <row r="4" spans="1:30" s="458" customFormat="1" ht="15.75" customHeight="1">
      <c r="A4" s="3019" t="s">
        <v>131</v>
      </c>
      <c r="B4" s="3020"/>
      <c r="C4" s="3020"/>
      <c r="D4" s="3020"/>
      <c r="E4" s="3020"/>
      <c r="F4" s="3020"/>
      <c r="G4" s="3021"/>
      <c r="H4" s="2879" t="s">
        <v>7</v>
      </c>
      <c r="I4" s="2880"/>
      <c r="J4" s="2880"/>
      <c r="K4" s="2880"/>
      <c r="L4" s="2880"/>
      <c r="M4" s="2881" t="s">
        <v>127</v>
      </c>
      <c r="N4" s="2882"/>
      <c r="O4" s="2882"/>
      <c r="P4" s="2882"/>
      <c r="Q4" s="2883"/>
      <c r="R4" s="2884" t="s">
        <v>129</v>
      </c>
      <c r="S4" s="2885"/>
      <c r="T4" s="2872" t="s">
        <v>130</v>
      </c>
      <c r="U4" s="2873"/>
      <c r="V4" s="2874"/>
      <c r="AC4" s="1962"/>
      <c r="AD4" s="1962"/>
    </row>
    <row r="5" spans="1:30" s="931" customFormat="1" ht="60" customHeight="1" thickBot="1">
      <c r="A5" s="56" t="s">
        <v>0</v>
      </c>
      <c r="B5" s="6" t="s">
        <v>11</v>
      </c>
      <c r="C5" s="7" t="s">
        <v>1</v>
      </c>
      <c r="D5" s="7" t="s">
        <v>2</v>
      </c>
      <c r="E5" s="7" t="s">
        <v>266</v>
      </c>
      <c r="F5" s="7" t="s">
        <v>306</v>
      </c>
      <c r="G5" s="57" t="s">
        <v>12</v>
      </c>
      <c r="H5" s="1112" t="s">
        <v>3</v>
      </c>
      <c r="I5" s="1112" t="s">
        <v>4</v>
      </c>
      <c r="J5" s="1112" t="s">
        <v>5</v>
      </c>
      <c r="K5" s="1112" t="s">
        <v>6</v>
      </c>
      <c r="L5" s="1112" t="s">
        <v>8</v>
      </c>
      <c r="M5" s="1113" t="s">
        <v>13</v>
      </c>
      <c r="N5" s="1112" t="s">
        <v>14</v>
      </c>
      <c r="O5" s="1112" t="s">
        <v>123</v>
      </c>
      <c r="P5" s="1112" t="s">
        <v>124</v>
      </c>
      <c r="Q5" s="1114" t="s">
        <v>16</v>
      </c>
      <c r="R5" s="1113" t="s">
        <v>871</v>
      </c>
      <c r="S5" s="1114" t="s">
        <v>125</v>
      </c>
      <c r="T5" s="1113" t="s">
        <v>126</v>
      </c>
      <c r="U5" s="1112" t="s">
        <v>18</v>
      </c>
      <c r="V5" s="1115" t="s">
        <v>17</v>
      </c>
      <c r="AC5" s="2343"/>
      <c r="AD5" s="2343"/>
    </row>
    <row r="6" spans="1:30" s="1" customFormat="1" ht="12.75" hidden="1" customHeight="1" thickTop="1">
      <c r="A6" s="58" t="s">
        <v>760</v>
      </c>
      <c r="B6" s="9" t="str">
        <f t="shared" ref="B6:B7" si="0">LEFT(A6,10)</f>
        <v>RES_201403</v>
      </c>
      <c r="C6" s="9">
        <v>0</v>
      </c>
      <c r="D6" s="9">
        <v>0</v>
      </c>
      <c r="E6" s="9">
        <f>COUNTIFS($A:$A,A6,$L:$L,L6)</f>
        <v>1</v>
      </c>
      <c r="F6" s="9">
        <v>1</v>
      </c>
      <c r="G6" s="59" t="b">
        <v>1</v>
      </c>
      <c r="H6" s="501" t="str">
        <f>IF(LEFT(A6,3)="Res","Residential",IF(LEFT(A6,3)="Ind","industrial",IF(LEFT(A6,3)="Com","Commercial",IF(LEFT(A6,3)="AGR","Agriculture",""))))</f>
        <v>Residential</v>
      </c>
      <c r="I6" s="502" t="s">
        <v>155</v>
      </c>
      <c r="J6" s="502" t="s">
        <v>768</v>
      </c>
      <c r="K6" s="502" t="s">
        <v>1461</v>
      </c>
      <c r="L6" s="24">
        <v>2019</v>
      </c>
      <c r="M6" s="511">
        <v>17858.04758613</v>
      </c>
      <c r="N6" s="512">
        <v>0</v>
      </c>
      <c r="O6" s="512">
        <v>0</v>
      </c>
      <c r="P6" s="318" t="s">
        <v>1324</v>
      </c>
      <c r="Q6" s="505">
        <v>0.14199999999999999</v>
      </c>
      <c r="R6" s="589">
        <f>L39</f>
        <v>76.991096921915869</v>
      </c>
      <c r="S6" s="278" t="s">
        <v>1252</v>
      </c>
      <c r="T6" s="590">
        <f>(M6-O6)*Q6*R6/8760000</f>
        <v>2.2287364783181361E-2</v>
      </c>
      <c r="U6" s="508">
        <f t="shared" ref="U6:U7" si="1">IFERROR((N6-O6/M6*N6)*Q6*R6/8760/1000,0)</f>
        <v>0</v>
      </c>
      <c r="V6" s="509">
        <f>T6-U6</f>
        <v>2.2287364783181361E-2</v>
      </c>
    </row>
    <row r="7" spans="1:30" s="1" customFormat="1" ht="12.75" hidden="1" customHeight="1">
      <c r="A7" s="58" t="s">
        <v>760</v>
      </c>
      <c r="B7" s="9" t="str">
        <f t="shared" si="0"/>
        <v>RES_201403</v>
      </c>
      <c r="C7" s="9">
        <v>0</v>
      </c>
      <c r="D7" s="9">
        <v>0</v>
      </c>
      <c r="E7" s="9">
        <f>COUNTIFS($A:$A,A7,$L:$L,L7)</f>
        <v>1</v>
      </c>
      <c r="F7" s="9">
        <v>1</v>
      </c>
      <c r="G7" s="59" t="b">
        <v>1</v>
      </c>
      <c r="H7" s="501" t="str">
        <f t="shared" ref="H7" si="2">IF(LEFT(A7,3)="Res","Residential",IF(LEFT(A7,3)="Ind","industrial",IF(LEFT(A7,3)="Com","Commercial",IF(LEFT(A7,3)="AGR","Agriculture",""))))</f>
        <v>Residential</v>
      </c>
      <c r="I7" s="502" t="s">
        <v>155</v>
      </c>
      <c r="J7" s="502" t="s">
        <v>768</v>
      </c>
      <c r="K7" s="502" t="s">
        <v>1461</v>
      </c>
      <c r="L7" s="24">
        <v>2018</v>
      </c>
      <c r="M7" s="511">
        <v>21922</v>
      </c>
      <c r="N7" s="512">
        <v>0</v>
      </c>
      <c r="O7" s="512">
        <v>0</v>
      </c>
      <c r="P7" s="318" t="s">
        <v>1324</v>
      </c>
      <c r="Q7" s="505">
        <v>0.14199999999999999</v>
      </c>
      <c r="R7" s="589">
        <f>M39</f>
        <v>64.881962781484106</v>
      </c>
      <c r="S7" s="278" t="s">
        <v>1252</v>
      </c>
      <c r="T7" s="590">
        <f>(M7-O7)*Q7*R7/8760000</f>
        <v>2.3056235058172215E-2</v>
      </c>
      <c r="U7" s="508">
        <f t="shared" si="1"/>
        <v>0</v>
      </c>
      <c r="V7" s="509">
        <f t="shared" ref="V7" si="3">T7-U7</f>
        <v>2.3056235058172215E-2</v>
      </c>
    </row>
    <row r="8" spans="1:30" ht="12.75" customHeight="1" thickTop="1">
      <c r="A8" s="58" t="s">
        <v>760</v>
      </c>
      <c r="B8" s="9" t="str">
        <f t="shared" ref="B8:B9" si="4">LEFT(A8,10)</f>
        <v>RES_201403</v>
      </c>
      <c r="C8" s="9">
        <v>0</v>
      </c>
      <c r="D8" s="9">
        <v>0</v>
      </c>
      <c r="E8" s="9">
        <f>COUNTIFS($A:$A,A8,$L:$L,L8)</f>
        <v>1</v>
      </c>
      <c r="F8" s="9">
        <v>1</v>
      </c>
      <c r="G8" s="59" t="b">
        <v>1</v>
      </c>
      <c r="H8" s="501" t="str">
        <f>IF(LEFT(A8,3)="Res","Residential",IF(LEFT(A8,3)="Ind","industrial",IF(LEFT(A8,3)="Com","Commercial",IF(LEFT(A8,3)="AGR","Agriculture",""))))</f>
        <v>Residential</v>
      </c>
      <c r="I8" s="502" t="s">
        <v>155</v>
      </c>
      <c r="J8" s="502" t="s">
        <v>768</v>
      </c>
      <c r="K8" s="502" t="s">
        <v>1497</v>
      </c>
      <c r="L8" s="24">
        <v>2020</v>
      </c>
      <c r="M8" s="511">
        <v>20886.0529174</v>
      </c>
      <c r="N8" s="512">
        <v>0</v>
      </c>
      <c r="O8" s="512">
        <v>0</v>
      </c>
      <c r="P8" s="318" t="s">
        <v>1324</v>
      </c>
      <c r="Q8" s="505">
        <v>0.13985600000000001</v>
      </c>
      <c r="R8" s="506">
        <f>AB87</f>
        <v>10.410872659457814</v>
      </c>
      <c r="S8" s="414" t="s">
        <v>2258</v>
      </c>
      <c r="T8" s="590">
        <f>(M8-O8)*Q8*R8/8760000</f>
        <v>3.4715266627940934E-3</v>
      </c>
      <c r="U8" s="508">
        <f t="shared" ref="U8:U9" si="5">IFERROR((N8-O8/M8*N8)*Q8*R8/8760/1000,0)</f>
        <v>0</v>
      </c>
      <c r="V8" s="509">
        <f>T8-U8</f>
        <v>3.4715266627940934E-3</v>
      </c>
    </row>
    <row r="9" spans="1:30" ht="12.75" customHeight="1">
      <c r="A9" s="58" t="s">
        <v>760</v>
      </c>
      <c r="B9" s="9" t="str">
        <f t="shared" si="4"/>
        <v>RES_201403</v>
      </c>
      <c r="C9" s="9">
        <v>0</v>
      </c>
      <c r="D9" s="9">
        <v>0</v>
      </c>
      <c r="E9" s="9">
        <f>COUNTIFS($A:$A,A9,$L:$L,L9)</f>
        <v>1</v>
      </c>
      <c r="F9" s="9">
        <v>1</v>
      </c>
      <c r="G9" s="59" t="b">
        <v>1</v>
      </c>
      <c r="H9" s="501" t="str">
        <f t="shared" ref="H9" si="6">IF(LEFT(A9,3)="Res","Residential",IF(LEFT(A9,3)="Ind","industrial",IF(LEFT(A9,3)="Com","Commercial",IF(LEFT(A9,3)="AGR","Agriculture",""))))</f>
        <v>Residential</v>
      </c>
      <c r="I9" s="502" t="s">
        <v>155</v>
      </c>
      <c r="J9" s="502" t="s">
        <v>768</v>
      </c>
      <c r="K9" s="502" t="s">
        <v>1497</v>
      </c>
      <c r="L9" s="24">
        <v>2021</v>
      </c>
      <c r="M9" s="511">
        <v>21092.247693829999</v>
      </c>
      <c r="N9" s="512">
        <v>0</v>
      </c>
      <c r="O9" s="512">
        <v>0</v>
      </c>
      <c r="P9" s="318" t="s">
        <v>1324</v>
      </c>
      <c r="Q9" s="505">
        <v>0.13985600000000001</v>
      </c>
      <c r="R9" s="506">
        <f>AB87</f>
        <v>10.410872659457814</v>
      </c>
      <c r="S9" s="414" t="s">
        <v>2258</v>
      </c>
      <c r="T9" s="590">
        <f>(M9-O9)*Q9*R9/8760000</f>
        <v>3.5057988475355809E-3</v>
      </c>
      <c r="U9" s="508">
        <f t="shared" si="5"/>
        <v>0</v>
      </c>
      <c r="V9" s="509">
        <f t="shared" ref="V9" si="7">T9-U9</f>
        <v>3.5057988475355809E-3</v>
      </c>
    </row>
    <row r="10" spans="1:30" ht="12.75" customHeight="1">
      <c r="B10" s="9"/>
      <c r="C10" s="9"/>
      <c r="D10" s="9"/>
      <c r="E10" s="9"/>
      <c r="F10" s="9"/>
      <c r="G10" s="9"/>
      <c r="H10" s="501"/>
      <c r="I10" s="502"/>
      <c r="J10" s="502"/>
      <c r="K10" s="502"/>
      <c r="L10" s="24"/>
      <c r="M10" s="511"/>
      <c r="N10" s="512"/>
      <c r="O10" s="318"/>
      <c r="P10" s="318"/>
      <c r="Q10" s="591"/>
      <c r="R10" s="592"/>
      <c r="S10" s="71"/>
      <c r="T10" s="507"/>
      <c r="U10" s="508"/>
      <c r="V10" s="509"/>
    </row>
    <row r="11" spans="1:30" ht="12.75" customHeight="1">
      <c r="F11" s="9"/>
      <c r="H11" s="939" t="s">
        <v>1355</v>
      </c>
      <c r="I11" s="940"/>
      <c r="J11" s="940"/>
      <c r="K11" s="940"/>
      <c r="L11" s="96"/>
    </row>
    <row r="12" spans="1:30" ht="84" customHeight="1">
      <c r="F12" s="9"/>
      <c r="H12" s="2956" t="s">
        <v>1615</v>
      </c>
      <c r="I12" s="2957"/>
      <c r="J12" s="2957"/>
      <c r="K12" s="2957"/>
      <c r="L12" s="2958"/>
    </row>
    <row r="13" spans="1:30" ht="12.75" customHeight="1">
      <c r="F13" s="9"/>
      <c r="H13" s="940"/>
      <c r="I13" s="940"/>
      <c r="J13" s="940"/>
      <c r="K13" s="940"/>
      <c r="L13" s="96"/>
    </row>
    <row r="14" spans="1:30" ht="12.75" customHeight="1">
      <c r="F14" s="9"/>
      <c r="H14" s="940"/>
      <c r="I14" s="940"/>
      <c r="J14" s="940"/>
      <c r="K14" s="940"/>
      <c r="L14" s="96"/>
    </row>
    <row r="15" spans="1:30" s="458" customFormat="1" ht="21" customHeight="1">
      <c r="A15" s="8"/>
      <c r="B15" s="8"/>
      <c r="C15" s="10"/>
      <c r="D15" s="10"/>
      <c r="E15" s="10"/>
      <c r="F15" s="9"/>
      <c r="G15" s="8"/>
      <c r="H15" s="1632" t="s">
        <v>242</v>
      </c>
    </row>
    <row r="16" spans="1:30" ht="12.75" customHeight="1">
      <c r="H16" s="462" t="s">
        <v>1098</v>
      </c>
    </row>
    <row r="17" spans="1:22" s="1" customFormat="1" ht="31.5" hidden="1" customHeight="1">
      <c r="A17" s="8"/>
      <c r="B17" s="8"/>
      <c r="C17" s="10"/>
      <c r="D17" s="10"/>
      <c r="E17" s="10"/>
      <c r="F17" s="10"/>
      <c r="G17" s="8"/>
      <c r="L17" s="3024" t="s">
        <v>1350</v>
      </c>
      <c r="M17" s="3024"/>
      <c r="N17" s="2"/>
      <c r="O17" s="3025" t="s">
        <v>1351</v>
      </c>
      <c r="P17" s="3025"/>
      <c r="Q17" s="3025"/>
      <c r="V17" s="3"/>
    </row>
    <row r="18" spans="1:22" s="1" customFormat="1" ht="24" hidden="1" customHeight="1" thickBot="1">
      <c r="A18" s="8"/>
      <c r="B18" s="8"/>
      <c r="C18" s="10"/>
      <c r="D18" s="10"/>
      <c r="E18" s="10"/>
      <c r="F18" s="10"/>
      <c r="G18" s="8"/>
      <c r="H18" s="249"/>
      <c r="I18" s="249"/>
      <c r="J18" s="106"/>
      <c r="K18" s="256" t="s">
        <v>1070</v>
      </c>
      <c r="L18">
        <v>2018</v>
      </c>
      <c r="M18">
        <v>2019</v>
      </c>
      <c r="N18" s="2"/>
      <c r="O18" s="257" t="s">
        <v>1071</v>
      </c>
      <c r="P18" s="257" t="s">
        <v>1250</v>
      </c>
      <c r="V18" s="3"/>
    </row>
    <row r="19" spans="1:22" s="1" customFormat="1" ht="12.75" hidden="1" customHeight="1" thickTop="1" thickBot="1">
      <c r="A19" s="8"/>
      <c r="B19" s="8"/>
      <c r="C19" s="10"/>
      <c r="D19" s="10"/>
      <c r="E19" s="10"/>
      <c r="F19" s="10"/>
      <c r="G19" s="8"/>
      <c r="H19" s="3026" t="s">
        <v>761</v>
      </c>
      <c r="I19" s="3026"/>
      <c r="J19" s="3026"/>
      <c r="K19" s="250" t="s">
        <v>1251</v>
      </c>
      <c r="L19" s="252">
        <f>$O19-P19</f>
        <v>26.239134495290784</v>
      </c>
      <c r="M19" s="252">
        <f>$O19-Q19</f>
        <v>26.239134495290784</v>
      </c>
      <c r="N19" s="2"/>
      <c r="O19" s="252">
        <v>277.08881671368999</v>
      </c>
      <c r="P19" s="252">
        <v>250.84968221839921</v>
      </c>
      <c r="Q19" s="252">
        <v>250.84968221839921</v>
      </c>
      <c r="R19" s="113">
        <v>26.239134495290784</v>
      </c>
      <c r="S19" s="2"/>
      <c r="V19" s="3"/>
    </row>
    <row r="20" spans="1:22" s="1" customFormat="1" ht="12.75" hidden="1" customHeight="1" thickTop="1" thickBot="1">
      <c r="A20" s="8"/>
      <c r="B20" s="8"/>
      <c r="C20" s="10"/>
      <c r="D20" s="10"/>
      <c r="E20" s="10"/>
      <c r="F20" s="10"/>
      <c r="G20" s="8"/>
      <c r="H20" s="3026" t="s">
        <v>762</v>
      </c>
      <c r="I20" s="3026"/>
      <c r="J20" s="3026"/>
      <c r="K20" s="250" t="s">
        <v>1251</v>
      </c>
      <c r="L20" s="252">
        <f t="shared" ref="L20:M27" si="8">$O20-P20</f>
        <v>47.480418121801904</v>
      </c>
      <c r="M20" s="252">
        <f t="shared" si="8"/>
        <v>47.480418121801904</v>
      </c>
      <c r="N20" s="2"/>
      <c r="O20" s="253">
        <v>333.37143740677101</v>
      </c>
      <c r="P20" s="253">
        <v>285.8910192849691</v>
      </c>
      <c r="Q20" s="253">
        <v>285.8910192849691</v>
      </c>
      <c r="R20" s="113">
        <v>47.480418121801904</v>
      </c>
      <c r="S20" s="2"/>
      <c r="V20" s="3"/>
    </row>
    <row r="21" spans="1:22" s="1" customFormat="1" ht="12.75" hidden="1" customHeight="1" thickTop="1" thickBot="1">
      <c r="A21" s="8"/>
      <c r="B21" s="8"/>
      <c r="C21" s="10"/>
      <c r="D21" s="10"/>
      <c r="E21" s="10"/>
      <c r="F21" s="10"/>
      <c r="G21" s="8"/>
      <c r="H21" s="3026" t="s">
        <v>1248</v>
      </c>
      <c r="I21" s="3026"/>
      <c r="J21" s="3026"/>
      <c r="K21" s="250" t="s">
        <v>1251</v>
      </c>
      <c r="L21" s="252">
        <f t="shared" si="8"/>
        <v>52.572133006616525</v>
      </c>
      <c r="M21" s="252">
        <f t="shared" si="8"/>
        <v>52.572133006616525</v>
      </c>
      <c r="N21" s="2"/>
      <c r="O21" s="253">
        <v>432.03389726678887</v>
      </c>
      <c r="P21" s="253">
        <v>379.46176426017234</v>
      </c>
      <c r="Q21" s="253">
        <v>379.46176426017234</v>
      </c>
      <c r="R21" s="113">
        <v>52.572133006616525</v>
      </c>
      <c r="S21" s="2"/>
      <c r="V21" s="3"/>
    </row>
    <row r="22" spans="1:22" s="1" customFormat="1" ht="12.75" hidden="1" customHeight="1" thickTop="1" thickBot="1">
      <c r="A22" s="8"/>
      <c r="B22" s="8"/>
      <c r="C22" s="10"/>
      <c r="D22" s="10"/>
      <c r="E22" s="10"/>
      <c r="F22" s="10"/>
      <c r="G22" s="8"/>
      <c r="H22" s="3026" t="s">
        <v>1249</v>
      </c>
      <c r="I22" s="3026"/>
      <c r="J22" s="3026"/>
      <c r="K22" s="250" t="s">
        <v>1251</v>
      </c>
      <c r="L22" s="252">
        <f t="shared" si="8"/>
        <v>79.047989737759735</v>
      </c>
      <c r="M22" s="252">
        <f t="shared" si="8"/>
        <v>79.047989737759735</v>
      </c>
      <c r="N22" s="2"/>
      <c r="O22" s="253">
        <v>594.19038688904914</v>
      </c>
      <c r="P22" s="253">
        <v>515.1423971512894</v>
      </c>
      <c r="Q22" s="253">
        <v>515.1423971512894</v>
      </c>
      <c r="R22" s="113">
        <v>79.047989737759735</v>
      </c>
      <c r="S22" s="2"/>
      <c r="V22" s="3"/>
    </row>
    <row r="23" spans="1:22" s="1" customFormat="1" ht="12.75" hidden="1" customHeight="1" thickTop="1" thickBot="1">
      <c r="A23" s="8"/>
      <c r="B23" s="8"/>
      <c r="C23" s="10"/>
      <c r="D23" s="10"/>
      <c r="E23" s="10"/>
      <c r="F23" s="10"/>
      <c r="G23" s="8"/>
      <c r="H23" s="3026" t="s">
        <v>763</v>
      </c>
      <c r="I23" s="3026"/>
      <c r="J23" s="3026"/>
      <c r="K23" s="250" t="s">
        <v>1251</v>
      </c>
      <c r="L23" s="252">
        <f t="shared" si="8"/>
        <v>113.16525412617204</v>
      </c>
      <c r="M23" s="252">
        <f t="shared" si="8"/>
        <v>113.16525412617204</v>
      </c>
      <c r="N23" s="2"/>
      <c r="O23" s="253">
        <v>863.87872257665595</v>
      </c>
      <c r="P23" s="253">
        <v>750.7134684504839</v>
      </c>
      <c r="Q23" s="253">
        <v>750.7134684504839</v>
      </c>
      <c r="R23" s="113">
        <v>113.16525412617204</v>
      </c>
      <c r="S23" s="2"/>
      <c r="V23" s="3"/>
    </row>
    <row r="24" spans="1:22" s="1" customFormat="1" ht="12.75" hidden="1" customHeight="1" thickTop="1" thickBot="1">
      <c r="A24" s="8"/>
      <c r="B24" s="8"/>
      <c r="C24" s="10"/>
      <c r="D24" s="10"/>
      <c r="E24" s="10"/>
      <c r="F24" s="10"/>
      <c r="G24" s="8"/>
      <c r="H24" s="3026" t="s">
        <v>764</v>
      </c>
      <c r="I24" s="3026"/>
      <c r="J24" s="3026"/>
      <c r="K24" s="250" t="s">
        <v>1251</v>
      </c>
      <c r="L24" s="252">
        <f t="shared" si="8"/>
        <v>149.55841220012326</v>
      </c>
      <c r="M24" s="252">
        <f t="shared" si="8"/>
        <v>149.55841220012326</v>
      </c>
      <c r="N24" s="2"/>
      <c r="O24" s="253">
        <v>1524.7680060536431</v>
      </c>
      <c r="P24" s="253">
        <v>1375.2095938535199</v>
      </c>
      <c r="Q24" s="253">
        <v>1375.2095938535199</v>
      </c>
      <c r="R24" s="113">
        <v>149.55841220012326</v>
      </c>
      <c r="S24" s="2"/>
      <c r="V24" s="3"/>
    </row>
    <row r="25" spans="1:22" s="1" customFormat="1" ht="12.75" hidden="1" customHeight="1" thickTop="1" thickBot="1">
      <c r="A25" s="8"/>
      <c r="B25" s="8"/>
      <c r="C25" s="10"/>
      <c r="D25" s="10"/>
      <c r="E25" s="10"/>
      <c r="F25" s="10"/>
      <c r="G25" s="8"/>
      <c r="H25" s="3026" t="s">
        <v>765</v>
      </c>
      <c r="I25" s="3026"/>
      <c r="J25" s="3026"/>
      <c r="K25" s="250" t="s">
        <v>1251</v>
      </c>
      <c r="L25" s="252">
        <f t="shared" si="8"/>
        <v>67.189570711335136</v>
      </c>
      <c r="M25" s="252">
        <f>$O25-Q25</f>
        <v>67.189570711335136</v>
      </c>
      <c r="N25" s="2"/>
      <c r="O25" s="253">
        <v>507.03610591315748</v>
      </c>
      <c r="P25" s="253">
        <v>439.84653520182235</v>
      </c>
      <c r="Q25" s="253">
        <v>439.84653520182235</v>
      </c>
      <c r="R25" s="113">
        <v>67.189570711335136</v>
      </c>
      <c r="S25" s="2"/>
      <c r="V25" s="3"/>
    </row>
    <row r="26" spans="1:22" s="1" customFormat="1" ht="12.75" hidden="1" customHeight="1" thickTop="1" thickBot="1">
      <c r="A26" s="8"/>
      <c r="B26" s="8"/>
      <c r="C26" s="10"/>
      <c r="D26" s="10"/>
      <c r="E26" s="10"/>
      <c r="F26" s="10"/>
      <c r="G26" s="8"/>
      <c r="H26" s="3026" t="s">
        <v>766</v>
      </c>
      <c r="I26" s="3026"/>
      <c r="J26" s="3026"/>
      <c r="K26" s="250" t="s">
        <v>1251</v>
      </c>
      <c r="L26" s="252">
        <f t="shared" si="8"/>
        <v>50.377121076654248</v>
      </c>
      <c r="M26" s="252">
        <f t="shared" si="8"/>
        <v>50.377121076654248</v>
      </c>
      <c r="N26" s="2"/>
      <c r="O26" s="253">
        <v>743.57471278103912</v>
      </c>
      <c r="P26" s="253">
        <v>693.19759170438488</v>
      </c>
      <c r="Q26" s="253">
        <v>693.19759170438488</v>
      </c>
      <c r="R26" s="113">
        <v>50.377121076654248</v>
      </c>
      <c r="S26" s="2"/>
      <c r="V26" s="3"/>
    </row>
    <row r="27" spans="1:22" s="1" customFormat="1" ht="12.75" hidden="1" customHeight="1" thickTop="1" thickBot="1">
      <c r="A27" s="8"/>
      <c r="B27" s="8"/>
      <c r="C27" s="10"/>
      <c r="D27" s="10"/>
      <c r="E27" s="10"/>
      <c r="F27" s="10"/>
      <c r="G27" s="8"/>
      <c r="H27" s="3026" t="s">
        <v>767</v>
      </c>
      <c r="I27" s="3026"/>
      <c r="J27" s="3026"/>
      <c r="K27" s="250" t="s">
        <v>1251</v>
      </c>
      <c r="L27" s="252">
        <f t="shared" si="8"/>
        <v>359.52813683841498</v>
      </c>
      <c r="M27" s="252">
        <f t="shared" si="8"/>
        <v>359.52813683841498</v>
      </c>
      <c r="N27" s="2"/>
      <c r="O27" s="254">
        <v>679.04444849467166</v>
      </c>
      <c r="P27" s="254">
        <v>319.51631165625668</v>
      </c>
      <c r="Q27" s="254">
        <v>319.51631165625668</v>
      </c>
      <c r="R27" s="113">
        <v>359.52813683841498</v>
      </c>
      <c r="S27" s="2"/>
      <c r="V27" s="3"/>
    </row>
    <row r="28" spans="1:22" s="1" customFormat="1" ht="80.25" hidden="1" customHeight="1" thickTop="1" thickBot="1">
      <c r="A28" s="8"/>
      <c r="B28" s="8"/>
      <c r="C28" s="10"/>
      <c r="D28" s="10"/>
      <c r="E28" s="10"/>
      <c r="F28" s="10"/>
      <c r="G28" s="8"/>
      <c r="H28"/>
      <c r="I28" s="247"/>
      <c r="J28"/>
      <c r="K28" s="256" t="s">
        <v>297</v>
      </c>
      <c r="L28" s="3024" t="s">
        <v>1352</v>
      </c>
      <c r="M28" s="3024"/>
      <c r="N28" s="2"/>
      <c r="O28" s="3023" t="s">
        <v>1349</v>
      </c>
      <c r="P28" s="3023"/>
      <c r="Q28" s="3023"/>
      <c r="V28" s="3"/>
    </row>
    <row r="29" spans="1:22" s="1" customFormat="1" ht="12.75" hidden="1" customHeight="1" thickTop="1" thickBot="1">
      <c r="A29" s="8"/>
      <c r="B29" s="8"/>
      <c r="C29" s="10"/>
      <c r="D29" s="10"/>
      <c r="E29" s="10"/>
      <c r="F29" s="10"/>
      <c r="G29" s="8"/>
      <c r="H29" s="3026" t="s">
        <v>761</v>
      </c>
      <c r="I29" s="3026"/>
      <c r="J29" s="3026"/>
      <c r="K29" s="250" t="s">
        <v>1251</v>
      </c>
      <c r="L29" s="255">
        <f>SUMIFS(J$45:J$55,H$45:H$55,$H29)/SUM($J$45:$J$55)</f>
        <v>0</v>
      </c>
      <c r="M29" s="255">
        <v>8.7386589849761179E-2</v>
      </c>
      <c r="N29" s="2"/>
      <c r="O29" s="275">
        <v>1.0919817399868586E-2</v>
      </c>
      <c r="P29" s="275">
        <v>1.1237637766418113E-2</v>
      </c>
      <c r="V29" s="3"/>
    </row>
    <row r="30" spans="1:22" s="1" customFormat="1" ht="12.75" hidden="1" customHeight="1" thickTop="1" thickBot="1">
      <c r="A30" s="8"/>
      <c r="B30" s="8"/>
      <c r="C30" s="10"/>
      <c r="D30" s="10"/>
      <c r="E30" s="10"/>
      <c r="F30" s="10"/>
      <c r="G30" s="8"/>
      <c r="H30" s="3026" t="s">
        <v>762</v>
      </c>
      <c r="I30" s="3026"/>
      <c r="J30" s="3026"/>
      <c r="K30" s="250" t="s">
        <v>1251</v>
      </c>
      <c r="L30" s="255">
        <f t="shared" ref="L30:L37" si="9">SUMIFS(J$45:J$55,H$45:H$55,$H30)/SUM($J$45:$J$55)</f>
        <v>3.6264939330353067E-2</v>
      </c>
      <c r="M30" s="255">
        <v>6.4260423953354476E-2</v>
      </c>
      <c r="N30" s="2"/>
      <c r="O30" s="275">
        <v>4.853202680119577E-3</v>
      </c>
      <c r="P30" s="275">
        <v>4.9944547357403356E-3</v>
      </c>
      <c r="V30" s="3"/>
    </row>
    <row r="31" spans="1:22" s="1" customFormat="1" ht="12.75" hidden="1" customHeight="1" thickTop="1" thickBot="1">
      <c r="A31" s="8"/>
      <c r="B31" s="8"/>
      <c r="C31" s="10"/>
      <c r="D31" s="10"/>
      <c r="E31" s="10"/>
      <c r="F31" s="10"/>
      <c r="G31" s="8"/>
      <c r="H31" s="3026" t="s">
        <v>1248</v>
      </c>
      <c r="I31" s="3026"/>
      <c r="J31" s="3026"/>
      <c r="K31" s="250" t="s">
        <v>1251</v>
      </c>
      <c r="L31" s="255">
        <f t="shared" si="9"/>
        <v>0.32237022169510082</v>
      </c>
      <c r="M31" s="255">
        <v>0.41865563192712285</v>
      </c>
      <c r="N31" s="2"/>
      <c r="O31" s="275">
        <v>0.89398809138648827</v>
      </c>
      <c r="P31" s="275">
        <v>0.89951878016760023</v>
      </c>
      <c r="V31" s="3"/>
    </row>
    <row r="32" spans="1:22" s="1" customFormat="1" ht="12.75" hidden="1" customHeight="1" thickTop="1" thickBot="1">
      <c r="A32" s="8"/>
      <c r="B32" s="8"/>
      <c r="C32" s="10"/>
      <c r="D32" s="10"/>
      <c r="E32" s="10"/>
      <c r="F32" s="10"/>
      <c r="G32" s="8"/>
      <c r="H32" s="3026" t="s">
        <v>1249</v>
      </c>
      <c r="I32" s="3026"/>
      <c r="J32" s="3026"/>
      <c r="K32" s="250" t="s">
        <v>1251</v>
      </c>
      <c r="L32" s="255">
        <f t="shared" si="9"/>
        <v>0.43860049265577961</v>
      </c>
      <c r="M32" s="255">
        <v>0.32369292621447815</v>
      </c>
      <c r="N32" s="2"/>
      <c r="O32" s="276"/>
      <c r="P32" s="276"/>
      <c r="V32" s="3"/>
    </row>
    <row r="33" spans="1:22" s="1" customFormat="1" ht="12.75" hidden="1" customHeight="1" thickTop="1" thickBot="1">
      <c r="A33" s="8"/>
      <c r="B33" s="8"/>
      <c r="C33" s="10"/>
      <c r="D33" s="10"/>
      <c r="E33" s="10"/>
      <c r="F33" s="10"/>
      <c r="G33" s="8"/>
      <c r="H33" s="3026" t="s">
        <v>763</v>
      </c>
      <c r="I33" s="3026"/>
      <c r="J33" s="3026"/>
      <c r="K33" s="250" t="s">
        <v>1251</v>
      </c>
      <c r="L33" s="255">
        <f t="shared" si="9"/>
        <v>0.18064045251345681</v>
      </c>
      <c r="M33" s="255">
        <v>9.6719162949429241E-2</v>
      </c>
      <c r="N33" s="2"/>
      <c r="O33" s="275">
        <v>8.0372024689243607E-2</v>
      </c>
      <c r="P33" s="275">
        <v>7.4728664994942892E-2</v>
      </c>
      <c r="V33" s="3"/>
    </row>
    <row r="34" spans="1:22" s="1" customFormat="1" ht="12.75" hidden="1" customHeight="1" thickTop="1" thickBot="1">
      <c r="A34" s="8"/>
      <c r="B34" s="8"/>
      <c r="C34" s="10"/>
      <c r="D34" s="10"/>
      <c r="E34" s="10"/>
      <c r="F34" s="10"/>
      <c r="G34" s="8"/>
      <c r="H34" s="3026" t="s">
        <v>764</v>
      </c>
      <c r="I34" s="3026"/>
      <c r="J34" s="3026"/>
      <c r="K34" s="250" t="s">
        <v>1251</v>
      </c>
      <c r="L34" s="255">
        <f t="shared" si="9"/>
        <v>2.0937870632241583E-2</v>
      </c>
      <c r="M34" s="255">
        <v>2.5206634219744049E-3</v>
      </c>
      <c r="N34" s="2"/>
      <c r="O34" s="275">
        <v>5.1385698517655452E-3</v>
      </c>
      <c r="P34" s="275">
        <v>4.875675706760273E-3</v>
      </c>
      <c r="V34" s="3"/>
    </row>
    <row r="35" spans="1:22" s="1" customFormat="1" ht="12.75" hidden="1" customHeight="1" thickTop="1" thickBot="1">
      <c r="A35" s="8"/>
      <c r="B35" s="8"/>
      <c r="C35" s="10"/>
      <c r="D35" s="10"/>
      <c r="E35" s="10"/>
      <c r="F35" s="10"/>
      <c r="G35" s="8"/>
      <c r="H35" s="3026" t="s">
        <v>765</v>
      </c>
      <c r="I35" s="3026"/>
      <c r="J35" s="3026"/>
      <c r="K35" s="250" t="s">
        <v>1251</v>
      </c>
      <c r="L35" s="255">
        <f t="shared" si="9"/>
        <v>1.049174345406441E-3</v>
      </c>
      <c r="M35" s="255">
        <v>2.5266607905798043E-3</v>
      </c>
      <c r="N35" s="2"/>
      <c r="O35" s="275">
        <v>0</v>
      </c>
      <c r="P35" s="275">
        <v>0</v>
      </c>
      <c r="V35" s="3"/>
    </row>
    <row r="36" spans="1:22" s="1" customFormat="1" ht="12.75" hidden="1" customHeight="1" thickTop="1" thickBot="1">
      <c r="A36" s="8"/>
      <c r="B36" s="8"/>
      <c r="C36" s="10"/>
      <c r="D36" s="10"/>
      <c r="E36" s="10"/>
      <c r="F36" s="10"/>
      <c r="G36" s="8"/>
      <c r="H36" s="3026" t="s">
        <v>766</v>
      </c>
      <c r="I36" s="3026"/>
      <c r="J36" s="3026"/>
      <c r="K36" s="250" t="s">
        <v>1251</v>
      </c>
      <c r="L36" s="255">
        <f t="shared" si="9"/>
        <v>1.3684882766170969E-4</v>
      </c>
      <c r="M36" s="255">
        <v>3.4761376850574806E-3</v>
      </c>
      <c r="N36" s="2"/>
      <c r="O36" s="275">
        <v>4.6614795785869956E-3</v>
      </c>
      <c r="P36" s="275">
        <v>4.3341715871395145E-3</v>
      </c>
      <c r="V36" s="3"/>
    </row>
    <row r="37" spans="1:22" s="1" customFormat="1" ht="12" hidden="1" customHeight="1" thickTop="1">
      <c r="A37" s="8"/>
      <c r="B37" s="8"/>
      <c r="C37" s="10"/>
      <c r="D37" s="10"/>
      <c r="E37" s="10"/>
      <c r="F37" s="10"/>
      <c r="G37" s="8"/>
      <c r="H37" s="3026" t="s">
        <v>767</v>
      </c>
      <c r="I37" s="3026"/>
      <c r="J37" s="3026"/>
      <c r="K37" s="250" t="s">
        <v>1251</v>
      </c>
      <c r="L37" s="255">
        <f t="shared" si="9"/>
        <v>0</v>
      </c>
      <c r="M37" s="255">
        <v>7.6180320824236598E-4</v>
      </c>
      <c r="N37" s="2"/>
      <c r="O37" s="275">
        <v>6.6814413927614923E-5</v>
      </c>
      <c r="P37" s="275">
        <v>3.1061504139875187E-4</v>
      </c>
      <c r="V37" s="3"/>
    </row>
    <row r="38" spans="1:22" s="1" customFormat="1" ht="12.75" hidden="1" customHeight="1" thickBot="1">
      <c r="A38" s="8"/>
      <c r="B38" s="8"/>
      <c r="C38" s="10"/>
      <c r="D38" s="10"/>
      <c r="E38" s="10"/>
      <c r="F38" s="10"/>
      <c r="G38" s="8"/>
      <c r="H38"/>
      <c r="I38"/>
      <c r="J38"/>
      <c r="K38" s="248" t="s">
        <v>1070</v>
      </c>
      <c r="L38"/>
      <c r="M38"/>
      <c r="N38" s="2"/>
      <c r="O38" s="2"/>
      <c r="P38" s="2"/>
      <c r="V38" s="3"/>
    </row>
    <row r="39" spans="1:22" s="1" customFormat="1" ht="12.75" hidden="1" customHeight="1" thickTop="1" thickBot="1">
      <c r="A39" s="8"/>
      <c r="B39" s="8"/>
      <c r="C39" s="10"/>
      <c r="D39" s="10"/>
      <c r="E39" s="10"/>
      <c r="F39" s="10"/>
      <c r="G39" s="8"/>
      <c r="L39" s="376">
        <f>SUMPRODUCT(L19:L27,L29:L37)</f>
        <v>76.991096921915869</v>
      </c>
      <c r="M39" s="376">
        <f>SUMPRODUCT(M19:M27,M29:M37)</f>
        <v>64.881962781484106</v>
      </c>
      <c r="N39" s="2"/>
      <c r="O39" s="2"/>
      <c r="P39" s="2"/>
      <c r="V39" s="3"/>
    </row>
    <row r="40" spans="1:22" s="1" customFormat="1" ht="12.75" hidden="1" customHeight="1" thickTop="1">
      <c r="A40" s="8"/>
      <c r="B40" s="8"/>
      <c r="C40" s="10"/>
      <c r="D40" s="10"/>
      <c r="E40" s="10"/>
      <c r="F40" s="10"/>
      <c r="G40" s="8"/>
      <c r="H40" s="3022" t="s">
        <v>1348</v>
      </c>
      <c r="I40" s="3022"/>
      <c r="J40" s="3022"/>
      <c r="K40" s="3022"/>
      <c r="L40" s="3022"/>
      <c r="M40" s="3022"/>
      <c r="N40" s="2"/>
      <c r="O40" s="2"/>
      <c r="P40" s="2"/>
      <c r="V40" s="3"/>
    </row>
    <row r="41" spans="1:22" s="1" customFormat="1" ht="12.75" hidden="1" customHeight="1">
      <c r="A41" s="8"/>
      <c r="B41" s="8"/>
      <c r="C41" s="10"/>
      <c r="D41" s="10"/>
      <c r="E41" s="10"/>
      <c r="F41" s="10"/>
      <c r="G41" s="8"/>
      <c r="H41" s="3022"/>
      <c r="I41" s="3022"/>
      <c r="J41" s="3022"/>
      <c r="K41" s="3022"/>
      <c r="L41" s="3022"/>
      <c r="M41" s="3022"/>
      <c r="N41" s="2"/>
      <c r="O41" s="2"/>
      <c r="P41" s="2"/>
      <c r="V41" s="3"/>
    </row>
    <row r="42" spans="1:22" s="1" customFormat="1" ht="12.75" hidden="1" customHeight="1">
      <c r="A42" s="8"/>
      <c r="B42" s="8"/>
      <c r="C42" s="10"/>
      <c r="D42" s="10"/>
      <c r="E42" s="10"/>
      <c r="F42" s="10"/>
      <c r="G42" s="8"/>
      <c r="H42" s="3022"/>
      <c r="I42" s="3022"/>
      <c r="J42" s="3022"/>
      <c r="K42" s="3022"/>
      <c r="L42" s="3022"/>
      <c r="M42" s="3022"/>
      <c r="N42" s="2"/>
      <c r="O42" s="2"/>
      <c r="P42" s="2"/>
      <c r="V42" s="3"/>
    </row>
    <row r="43" spans="1:22" s="1" customFormat="1" ht="12.75" hidden="1" customHeight="1">
      <c r="A43" s="8"/>
      <c r="B43" s="8"/>
      <c r="C43" s="10"/>
      <c r="D43" s="10"/>
      <c r="E43" s="10"/>
      <c r="F43" s="10"/>
      <c r="G43" s="8"/>
      <c r="H43" s="375" t="s">
        <v>1353</v>
      </c>
      <c r="M43" s="2"/>
      <c r="N43" s="2"/>
      <c r="O43" s="2"/>
      <c r="P43" s="2"/>
      <c r="V43" s="3"/>
    </row>
    <row r="44" spans="1:22" s="1" customFormat="1" ht="12.75" hidden="1" customHeight="1">
      <c r="A44" s="8"/>
      <c r="B44" s="8"/>
      <c r="C44" s="10"/>
      <c r="D44" s="10"/>
      <c r="E44" s="10"/>
      <c r="F44" s="10"/>
      <c r="G44" s="8"/>
      <c r="H44" s="371" t="s">
        <v>1256</v>
      </c>
      <c r="I44" s="372" t="s">
        <v>1340</v>
      </c>
      <c r="J44" s="373" t="s">
        <v>1339</v>
      </c>
      <c r="K44" s="374" t="s">
        <v>1341</v>
      </c>
      <c r="L44" s="2"/>
      <c r="R44" s="3"/>
    </row>
    <row r="45" spans="1:22" s="1" customFormat="1" ht="12.75" hidden="1" customHeight="1">
      <c r="A45" s="8"/>
      <c r="B45" s="8"/>
      <c r="C45" s="10"/>
      <c r="D45" s="10"/>
      <c r="E45" s="10"/>
      <c r="F45" s="10"/>
      <c r="G45" s="8"/>
      <c r="H45" s="481" t="s">
        <v>761</v>
      </c>
      <c r="I45" s="482" t="s">
        <v>1343</v>
      </c>
      <c r="J45" s="483">
        <v>0</v>
      </c>
      <c r="K45" s="593">
        <v>0</v>
      </c>
      <c r="L45" s="2"/>
      <c r="R45" s="3"/>
    </row>
    <row r="46" spans="1:22" s="1" customFormat="1" ht="12.75" hidden="1" customHeight="1">
      <c r="A46" s="8"/>
      <c r="B46" s="8"/>
      <c r="C46" s="10"/>
      <c r="D46" s="10"/>
      <c r="E46" s="10"/>
      <c r="F46" s="10"/>
      <c r="G46" s="8"/>
      <c r="H46" s="481" t="s">
        <v>762</v>
      </c>
      <c r="I46" s="482" t="s">
        <v>1343</v>
      </c>
      <c r="J46" s="483">
        <v>795</v>
      </c>
      <c r="K46" s="593">
        <v>1.4533023782973511E-2</v>
      </c>
      <c r="L46" s="2"/>
      <c r="R46" s="3"/>
    </row>
    <row r="47" spans="1:22" s="1" customFormat="1" ht="12.75" hidden="1" customHeight="1">
      <c r="A47" s="8"/>
      <c r="B47" s="8"/>
      <c r="C47" s="10"/>
      <c r="D47" s="10"/>
      <c r="E47" s="10"/>
      <c r="F47" s="10"/>
      <c r="G47" s="8"/>
      <c r="H47" s="481" t="s">
        <v>1248</v>
      </c>
      <c r="I47" s="482" t="s">
        <v>1343</v>
      </c>
      <c r="J47" s="483">
        <v>7067</v>
      </c>
      <c r="K47" s="593">
        <v>0.12918852713745133</v>
      </c>
      <c r="L47" s="2"/>
      <c r="R47" s="3"/>
    </row>
    <row r="48" spans="1:22" s="1" customFormat="1" ht="12.75" hidden="1" customHeight="1">
      <c r="A48" s="8"/>
      <c r="B48" s="8"/>
      <c r="C48" s="10"/>
      <c r="D48" s="10"/>
      <c r="E48" s="10"/>
      <c r="F48" s="10"/>
      <c r="G48" s="8"/>
      <c r="H48" s="481" t="s">
        <v>1249</v>
      </c>
      <c r="I48" s="482" t="s">
        <v>1343</v>
      </c>
      <c r="J48" s="483">
        <v>9615</v>
      </c>
      <c r="K48" s="593">
        <v>0.17576732537520795</v>
      </c>
      <c r="L48" s="2"/>
      <c r="R48" s="3"/>
    </row>
    <row r="49" spans="1:28" s="1" customFormat="1" ht="12.75" hidden="1" customHeight="1">
      <c r="A49" s="8"/>
      <c r="B49" s="8"/>
      <c r="C49" s="10"/>
      <c r="D49" s="10"/>
      <c r="E49" s="10"/>
      <c r="F49" s="10"/>
      <c r="G49" s="8"/>
      <c r="H49" s="481" t="s">
        <v>763</v>
      </c>
      <c r="I49" s="482" t="s">
        <v>1343</v>
      </c>
      <c r="J49" s="483">
        <v>3960</v>
      </c>
      <c r="K49" s="593">
        <v>7.2390910918962395E-2</v>
      </c>
      <c r="L49" s="2"/>
      <c r="R49" s="3"/>
    </row>
    <row r="50" spans="1:28" s="1" customFormat="1" ht="12.75" hidden="1" customHeight="1">
      <c r="A50" s="8"/>
      <c r="B50" s="8"/>
      <c r="C50" s="10"/>
      <c r="D50" s="10"/>
      <c r="E50" s="10"/>
      <c r="F50" s="10"/>
      <c r="G50" s="8"/>
      <c r="H50" s="481" t="s">
        <v>764</v>
      </c>
      <c r="I50" s="482" t="s">
        <v>1343</v>
      </c>
      <c r="J50" s="483">
        <v>459</v>
      </c>
      <c r="K50" s="593">
        <v>8.3907646746979141E-3</v>
      </c>
      <c r="L50" s="2"/>
      <c r="R50" s="3"/>
    </row>
    <row r="51" spans="1:28" s="1" customFormat="1" ht="12.75" hidden="1" customHeight="1">
      <c r="A51" s="8"/>
      <c r="B51" s="8"/>
      <c r="C51" s="10"/>
      <c r="D51" s="10"/>
      <c r="E51" s="10"/>
      <c r="F51" s="10"/>
      <c r="G51" s="8"/>
      <c r="H51" s="481" t="s">
        <v>1344</v>
      </c>
      <c r="I51" s="482" t="s">
        <v>1343</v>
      </c>
      <c r="J51" s="483">
        <v>0</v>
      </c>
      <c r="K51" s="593">
        <v>0</v>
      </c>
      <c r="L51" s="2"/>
      <c r="R51" s="3"/>
    </row>
    <row r="52" spans="1:28" s="1" customFormat="1" ht="12.75" hidden="1" customHeight="1">
      <c r="A52" s="8"/>
      <c r="B52" s="8"/>
      <c r="C52" s="10"/>
      <c r="D52" s="10"/>
      <c r="E52" s="10"/>
      <c r="F52" s="10"/>
      <c r="G52" s="8"/>
      <c r="H52" s="481" t="s">
        <v>765</v>
      </c>
      <c r="I52" s="482" t="s">
        <v>1343</v>
      </c>
      <c r="J52" s="483">
        <v>23</v>
      </c>
      <c r="K52" s="593">
        <v>4.2045226038791292E-4</v>
      </c>
      <c r="L52" s="2"/>
      <c r="R52" s="3"/>
    </row>
    <row r="53" spans="1:28" s="1" customFormat="1" ht="12.75" hidden="1" customHeight="1">
      <c r="A53" s="8"/>
      <c r="B53" s="8"/>
      <c r="C53" s="10"/>
      <c r="D53" s="10"/>
      <c r="E53" s="10"/>
      <c r="F53" s="10"/>
      <c r="G53" s="8"/>
      <c r="H53" s="481" t="s">
        <v>766</v>
      </c>
      <c r="I53" s="482" t="s">
        <v>1343</v>
      </c>
      <c r="J53" s="483">
        <v>3</v>
      </c>
      <c r="K53" s="593">
        <v>5.4841599181032121E-5</v>
      </c>
      <c r="L53" s="2"/>
      <c r="R53" s="3"/>
    </row>
    <row r="54" spans="1:28" s="1" customFormat="1" ht="12.75" hidden="1" customHeight="1">
      <c r="A54" s="8"/>
      <c r="B54" s="8"/>
      <c r="C54" s="10"/>
      <c r="D54" s="10"/>
      <c r="E54" s="10"/>
      <c r="F54" s="10"/>
      <c r="G54" s="8"/>
      <c r="H54" s="481" t="s">
        <v>1345</v>
      </c>
      <c r="I54" s="482" t="s">
        <v>1343</v>
      </c>
      <c r="J54" s="483">
        <v>0</v>
      </c>
      <c r="K54" s="593">
        <v>0</v>
      </c>
      <c r="L54" s="2"/>
      <c r="R54" s="3"/>
    </row>
    <row r="55" spans="1:28" s="1" customFormat="1" ht="12.75" hidden="1" customHeight="1">
      <c r="A55" s="8"/>
      <c r="B55" s="8"/>
      <c r="C55" s="10"/>
      <c r="D55" s="10"/>
      <c r="E55" s="10"/>
      <c r="F55" s="10"/>
      <c r="G55" s="8"/>
      <c r="H55" s="594" t="s">
        <v>767</v>
      </c>
      <c r="I55" s="595" t="s">
        <v>1343</v>
      </c>
      <c r="J55" s="596">
        <v>0</v>
      </c>
      <c r="K55" s="597">
        <v>0</v>
      </c>
      <c r="L55" s="2"/>
      <c r="R55" s="3"/>
    </row>
    <row r="56" spans="1:28" s="1" customFormat="1" ht="12.75" hidden="1" customHeight="1">
      <c r="A56" s="8"/>
      <c r="B56" s="8"/>
      <c r="C56" s="10"/>
      <c r="D56" s="10"/>
      <c r="E56" s="10"/>
      <c r="F56" s="10"/>
      <c r="G56" s="8"/>
      <c r="H56" s="99" t="s">
        <v>1346</v>
      </c>
      <c r="J56" s="2"/>
      <c r="K56" s="2"/>
      <c r="L56" s="2"/>
      <c r="R56" s="3"/>
    </row>
    <row r="57" spans="1:28" s="1" customFormat="1" ht="12.75" hidden="1" customHeight="1">
      <c r="A57" s="8"/>
      <c r="B57" s="8"/>
      <c r="C57" s="10"/>
      <c r="D57" s="10"/>
      <c r="E57" s="10"/>
      <c r="F57" s="10"/>
      <c r="G57" s="8"/>
      <c r="H57" s="99" t="s">
        <v>1347</v>
      </c>
      <c r="M57" s="2"/>
      <c r="N57" s="2"/>
      <c r="O57" s="2"/>
      <c r="P57" s="2"/>
      <c r="V57" s="3"/>
    </row>
    <row r="58" spans="1:28" s="1" customFormat="1" ht="12.75" hidden="1" customHeight="1">
      <c r="A58" s="8"/>
      <c r="B58" s="8"/>
      <c r="C58" s="10"/>
      <c r="D58" s="10"/>
      <c r="E58" s="10"/>
      <c r="F58" s="10"/>
      <c r="G58" s="8"/>
      <c r="M58" s="2"/>
      <c r="N58" s="2"/>
      <c r="O58" s="2"/>
      <c r="P58" s="2"/>
      <c r="V58" s="3"/>
    </row>
    <row r="59" spans="1:28" s="1" customFormat="1" ht="12.75" hidden="1" customHeight="1">
      <c r="A59" s="8"/>
      <c r="B59" s="8"/>
      <c r="C59" s="10"/>
      <c r="D59" s="10"/>
      <c r="E59" s="10"/>
      <c r="F59" s="10"/>
      <c r="G59" s="8"/>
      <c r="M59" s="2"/>
      <c r="N59" s="2"/>
      <c r="O59" s="2"/>
      <c r="P59" s="2"/>
      <c r="V59" s="3"/>
    </row>
    <row r="61" spans="1:28" ht="12.75" customHeight="1" thickBot="1">
      <c r="X61"/>
      <c r="Y61"/>
      <c r="Z61"/>
      <c r="AA61"/>
      <c r="AB61"/>
    </row>
    <row r="62" spans="1:28" ht="66.900000000000006" customHeight="1" thickBot="1">
      <c r="H62" s="1410" t="s">
        <v>1256</v>
      </c>
      <c r="I62" s="1410" t="s">
        <v>1340</v>
      </c>
      <c r="J62" s="1410" t="s">
        <v>2242</v>
      </c>
      <c r="K62" s="1410" t="s">
        <v>2243</v>
      </c>
      <c r="L62" s="1410" t="s">
        <v>2244</v>
      </c>
      <c r="M62" s="1410" t="s">
        <v>2245</v>
      </c>
      <c r="N62" s="1674" t="s">
        <v>1339</v>
      </c>
      <c r="O62" s="1675" t="s">
        <v>1341</v>
      </c>
      <c r="P62" s="1676" t="s">
        <v>2246</v>
      </c>
      <c r="Q62" s="1677" t="s">
        <v>2247</v>
      </c>
      <c r="R62" s="1677" t="s">
        <v>2248</v>
      </c>
      <c r="S62" s="1678" t="s">
        <v>2249</v>
      </c>
      <c r="T62" s="1413" t="s">
        <v>1261</v>
      </c>
      <c r="U62" s="1679" t="s">
        <v>2250</v>
      </c>
      <c r="V62" s="1674" t="s">
        <v>2251</v>
      </c>
      <c r="W62" s="1679" t="s">
        <v>1945</v>
      </c>
      <c r="X62" s="1725" t="s">
        <v>298</v>
      </c>
      <c r="Y62" s="1726" t="s">
        <v>15</v>
      </c>
      <c r="Z62" s="1726" t="s">
        <v>2256</v>
      </c>
      <c r="AA62" s="1726" t="s">
        <v>10</v>
      </c>
      <c r="AB62" s="1727" t="s">
        <v>2257</v>
      </c>
    </row>
    <row r="63" spans="1:28" ht="12.75" customHeight="1">
      <c r="H63" s="1682" t="s">
        <v>761</v>
      </c>
      <c r="I63" s="1683" t="s">
        <v>1262</v>
      </c>
      <c r="J63" s="1684">
        <v>514.91240000000005</v>
      </c>
      <c r="K63" s="1685">
        <v>0.85785350000000005</v>
      </c>
      <c r="L63" s="1686">
        <v>5000</v>
      </c>
      <c r="M63" s="1685">
        <v>9.6015490000000003</v>
      </c>
      <c r="N63" s="1687">
        <v>7252</v>
      </c>
      <c r="O63" s="1688">
        <v>0.14231327760116175</v>
      </c>
      <c r="P63" s="1689">
        <v>32.150147700182401</v>
      </c>
      <c r="Q63" s="1684">
        <v>69.783875427628814</v>
      </c>
      <c r="R63" s="1684">
        <v>125.01060595449121</v>
      </c>
      <c r="S63" s="1690">
        <v>61.224871794088109</v>
      </c>
      <c r="T63" s="1684">
        <v>2015</v>
      </c>
      <c r="U63" s="1687">
        <v>1</v>
      </c>
      <c r="V63" s="1687">
        <v>0</v>
      </c>
      <c r="W63" s="1720">
        <v>0.33967213114754097</v>
      </c>
      <c r="X63" s="1728"/>
      <c r="Y63" s="1729"/>
      <c r="Z63" s="1729"/>
      <c r="AA63" s="482"/>
      <c r="AB63" s="485"/>
    </row>
    <row r="64" spans="1:28" ht="12.75" customHeight="1">
      <c r="H64" s="1633" t="s">
        <v>761</v>
      </c>
      <c r="I64" s="1634" t="s">
        <v>1342</v>
      </c>
      <c r="J64" s="1635">
        <v>440.43729999999999</v>
      </c>
      <c r="K64" s="1636">
        <v>0.25368990000000002</v>
      </c>
      <c r="L64" s="1637">
        <v>5000</v>
      </c>
      <c r="M64" s="1636">
        <v>11.007883</v>
      </c>
      <c r="N64" s="1638">
        <v>14098</v>
      </c>
      <c r="O64" s="1639">
        <v>0.27665920954511558</v>
      </c>
      <c r="P64" s="1640">
        <v>23.314627084287359</v>
      </c>
      <c r="Q64" s="1635">
        <v>55.540293106264315</v>
      </c>
      <c r="R64" s="1635">
        <v>102.83080300030369</v>
      </c>
      <c r="S64" s="1641">
        <v>48.211239907683257</v>
      </c>
      <c r="T64" s="1635">
        <v>2015</v>
      </c>
      <c r="U64" s="1638">
        <v>1</v>
      </c>
      <c r="V64" s="1638">
        <v>0</v>
      </c>
      <c r="W64" s="1721">
        <v>0.66032786885245898</v>
      </c>
      <c r="X64" s="1737">
        <f>U64</f>
        <v>1</v>
      </c>
      <c r="Y64" s="1738">
        <f>SUMPRODUCT(W63:W64,S63:S64)</f>
        <v>52.631607984507987</v>
      </c>
      <c r="Z64" s="1738">
        <f>SUMIFS($S$85:$S$117,V$85:V$117,1,$U$85:U$117,X64)</f>
        <v>0</v>
      </c>
      <c r="AA64" s="1739" t="str">
        <f>IF(Z64=0,"",Y64-Z64)</f>
        <v/>
      </c>
      <c r="AB64" s="1740">
        <f>SUMIFS($N$85:$N$117,$V$85:$V$117,1,$U$85:$U$117,X64)/SUMIFS($N$85:$N$117,$V$85:$V$117,1)</f>
        <v>0</v>
      </c>
    </row>
    <row r="65" spans="8:28" ht="12.75" customHeight="1">
      <c r="H65" s="1642" t="s">
        <v>762</v>
      </c>
      <c r="I65" s="1643" t="s">
        <v>1262</v>
      </c>
      <c r="J65" s="1644">
        <v>566.875</v>
      </c>
      <c r="K65" s="1645">
        <v>0.84098289999999998</v>
      </c>
      <c r="L65" s="1646">
        <v>6093.75</v>
      </c>
      <c r="M65" s="1645">
        <v>10.628276</v>
      </c>
      <c r="N65" s="1647">
        <v>32</v>
      </c>
      <c r="O65" s="1648">
        <v>6.2796813061737121E-4</v>
      </c>
      <c r="P65" s="1649">
        <v>34.492783583122559</v>
      </c>
      <c r="Q65" s="1644">
        <v>75.931907561406717</v>
      </c>
      <c r="R65" s="1644">
        <v>136.7429797409213</v>
      </c>
      <c r="S65" s="1650">
        <v>66.507446204042694</v>
      </c>
      <c r="T65" s="1644">
        <v>2015</v>
      </c>
      <c r="U65" s="1647">
        <v>2</v>
      </c>
      <c r="V65" s="1647">
        <v>0</v>
      </c>
      <c r="W65" s="1722">
        <v>2.7390225113412651E-3</v>
      </c>
      <c r="X65" s="1733"/>
      <c r="Y65" s="1734"/>
      <c r="Z65" s="1734"/>
      <c r="AA65" s="1735"/>
      <c r="AB65" s="1740"/>
    </row>
    <row r="66" spans="8:28" ht="12.75" customHeight="1">
      <c r="H66" s="1642" t="s">
        <v>762</v>
      </c>
      <c r="I66" s="1643" t="s">
        <v>1342</v>
      </c>
      <c r="J66" s="1644">
        <v>530.01760000000002</v>
      </c>
      <c r="K66" s="1645">
        <v>0.85794769999999998</v>
      </c>
      <c r="L66" s="1646">
        <v>6000.0129999999999</v>
      </c>
      <c r="M66" s="1645">
        <v>11.196797999999999</v>
      </c>
      <c r="N66" s="1647">
        <v>11651</v>
      </c>
      <c r="O66" s="1648">
        <v>0.22863927155696848</v>
      </c>
      <c r="P66" s="1649">
        <v>32.874713454641288</v>
      </c>
      <c r="Q66" s="1644">
        <v>71.614279935663362</v>
      </c>
      <c r="R66" s="1644">
        <v>128.46380635700064</v>
      </c>
      <c r="S66" s="1650">
        <v>62.803776424711863</v>
      </c>
      <c r="T66" s="1644">
        <v>2015</v>
      </c>
      <c r="U66" s="1647">
        <v>2</v>
      </c>
      <c r="V66" s="1647">
        <v>0</v>
      </c>
      <c r="W66" s="1722">
        <v>0.99726097748865872</v>
      </c>
      <c r="X66" s="1737">
        <f>U66</f>
        <v>2</v>
      </c>
      <c r="Y66" s="1738">
        <f>SUMPRODUCT(W65:W66,S65:S66)</f>
        <v>62.813920859612026</v>
      </c>
      <c r="Z66" s="1738">
        <f>SUMIFS($S$85:$S$117,V$85:V$117,1,$U$85:U$117,X66)</f>
        <v>57.762291832638979</v>
      </c>
      <c r="AA66" s="1739">
        <f>IF(Z66=0,"",Y66-Z66)</f>
        <v>5.0516290269730462</v>
      </c>
      <c r="AB66" s="1740">
        <f>SUMIFS($N$85:$N$117,$V$85:$V$117,1,$U$85:$U$117,X66)/SUMIFS($N$85:$N$117,$V$85:$V$117,1)</f>
        <v>3.6264939330353067E-2</v>
      </c>
    </row>
    <row r="67" spans="8:28" ht="12.75" customHeight="1">
      <c r="H67" s="1633" t="s">
        <v>1248</v>
      </c>
      <c r="I67" s="1634" t="s">
        <v>1262</v>
      </c>
      <c r="J67" s="1635">
        <v>813.05190000000005</v>
      </c>
      <c r="K67" s="1636">
        <v>0.85794769999999998</v>
      </c>
      <c r="L67" s="1637">
        <v>8000</v>
      </c>
      <c r="M67" s="1636">
        <v>9.7714359999999996</v>
      </c>
      <c r="N67" s="1638">
        <v>231</v>
      </c>
      <c r="O67" s="1639">
        <v>4.5331449428941484E-3</v>
      </c>
      <c r="P67" s="1640">
        <v>46.435905691121285</v>
      </c>
      <c r="Q67" s="1635">
        <v>105.89630006142336</v>
      </c>
      <c r="R67" s="1635">
        <v>193.15322025524065</v>
      </c>
      <c r="S67" s="1641">
        <v>92.373277969300929</v>
      </c>
      <c r="T67" s="1635">
        <v>2015</v>
      </c>
      <c r="U67" s="1638" t="s">
        <v>2259</v>
      </c>
      <c r="V67" s="1638">
        <v>0</v>
      </c>
      <c r="W67" s="1721">
        <v>2.2046192021378124E-2</v>
      </c>
      <c r="X67" s="1733"/>
      <c r="Y67" s="1734"/>
      <c r="Z67" s="1734"/>
      <c r="AA67" s="1735"/>
      <c r="AB67" s="1740"/>
    </row>
    <row r="68" spans="8:28" ht="12.75" customHeight="1">
      <c r="H68" s="1633" t="s">
        <v>1248</v>
      </c>
      <c r="I68" s="1634" t="s">
        <v>1342</v>
      </c>
      <c r="J68" s="1635">
        <v>701.58579999999995</v>
      </c>
      <c r="K68" s="1636">
        <v>0.85794139999999997</v>
      </c>
      <c r="L68" s="1637">
        <v>8000.02</v>
      </c>
      <c r="M68" s="1636">
        <v>11.308697</v>
      </c>
      <c r="N68" s="1638">
        <v>10247</v>
      </c>
      <c r="O68" s="1639">
        <v>0.20108716982613131</v>
      </c>
      <c r="P68" s="1640">
        <v>41.095108638216956</v>
      </c>
      <c r="Q68" s="1635">
        <v>92.395114875179516</v>
      </c>
      <c r="R68" s="1635">
        <v>167.67683134486848</v>
      </c>
      <c r="S68" s="1641">
        <v>80.728002253152368</v>
      </c>
      <c r="T68" s="1635">
        <v>2015</v>
      </c>
      <c r="U68" s="1638" t="s">
        <v>2259</v>
      </c>
      <c r="V68" s="1638">
        <v>0</v>
      </c>
      <c r="W68" s="1721">
        <v>0.97795380797862186</v>
      </c>
      <c r="X68" s="1737" t="str">
        <f>U68</f>
        <v>3a</v>
      </c>
      <c r="Y68" s="1738">
        <f>SUMPRODUCT(W67:W68,S67:S68)</f>
        <v>80.984736237732477</v>
      </c>
      <c r="Z68" s="1738">
        <f>SUMIFS($S$85:$S$117,V$85:V$117,1,$U$85:U$117,X68)</f>
        <v>76.900473436935997</v>
      </c>
      <c r="AA68" s="1739">
        <f>IF(Z68=0,"",Y68-Z68)</f>
        <v>4.0842628007964805</v>
      </c>
      <c r="AB68" s="1740">
        <f>SUMIFS($N$85:$N$117,$V$85:$V$117,1,$U$85:$U$117,X68)/SUMIFS($N$85:$N$117,$V$85:$V$117,1)</f>
        <v>0.32237022169510082</v>
      </c>
    </row>
    <row r="69" spans="8:28" ht="12.75" customHeight="1">
      <c r="H69" s="1633" t="s">
        <v>1249</v>
      </c>
      <c r="I69" s="1634" t="s">
        <v>1262</v>
      </c>
      <c r="J69" s="1635">
        <v>1186.8875</v>
      </c>
      <c r="K69" s="1636">
        <v>0.85794769999999998</v>
      </c>
      <c r="L69" s="1637">
        <v>11425</v>
      </c>
      <c r="M69" s="1636">
        <v>9.5901080000000007</v>
      </c>
      <c r="N69" s="1638">
        <v>320</v>
      </c>
      <c r="O69" s="1639">
        <v>6.2796813061737119E-3</v>
      </c>
      <c r="P69" s="1640">
        <v>64.347715095281288</v>
      </c>
      <c r="Q69" s="1635">
        <v>151.17646420734337</v>
      </c>
      <c r="R69" s="1635">
        <v>278.59588871732063</v>
      </c>
      <c r="S69" s="1641">
        <v>131.42908269552098</v>
      </c>
      <c r="T69" s="1635">
        <v>2015</v>
      </c>
      <c r="U69" s="1638" t="s">
        <v>2252</v>
      </c>
      <c r="V69" s="1638">
        <v>0</v>
      </c>
      <c r="W69" s="1721">
        <v>8.4656084656084651E-2</v>
      </c>
      <c r="X69" s="1733"/>
      <c r="Y69" s="1734"/>
      <c r="Z69" s="1734"/>
      <c r="AA69" s="1735"/>
      <c r="AB69" s="1740"/>
    </row>
    <row r="70" spans="8:28" ht="12.75" customHeight="1">
      <c r="H70" s="1633" t="s">
        <v>1249</v>
      </c>
      <c r="I70" s="1634" t="s">
        <v>1342</v>
      </c>
      <c r="J70" s="1635">
        <v>1036.2283</v>
      </c>
      <c r="K70" s="1636">
        <v>0.85794769999999998</v>
      </c>
      <c r="L70" s="1637">
        <v>11728.324000000001</v>
      </c>
      <c r="M70" s="1636">
        <v>11.254072000000001</v>
      </c>
      <c r="N70" s="1638">
        <v>3460</v>
      </c>
      <c r="O70" s="1639">
        <v>6.7899054123003261E-2</v>
      </c>
      <c r="P70" s="1640">
        <v>57.129090450161286</v>
      </c>
      <c r="Q70" s="1635">
        <v>132.92813979390337</v>
      </c>
      <c r="R70" s="1635">
        <v>244.16170407476065</v>
      </c>
      <c r="S70" s="1641">
        <v>115.68923262396939</v>
      </c>
      <c r="T70" s="1635">
        <v>2015</v>
      </c>
      <c r="U70" s="1638" t="s">
        <v>2252</v>
      </c>
      <c r="V70" s="1638">
        <v>0</v>
      </c>
      <c r="W70" s="1721">
        <v>0.91534391534391535</v>
      </c>
      <c r="X70" s="1737" t="str">
        <f>U70</f>
        <v>3b</v>
      </c>
      <c r="Y70" s="1738">
        <f>SUMPRODUCT(W69:W70,S69:S70)</f>
        <v>117.02170670410074</v>
      </c>
      <c r="Z70" s="1738">
        <f>SUMIFS($S$85:$S$117,V$85:V$117,1,$U$85:U$117,X70)</f>
        <v>101.81956150635602</v>
      </c>
      <c r="AA70" s="1739">
        <f>IF(Z70=0,"",Y70-Z70)</f>
        <v>15.202145197744713</v>
      </c>
      <c r="AB70" s="1740">
        <f>SUMIFS($N$85:$N$117,$V$85:$V$117,1,$U$85:$U$117,X70)/SUMIFS($N$85:$N$117,$V$85:$V$117,1)</f>
        <v>0.43860049265577961</v>
      </c>
    </row>
    <row r="71" spans="8:28" ht="12.75" customHeight="1">
      <c r="H71" s="1642" t="s">
        <v>763</v>
      </c>
      <c r="I71" s="1643" t="s">
        <v>1262</v>
      </c>
      <c r="J71" s="1644">
        <v>1852.2727</v>
      </c>
      <c r="K71" s="1645">
        <v>0.85794769999999998</v>
      </c>
      <c r="L71" s="1646">
        <v>18500</v>
      </c>
      <c r="M71" s="1645">
        <v>9.9777810000000002</v>
      </c>
      <c r="N71" s="1647">
        <v>22</v>
      </c>
      <c r="O71" s="1648">
        <v>4.3172808979944266E-4</v>
      </c>
      <c r="P71" s="1649">
        <v>96.228715414001286</v>
      </c>
      <c r="Q71" s="1644">
        <v>231.77004886398336</v>
      </c>
      <c r="R71" s="1644">
        <v>430.67420079668062</v>
      </c>
      <c r="S71" s="1650">
        <v>200.94400968192048</v>
      </c>
      <c r="T71" s="1644">
        <v>2015</v>
      </c>
      <c r="U71" s="1647">
        <v>4</v>
      </c>
      <c r="V71" s="1647">
        <v>0</v>
      </c>
      <c r="W71" s="1722">
        <v>8.3491461100569254E-3</v>
      </c>
      <c r="X71" s="1733"/>
      <c r="Y71" s="1734"/>
      <c r="Z71" s="1734"/>
      <c r="AA71" s="1735"/>
      <c r="AB71" s="1740"/>
    </row>
    <row r="72" spans="8:28" ht="12.75" customHeight="1">
      <c r="H72" s="1642" t="s">
        <v>763</v>
      </c>
      <c r="I72" s="1643" t="s">
        <v>1342</v>
      </c>
      <c r="J72" s="1644">
        <v>1404.9407000000001</v>
      </c>
      <c r="K72" s="1645">
        <v>0.85791870000000003</v>
      </c>
      <c r="L72" s="1646">
        <v>15812.821</v>
      </c>
      <c r="M72" s="1645">
        <v>11.208489999999999</v>
      </c>
      <c r="N72" s="1647">
        <v>2613</v>
      </c>
      <c r="O72" s="1648">
        <v>5.1277522665724717E-2</v>
      </c>
      <c r="P72" s="1649">
        <v>74.795176074295682</v>
      </c>
      <c r="Q72" s="1644">
        <v>177.5875148601562</v>
      </c>
      <c r="R72" s="1644">
        <v>328.43318275322787</v>
      </c>
      <c r="S72" s="1650">
        <v>154.20954902216971</v>
      </c>
      <c r="T72" s="1644">
        <v>2015</v>
      </c>
      <c r="U72" s="1647">
        <v>4</v>
      </c>
      <c r="V72" s="1647">
        <v>0</v>
      </c>
      <c r="W72" s="1722">
        <v>0.99165085388994312</v>
      </c>
      <c r="X72" s="1737">
        <f>U72</f>
        <v>4</v>
      </c>
      <c r="Y72" s="1738">
        <f>SUMPRODUCT(W71:W72,S71:S72)</f>
        <v>154.59974186259268</v>
      </c>
      <c r="Z72" s="1738">
        <f>SUMIFS($S$85:$S$117,V$85:V$117,1,$U$85:U$117,X72)</f>
        <v>144.05318404108505</v>
      </c>
      <c r="AA72" s="1739">
        <f>IF(Z72=0,"",Y72-Z72)</f>
        <v>10.546557821507633</v>
      </c>
      <c r="AB72" s="1740">
        <f>SUMIFS($N$85:$N$117,$V$85:$V$117,1,$U$85:$U$117,X72)/SUMIFS($N$85:$N$117,$V$85:$V$117,1)</f>
        <v>0.18064045251345681</v>
      </c>
    </row>
    <row r="73" spans="8:28" ht="12.75" customHeight="1">
      <c r="H73" s="1633" t="s">
        <v>764</v>
      </c>
      <c r="I73" s="1634" t="s">
        <v>1262</v>
      </c>
      <c r="J73" s="1635">
        <v>2525</v>
      </c>
      <c r="K73" s="1636">
        <v>0.85794769999999998</v>
      </c>
      <c r="L73" s="1637">
        <v>23975</v>
      </c>
      <c r="M73" s="1636">
        <v>9.4764110000000006</v>
      </c>
      <c r="N73" s="1638">
        <v>8</v>
      </c>
      <c r="O73" s="1639">
        <v>1.569920326543428E-4</v>
      </c>
      <c r="P73" s="1640">
        <v>128.46150217528128</v>
      </c>
      <c r="Q73" s="1635">
        <v>313.25293216734337</v>
      </c>
      <c r="R73" s="1635">
        <v>584.43059975732069</v>
      </c>
      <c r="S73" s="1641">
        <v>271.22598941525052</v>
      </c>
      <c r="T73" s="1635">
        <v>2015</v>
      </c>
      <c r="U73" s="1638" t="s">
        <v>2253</v>
      </c>
      <c r="V73" s="1638">
        <v>0</v>
      </c>
      <c r="W73" s="1721">
        <v>9.852216748768473E-3</v>
      </c>
      <c r="X73" s="1733"/>
      <c r="Y73" s="1738"/>
      <c r="Z73" s="1734"/>
      <c r="AA73" s="1735"/>
      <c r="AB73" s="1736"/>
    </row>
    <row r="74" spans="8:28" ht="12.75" customHeight="1">
      <c r="H74" s="1633" t="s">
        <v>764</v>
      </c>
      <c r="I74" s="1634" t="s">
        <v>1342</v>
      </c>
      <c r="J74" s="1635">
        <v>2508.3955000000001</v>
      </c>
      <c r="K74" s="1636">
        <v>0.85794769999999998</v>
      </c>
      <c r="L74" s="1637">
        <v>24583.955000000002</v>
      </c>
      <c r="M74" s="1636">
        <v>9.7778489999999998</v>
      </c>
      <c r="N74" s="1638">
        <v>804</v>
      </c>
      <c r="O74" s="1639">
        <v>1.577769928176145E-2</v>
      </c>
      <c r="P74" s="1640">
        <v>127.6659208040813</v>
      </c>
      <c r="Q74" s="1635">
        <v>311.24174199294339</v>
      </c>
      <c r="R74" s="1635">
        <v>580.63552837172074</v>
      </c>
      <c r="S74" s="1641">
        <v>269.49126401837412</v>
      </c>
      <c r="T74" s="1635">
        <v>2015</v>
      </c>
      <c r="U74" s="1638" t="s">
        <v>2253</v>
      </c>
      <c r="V74" s="1638">
        <v>0</v>
      </c>
      <c r="W74" s="1721">
        <v>0.99014778325123154</v>
      </c>
      <c r="X74" s="1737" t="str">
        <f>U74</f>
        <v>5a</v>
      </c>
      <c r="Y74" s="1738">
        <f>SUMPRODUCT(W73:W74,S73:S74)</f>
        <v>269.50835490898373</v>
      </c>
      <c r="Z74" s="1738">
        <f>SUMIFS($S$85:$S$117,V$85:V$117,1,$U$85:U$117,X74)</f>
        <v>252.98320199296182</v>
      </c>
      <c r="AA74" s="1739">
        <f>IF(Z74=0,"",Y74-Z74)</f>
        <v>16.525152916021909</v>
      </c>
      <c r="AB74" s="1740">
        <f>SUMIFS($N$85:$N$117,$V$85:$V$117,1,$U$85:$U$117,X74)/SUMIFS($N$85:$N$117,$V$85:$V$117,1)</f>
        <v>2.0937870632241583E-2</v>
      </c>
    </row>
    <row r="75" spans="8:28" ht="12.75" customHeight="1">
      <c r="H75" s="1642" t="s">
        <v>1344</v>
      </c>
      <c r="I75" s="1643" t="s">
        <v>1262</v>
      </c>
      <c r="J75" s="1644">
        <v>3200.5</v>
      </c>
      <c r="K75" s="1645">
        <v>1.1132358</v>
      </c>
      <c r="L75" s="1646">
        <v>28000</v>
      </c>
      <c r="M75" s="1645">
        <v>8.7477649999999993</v>
      </c>
      <c r="N75" s="1647">
        <v>2</v>
      </c>
      <c r="O75" s="1648">
        <v>3.9248008163585701E-5</v>
      </c>
      <c r="P75" s="1649">
        <v>163.05276268797311</v>
      </c>
      <c r="Q75" s="1644">
        <v>397.27858794034944</v>
      </c>
      <c r="R75" s="1644">
        <v>741.00022581070664</v>
      </c>
      <c r="S75" s="1650">
        <v>344.00882673245042</v>
      </c>
      <c r="T75" s="1644">
        <v>2015</v>
      </c>
      <c r="U75" s="1647" t="s">
        <v>2254</v>
      </c>
      <c r="V75" s="1647">
        <v>0</v>
      </c>
      <c r="W75" s="1722">
        <v>1</v>
      </c>
      <c r="X75" s="1733"/>
      <c r="Y75" s="1734"/>
      <c r="Z75" s="1734"/>
      <c r="AA75" s="1735"/>
      <c r="AB75" s="1736"/>
    </row>
    <row r="76" spans="8:28" ht="12.75" customHeight="1">
      <c r="H76" s="1642" t="s">
        <v>1344</v>
      </c>
      <c r="I76" s="1643" t="s">
        <v>1342</v>
      </c>
      <c r="J76" s="1644" t="s">
        <v>1263</v>
      </c>
      <c r="K76" s="1645" t="s">
        <v>1263</v>
      </c>
      <c r="L76" s="1646" t="s">
        <v>1263</v>
      </c>
      <c r="M76" s="1645" t="s">
        <v>1263</v>
      </c>
      <c r="N76" s="1647">
        <v>0</v>
      </c>
      <c r="O76" s="1648">
        <v>0</v>
      </c>
      <c r="P76" s="1649" t="s">
        <v>1263</v>
      </c>
      <c r="Q76" s="1644" t="s">
        <v>1263</v>
      </c>
      <c r="R76" s="1644" t="s">
        <v>1263</v>
      </c>
      <c r="S76" s="1650">
        <v>0</v>
      </c>
      <c r="T76" s="1644">
        <v>2015</v>
      </c>
      <c r="U76" s="1647" t="s">
        <v>2254</v>
      </c>
      <c r="V76" s="1647">
        <v>0</v>
      </c>
      <c r="W76" s="1722">
        <v>0</v>
      </c>
      <c r="X76" s="1737" t="str">
        <f>U76</f>
        <v>5b</v>
      </c>
      <c r="Y76" s="1738">
        <f>SUMPRODUCT(W75:W76,S75:S76)</f>
        <v>344.00882673245042</v>
      </c>
      <c r="Z76" s="1738">
        <f>SUMIFS($S$85:$S$117,V$85:V$117,1,$U$85:U$117,X76)</f>
        <v>0</v>
      </c>
      <c r="AA76" s="1739" t="str">
        <f>IF(Z76=0,"",Y76-Z76)</f>
        <v/>
      </c>
      <c r="AB76" s="1740">
        <f>SUMIFS($N$85:$N$117,$V$85:$V$117,1,$U$85:$U$117,X76)/SUMIFS($N$85:$N$117,$V$85:$V$117,1)</f>
        <v>0</v>
      </c>
    </row>
    <row r="77" spans="8:28" ht="12.75" customHeight="1">
      <c r="H77" s="1633" t="s">
        <v>765</v>
      </c>
      <c r="I77" s="1634" t="s">
        <v>1262</v>
      </c>
      <c r="J77" s="1635" t="s">
        <v>1263</v>
      </c>
      <c r="K77" s="1636" t="s">
        <v>1263</v>
      </c>
      <c r="L77" s="1637" t="s">
        <v>1263</v>
      </c>
      <c r="M77" s="1636" t="s">
        <v>1263</v>
      </c>
      <c r="N77" s="1638">
        <v>0</v>
      </c>
      <c r="O77" s="1639">
        <v>0</v>
      </c>
      <c r="P77" s="1640" t="s">
        <v>1263</v>
      </c>
      <c r="Q77" s="1635" t="s">
        <v>1263</v>
      </c>
      <c r="R77" s="1635" t="s">
        <v>1263</v>
      </c>
      <c r="S77" s="1641">
        <v>0</v>
      </c>
      <c r="T77" s="1635">
        <v>2015</v>
      </c>
      <c r="U77" s="1638" t="s">
        <v>2260</v>
      </c>
      <c r="V77" s="1638">
        <v>0</v>
      </c>
      <c r="W77" s="1721">
        <v>0</v>
      </c>
      <c r="X77" s="1733"/>
      <c r="Y77" s="1734"/>
      <c r="Z77" s="1734"/>
      <c r="AA77" s="1735"/>
      <c r="AB77" s="1736"/>
    </row>
    <row r="78" spans="8:28" ht="12.75" customHeight="1">
      <c r="H78" s="1633" t="s">
        <v>765</v>
      </c>
      <c r="I78" s="1634" t="s">
        <v>1342</v>
      </c>
      <c r="J78" s="1635">
        <v>824.76189999999997</v>
      </c>
      <c r="K78" s="1636">
        <v>0.85794769999999998</v>
      </c>
      <c r="L78" s="1637">
        <v>8095.2380000000003</v>
      </c>
      <c r="M78" s="1636">
        <v>9.7460769999999997</v>
      </c>
      <c r="N78" s="1638">
        <v>63</v>
      </c>
      <c r="O78" s="1639">
        <v>1.2363122571529496E-3</v>
      </c>
      <c r="P78" s="1640">
        <v>46.996973947121283</v>
      </c>
      <c r="Q78" s="1635">
        <v>107.31465273342336</v>
      </c>
      <c r="R78" s="1635">
        <v>195.82962038324064</v>
      </c>
      <c r="S78" s="1641">
        <v>93.596659245305773</v>
      </c>
      <c r="T78" s="1635">
        <v>2015</v>
      </c>
      <c r="U78" s="1638" t="s">
        <v>2260</v>
      </c>
      <c r="V78" s="1638">
        <v>0</v>
      </c>
      <c r="W78" s="1721">
        <v>1</v>
      </c>
      <c r="X78" s="1737" t="str">
        <f>U78</f>
        <v>8a</v>
      </c>
      <c r="Y78" s="1738">
        <f>SUMPRODUCT(W77:W78,S77:S78)</f>
        <v>93.596659245305773</v>
      </c>
      <c r="Z78" s="1738">
        <f>SUMIFS($S$85:$S$117,V$85:V$117,1,$U$85:U$117,X78)</f>
        <v>101.95490588826469</v>
      </c>
      <c r="AA78" s="1739">
        <f>IF(Z78=0,"",Y78-Z78)</f>
        <v>-8.3582466429589175</v>
      </c>
      <c r="AB78" s="1740">
        <f>SUMIFS($N$85:$N$117,$V$85:$V$117,1,$U$85:$U$117,X78)/SUMIFS($N$85:$N$117,$V$85:$V$117,1)</f>
        <v>1.049174345406441E-3</v>
      </c>
    </row>
    <row r="79" spans="8:28" ht="12.75" customHeight="1">
      <c r="H79" s="1642" t="s">
        <v>766</v>
      </c>
      <c r="I79" s="1643" t="s">
        <v>1262</v>
      </c>
      <c r="J79" s="1644">
        <v>1335</v>
      </c>
      <c r="K79" s="1645">
        <v>0.85794769999999998</v>
      </c>
      <c r="L79" s="1646">
        <v>12000</v>
      </c>
      <c r="M79" s="1645">
        <v>8.9495389999999997</v>
      </c>
      <c r="N79" s="1647">
        <v>1</v>
      </c>
      <c r="O79" s="1648">
        <v>1.962400408179285E-5</v>
      </c>
      <c r="P79" s="1649">
        <v>71.444318175281282</v>
      </c>
      <c r="Q79" s="1644">
        <v>169.11632416734338</v>
      </c>
      <c r="R79" s="1644">
        <v>312.44800775732062</v>
      </c>
      <c r="S79" s="1650">
        <v>146.90287084601351</v>
      </c>
      <c r="T79" s="1644">
        <v>2015</v>
      </c>
      <c r="U79" s="1647" t="s">
        <v>2255</v>
      </c>
      <c r="V79" s="1647">
        <v>0</v>
      </c>
      <c r="W79" s="1722">
        <v>6.4935064935064939E-3</v>
      </c>
      <c r="X79" s="1733"/>
      <c r="Y79" s="1734"/>
      <c r="Z79" s="1734"/>
      <c r="AA79" s="1735"/>
      <c r="AB79" s="1736"/>
    </row>
    <row r="80" spans="8:28" ht="12.75" customHeight="1">
      <c r="H80" s="1642" t="s">
        <v>766</v>
      </c>
      <c r="I80" s="1643" t="s">
        <v>1342</v>
      </c>
      <c r="J80" s="1644">
        <v>1220</v>
      </c>
      <c r="K80" s="1645">
        <v>0.85794769999999998</v>
      </c>
      <c r="L80" s="1646">
        <v>12000</v>
      </c>
      <c r="M80" s="1645">
        <v>9.7891159999999999</v>
      </c>
      <c r="N80" s="1647">
        <v>153</v>
      </c>
      <c r="O80" s="1648">
        <v>3.0024726245143061E-3</v>
      </c>
      <c r="P80" s="1649">
        <v>65.934254175281282</v>
      </c>
      <c r="Q80" s="1644">
        <v>155.18715616734337</v>
      </c>
      <c r="R80" s="1644">
        <v>286.16397575732066</v>
      </c>
      <c r="S80" s="1650">
        <v>134.88845182461665</v>
      </c>
      <c r="T80" s="1644">
        <v>2015</v>
      </c>
      <c r="U80" s="1647" t="s">
        <v>2255</v>
      </c>
      <c r="V80" s="1647">
        <v>0</v>
      </c>
      <c r="W80" s="1722">
        <v>0.99350649350649356</v>
      </c>
      <c r="X80" s="1737" t="str">
        <f>U80</f>
        <v>8b</v>
      </c>
      <c r="Y80" s="1738">
        <f>SUMPRODUCT(W79:W80,S79:S80)</f>
        <v>134.96646753254782</v>
      </c>
      <c r="Z80" s="1738">
        <f>SUMIFS($S$85:$S$117,V$85:V$117,1,$U$85:U$117,X80)</f>
        <v>127.69327226246943</v>
      </c>
      <c r="AA80" s="1739">
        <f>IF(Z80=0,"",Y80-Z80)</f>
        <v>7.2731952700783893</v>
      </c>
      <c r="AB80" s="1740">
        <f>SUMIFS($N$85:$N$117,$V$85:$V$117,1,$U$85:$U$117,X80)/SUMIFS($N$85:$N$117,$V$85:$V$117,1)</f>
        <v>1.3684882766170969E-4</v>
      </c>
    </row>
    <row r="81" spans="8:28" ht="12.75" customHeight="1">
      <c r="H81" s="1633" t="s">
        <v>1345</v>
      </c>
      <c r="I81" s="1634" t="s">
        <v>1262</v>
      </c>
      <c r="J81" s="1635">
        <v>815</v>
      </c>
      <c r="K81" s="1636">
        <v>0.85794769999999998</v>
      </c>
      <c r="L81" s="1637">
        <v>8000</v>
      </c>
      <c r="M81" s="1636">
        <v>9.7459810000000004</v>
      </c>
      <c r="N81" s="1638">
        <v>1</v>
      </c>
      <c r="O81" s="1639">
        <v>1.962400408179285E-5</v>
      </c>
      <c r="P81" s="1640">
        <v>46.52924617528128</v>
      </c>
      <c r="Q81" s="1635">
        <v>106.13226016734335</v>
      </c>
      <c r="R81" s="1635">
        <v>193.59847175732065</v>
      </c>
      <c r="S81" s="1641">
        <v>92.576802227523388</v>
      </c>
      <c r="T81" s="1635">
        <v>2015</v>
      </c>
      <c r="U81" s="1638">
        <v>11</v>
      </c>
      <c r="V81" s="1638">
        <v>0</v>
      </c>
      <c r="W81" s="1721">
        <v>1</v>
      </c>
      <c r="X81" s="1733"/>
      <c r="Y81" s="1734"/>
      <c r="Z81" s="1734"/>
      <c r="AA81" s="1735"/>
      <c r="AB81" s="1736"/>
    </row>
    <row r="82" spans="8:28" ht="12.75" customHeight="1">
      <c r="H82" s="1633" t="s">
        <v>1345</v>
      </c>
      <c r="I82" s="1634" t="s">
        <v>1342</v>
      </c>
      <c r="J82" s="1635" t="s">
        <v>1263</v>
      </c>
      <c r="K82" s="1636" t="s">
        <v>1263</v>
      </c>
      <c r="L82" s="1637" t="s">
        <v>1263</v>
      </c>
      <c r="M82" s="1636" t="s">
        <v>1263</v>
      </c>
      <c r="N82" s="1638">
        <v>0</v>
      </c>
      <c r="O82" s="1639">
        <v>0</v>
      </c>
      <c r="P82" s="1640" t="s">
        <v>1263</v>
      </c>
      <c r="Q82" s="1635" t="s">
        <v>1263</v>
      </c>
      <c r="R82" s="1635" t="s">
        <v>1263</v>
      </c>
      <c r="S82" s="1641">
        <v>0</v>
      </c>
      <c r="T82" s="1635">
        <v>2015</v>
      </c>
      <c r="U82" s="1638">
        <v>11</v>
      </c>
      <c r="V82" s="1638">
        <v>0</v>
      </c>
      <c r="W82" s="1721">
        <v>0</v>
      </c>
      <c r="X82" s="1737">
        <f>U82</f>
        <v>11</v>
      </c>
      <c r="Y82" s="1738">
        <f>SUMPRODUCT(W81:W82,S81:S82)</f>
        <v>92.576802227523388</v>
      </c>
      <c r="Z82" s="1738">
        <f>SUMIFS($S$85:$S$117,V$85:V$117,1,$U$85:U$117,X82)</f>
        <v>0</v>
      </c>
      <c r="AA82" s="1739" t="str">
        <f>IF(Z82=0,"",Y82-Z82)</f>
        <v/>
      </c>
      <c r="AB82" s="1740">
        <f>SUMIFS($N$85:$N$117,$V$85:$V$117,1,$U$85:$U$117,X82)/SUMIFS($N$85:$N$117,$V$85:$V$117,1)</f>
        <v>0</v>
      </c>
    </row>
    <row r="83" spans="8:28" ht="12.75" customHeight="1">
      <c r="H83" s="1642" t="s">
        <v>767</v>
      </c>
      <c r="I83" s="1643" t="s">
        <v>1262</v>
      </c>
      <c r="J83" s="1644" t="s">
        <v>1263</v>
      </c>
      <c r="K83" s="1645" t="s">
        <v>1263</v>
      </c>
      <c r="L83" s="1646" t="s">
        <v>1263</v>
      </c>
      <c r="M83" s="1645" t="s">
        <v>1263</v>
      </c>
      <c r="N83" s="1647">
        <v>0</v>
      </c>
      <c r="O83" s="1648">
        <v>0</v>
      </c>
      <c r="P83" s="1649" t="s">
        <v>1263</v>
      </c>
      <c r="Q83" s="1644" t="s">
        <v>1263</v>
      </c>
      <c r="R83" s="1644" t="s">
        <v>1263</v>
      </c>
      <c r="S83" s="1650">
        <v>0</v>
      </c>
      <c r="T83" s="1644">
        <v>2015</v>
      </c>
      <c r="U83" s="1647">
        <v>16</v>
      </c>
      <c r="V83" s="1647">
        <v>0</v>
      </c>
      <c r="W83" s="1722">
        <v>0</v>
      </c>
      <c r="X83" s="1733"/>
      <c r="Y83" s="1738"/>
      <c r="Z83" s="1734"/>
      <c r="AA83" s="1735"/>
      <c r="AB83" s="1736"/>
    </row>
    <row r="84" spans="8:28" ht="12.75" customHeight="1" thickBot="1">
      <c r="H84" s="1691" t="s">
        <v>767</v>
      </c>
      <c r="I84" s="1692" t="s">
        <v>1342</v>
      </c>
      <c r="J84" s="1693" t="s">
        <v>1263</v>
      </c>
      <c r="K84" s="1694" t="s">
        <v>1263</v>
      </c>
      <c r="L84" s="1695" t="s">
        <v>1263</v>
      </c>
      <c r="M84" s="1694" t="s">
        <v>1263</v>
      </c>
      <c r="N84" s="1696">
        <v>0</v>
      </c>
      <c r="O84" s="1697">
        <v>0</v>
      </c>
      <c r="P84" s="1698" t="s">
        <v>1263</v>
      </c>
      <c r="Q84" s="1693" t="s">
        <v>1263</v>
      </c>
      <c r="R84" s="1693" t="s">
        <v>1263</v>
      </c>
      <c r="S84" s="1699">
        <v>0</v>
      </c>
      <c r="T84" s="1693">
        <v>2015</v>
      </c>
      <c r="U84" s="1696">
        <v>16</v>
      </c>
      <c r="V84" s="1696">
        <v>0</v>
      </c>
      <c r="W84" s="1723">
        <v>0</v>
      </c>
      <c r="X84" s="1737">
        <f>U84</f>
        <v>16</v>
      </c>
      <c r="Y84" s="1738">
        <f>SUMPRODUCT(W83:W84,S83:S84)</f>
        <v>0</v>
      </c>
      <c r="Z84" s="1738">
        <f>SUMIFS($S$85:$S$117,V$85:V$117,1,$U$85:U$117,X84)</f>
        <v>0</v>
      </c>
      <c r="AA84" s="1739" t="str">
        <f>IF(Z84=0,"",Y84-Z84)</f>
        <v/>
      </c>
      <c r="AB84" s="1740">
        <f>SUMIFS($N$85:$N$117,$V$85:$V$117,1,$U$85:$U$117,X84)/SUMIFS($N$85:$N$117,$V$85:$V$117,1)</f>
        <v>0</v>
      </c>
    </row>
    <row r="85" spans="8:28" ht="12.75" customHeight="1">
      <c r="H85" s="1700" t="s">
        <v>761</v>
      </c>
      <c r="I85" s="1701" t="s">
        <v>1262</v>
      </c>
      <c r="J85" s="1702">
        <v>451.72219999999999</v>
      </c>
      <c r="K85" s="1703">
        <v>0.74700560000000005</v>
      </c>
      <c r="L85" s="1704">
        <v>5000</v>
      </c>
      <c r="M85" s="1703">
        <v>10.960132</v>
      </c>
      <c r="N85" s="1705">
        <v>54</v>
      </c>
      <c r="O85" s="1706">
        <v>9.8714878525857819E-4</v>
      </c>
      <c r="P85" s="1707">
        <v>28.156096164003845</v>
      </c>
      <c r="Q85" s="1702">
        <v>61.171809755950079</v>
      </c>
      <c r="R85" s="1702">
        <v>109.62169840104193</v>
      </c>
      <c r="S85" s="1708">
        <v>53.330702878098677</v>
      </c>
      <c r="T85" s="1702">
        <v>2018</v>
      </c>
      <c r="U85" s="1705">
        <v>1</v>
      </c>
      <c r="V85" s="1705">
        <v>0</v>
      </c>
      <c r="W85" s="1724">
        <v>3.2494885064388015E-3</v>
      </c>
      <c r="X85" s="1730"/>
      <c r="Y85" s="1731"/>
      <c r="Z85" s="1731"/>
      <c r="AA85" s="595"/>
      <c r="AB85" s="1732"/>
    </row>
    <row r="86" spans="8:28" ht="12.75" customHeight="1">
      <c r="H86" s="1709" t="s">
        <v>761</v>
      </c>
      <c r="I86" s="1652" t="s">
        <v>1342</v>
      </c>
      <c r="J86" s="1653">
        <v>446.25049999999999</v>
      </c>
      <c r="K86" s="1654">
        <v>0.58913510000000002</v>
      </c>
      <c r="L86" s="1655">
        <v>5021.5110000000004</v>
      </c>
      <c r="M86" s="1654">
        <v>11</v>
      </c>
      <c r="N86" s="1656">
        <v>16564</v>
      </c>
      <c r="O86" s="1657">
        <v>0.30279874961153869</v>
      </c>
      <c r="P86" s="1658">
        <v>26.517598659872636</v>
      </c>
      <c r="Q86" s="1653">
        <v>59.144288919655679</v>
      </c>
      <c r="R86" s="1653">
        <v>107.02329373177633</v>
      </c>
      <c r="S86" s="1659">
        <v>51.395573609140072</v>
      </c>
      <c r="T86" s="1653">
        <v>2018</v>
      </c>
      <c r="U86" s="1656">
        <v>1</v>
      </c>
      <c r="V86" s="1656">
        <v>0</v>
      </c>
      <c r="W86" s="1660">
        <v>0.9967505114935612</v>
      </c>
      <c r="X86" s="458"/>
      <c r="Y86" s="1681"/>
      <c r="Z86" s="1681"/>
    </row>
    <row r="87" spans="8:28" ht="12.75" customHeight="1">
      <c r="H87" s="1709" t="s">
        <v>761</v>
      </c>
      <c r="I87" s="1652" t="s">
        <v>1343</v>
      </c>
      <c r="J87" s="1653" t="s">
        <v>1263</v>
      </c>
      <c r="K87" s="1654" t="s">
        <v>1263</v>
      </c>
      <c r="L87" s="1655" t="s">
        <v>1263</v>
      </c>
      <c r="M87" s="1654" t="s">
        <v>1263</v>
      </c>
      <c r="N87" s="1656">
        <v>0</v>
      </c>
      <c r="O87" s="1657">
        <v>0</v>
      </c>
      <c r="P87" s="1658" t="s">
        <v>1263</v>
      </c>
      <c r="Q87" s="1653" t="s">
        <v>1263</v>
      </c>
      <c r="R87" s="1653" t="s">
        <v>1263</v>
      </c>
      <c r="S87" s="1659">
        <v>0</v>
      </c>
      <c r="T87" s="1653">
        <v>2018</v>
      </c>
      <c r="U87" s="1656">
        <v>1</v>
      </c>
      <c r="V87" s="1656">
        <v>1</v>
      </c>
      <c r="W87" s="1660">
        <v>0</v>
      </c>
      <c r="X87" s="458"/>
      <c r="Y87" s="1681"/>
      <c r="Z87" s="1681"/>
      <c r="AB87" s="1673">
        <f>SUMPRODUCT(AA63:AA84,AB63:AB84)</f>
        <v>10.410872659457814</v>
      </c>
    </row>
    <row r="88" spans="8:28" ht="12.75" customHeight="1">
      <c r="H88" s="1661" t="s">
        <v>762</v>
      </c>
      <c r="I88" s="1662" t="s">
        <v>1262</v>
      </c>
      <c r="J88" s="1663">
        <v>536.39790000000005</v>
      </c>
      <c r="K88" s="1664">
        <v>0.9708637</v>
      </c>
      <c r="L88" s="1665">
        <v>6000</v>
      </c>
      <c r="M88" s="1664">
        <v>10.999905</v>
      </c>
      <c r="N88" s="1666">
        <v>8381</v>
      </c>
      <c r="O88" s="1667">
        <v>0.1532091475787434</v>
      </c>
      <c r="P88" s="1668">
        <v>34.164828040663686</v>
      </c>
      <c r="Q88" s="1663">
        <v>73.363227197372169</v>
      </c>
      <c r="R88" s="1663">
        <v>130.88608124441186</v>
      </c>
      <c r="S88" s="1669">
        <v>64.053755924777676</v>
      </c>
      <c r="T88" s="1663">
        <v>2018</v>
      </c>
      <c r="U88" s="1666">
        <v>2</v>
      </c>
      <c r="V88" s="1666">
        <v>0</v>
      </c>
      <c r="W88" s="1670">
        <v>0.51191057903738091</v>
      </c>
      <c r="X88" s="458"/>
      <c r="Y88" s="1681"/>
      <c r="Z88" s="1681"/>
    </row>
    <row r="89" spans="8:28" ht="12.75" customHeight="1">
      <c r="H89" s="1661" t="s">
        <v>762</v>
      </c>
      <c r="I89" s="1662" t="s">
        <v>1342</v>
      </c>
      <c r="J89" s="1663">
        <v>527.34320000000002</v>
      </c>
      <c r="K89" s="1664">
        <v>0.84751050000000006</v>
      </c>
      <c r="L89" s="1665">
        <v>6046.7120000000004</v>
      </c>
      <c r="M89" s="1664">
        <v>11.166508</v>
      </c>
      <c r="N89" s="1666">
        <v>7196</v>
      </c>
      <c r="O89" s="1667">
        <v>0.13154671590223571</v>
      </c>
      <c r="P89" s="1668">
        <v>32.655580911427201</v>
      </c>
      <c r="Q89" s="1663">
        <v>71.2001197414464</v>
      </c>
      <c r="R89" s="1663">
        <v>127.7634470489136</v>
      </c>
      <c r="S89" s="1669">
        <v>62.045937818890607</v>
      </c>
      <c r="T89" s="1663">
        <v>2018</v>
      </c>
      <c r="U89" s="1666">
        <v>2</v>
      </c>
      <c r="V89" s="1666">
        <v>0</v>
      </c>
      <c r="W89" s="1670">
        <v>0.43953090642560472</v>
      </c>
      <c r="X89" s="458"/>
      <c r="Y89" s="1681"/>
      <c r="Z89" s="1681"/>
    </row>
    <row r="90" spans="8:28" ht="12.75" customHeight="1">
      <c r="H90" s="1661" t="s">
        <v>762</v>
      </c>
      <c r="I90" s="1662" t="s">
        <v>1343</v>
      </c>
      <c r="J90" s="1663">
        <v>499.76229999999998</v>
      </c>
      <c r="K90" s="1664">
        <v>0.68329150000000005</v>
      </c>
      <c r="L90" s="1665">
        <v>6112.6419999999998</v>
      </c>
      <c r="M90" s="1664">
        <v>12.1</v>
      </c>
      <c r="N90" s="1666">
        <v>795</v>
      </c>
      <c r="O90" s="1667">
        <v>1.4533023782973511E-2</v>
      </c>
      <c r="P90" s="1668">
        <v>29.9024052706656</v>
      </c>
      <c r="Q90" s="1663">
        <v>66.439779851347197</v>
      </c>
      <c r="R90" s="1663">
        <v>120.05763441893279</v>
      </c>
      <c r="S90" s="1669">
        <v>57.762291832638979</v>
      </c>
      <c r="T90" s="1663">
        <v>2018</v>
      </c>
      <c r="U90" s="1666">
        <v>2</v>
      </c>
      <c r="V90" s="1666">
        <v>1</v>
      </c>
      <c r="W90" s="1670">
        <v>4.8558514537014416E-2</v>
      </c>
      <c r="X90" s="458"/>
      <c r="Y90" s="1681"/>
      <c r="Z90" s="1681"/>
    </row>
    <row r="91" spans="8:28" ht="12.75" customHeight="1">
      <c r="H91" s="1651" t="s">
        <v>1248</v>
      </c>
      <c r="I91" s="1652" t="s">
        <v>1262</v>
      </c>
      <c r="J91" s="1653">
        <v>710.24890000000005</v>
      </c>
      <c r="K91" s="1654">
        <v>0.60267459999999995</v>
      </c>
      <c r="L91" s="1655">
        <v>8000</v>
      </c>
      <c r="M91" s="1654">
        <v>11.195413</v>
      </c>
      <c r="N91" s="1656">
        <v>442</v>
      </c>
      <c r="O91" s="1657">
        <v>8.0799956126720654E-3</v>
      </c>
      <c r="P91" s="1658">
        <v>39.284750928925448</v>
      </c>
      <c r="Q91" s="1653">
        <v>91.237667231969283</v>
      </c>
      <c r="R91" s="1653">
        <v>167.47751595310274</v>
      </c>
      <c r="S91" s="1659">
        <v>78.899046465413832</v>
      </c>
      <c r="T91" s="1653">
        <v>2018</v>
      </c>
      <c r="U91" s="1656" t="s">
        <v>2259</v>
      </c>
      <c r="V91" s="1656">
        <v>0</v>
      </c>
      <c r="W91" s="1660">
        <v>5.8815701929474384E-2</v>
      </c>
    </row>
    <row r="92" spans="8:28" ht="12.75" customHeight="1">
      <c r="H92" s="1651" t="s">
        <v>1248</v>
      </c>
      <c r="I92" s="1652" t="s">
        <v>1342</v>
      </c>
      <c r="J92" s="1653">
        <v>703</v>
      </c>
      <c r="K92" s="1654">
        <v>0.97751710000000003</v>
      </c>
      <c r="L92" s="1655">
        <v>8051</v>
      </c>
      <c r="M92" s="1654">
        <v>11.05</v>
      </c>
      <c r="N92" s="1656">
        <v>6</v>
      </c>
      <c r="O92" s="1657">
        <v>1.0968319836206424E-4</v>
      </c>
      <c r="P92" s="1658">
        <v>42.205339335277444</v>
      </c>
      <c r="Q92" s="1653">
        <v>93.600124499393274</v>
      </c>
      <c r="R92" s="1653">
        <v>169.02092711827871</v>
      </c>
      <c r="S92" s="1659">
        <v>81.394057763511825</v>
      </c>
      <c r="T92" s="1653">
        <v>2018</v>
      </c>
      <c r="U92" s="1656" t="s">
        <v>2259</v>
      </c>
      <c r="V92" s="1656">
        <v>0</v>
      </c>
      <c r="W92" s="1660">
        <v>7.9840319361277441E-4</v>
      </c>
    </row>
    <row r="93" spans="8:28" ht="12.75" customHeight="1">
      <c r="H93" s="1651" t="s">
        <v>1248</v>
      </c>
      <c r="I93" s="1652" t="s">
        <v>1343</v>
      </c>
      <c r="J93" s="1653">
        <v>662.97670000000005</v>
      </c>
      <c r="K93" s="1654">
        <v>0.93806789999999995</v>
      </c>
      <c r="L93" s="1655">
        <v>8001.3670000000002</v>
      </c>
      <c r="M93" s="1654">
        <v>12</v>
      </c>
      <c r="N93" s="1656">
        <v>7067</v>
      </c>
      <c r="O93" s="1657">
        <v>0.12918852713745133</v>
      </c>
      <c r="P93" s="1658">
        <v>39.943757414386567</v>
      </c>
      <c r="Q93" s="1653">
        <v>88.411340854974725</v>
      </c>
      <c r="R93" s="1653">
        <v>159.53653444055331</v>
      </c>
      <c r="S93" s="1659">
        <v>76.900473436935997</v>
      </c>
      <c r="T93" s="1653">
        <v>2018</v>
      </c>
      <c r="U93" s="1656" t="s">
        <v>2259</v>
      </c>
      <c r="V93" s="1656">
        <v>1</v>
      </c>
      <c r="W93" s="1660">
        <v>0.94038589487691282</v>
      </c>
    </row>
    <row r="94" spans="8:28" ht="12.75" customHeight="1">
      <c r="H94" s="1651" t="s">
        <v>1249</v>
      </c>
      <c r="I94" s="1652" t="s">
        <v>1262</v>
      </c>
      <c r="J94" s="1653">
        <v>1042.8570999999999</v>
      </c>
      <c r="K94" s="1654">
        <v>0.99921249999999995</v>
      </c>
      <c r="L94" s="1655">
        <v>11371.429</v>
      </c>
      <c r="M94" s="1654">
        <v>10.855102</v>
      </c>
      <c r="N94" s="1656">
        <v>7</v>
      </c>
      <c r="O94" s="1657">
        <v>1.2796373142240827E-4</v>
      </c>
      <c r="P94" s="1658">
        <v>58.678258853519999</v>
      </c>
      <c r="Q94" s="1653">
        <v>134.95225805423999</v>
      </c>
      <c r="R94" s="1653">
        <v>246.88280159676</v>
      </c>
      <c r="S94" s="1659">
        <v>116.83747225479297</v>
      </c>
      <c r="T94" s="1653">
        <v>2018</v>
      </c>
      <c r="U94" s="1656" t="s">
        <v>2252</v>
      </c>
      <c r="V94" s="1656">
        <v>0</v>
      </c>
      <c r="W94" s="1660">
        <v>7.2712163706242859E-4</v>
      </c>
    </row>
    <row r="95" spans="8:28" ht="12.75" customHeight="1">
      <c r="H95" s="1651" t="s">
        <v>1249</v>
      </c>
      <c r="I95" s="1652" t="s">
        <v>1342</v>
      </c>
      <c r="J95" s="1653">
        <v>1024</v>
      </c>
      <c r="K95" s="1654">
        <v>0.99916369999999999</v>
      </c>
      <c r="L95" s="1655">
        <v>11600</v>
      </c>
      <c r="M95" s="1654">
        <v>11.246886</v>
      </c>
      <c r="N95" s="1656">
        <v>5</v>
      </c>
      <c r="O95" s="1657">
        <v>9.1402665301720199E-5</v>
      </c>
      <c r="P95" s="1658">
        <v>57.774321864343683</v>
      </c>
      <c r="Q95" s="1653">
        <v>132.66780388953217</v>
      </c>
      <c r="R95" s="1653">
        <v>242.57246653625185</v>
      </c>
      <c r="S95" s="1659">
        <v>114.8808856883397</v>
      </c>
      <c r="T95" s="1653">
        <v>2018</v>
      </c>
      <c r="U95" s="1656" t="s">
        <v>2252</v>
      </c>
      <c r="V95" s="1656">
        <v>0</v>
      </c>
      <c r="W95" s="1660">
        <v>5.1937259790173467E-4</v>
      </c>
    </row>
    <row r="96" spans="8:28" ht="12.75" customHeight="1">
      <c r="H96" s="1651" t="s">
        <v>1249</v>
      </c>
      <c r="I96" s="1652" t="s">
        <v>1343</v>
      </c>
      <c r="J96" s="1653">
        <v>893.51620000000003</v>
      </c>
      <c r="K96" s="1654">
        <v>1.0539495000000001</v>
      </c>
      <c r="L96" s="1655">
        <v>10805.72</v>
      </c>
      <c r="M96" s="1654">
        <v>12</v>
      </c>
      <c r="N96" s="1656">
        <v>9615</v>
      </c>
      <c r="O96" s="1657">
        <v>0.17576732537520795</v>
      </c>
      <c r="P96" s="1658">
        <v>52.000000602556803</v>
      </c>
      <c r="Q96" s="1653">
        <v>117.3368049767616</v>
      </c>
      <c r="R96" s="1653">
        <v>213.21723741207842</v>
      </c>
      <c r="S96" s="1659">
        <v>101.81956150635602</v>
      </c>
      <c r="T96" s="1653">
        <v>2018</v>
      </c>
      <c r="U96" s="1656" t="s">
        <v>2252</v>
      </c>
      <c r="V96" s="1656">
        <v>1</v>
      </c>
      <c r="W96" s="1660">
        <v>0.99875350576503585</v>
      </c>
    </row>
    <row r="97" spans="8:23" ht="12.75" customHeight="1">
      <c r="H97" s="1661" t="s">
        <v>763</v>
      </c>
      <c r="I97" s="1662" t="s">
        <v>1262</v>
      </c>
      <c r="J97" s="1663">
        <v>1525.625</v>
      </c>
      <c r="K97" s="1664">
        <v>0.9706456</v>
      </c>
      <c r="L97" s="1665">
        <v>16687.5</v>
      </c>
      <c r="M97" s="1664">
        <v>10.918457999999999</v>
      </c>
      <c r="N97" s="1666">
        <v>8</v>
      </c>
      <c r="O97" s="1667">
        <v>1.4624426448275231E-4</v>
      </c>
      <c r="P97" s="1668">
        <v>81.560358204579842</v>
      </c>
      <c r="Q97" s="1663">
        <v>193.17969362846208</v>
      </c>
      <c r="R97" s="1663">
        <v>356.9787996773299</v>
      </c>
      <c r="S97" s="1669">
        <v>166.67052440345088</v>
      </c>
      <c r="T97" s="1663">
        <v>2018</v>
      </c>
      <c r="U97" s="1666">
        <v>4</v>
      </c>
      <c r="V97" s="1666">
        <v>0</v>
      </c>
      <c r="W97" s="1670">
        <v>2.0156210632401111E-3</v>
      </c>
    </row>
    <row r="98" spans="8:23" ht="12.75" customHeight="1">
      <c r="H98" s="1661" t="s">
        <v>763</v>
      </c>
      <c r="I98" s="1662" t="s">
        <v>1342</v>
      </c>
      <c r="J98" s="1663">
        <v>1625</v>
      </c>
      <c r="K98" s="1664">
        <v>0.85794769999999998</v>
      </c>
      <c r="L98" s="1665">
        <v>18500</v>
      </c>
      <c r="M98" s="1664">
        <v>11.343769</v>
      </c>
      <c r="N98" s="1666">
        <v>1</v>
      </c>
      <c r="O98" s="1667">
        <v>1.8280533060344039E-5</v>
      </c>
      <c r="P98" s="1668">
        <v>85.339262175281291</v>
      </c>
      <c r="Q98" s="1663">
        <v>204.24205216734336</v>
      </c>
      <c r="R98" s="1663">
        <v>378.72947975732058</v>
      </c>
      <c r="S98" s="1669">
        <v>176.00309008021438</v>
      </c>
      <c r="T98" s="1663">
        <v>2018</v>
      </c>
      <c r="U98" s="1666">
        <v>4</v>
      </c>
      <c r="V98" s="1666">
        <v>0</v>
      </c>
      <c r="W98" s="1670">
        <v>2.5195263290501388E-4</v>
      </c>
    </row>
    <row r="99" spans="8:23" ht="12.75" customHeight="1">
      <c r="H99" s="1661" t="s">
        <v>763</v>
      </c>
      <c r="I99" s="1662" t="s">
        <v>1343</v>
      </c>
      <c r="J99" s="1663">
        <v>1291.8596</v>
      </c>
      <c r="K99" s="1664">
        <v>1.1591175</v>
      </c>
      <c r="L99" s="1665">
        <v>15275.556</v>
      </c>
      <c r="M99" s="1664">
        <v>12.070959999999999</v>
      </c>
      <c r="N99" s="1666">
        <v>3960</v>
      </c>
      <c r="O99" s="1667">
        <v>7.2390910918962395E-2</v>
      </c>
      <c r="P99" s="1668">
        <v>72.002930643312013</v>
      </c>
      <c r="Q99" s="1663">
        <v>166.49459668694399</v>
      </c>
      <c r="R99" s="1663">
        <v>305.15919604365604</v>
      </c>
      <c r="S99" s="1669">
        <v>144.05318404108505</v>
      </c>
      <c r="T99" s="1663">
        <v>2018</v>
      </c>
      <c r="U99" s="1666">
        <v>4</v>
      </c>
      <c r="V99" s="1666">
        <v>1</v>
      </c>
      <c r="W99" s="1670">
        <v>0.99773242630385484</v>
      </c>
    </row>
    <row r="100" spans="8:23" ht="12.75" customHeight="1">
      <c r="H100" s="1651" t="s">
        <v>764</v>
      </c>
      <c r="I100" s="1652" t="s">
        <v>1262</v>
      </c>
      <c r="J100" s="1653">
        <v>2470</v>
      </c>
      <c r="K100" s="1654">
        <v>0.85794769999999998</v>
      </c>
      <c r="L100" s="1655">
        <v>24200</v>
      </c>
      <c r="M100" s="1654">
        <v>9.7744160000000004</v>
      </c>
      <c r="N100" s="1656">
        <v>11</v>
      </c>
      <c r="O100" s="1657">
        <v>2.0108586366378444E-4</v>
      </c>
      <c r="P100" s="1658">
        <v>125.82625417528128</v>
      </c>
      <c r="Q100" s="1653">
        <v>306.5911561673434</v>
      </c>
      <c r="R100" s="1653">
        <v>571.85997575732063</v>
      </c>
      <c r="S100" s="1659">
        <v>263.66017688268397</v>
      </c>
      <c r="T100" s="1653">
        <v>2018</v>
      </c>
      <c r="U100" s="1656" t="s">
        <v>2253</v>
      </c>
      <c r="V100" s="1656">
        <v>0</v>
      </c>
      <c r="W100" s="1660">
        <v>2.3206751054852322E-2</v>
      </c>
    </row>
    <row r="101" spans="8:23" ht="12.75" customHeight="1">
      <c r="H101" s="1651" t="s">
        <v>764</v>
      </c>
      <c r="I101" s="1652" t="s">
        <v>1342</v>
      </c>
      <c r="J101" s="1653">
        <v>2420</v>
      </c>
      <c r="K101" s="1654">
        <v>0.9177324</v>
      </c>
      <c r="L101" s="1655">
        <v>23750</v>
      </c>
      <c r="M101" s="1654">
        <v>9.6</v>
      </c>
      <c r="N101" s="1656">
        <v>4</v>
      </c>
      <c r="O101" s="1657">
        <v>7.3122132241376157E-5</v>
      </c>
      <c r="P101" s="1658">
        <v>123.95178235527938</v>
      </c>
      <c r="Q101" s="1653">
        <v>301.05182753336834</v>
      </c>
      <c r="R101" s="1653">
        <v>560.94254423779967</v>
      </c>
      <c r="S101" s="1659">
        <v>258.99123785547465</v>
      </c>
      <c r="T101" s="1653">
        <v>2018</v>
      </c>
      <c r="U101" s="1656" t="s">
        <v>2253</v>
      </c>
      <c r="V101" s="1656">
        <v>0</v>
      </c>
      <c r="W101" s="1660">
        <v>8.4388185654008432E-3</v>
      </c>
    </row>
    <row r="102" spans="8:23" ht="12.75" customHeight="1">
      <c r="H102" s="1651" t="s">
        <v>764</v>
      </c>
      <c r="I102" s="1652" t="s">
        <v>1343</v>
      </c>
      <c r="J102" s="1653">
        <v>2312.1351</v>
      </c>
      <c r="K102" s="1654">
        <v>1.5158969</v>
      </c>
      <c r="L102" s="1655">
        <v>23995.643</v>
      </c>
      <c r="M102" s="1654">
        <v>10.309150000000001</v>
      </c>
      <c r="N102" s="1656">
        <v>459</v>
      </c>
      <c r="O102" s="1657">
        <v>8.3907646746979141E-3</v>
      </c>
      <c r="P102" s="1658">
        <v>123.99843647505216</v>
      </c>
      <c r="Q102" s="1653">
        <v>293.15794408632195</v>
      </c>
      <c r="R102" s="1653">
        <v>541.39608330448596</v>
      </c>
      <c r="S102" s="1659">
        <v>252.98320199296182</v>
      </c>
      <c r="T102" s="1653">
        <v>2018</v>
      </c>
      <c r="U102" s="1656" t="s">
        <v>2253</v>
      </c>
      <c r="V102" s="1656">
        <v>1</v>
      </c>
      <c r="W102" s="1660">
        <v>0.96835443037974689</v>
      </c>
    </row>
    <row r="103" spans="8:23" ht="12.75" customHeight="1">
      <c r="H103" s="1661" t="s">
        <v>1344</v>
      </c>
      <c r="I103" s="1662" t="s">
        <v>1262</v>
      </c>
      <c r="J103" s="1663" t="s">
        <v>1263</v>
      </c>
      <c r="K103" s="1664" t="s">
        <v>1263</v>
      </c>
      <c r="L103" s="1665" t="s">
        <v>1263</v>
      </c>
      <c r="M103" s="1664" t="s">
        <v>1263</v>
      </c>
      <c r="N103" s="1666">
        <v>0</v>
      </c>
      <c r="O103" s="1667">
        <v>0</v>
      </c>
      <c r="P103" s="1668" t="s">
        <v>1263</v>
      </c>
      <c r="Q103" s="1663" t="s">
        <v>1263</v>
      </c>
      <c r="R103" s="1663" t="s">
        <v>1263</v>
      </c>
      <c r="S103" s="1669">
        <v>0</v>
      </c>
      <c r="T103" s="1663">
        <v>2018</v>
      </c>
      <c r="U103" s="1666" t="s">
        <v>2254</v>
      </c>
      <c r="V103" s="1666">
        <v>0</v>
      </c>
      <c r="W103" s="1670">
        <v>0</v>
      </c>
    </row>
    <row r="104" spans="8:23" ht="12.75" customHeight="1">
      <c r="H104" s="1661" t="s">
        <v>1344</v>
      </c>
      <c r="I104" s="1662" t="s">
        <v>1342</v>
      </c>
      <c r="J104" s="1663" t="s">
        <v>1263</v>
      </c>
      <c r="K104" s="1664" t="s">
        <v>1263</v>
      </c>
      <c r="L104" s="1665" t="s">
        <v>1263</v>
      </c>
      <c r="M104" s="1664" t="s">
        <v>1263</v>
      </c>
      <c r="N104" s="1666">
        <v>0</v>
      </c>
      <c r="O104" s="1667">
        <v>0</v>
      </c>
      <c r="P104" s="1668" t="s">
        <v>1263</v>
      </c>
      <c r="Q104" s="1663" t="s">
        <v>1263</v>
      </c>
      <c r="R104" s="1663" t="s">
        <v>1263</v>
      </c>
      <c r="S104" s="1669">
        <v>0</v>
      </c>
      <c r="T104" s="1663">
        <v>2018</v>
      </c>
      <c r="U104" s="1666" t="s">
        <v>2254</v>
      </c>
      <c r="V104" s="1666">
        <v>0</v>
      </c>
      <c r="W104" s="1669">
        <v>0</v>
      </c>
    </row>
    <row r="105" spans="8:23" ht="12.75" customHeight="1">
      <c r="H105" s="1661" t="s">
        <v>1344</v>
      </c>
      <c r="I105" s="1662" t="s">
        <v>1343</v>
      </c>
      <c r="J105" s="1663" t="s">
        <v>1263</v>
      </c>
      <c r="K105" s="1664" t="s">
        <v>1263</v>
      </c>
      <c r="L105" s="1665" t="s">
        <v>1263</v>
      </c>
      <c r="M105" s="1664" t="s">
        <v>1263</v>
      </c>
      <c r="N105" s="1666">
        <v>0</v>
      </c>
      <c r="O105" s="1667">
        <v>0</v>
      </c>
      <c r="P105" s="1668" t="s">
        <v>1263</v>
      </c>
      <c r="Q105" s="1663" t="s">
        <v>1263</v>
      </c>
      <c r="R105" s="1663" t="s">
        <v>1263</v>
      </c>
      <c r="S105" s="1669">
        <v>0</v>
      </c>
      <c r="T105" s="1663">
        <v>2018</v>
      </c>
      <c r="U105" s="1666" t="s">
        <v>2254</v>
      </c>
      <c r="V105" s="1666">
        <v>1</v>
      </c>
      <c r="W105" s="1669">
        <v>0</v>
      </c>
    </row>
    <row r="106" spans="8:23" ht="12.75" customHeight="1">
      <c r="H106" s="1651" t="s">
        <v>765</v>
      </c>
      <c r="I106" s="1652" t="s">
        <v>1262</v>
      </c>
      <c r="J106" s="1653" t="s">
        <v>1263</v>
      </c>
      <c r="K106" s="1654" t="s">
        <v>1263</v>
      </c>
      <c r="L106" s="1655" t="s">
        <v>1263</v>
      </c>
      <c r="M106" s="1654" t="s">
        <v>1263</v>
      </c>
      <c r="N106" s="1656">
        <v>0</v>
      </c>
      <c r="O106" s="1657">
        <v>0</v>
      </c>
      <c r="P106" s="1658" t="s">
        <v>1263</v>
      </c>
      <c r="Q106" s="1653" t="s">
        <v>1263</v>
      </c>
      <c r="R106" s="1653" t="s">
        <v>1263</v>
      </c>
      <c r="S106" s="1659">
        <v>0</v>
      </c>
      <c r="T106" s="1653">
        <v>2018</v>
      </c>
      <c r="U106" s="1656" t="s">
        <v>2260</v>
      </c>
      <c r="V106" s="1656">
        <v>0</v>
      </c>
      <c r="W106" s="1660">
        <v>0</v>
      </c>
    </row>
    <row r="107" spans="8:23" ht="12.75" customHeight="1">
      <c r="H107" s="1651" t="s">
        <v>765</v>
      </c>
      <c r="I107" s="1652" t="s">
        <v>1342</v>
      </c>
      <c r="J107" s="1653">
        <v>859</v>
      </c>
      <c r="K107" s="1654">
        <v>0.85794769999999998</v>
      </c>
      <c r="L107" s="1655">
        <v>8477.3330000000005</v>
      </c>
      <c r="M107" s="1654">
        <v>9.6973199999999995</v>
      </c>
      <c r="N107" s="1656">
        <v>3</v>
      </c>
      <c r="O107" s="1657">
        <v>5.4841599181032121E-5</v>
      </c>
      <c r="P107" s="1658">
        <v>48.637444575281286</v>
      </c>
      <c r="Q107" s="1653">
        <v>111.46168096734336</v>
      </c>
      <c r="R107" s="1653">
        <v>203.65497095732064</v>
      </c>
      <c r="S107" s="1659">
        <v>96.541162872295232</v>
      </c>
      <c r="T107" s="1653">
        <v>2018</v>
      </c>
      <c r="U107" s="1656" t="s">
        <v>2260</v>
      </c>
      <c r="V107" s="1656">
        <v>0</v>
      </c>
      <c r="W107" s="1660">
        <v>0.11538461538461539</v>
      </c>
    </row>
    <row r="108" spans="8:23" ht="12.75" customHeight="1">
      <c r="H108" s="1651" t="s">
        <v>765</v>
      </c>
      <c r="I108" s="1652" t="s">
        <v>1343</v>
      </c>
      <c r="J108" s="1653">
        <v>901.91300000000001</v>
      </c>
      <c r="K108" s="1654">
        <v>0.96901700000000002</v>
      </c>
      <c r="L108" s="1655">
        <v>9556.5220000000008</v>
      </c>
      <c r="M108" s="1654">
        <v>10.6</v>
      </c>
      <c r="N108" s="1656">
        <v>23</v>
      </c>
      <c r="O108" s="1657">
        <v>4.2045226038791292E-4</v>
      </c>
      <c r="P108" s="1658">
        <v>51.661872645868804</v>
      </c>
      <c r="Q108" s="1653">
        <v>117.6196212637056</v>
      </c>
      <c r="R108" s="1653">
        <v>214.41127675573441</v>
      </c>
      <c r="S108" s="1659">
        <v>101.95490588826469</v>
      </c>
      <c r="T108" s="1653">
        <v>2018</v>
      </c>
      <c r="U108" s="1656" t="s">
        <v>2260</v>
      </c>
      <c r="V108" s="1656">
        <v>1</v>
      </c>
      <c r="W108" s="1660">
        <v>0.88461538461538458</v>
      </c>
    </row>
    <row r="109" spans="8:23" ht="12.75" customHeight="1">
      <c r="H109" s="1661" t="s">
        <v>766</v>
      </c>
      <c r="I109" s="1662" t="s">
        <v>1262</v>
      </c>
      <c r="J109" s="1663" t="s">
        <v>1263</v>
      </c>
      <c r="K109" s="1664" t="s">
        <v>1263</v>
      </c>
      <c r="L109" s="1665" t="s">
        <v>1263</v>
      </c>
      <c r="M109" s="1664" t="s">
        <v>1263</v>
      </c>
      <c r="N109" s="1666">
        <v>0</v>
      </c>
      <c r="O109" s="1667">
        <v>0</v>
      </c>
      <c r="P109" s="1668" t="s">
        <v>1263</v>
      </c>
      <c r="Q109" s="1663" t="s">
        <v>1263</v>
      </c>
      <c r="R109" s="1663" t="s">
        <v>1263</v>
      </c>
      <c r="S109" s="1669">
        <v>0</v>
      </c>
      <c r="T109" s="1663">
        <v>2018</v>
      </c>
      <c r="U109" s="1666" t="s">
        <v>2255</v>
      </c>
      <c r="V109" s="1666">
        <v>0</v>
      </c>
      <c r="W109" s="1670">
        <v>0</v>
      </c>
    </row>
    <row r="110" spans="8:23" ht="12.75" customHeight="1">
      <c r="H110" s="1661" t="s">
        <v>766</v>
      </c>
      <c r="I110" s="1662" t="s">
        <v>1342</v>
      </c>
      <c r="J110" s="1663">
        <v>1189</v>
      </c>
      <c r="K110" s="1664">
        <v>0.83263640000000005</v>
      </c>
      <c r="L110" s="1665">
        <v>11762</v>
      </c>
      <c r="M110" s="1664">
        <v>9.8182109999999998</v>
      </c>
      <c r="N110" s="1666">
        <v>3</v>
      </c>
      <c r="O110" s="1667">
        <v>5.4841599181032121E-5</v>
      </c>
      <c r="P110" s="1668">
        <v>64.228266474984963</v>
      </c>
      <c r="Q110" s="1663">
        <v>151.21352389719553</v>
      </c>
      <c r="R110" s="1663">
        <v>278.86262117125244</v>
      </c>
      <c r="S110" s="1669">
        <v>130.55485485630132</v>
      </c>
      <c r="T110" s="1663">
        <v>2018</v>
      </c>
      <c r="U110" s="1666" t="s">
        <v>2255</v>
      </c>
      <c r="V110" s="1666">
        <v>0</v>
      </c>
      <c r="W110" s="1670">
        <v>0.5</v>
      </c>
    </row>
    <row r="111" spans="8:23" ht="12.75" customHeight="1">
      <c r="H111" s="1661" t="s">
        <v>766</v>
      </c>
      <c r="I111" s="1662" t="s">
        <v>1343</v>
      </c>
      <c r="J111" s="1663">
        <v>1116.6667</v>
      </c>
      <c r="K111" s="1664">
        <v>1.3685239</v>
      </c>
      <c r="L111" s="1665">
        <v>11933.333000000001</v>
      </c>
      <c r="M111" s="1664">
        <v>10.5</v>
      </c>
      <c r="N111" s="1666">
        <v>3</v>
      </c>
      <c r="O111" s="1667">
        <v>5.4841599181032121E-5</v>
      </c>
      <c r="P111" s="1668">
        <v>65.43443119778496</v>
      </c>
      <c r="Q111" s="1663">
        <v>147.08496455079549</v>
      </c>
      <c r="R111" s="1663">
        <v>266.90546268265246</v>
      </c>
      <c r="S111" s="1669">
        <v>127.69327226246943</v>
      </c>
      <c r="T111" s="1663">
        <v>2018</v>
      </c>
      <c r="U111" s="1666" t="s">
        <v>2255</v>
      </c>
      <c r="V111" s="1666">
        <v>1</v>
      </c>
      <c r="W111" s="1670">
        <v>0.5</v>
      </c>
    </row>
    <row r="112" spans="8:23" ht="12.75" customHeight="1">
      <c r="H112" s="1651" t="s">
        <v>1345</v>
      </c>
      <c r="I112" s="1652" t="s">
        <v>1262</v>
      </c>
      <c r="J112" s="1653" t="s">
        <v>1263</v>
      </c>
      <c r="K112" s="1654" t="s">
        <v>1263</v>
      </c>
      <c r="L112" s="1655" t="s">
        <v>1263</v>
      </c>
      <c r="M112" s="1654" t="s">
        <v>1263</v>
      </c>
      <c r="N112" s="1656">
        <v>0</v>
      </c>
      <c r="O112" s="1657">
        <v>0</v>
      </c>
      <c r="P112" s="1658" t="s">
        <v>1263</v>
      </c>
      <c r="Q112" s="1653" t="s">
        <v>1263</v>
      </c>
      <c r="R112" s="1653" t="s">
        <v>1263</v>
      </c>
      <c r="S112" s="1659">
        <v>0</v>
      </c>
      <c r="T112" s="1653">
        <v>2018</v>
      </c>
      <c r="U112" s="1656">
        <v>11</v>
      </c>
      <c r="V112" s="1656">
        <v>0</v>
      </c>
      <c r="W112" s="1660">
        <v>0</v>
      </c>
    </row>
    <row r="113" spans="8:23" ht="12.75" customHeight="1">
      <c r="H113" s="1651" t="s">
        <v>1345</v>
      </c>
      <c r="I113" s="1652" t="s">
        <v>1342</v>
      </c>
      <c r="J113" s="1653" t="s">
        <v>1263</v>
      </c>
      <c r="K113" s="1654" t="s">
        <v>1263</v>
      </c>
      <c r="L113" s="1655" t="s">
        <v>1263</v>
      </c>
      <c r="M113" s="1654" t="s">
        <v>1263</v>
      </c>
      <c r="N113" s="1656">
        <v>0</v>
      </c>
      <c r="O113" s="1657">
        <v>0</v>
      </c>
      <c r="P113" s="1658" t="s">
        <v>1263</v>
      </c>
      <c r="Q113" s="1653" t="s">
        <v>1263</v>
      </c>
      <c r="R113" s="1653" t="s">
        <v>1263</v>
      </c>
      <c r="S113" s="1659">
        <v>0</v>
      </c>
      <c r="T113" s="1653">
        <v>2018</v>
      </c>
      <c r="U113" s="1656">
        <v>11</v>
      </c>
      <c r="V113" s="1656">
        <v>0</v>
      </c>
      <c r="W113" s="1660">
        <v>0</v>
      </c>
    </row>
    <row r="114" spans="8:23" ht="12.75" customHeight="1">
      <c r="H114" s="1651" t="s">
        <v>1345</v>
      </c>
      <c r="I114" s="1652" t="s">
        <v>1343</v>
      </c>
      <c r="J114" s="1653" t="s">
        <v>1263</v>
      </c>
      <c r="K114" s="1654" t="s">
        <v>1263</v>
      </c>
      <c r="L114" s="1655" t="s">
        <v>1263</v>
      </c>
      <c r="M114" s="1654" t="s">
        <v>1263</v>
      </c>
      <c r="N114" s="1656">
        <v>0</v>
      </c>
      <c r="O114" s="1657">
        <v>0</v>
      </c>
      <c r="P114" s="1658" t="s">
        <v>1263</v>
      </c>
      <c r="Q114" s="1653" t="s">
        <v>1263</v>
      </c>
      <c r="R114" s="1653" t="s">
        <v>1263</v>
      </c>
      <c r="S114" s="1659">
        <v>0</v>
      </c>
      <c r="T114" s="1653">
        <v>2018</v>
      </c>
      <c r="U114" s="1656">
        <v>11</v>
      </c>
      <c r="V114" s="1656">
        <v>1</v>
      </c>
      <c r="W114" s="1660">
        <v>0</v>
      </c>
    </row>
    <row r="115" spans="8:23" ht="12.75" customHeight="1">
      <c r="H115" s="1661" t="s">
        <v>767</v>
      </c>
      <c r="I115" s="1662" t="s">
        <v>1262</v>
      </c>
      <c r="J115" s="1663">
        <v>960</v>
      </c>
      <c r="K115" s="1664">
        <v>0.85794769999999998</v>
      </c>
      <c r="L115" s="1665">
        <v>10000</v>
      </c>
      <c r="M115" s="1664">
        <v>10.4</v>
      </c>
      <c r="N115" s="1666">
        <v>96</v>
      </c>
      <c r="O115" s="1667">
        <v>1.7549311737930279E-3</v>
      </c>
      <c r="P115" s="1668">
        <v>53.476718175281285</v>
      </c>
      <c r="Q115" s="1663">
        <v>123.69512416734335</v>
      </c>
      <c r="R115" s="1663">
        <v>226.73920775732066</v>
      </c>
      <c r="S115" s="1669">
        <v>107.01851880963184</v>
      </c>
      <c r="T115" s="1663">
        <v>2018</v>
      </c>
      <c r="U115" s="1666">
        <v>16</v>
      </c>
      <c r="V115" s="1666">
        <v>0</v>
      </c>
      <c r="W115" s="1670">
        <v>1</v>
      </c>
    </row>
    <row r="116" spans="8:23" ht="12.75" customHeight="1">
      <c r="H116" s="1661" t="s">
        <v>767</v>
      </c>
      <c r="I116" s="1662" t="s">
        <v>1342</v>
      </c>
      <c r="J116" s="1663" t="s">
        <v>1263</v>
      </c>
      <c r="K116" s="1664" t="s">
        <v>1263</v>
      </c>
      <c r="L116" s="1665" t="s">
        <v>1263</v>
      </c>
      <c r="M116" s="1664" t="s">
        <v>1263</v>
      </c>
      <c r="N116" s="1666">
        <v>0</v>
      </c>
      <c r="O116" s="1667">
        <v>0</v>
      </c>
      <c r="P116" s="1668" t="s">
        <v>1263</v>
      </c>
      <c r="Q116" s="1663" t="s">
        <v>1263</v>
      </c>
      <c r="R116" s="1663" t="s">
        <v>1263</v>
      </c>
      <c r="S116" s="1669">
        <v>0</v>
      </c>
      <c r="T116" s="1663">
        <v>2018</v>
      </c>
      <c r="U116" s="1666">
        <v>16</v>
      </c>
      <c r="V116" s="1666">
        <v>0</v>
      </c>
      <c r="W116" s="1670">
        <v>0</v>
      </c>
    </row>
    <row r="117" spans="8:23" ht="12.75" customHeight="1" thickBot="1">
      <c r="H117" s="1710" t="s">
        <v>767</v>
      </c>
      <c r="I117" s="1711" t="s">
        <v>1343</v>
      </c>
      <c r="J117" s="1712" t="s">
        <v>1263</v>
      </c>
      <c r="K117" s="1713" t="s">
        <v>1263</v>
      </c>
      <c r="L117" s="1714" t="s">
        <v>1263</v>
      </c>
      <c r="M117" s="1713" t="s">
        <v>1263</v>
      </c>
      <c r="N117" s="1715">
        <v>0</v>
      </c>
      <c r="O117" s="1716">
        <v>0</v>
      </c>
      <c r="P117" s="1717" t="s">
        <v>1263</v>
      </c>
      <c r="Q117" s="1712" t="s">
        <v>1263</v>
      </c>
      <c r="R117" s="1712" t="s">
        <v>1263</v>
      </c>
      <c r="S117" s="1718">
        <v>0</v>
      </c>
      <c r="T117" s="1712">
        <v>2018</v>
      </c>
      <c r="U117" s="1715">
        <v>16</v>
      </c>
      <c r="V117" s="1715">
        <v>1</v>
      </c>
      <c r="W117" s="1719">
        <v>0</v>
      </c>
    </row>
  </sheetData>
  <autoFilter ref="A5:AD9">
    <filterColumn colId="11">
      <filters>
        <filter val="2020"/>
        <filter val="2021"/>
      </filters>
    </filterColumn>
  </autoFilter>
  <dataConsolidate/>
  <mergeCells count="30">
    <mergeCell ref="H35:J35"/>
    <mergeCell ref="H36:J36"/>
    <mergeCell ref="H37:J37"/>
    <mergeCell ref="L28:M28"/>
    <mergeCell ref="H30:J30"/>
    <mergeCell ref="H31:J31"/>
    <mergeCell ref="H32:J32"/>
    <mergeCell ref="H33:J33"/>
    <mergeCell ref="H34:J34"/>
    <mergeCell ref="H24:J24"/>
    <mergeCell ref="H25:J25"/>
    <mergeCell ref="H26:J26"/>
    <mergeCell ref="H27:J27"/>
    <mergeCell ref="H29:J29"/>
    <mergeCell ref="H40:M42"/>
    <mergeCell ref="T4:V4"/>
    <mergeCell ref="I2:L2"/>
    <mergeCell ref="A4:G4"/>
    <mergeCell ref="H4:L4"/>
    <mergeCell ref="M4:Q4"/>
    <mergeCell ref="R4:S4"/>
    <mergeCell ref="H12:L12"/>
    <mergeCell ref="O28:Q28"/>
    <mergeCell ref="L17:M17"/>
    <mergeCell ref="O17:Q17"/>
    <mergeCell ref="H19:J19"/>
    <mergeCell ref="H20:J20"/>
    <mergeCell ref="H21:J21"/>
    <mergeCell ref="H22:J22"/>
    <mergeCell ref="H23:J23"/>
  </mergeCells>
  <hyperlinks>
    <hyperlink ref="H1" location="' Summary by Program 2020-21'!H1" display="Summary Page"/>
  </hyperlinks>
  <pageMargins left="0.7" right="0.7" top="0.75" bottom="0.75" header="0.3" footer="0.3"/>
  <pageSetup scale="2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filterMode="1">
    <tabColor rgb="FF0083CA"/>
    <pageSetUpPr fitToPage="1"/>
  </sheetPr>
  <dimension ref="A1:AD60"/>
  <sheetViews>
    <sheetView topLeftCell="H1" workbookViewId="0"/>
  </sheetViews>
  <sheetFormatPr defaultColWidth="18.6640625" defaultRowHeight="20.100000000000001" customHeight="1" outlineLevelCol="1"/>
  <cols>
    <col min="1" max="1" width="10" style="8" hidden="1" customWidth="1" outlineLevel="1"/>
    <col min="2" max="2" width="9.88671875" style="8" hidden="1" customWidth="1" outlineLevel="1"/>
    <col min="3" max="3" width="8.88671875" style="10" hidden="1" customWidth="1" outlineLevel="1"/>
    <col min="4" max="4" width="7.33203125" style="10" hidden="1" customWidth="1" outlineLevel="1"/>
    <col min="5" max="5" width="9.44140625" style="10" hidden="1" customWidth="1" outlineLevel="1"/>
    <col min="6" max="6" width="11.6640625" style="10" hidden="1" customWidth="1" outlineLevel="1"/>
    <col min="7" max="7" width="9.6640625" style="8" hidden="1" customWidth="1" outlineLevel="1"/>
    <col min="8" max="8" width="13.109375" style="462" customWidth="1" collapsed="1"/>
    <col min="9" max="9" width="24.109375" style="462" customWidth="1"/>
    <col min="10" max="10" width="14.5546875" style="462" customWidth="1"/>
    <col min="11" max="11" width="24.109375" style="462" customWidth="1"/>
    <col min="12" max="12" width="15.6640625" style="462" customWidth="1"/>
    <col min="13" max="13" width="14.88671875" style="463" customWidth="1"/>
    <col min="14" max="14" width="11.33203125" style="463" customWidth="1"/>
    <col min="15" max="15" width="9.5546875" style="463" customWidth="1"/>
    <col min="16" max="16" width="14.88671875" style="463" customWidth="1"/>
    <col min="17" max="17" width="14.33203125" style="462" customWidth="1"/>
    <col min="18" max="18" width="10" style="462" customWidth="1"/>
    <col min="19" max="19" width="14.6640625" style="462" customWidth="1"/>
    <col min="20" max="21" width="12.33203125" style="462" customWidth="1"/>
    <col min="22" max="22" width="12.6640625" style="464" customWidth="1"/>
    <col min="23" max="16384" width="18.6640625" style="462"/>
  </cols>
  <sheetData>
    <row r="1" spans="1:30" ht="37.5" customHeight="1">
      <c r="E1" s="10" t="str">
        <f>"2019RES_201403_P8T1"</f>
        <v>2019RES_201403_P8T1</v>
      </c>
      <c r="H1" s="2462" t="str">
        <f>I5&amp;":"</f>
        <v>Retail Product Portfolio:</v>
      </c>
      <c r="I1" s="2875" t="str">
        <f>INDEX(Programs!C:C,MATCH(I6,Programs!B:B,0))</f>
        <v>The Retail Product Portfolio initiative uses mid-stream incentives to influence retail stocking practices, ultimately driving manufacturing and standards for a portfolio of energy-efficient product sold through the retail channel.</v>
      </c>
      <c r="J1" s="2875"/>
      <c r="K1" s="2875"/>
      <c r="L1" s="2875"/>
      <c r="P1" s="458"/>
      <c r="Q1" s="458"/>
      <c r="R1" s="458"/>
      <c r="AD1" s="462" t="s">
        <v>419</v>
      </c>
    </row>
    <row r="2" spans="1:30" ht="20.100000000000001" customHeight="1">
      <c r="E2" s="10" t="s">
        <v>626</v>
      </c>
      <c r="F2" s="10" t="b">
        <f>E2=E1</f>
        <v>1</v>
      </c>
      <c r="H2" s="926"/>
      <c r="M2" s="1380"/>
      <c r="AD2" s="462" t="s">
        <v>420</v>
      </c>
    </row>
    <row r="3" spans="1:30" s="458" customFormat="1" ht="20.100000000000001" customHeight="1">
      <c r="A3" s="3019" t="s">
        <v>131</v>
      </c>
      <c r="B3" s="3020"/>
      <c r="C3" s="3020"/>
      <c r="D3" s="3020"/>
      <c r="E3" s="3020"/>
      <c r="F3" s="3020"/>
      <c r="G3" s="3021"/>
      <c r="H3" s="2879" t="s">
        <v>7</v>
      </c>
      <c r="I3" s="2880"/>
      <c r="J3" s="2880"/>
      <c r="K3" s="2880"/>
      <c r="L3" s="2959"/>
      <c r="M3" s="2881" t="s">
        <v>127</v>
      </c>
      <c r="N3" s="2882"/>
      <c r="O3" s="2882"/>
      <c r="P3" s="2882"/>
      <c r="Q3" s="2883"/>
      <c r="R3" s="2884" t="s">
        <v>129</v>
      </c>
      <c r="S3" s="2885"/>
      <c r="T3" s="2872" t="s">
        <v>130</v>
      </c>
      <c r="U3" s="2873"/>
      <c r="V3" s="2874"/>
    </row>
    <row r="4" spans="1:30" s="931" customFormat="1" ht="60.6" customHeight="1" thickBot="1">
      <c r="A4" s="56" t="s">
        <v>0</v>
      </c>
      <c r="B4" s="6" t="s">
        <v>11</v>
      </c>
      <c r="C4" s="7" t="s">
        <v>1</v>
      </c>
      <c r="D4" s="7" t="s">
        <v>2</v>
      </c>
      <c r="E4" s="7" t="s">
        <v>266</v>
      </c>
      <c r="F4" s="7" t="s">
        <v>306</v>
      </c>
      <c r="G4" s="57" t="s">
        <v>12</v>
      </c>
      <c r="H4" s="1112" t="s">
        <v>3</v>
      </c>
      <c r="I4" s="1112" t="s">
        <v>4</v>
      </c>
      <c r="J4" s="1112" t="s">
        <v>5</v>
      </c>
      <c r="K4" s="1112" t="s">
        <v>6</v>
      </c>
      <c r="L4" s="1112" t="s">
        <v>8</v>
      </c>
      <c r="M4" s="1113" t="s">
        <v>13</v>
      </c>
      <c r="N4" s="1112" t="s">
        <v>14</v>
      </c>
      <c r="O4" s="1112" t="s">
        <v>123</v>
      </c>
      <c r="P4" s="1112" t="s">
        <v>124</v>
      </c>
      <c r="Q4" s="1114" t="s">
        <v>16</v>
      </c>
      <c r="R4" s="1113" t="s">
        <v>871</v>
      </c>
      <c r="S4" s="1114" t="s">
        <v>125</v>
      </c>
      <c r="T4" s="1113" t="s">
        <v>126</v>
      </c>
      <c r="U4" s="1112" t="s">
        <v>18</v>
      </c>
      <c r="V4" s="1115" t="s">
        <v>17</v>
      </c>
    </row>
    <row r="5" spans="1:30" s="1" customFormat="1" ht="12" hidden="1" customHeight="1" thickTop="1">
      <c r="A5" s="58" t="s">
        <v>769</v>
      </c>
      <c r="B5" s="9" t="str">
        <f t="shared" ref="B5:B6" si="0">LEFT(A5,10)</f>
        <v>RES_201403</v>
      </c>
      <c r="C5" s="9">
        <v>0</v>
      </c>
      <c r="D5" s="9">
        <v>0</v>
      </c>
      <c r="E5" s="9">
        <f t="shared" ref="E5:E16" si="1">COUNTIFS($A:$A,A5,$L:$L,L5)</f>
        <v>1</v>
      </c>
      <c r="F5" s="9">
        <v>1</v>
      </c>
      <c r="G5" s="59" t="b">
        <v>1</v>
      </c>
      <c r="H5" s="501" t="str">
        <f>IF(LEFT(A5,3)="Res","Residential",IF(LEFT(A5,3)="Ind","industrial",IF(LEFT(A5,3)="Com","Commercial",IF(LEFT(A5,3)="AGR","Agriculture",""))))</f>
        <v>Residential</v>
      </c>
      <c r="I5" s="502" t="s">
        <v>155</v>
      </c>
      <c r="J5" s="502" t="s">
        <v>443</v>
      </c>
      <c r="K5" s="502" t="s">
        <v>1461</v>
      </c>
      <c r="L5" s="24">
        <v>2018</v>
      </c>
      <c r="M5" s="511">
        <v>24</v>
      </c>
      <c r="N5" s="512">
        <v>0</v>
      </c>
      <c r="O5" s="512">
        <v>0</v>
      </c>
      <c r="P5" s="318" t="s">
        <v>1325</v>
      </c>
      <c r="Q5" s="505">
        <v>0.14199999999999999</v>
      </c>
      <c r="R5" s="833">
        <f>J36</f>
        <v>0.4298986439693806</v>
      </c>
      <c r="S5" s="71" t="s">
        <v>941</v>
      </c>
      <c r="T5" s="507">
        <f>(M5-O5)*Q5*R5/8760000</f>
        <v>1.6724823957164942E-7</v>
      </c>
      <c r="U5" s="508">
        <f t="shared" ref="U5:U7" si="2">IFERROR((N5-O5/M5*N5)*Q5*R5/8760/1000,0)</f>
        <v>0</v>
      </c>
      <c r="V5" s="598">
        <f t="shared" ref="V5:V6" si="3">T5-U5</f>
        <v>1.6724823957164942E-7</v>
      </c>
    </row>
    <row r="6" spans="1:30" s="1" customFormat="1" ht="12.75" hidden="1" customHeight="1">
      <c r="A6" s="58" t="s">
        <v>770</v>
      </c>
      <c r="B6" s="9" t="str">
        <f t="shared" si="0"/>
        <v>RES_201403</v>
      </c>
      <c r="C6" s="9">
        <v>0</v>
      </c>
      <c r="D6" s="9">
        <v>0</v>
      </c>
      <c r="E6" s="9">
        <f t="shared" si="1"/>
        <v>1</v>
      </c>
      <c r="F6" s="9">
        <v>1</v>
      </c>
      <c r="G6" s="59" t="b">
        <v>1</v>
      </c>
      <c r="H6" s="501" t="str">
        <f t="shared" ref="H6" si="4">IF(LEFT(A6,3)="Res","Residential",IF(LEFT(A6,3)="Ind","industrial",IF(LEFT(A6,3)="Com","Commercial",IF(LEFT(A6,3)="AGR","Agriculture",""))))</f>
        <v>Residential</v>
      </c>
      <c r="I6" s="502" t="s">
        <v>155</v>
      </c>
      <c r="J6" s="502" t="s">
        <v>443</v>
      </c>
      <c r="K6" s="502" t="s">
        <v>502</v>
      </c>
      <c r="L6" s="24">
        <v>2018</v>
      </c>
      <c r="M6" s="511">
        <v>515</v>
      </c>
      <c r="N6" s="512">
        <v>0</v>
      </c>
      <c r="O6" s="512">
        <v>0</v>
      </c>
      <c r="P6" s="318" t="s">
        <v>1325</v>
      </c>
      <c r="Q6" s="505">
        <v>0.14199999999999999</v>
      </c>
      <c r="R6" s="833">
        <f t="shared" ref="R6:R7" si="5">J37</f>
        <v>-9.2878913560306202</v>
      </c>
      <c r="S6" s="71" t="s">
        <v>1368</v>
      </c>
      <c r="T6" s="507">
        <f>(M6-O6)*Q6*R6/8760000</f>
        <v>-7.7536928637730499E-5</v>
      </c>
      <c r="U6" s="508">
        <f t="shared" si="2"/>
        <v>0</v>
      </c>
      <c r="V6" s="598">
        <f t="shared" si="3"/>
        <v>-7.7536928637730499E-5</v>
      </c>
    </row>
    <row r="7" spans="1:30" s="1" customFormat="1" ht="12.75" hidden="1" customHeight="1">
      <c r="A7" s="8" t="s">
        <v>771</v>
      </c>
      <c r="B7" s="9" t="str">
        <f t="shared" ref="B7:B12" si="6">LEFT(A7,10)</f>
        <v>RES_201403</v>
      </c>
      <c r="C7" s="9">
        <v>0</v>
      </c>
      <c r="D7" s="9">
        <v>0</v>
      </c>
      <c r="E7" s="9">
        <f t="shared" si="1"/>
        <v>1</v>
      </c>
      <c r="F7" s="9">
        <v>1</v>
      </c>
      <c r="G7" s="59" t="b">
        <v>1</v>
      </c>
      <c r="H7" s="501" t="str">
        <f t="shared" ref="H7:H10" si="7">IF(LEFT(A7,3)="Res","Residential",IF(LEFT(A7,3)="Ind","industrial",IF(LEFT(A7,3)="Com","Commercial",IF(LEFT(A7,3)="AGR","Agriculture",""))))</f>
        <v>Residential</v>
      </c>
      <c r="I7" s="502" t="s">
        <v>155</v>
      </c>
      <c r="J7" s="502" t="s">
        <v>443</v>
      </c>
      <c r="K7" s="502" t="s">
        <v>503</v>
      </c>
      <c r="L7" s="24">
        <v>2018</v>
      </c>
      <c r="M7" s="511">
        <v>41468</v>
      </c>
      <c r="N7" s="512">
        <v>0</v>
      </c>
      <c r="O7" s="512">
        <v>0</v>
      </c>
      <c r="P7" s="318" t="s">
        <v>1325</v>
      </c>
      <c r="Q7" s="505">
        <v>0.14199999999999999</v>
      </c>
      <c r="R7" s="833">
        <f t="shared" si="5"/>
        <v>10.211368643969383</v>
      </c>
      <c r="S7" s="71" t="s">
        <v>941</v>
      </c>
      <c r="T7" s="507">
        <f t="shared" ref="T7" si="8">(M7-O7)*Q7*R7/8760000</f>
        <v>6.8640633515745855E-3</v>
      </c>
      <c r="U7" s="508">
        <f t="shared" si="2"/>
        <v>0</v>
      </c>
      <c r="V7" s="598">
        <f>T7-U7</f>
        <v>6.8640633515745855E-3</v>
      </c>
    </row>
    <row r="8" spans="1:30" s="1" customFormat="1" ht="12.75" hidden="1" customHeight="1">
      <c r="A8" s="8" t="s">
        <v>769</v>
      </c>
      <c r="B8" s="9" t="str">
        <f t="shared" si="6"/>
        <v>RES_201403</v>
      </c>
      <c r="C8" s="9">
        <v>0</v>
      </c>
      <c r="D8" s="9">
        <v>0</v>
      </c>
      <c r="E8" s="9">
        <f t="shared" si="1"/>
        <v>1</v>
      </c>
      <c r="F8" s="9">
        <v>1</v>
      </c>
      <c r="G8" s="59" t="b">
        <v>1</v>
      </c>
      <c r="H8" s="501" t="str">
        <f t="shared" si="7"/>
        <v>Residential</v>
      </c>
      <c r="I8" s="502" t="s">
        <v>155</v>
      </c>
      <c r="J8" s="502" t="s">
        <v>443</v>
      </c>
      <c r="K8" s="502" t="s">
        <v>1461</v>
      </c>
      <c r="L8" s="24">
        <v>2019</v>
      </c>
      <c r="M8" s="511">
        <v>0</v>
      </c>
      <c r="N8" s="512">
        <v>0</v>
      </c>
      <c r="O8" s="512">
        <v>0</v>
      </c>
      <c r="P8" s="318" t="s">
        <v>1325</v>
      </c>
      <c r="Q8" s="505">
        <v>0</v>
      </c>
      <c r="R8" s="833"/>
      <c r="S8" s="71" t="s">
        <v>483</v>
      </c>
      <c r="T8" s="507">
        <f t="shared" ref="T8:T10" si="9">(M8-O8)*Q8*R8/8760000</f>
        <v>0</v>
      </c>
      <c r="U8" s="508">
        <f t="shared" ref="U8:U13" si="10">IFERROR((N8-O8/M8*N8)*Q8*R8/8760/1000,0)</f>
        <v>0</v>
      </c>
      <c r="V8" s="598">
        <f t="shared" ref="V8:V12" si="11">T8-U8</f>
        <v>0</v>
      </c>
    </row>
    <row r="9" spans="1:30" s="1" customFormat="1" ht="12.75" hidden="1" customHeight="1">
      <c r="A9" s="8" t="s">
        <v>770</v>
      </c>
      <c r="B9" s="9" t="str">
        <f t="shared" si="6"/>
        <v>RES_201403</v>
      </c>
      <c r="C9" s="9">
        <v>0</v>
      </c>
      <c r="D9" s="9">
        <v>0</v>
      </c>
      <c r="E9" s="9">
        <f t="shared" si="1"/>
        <v>1</v>
      </c>
      <c r="F9" s="9">
        <v>1</v>
      </c>
      <c r="G9" s="59" t="b">
        <v>1</v>
      </c>
      <c r="H9" s="501" t="str">
        <f t="shared" si="7"/>
        <v>Residential</v>
      </c>
      <c r="I9" s="502" t="s">
        <v>155</v>
      </c>
      <c r="J9" s="502" t="s">
        <v>443</v>
      </c>
      <c r="K9" s="502" t="s">
        <v>502</v>
      </c>
      <c r="L9" s="24">
        <v>2019</v>
      </c>
      <c r="M9" s="511">
        <v>535.22699999999998</v>
      </c>
      <c r="N9" s="512">
        <v>0</v>
      </c>
      <c r="O9" s="512">
        <v>0</v>
      </c>
      <c r="P9" s="318" t="s">
        <v>1325</v>
      </c>
      <c r="Q9" s="505">
        <v>0.14199999999999999</v>
      </c>
      <c r="R9" s="833"/>
      <c r="S9" s="71" t="s">
        <v>483</v>
      </c>
      <c r="T9" s="507">
        <f t="shared" si="9"/>
        <v>0</v>
      </c>
      <c r="U9" s="508">
        <f t="shared" si="10"/>
        <v>0</v>
      </c>
      <c r="V9" s="598">
        <f t="shared" si="11"/>
        <v>0</v>
      </c>
    </row>
    <row r="10" spans="1:30" s="1" customFormat="1" ht="13.5" hidden="1" customHeight="1" thickBot="1">
      <c r="A10" s="8" t="s">
        <v>771</v>
      </c>
      <c r="B10" s="9" t="str">
        <f t="shared" si="6"/>
        <v>RES_201403</v>
      </c>
      <c r="C10" s="9">
        <v>0</v>
      </c>
      <c r="D10" s="9">
        <v>0</v>
      </c>
      <c r="E10" s="9">
        <f t="shared" si="1"/>
        <v>1</v>
      </c>
      <c r="F10" s="9">
        <v>1</v>
      </c>
      <c r="G10" s="59" t="b">
        <v>1</v>
      </c>
      <c r="H10" s="710" t="str">
        <f t="shared" si="7"/>
        <v>Residential</v>
      </c>
      <c r="I10" s="559" t="s">
        <v>155</v>
      </c>
      <c r="J10" s="559" t="s">
        <v>443</v>
      </c>
      <c r="K10" s="559" t="s">
        <v>503</v>
      </c>
      <c r="L10" s="277">
        <v>2019</v>
      </c>
      <c r="M10" s="560">
        <v>41177.724000000002</v>
      </c>
      <c r="N10" s="561">
        <v>0</v>
      </c>
      <c r="O10" s="561">
        <v>0</v>
      </c>
      <c r="P10" s="319" t="s">
        <v>1325</v>
      </c>
      <c r="Q10" s="562">
        <v>0.14199999999999999</v>
      </c>
      <c r="R10" s="834"/>
      <c r="S10" s="744" t="s">
        <v>483</v>
      </c>
      <c r="T10" s="564">
        <f t="shared" si="9"/>
        <v>0</v>
      </c>
      <c r="U10" s="565">
        <f t="shared" si="10"/>
        <v>0</v>
      </c>
      <c r="V10" s="832">
        <f t="shared" si="11"/>
        <v>0</v>
      </c>
    </row>
    <row r="11" spans="1:30" s="724" customFormat="1" ht="14.4" hidden="1" thickTop="1">
      <c r="A11" s="745" t="s">
        <v>769</v>
      </c>
      <c r="B11" s="746" t="str">
        <f t="shared" si="6"/>
        <v>RES_201403</v>
      </c>
      <c r="C11" s="746">
        <v>0</v>
      </c>
      <c r="D11" s="746">
        <v>0</v>
      </c>
      <c r="E11" s="746">
        <f t="shared" si="1"/>
        <v>1</v>
      </c>
      <c r="F11" s="746">
        <v>1</v>
      </c>
      <c r="G11" s="747" t="b">
        <v>1</v>
      </c>
      <c r="H11" s="2425" t="str">
        <f>IF(LEFT(A11,3)="Res","Residential",IF(LEFT(A11,3)="Ind","industrial",IF(LEFT(A11,3)="Com","Commercial",IF(LEFT(A11,3)="AGR","Agriculture",""))))</f>
        <v>Residential</v>
      </c>
      <c r="I11" s="2426" t="s">
        <v>155</v>
      </c>
      <c r="J11" s="2426" t="s">
        <v>443</v>
      </c>
      <c r="K11" s="2426" t="s">
        <v>1461</v>
      </c>
      <c r="L11" s="2427">
        <v>2020</v>
      </c>
      <c r="M11" s="2428">
        <v>0</v>
      </c>
      <c r="N11" s="2429">
        <v>0</v>
      </c>
      <c r="O11" s="2429">
        <v>0</v>
      </c>
      <c r="P11" s="2430" t="s">
        <v>1325</v>
      </c>
      <c r="Q11" s="2431">
        <v>0</v>
      </c>
      <c r="R11" s="2432">
        <v>0</v>
      </c>
      <c r="S11" s="808" t="s">
        <v>941</v>
      </c>
      <c r="T11" s="2433">
        <f>(M11-O11)*Q11*R11/8760000</f>
        <v>0</v>
      </c>
      <c r="U11" s="2434">
        <f t="shared" si="10"/>
        <v>0</v>
      </c>
      <c r="V11" s="2435">
        <f t="shared" si="11"/>
        <v>0</v>
      </c>
    </row>
    <row r="12" spans="1:30" s="482" customFormat="1" ht="14.4" thickTop="1">
      <c r="A12" s="754" t="s">
        <v>770</v>
      </c>
      <c r="B12" s="9" t="str">
        <f t="shared" si="6"/>
        <v>RES_201403</v>
      </c>
      <c r="C12" s="9">
        <v>0</v>
      </c>
      <c r="D12" s="9">
        <v>0</v>
      </c>
      <c r="E12" s="9">
        <f t="shared" si="1"/>
        <v>1</v>
      </c>
      <c r="F12" s="9">
        <v>1</v>
      </c>
      <c r="G12" s="59" t="b">
        <v>1</v>
      </c>
      <c r="H12" s="567" t="str">
        <f t="shared" ref="H12:H16" si="12">IF(LEFT(A12,3)="Res","Residential",IF(LEFT(A12,3)="Ind","industrial",IF(LEFT(A12,3)="Com","Commercial",IF(LEFT(A12,3)="AGR","Agriculture",""))))</f>
        <v>Residential</v>
      </c>
      <c r="I12" s="2414" t="s">
        <v>155</v>
      </c>
      <c r="J12" s="2414" t="s">
        <v>774</v>
      </c>
      <c r="K12" s="2526" t="s">
        <v>2388</v>
      </c>
      <c r="L12" s="245">
        <v>2020</v>
      </c>
      <c r="M12" s="569">
        <v>21381.525028110002</v>
      </c>
      <c r="N12" s="570">
        <v>0</v>
      </c>
      <c r="O12" s="570">
        <v>0</v>
      </c>
      <c r="P12" s="320" t="s">
        <v>1325</v>
      </c>
      <c r="Q12" s="571">
        <v>0.13985600000000001</v>
      </c>
      <c r="R12" s="2441">
        <f>$Q$56</f>
        <v>10.211368643969383</v>
      </c>
      <c r="S12" s="2442" t="s">
        <v>2383</v>
      </c>
      <c r="T12" s="573">
        <f>(M12-O12)*Q12*R12/8760000</f>
        <v>3.4857772380355043E-3</v>
      </c>
      <c r="U12" s="574">
        <f t="shared" si="10"/>
        <v>0</v>
      </c>
      <c r="V12" s="1923">
        <f t="shared" si="11"/>
        <v>3.4857772380355043E-3</v>
      </c>
    </row>
    <row r="13" spans="1:30" s="482" customFormat="1" ht="13.8">
      <c r="A13" s="754" t="s">
        <v>771</v>
      </c>
      <c r="B13" s="9" t="str">
        <f t="shared" ref="B13:B16" si="13">LEFT(A13,10)</f>
        <v>RES_201403</v>
      </c>
      <c r="C13" s="9">
        <v>0</v>
      </c>
      <c r="D13" s="9">
        <v>0</v>
      </c>
      <c r="E13" s="9">
        <f t="shared" si="1"/>
        <v>1</v>
      </c>
      <c r="F13" s="9">
        <v>1</v>
      </c>
      <c r="G13" s="59" t="b">
        <v>1</v>
      </c>
      <c r="H13" s="576" t="str">
        <f t="shared" si="12"/>
        <v>Residential</v>
      </c>
      <c r="I13" s="2424" t="s">
        <v>155</v>
      </c>
      <c r="J13" s="2424" t="s">
        <v>774</v>
      </c>
      <c r="K13" s="2527" t="s">
        <v>2389</v>
      </c>
      <c r="L13" s="243">
        <v>2020</v>
      </c>
      <c r="M13" s="519">
        <v>7953.50447351</v>
      </c>
      <c r="N13" s="520">
        <v>0</v>
      </c>
      <c r="O13" s="520">
        <v>0</v>
      </c>
      <c r="P13" s="321" t="s">
        <v>1325</v>
      </c>
      <c r="Q13" s="521">
        <v>0.13985600000000001</v>
      </c>
      <c r="R13" s="2443">
        <f>$Q$56</f>
        <v>10.211368643969383</v>
      </c>
      <c r="S13" s="2444" t="s">
        <v>2383</v>
      </c>
      <c r="T13" s="528">
        <f t="shared" ref="T13:T16" si="14">(M13-O13)*Q13*R13/8760000</f>
        <v>1.2966401984856627E-3</v>
      </c>
      <c r="U13" s="529">
        <f t="shared" si="10"/>
        <v>0</v>
      </c>
      <c r="V13" s="1925">
        <f>T13-U13</f>
        <v>1.2966401984856627E-3</v>
      </c>
    </row>
    <row r="14" spans="1:30" s="482" customFormat="1" ht="13.8" hidden="1">
      <c r="A14" s="754" t="s">
        <v>769</v>
      </c>
      <c r="B14" s="9" t="str">
        <f t="shared" si="13"/>
        <v>RES_201403</v>
      </c>
      <c r="C14" s="9">
        <v>0</v>
      </c>
      <c r="D14" s="9">
        <v>0</v>
      </c>
      <c r="E14" s="9">
        <f t="shared" si="1"/>
        <v>1</v>
      </c>
      <c r="F14" s="9">
        <v>1</v>
      </c>
      <c r="G14" s="59" t="b">
        <v>1</v>
      </c>
      <c r="H14" s="1911" t="str">
        <f t="shared" si="12"/>
        <v>Residential</v>
      </c>
      <c r="I14" s="1912" t="s">
        <v>155</v>
      </c>
      <c r="J14" s="1912" t="s">
        <v>443</v>
      </c>
      <c r="K14" s="1912" t="s">
        <v>1461</v>
      </c>
      <c r="L14" s="1913">
        <v>2021</v>
      </c>
      <c r="M14" s="2436">
        <v>0</v>
      </c>
      <c r="N14" s="1914">
        <v>0</v>
      </c>
      <c r="O14" s="1914">
        <v>0</v>
      </c>
      <c r="P14" s="1915" t="s">
        <v>1325</v>
      </c>
      <c r="Q14" s="1916">
        <v>0</v>
      </c>
      <c r="R14" s="2437"/>
      <c r="S14" s="1917" t="s">
        <v>483</v>
      </c>
      <c r="T14" s="2438">
        <f t="shared" si="14"/>
        <v>0</v>
      </c>
      <c r="U14" s="2439">
        <f t="shared" ref="U14:U16" si="15">IFERROR((N14-O14/M14*N14)*Q14*R14/8760/1000,0)</f>
        <v>0</v>
      </c>
      <c r="V14" s="2440">
        <f t="shared" ref="V14:V16" si="16">T14-U14</f>
        <v>0</v>
      </c>
    </row>
    <row r="15" spans="1:30" s="482" customFormat="1" ht="13.8">
      <c r="A15" s="754" t="s">
        <v>770</v>
      </c>
      <c r="B15" s="9" t="str">
        <f t="shared" si="13"/>
        <v>RES_201403</v>
      </c>
      <c r="C15" s="9">
        <v>0</v>
      </c>
      <c r="D15" s="9">
        <v>0</v>
      </c>
      <c r="E15" s="9">
        <f t="shared" si="1"/>
        <v>1</v>
      </c>
      <c r="F15" s="9">
        <v>1</v>
      </c>
      <c r="G15" s="59" t="b">
        <v>1</v>
      </c>
      <c r="H15" s="567" t="str">
        <f t="shared" si="12"/>
        <v>Residential</v>
      </c>
      <c r="I15" s="2414" t="s">
        <v>155</v>
      </c>
      <c r="J15" s="2414" t="s">
        <v>774</v>
      </c>
      <c r="K15" s="2526" t="s">
        <v>2388</v>
      </c>
      <c r="L15" s="245">
        <v>2021</v>
      </c>
      <c r="M15" s="569">
        <v>19737.543239999999</v>
      </c>
      <c r="N15" s="570">
        <v>0</v>
      </c>
      <c r="O15" s="570">
        <v>0</v>
      </c>
      <c r="P15" s="320" t="s">
        <v>1325</v>
      </c>
      <c r="Q15" s="571">
        <v>0.13985600000000001</v>
      </c>
      <c r="R15" s="2441">
        <f>Q56</f>
        <v>10.211368643969383</v>
      </c>
      <c r="S15" s="2442" t="s">
        <v>2383</v>
      </c>
      <c r="T15" s="573">
        <f t="shared" si="14"/>
        <v>3.2177629458274011E-3</v>
      </c>
      <c r="U15" s="574">
        <f t="shared" si="15"/>
        <v>0</v>
      </c>
      <c r="V15" s="1923">
        <f t="shared" si="16"/>
        <v>3.2177629458274011E-3</v>
      </c>
    </row>
    <row r="16" spans="1:30" s="496" customFormat="1" ht="14.4" thickBot="1">
      <c r="A16" s="755" t="s">
        <v>771</v>
      </c>
      <c r="B16" s="756" t="str">
        <f t="shared" si="13"/>
        <v>RES_201403</v>
      </c>
      <c r="C16" s="756">
        <v>0</v>
      </c>
      <c r="D16" s="756">
        <v>0</v>
      </c>
      <c r="E16" s="756">
        <f t="shared" si="1"/>
        <v>1</v>
      </c>
      <c r="F16" s="756">
        <v>1</v>
      </c>
      <c r="G16" s="757" t="b">
        <v>1</v>
      </c>
      <c r="H16" s="576" t="str">
        <f t="shared" si="12"/>
        <v>Residential</v>
      </c>
      <c r="I16" s="2424" t="s">
        <v>155</v>
      </c>
      <c r="J16" s="2424" t="s">
        <v>774</v>
      </c>
      <c r="K16" s="2527" t="s">
        <v>2389</v>
      </c>
      <c r="L16" s="243">
        <v>2021</v>
      </c>
      <c r="M16" s="519">
        <v>15351.42252</v>
      </c>
      <c r="N16" s="520">
        <v>0</v>
      </c>
      <c r="O16" s="520">
        <v>0</v>
      </c>
      <c r="P16" s="321" t="s">
        <v>1325</v>
      </c>
      <c r="Q16" s="521">
        <v>0.13985600000000001</v>
      </c>
      <c r="R16" s="2443">
        <f>Q56</f>
        <v>10.211368643969383</v>
      </c>
      <c r="S16" s="2444" t="s">
        <v>2383</v>
      </c>
      <c r="T16" s="528">
        <f t="shared" si="14"/>
        <v>2.5027045134213121E-3</v>
      </c>
      <c r="U16" s="529">
        <f t="shared" si="15"/>
        <v>0</v>
      </c>
      <c r="V16" s="1925">
        <f t="shared" si="16"/>
        <v>2.5027045134213121E-3</v>
      </c>
    </row>
    <row r="17" spans="1:17" s="891" customFormat="1" ht="20.100000000000001" customHeight="1">
      <c r="A17"/>
      <c r="B17"/>
      <c r="C17"/>
      <c r="D17"/>
      <c r="E17"/>
      <c r="F17"/>
      <c r="G17"/>
      <c r="H17" s="939" t="s">
        <v>1355</v>
      </c>
    </row>
    <row r="18" spans="1:17" s="458" customFormat="1" ht="85.5" customHeight="1">
      <c r="A18"/>
      <c r="B18"/>
      <c r="C18"/>
      <c r="D18"/>
      <c r="E18"/>
      <c r="F18"/>
      <c r="G18"/>
      <c r="H18" s="2956" t="s">
        <v>1614</v>
      </c>
      <c r="I18" s="2957"/>
      <c r="J18" s="2957"/>
      <c r="K18" s="2957"/>
      <c r="L18" s="2958"/>
    </row>
    <row r="19" spans="1:17" s="891" customFormat="1" ht="21" customHeight="1">
      <c r="A19" s="8"/>
      <c r="B19" s="8"/>
      <c r="C19" s="10"/>
      <c r="D19" s="10"/>
      <c r="E19" s="10"/>
      <c r="F19" s="9"/>
      <c r="G19" s="8"/>
      <c r="H19" s="891" t="s">
        <v>242</v>
      </c>
    </row>
    <row r="21" spans="1:17" ht="20.100000000000001" customHeight="1">
      <c r="H21" s="413" t="s">
        <v>1370</v>
      </c>
    </row>
    <row r="23" spans="1:17" ht="20.100000000000001" hidden="1" customHeight="1" thickBot="1">
      <c r="H23" s="924" t="s">
        <v>1254</v>
      </c>
      <c r="I23" s="458"/>
      <c r="J23" s="458"/>
      <c r="K23" s="458"/>
      <c r="L23" s="458"/>
      <c r="M23" s="458"/>
      <c r="N23" s="458"/>
      <c r="O23" s="458"/>
      <c r="P23" s="458"/>
      <c r="Q23" s="458"/>
    </row>
    <row r="24" spans="1:17" ht="62.4" hidden="1" customHeight="1" thickBot="1">
      <c r="H24" s="2057" t="s">
        <v>1255</v>
      </c>
      <c r="I24" s="2058" t="s">
        <v>1357</v>
      </c>
      <c r="J24" s="2058" t="s">
        <v>1358</v>
      </c>
      <c r="K24" s="2058" t="s">
        <v>1359</v>
      </c>
      <c r="L24" s="2058" t="s">
        <v>1360</v>
      </c>
      <c r="M24" s="2058" t="s">
        <v>1361</v>
      </c>
      <c r="N24" s="2058" t="s">
        <v>1362</v>
      </c>
      <c r="O24" s="2058" t="s">
        <v>1363</v>
      </c>
      <c r="P24" s="2059" t="s">
        <v>1341</v>
      </c>
      <c r="Q24" s="2060" t="s">
        <v>1261</v>
      </c>
    </row>
    <row r="25" spans="1:17" ht="20.100000000000001" hidden="1" customHeight="1">
      <c r="H25" s="3027">
        <v>2015</v>
      </c>
      <c r="I25" s="2061" t="s">
        <v>1364</v>
      </c>
      <c r="J25" s="2062">
        <v>14.640881</v>
      </c>
      <c r="K25" s="2062">
        <v>8.4695652173913043</v>
      </c>
      <c r="L25" s="2062">
        <v>1.7845846999999999</v>
      </c>
      <c r="M25" s="2063">
        <v>0</v>
      </c>
      <c r="N25" s="2062">
        <v>40.825945903695654</v>
      </c>
      <c r="O25" s="2064">
        <v>62808</v>
      </c>
      <c r="P25" s="2065">
        <v>0.53605994913200072</v>
      </c>
      <c r="Q25" s="2066">
        <v>2015</v>
      </c>
    </row>
    <row r="26" spans="1:17" ht="20.100000000000001" hidden="1" customHeight="1">
      <c r="H26" s="3028"/>
      <c r="I26" s="2067" t="s">
        <v>1342</v>
      </c>
      <c r="J26" s="2068">
        <v>11.049383000000001</v>
      </c>
      <c r="K26" s="2068">
        <v>2.9872428000000002</v>
      </c>
      <c r="L26" s="2068">
        <v>1.6765432</v>
      </c>
      <c r="M26" s="2069">
        <v>2.5057156000000001E-2</v>
      </c>
      <c r="N26" s="2068">
        <v>30.45242</v>
      </c>
      <c r="O26" s="2070">
        <v>1458</v>
      </c>
      <c r="P26" s="2071">
        <v>1.2443883037741325E-2</v>
      </c>
      <c r="Q26" s="2072">
        <v>2015</v>
      </c>
    </row>
    <row r="27" spans="1:17" ht="20.100000000000001" hidden="1" customHeight="1">
      <c r="H27" s="3028"/>
      <c r="I27" s="2073" t="s">
        <v>1365</v>
      </c>
      <c r="J27" s="2074">
        <v>10.909722</v>
      </c>
      <c r="K27" s="2074">
        <v>4.1394652000000001</v>
      </c>
      <c r="L27" s="2074">
        <v>0.60026389999999996</v>
      </c>
      <c r="M27" s="2075">
        <v>0.39241938599999998</v>
      </c>
      <c r="N27" s="2074">
        <v>24.082889999999999</v>
      </c>
      <c r="O27" s="2076">
        <v>936</v>
      </c>
      <c r="P27" s="2077">
        <v>7.9886656538586277E-3</v>
      </c>
      <c r="Q27" s="2078">
        <v>2015</v>
      </c>
    </row>
    <row r="28" spans="1:17" ht="20.100000000000001" hidden="1" customHeight="1" thickBot="1">
      <c r="H28" s="3035"/>
      <c r="I28" s="2079" t="s">
        <v>1366</v>
      </c>
      <c r="J28" s="2080">
        <v>13.626150000000001</v>
      </c>
      <c r="K28" s="2080">
        <v>3.4329786000000002</v>
      </c>
      <c r="L28" s="2080">
        <v>0.37727850000000002</v>
      </c>
      <c r="M28" s="2081">
        <v>0.80852609499999994</v>
      </c>
      <c r="N28" s="2080">
        <v>26.228480000000001</v>
      </c>
      <c r="O28" s="2082">
        <v>51964</v>
      </c>
      <c r="P28" s="2083">
        <v>0.44350750217639928</v>
      </c>
      <c r="Q28" s="2084">
        <v>2015</v>
      </c>
    </row>
    <row r="29" spans="1:17" ht="20.100000000000001" hidden="1" customHeight="1">
      <c r="H29" s="3030">
        <v>2018</v>
      </c>
      <c r="I29" s="2085" t="s">
        <v>1364</v>
      </c>
      <c r="J29" s="2086">
        <v>14.640881</v>
      </c>
      <c r="K29" s="2086">
        <v>8.4695652173913043</v>
      </c>
      <c r="L29" s="2086">
        <v>1.7845846999999999</v>
      </c>
      <c r="M29" s="2087">
        <v>0</v>
      </c>
      <c r="N29" s="2086">
        <v>40.825945903695654</v>
      </c>
      <c r="O29" s="2088">
        <v>68419</v>
      </c>
      <c r="P29" s="2089">
        <v>0.6195914005759513</v>
      </c>
      <c r="Q29" s="2090">
        <v>2018</v>
      </c>
    </row>
    <row r="30" spans="1:17" ht="20.100000000000001" hidden="1" customHeight="1">
      <c r="H30" s="3031"/>
      <c r="I30" s="2091" t="s">
        <v>1342</v>
      </c>
      <c r="J30" s="2092">
        <v>14.887499999999999</v>
      </c>
      <c r="K30" s="2092">
        <v>3.0625</v>
      </c>
      <c r="L30" s="2092">
        <v>1.2250000000000001</v>
      </c>
      <c r="M30" s="2093">
        <v>8.3333330000000001E-3</v>
      </c>
      <c r="N30" s="2092">
        <v>33.659120000000001</v>
      </c>
      <c r="O30" s="2094">
        <v>24</v>
      </c>
      <c r="P30" s="2095">
        <v>2.1734011917483201E-4</v>
      </c>
      <c r="Q30" s="2096">
        <v>2018</v>
      </c>
    </row>
    <row r="31" spans="1:17" ht="20.100000000000001" hidden="1" customHeight="1">
      <c r="H31" s="3031"/>
      <c r="I31" s="2097" t="s">
        <v>1365</v>
      </c>
      <c r="J31" s="2098">
        <v>13.233852000000001</v>
      </c>
      <c r="K31" s="2098">
        <v>7.9625243000000001</v>
      </c>
      <c r="L31" s="2098">
        <v>2.5794174999999999</v>
      </c>
      <c r="M31" s="2099">
        <v>0.35016769599999997</v>
      </c>
      <c r="N31" s="2098">
        <v>43.376910000000002</v>
      </c>
      <c r="O31" s="2100">
        <v>515</v>
      </c>
      <c r="P31" s="2101">
        <v>4.6637567239599369E-3</v>
      </c>
      <c r="Q31" s="2102">
        <v>2018</v>
      </c>
    </row>
    <row r="32" spans="1:17" ht="20.100000000000001" hidden="1" customHeight="1" thickBot="1">
      <c r="H32" s="3033"/>
      <c r="I32" s="2103" t="s">
        <v>1366</v>
      </c>
      <c r="J32" s="2104">
        <v>11.961494</v>
      </c>
      <c r="K32" s="2104">
        <v>1.5287474999999999</v>
      </c>
      <c r="L32" s="2104">
        <v>0.58637499999999998</v>
      </c>
      <c r="M32" s="2105">
        <v>0.75249995599999997</v>
      </c>
      <c r="N32" s="2104">
        <v>23.877649999999999</v>
      </c>
      <c r="O32" s="2106">
        <v>41468</v>
      </c>
      <c r="P32" s="2107">
        <v>0.37552750258091394</v>
      </c>
      <c r="Q32" s="2108">
        <v>2018</v>
      </c>
    </row>
    <row r="33" spans="8:17" ht="60.6" hidden="1" customHeight="1">
      <c r="H33" s="3034" t="s">
        <v>1369</v>
      </c>
      <c r="I33" s="3034"/>
      <c r="J33" s="3034"/>
      <c r="K33" s="3034"/>
      <c r="L33" s="3034"/>
      <c r="M33" s="3034"/>
      <c r="N33" s="3034"/>
      <c r="O33" s="3034"/>
      <c r="P33" s="3034"/>
      <c r="Q33" s="3034"/>
    </row>
    <row r="34" spans="8:17" ht="20.100000000000001" hidden="1" customHeight="1">
      <c r="I34" s="2053" t="s">
        <v>15</v>
      </c>
      <c r="J34" s="2054">
        <f>SUMPRODUCT(P25:P28,N25:N28)</f>
        <v>34.089018643969382</v>
      </c>
    </row>
    <row r="35" spans="8:17" ht="20.100000000000001" hidden="1" customHeight="1">
      <c r="J35" s="2055" t="s">
        <v>1367</v>
      </c>
    </row>
    <row r="36" spans="8:17" ht="20.100000000000001" hidden="1" customHeight="1">
      <c r="I36" s="462" t="s">
        <v>1342</v>
      </c>
      <c r="J36" s="2056">
        <f>J$34-N30</f>
        <v>0.4298986439693806</v>
      </c>
    </row>
    <row r="37" spans="8:17" ht="20.100000000000001" hidden="1" customHeight="1">
      <c r="I37" s="462" t="s">
        <v>1365</v>
      </c>
      <c r="J37" s="2056">
        <f>J$34-N31</f>
        <v>-9.2878913560306202</v>
      </c>
    </row>
    <row r="38" spans="8:17" ht="20.100000000000001" hidden="1" customHeight="1">
      <c r="I38" s="462" t="s">
        <v>1366</v>
      </c>
      <c r="J38" s="2056">
        <f>J$34-N32</f>
        <v>10.211368643969383</v>
      </c>
    </row>
    <row r="39" spans="8:17" ht="20.100000000000001" hidden="1" customHeight="1"/>
    <row r="40" spans="8:17" ht="20.100000000000001" customHeight="1">
      <c r="H40" s="1402" t="s">
        <v>1995</v>
      </c>
    </row>
    <row r="41" spans="8:17" ht="20.100000000000001" customHeight="1" thickBot="1"/>
    <row r="42" spans="8:17" ht="84" customHeight="1" thickBot="1">
      <c r="H42" s="2109" t="s">
        <v>1255</v>
      </c>
      <c r="I42" s="1523" t="s">
        <v>1357</v>
      </c>
      <c r="J42" s="1523" t="s">
        <v>1358</v>
      </c>
      <c r="K42" s="1523" t="s">
        <v>1359</v>
      </c>
      <c r="L42" s="1523" t="s">
        <v>1360</v>
      </c>
      <c r="M42" s="1523" t="s">
        <v>1361</v>
      </c>
      <c r="N42" s="1523" t="s">
        <v>1362</v>
      </c>
      <c r="O42" s="1523" t="s">
        <v>1363</v>
      </c>
      <c r="P42" s="1523" t="s">
        <v>1341</v>
      </c>
      <c r="Q42" s="1525" t="s">
        <v>1261</v>
      </c>
    </row>
    <row r="43" spans="8:17" ht="20.100000000000001" customHeight="1">
      <c r="H43" s="3027">
        <v>2015</v>
      </c>
      <c r="I43" s="2110" t="s">
        <v>1364</v>
      </c>
      <c r="J43" s="2111">
        <v>14.640881</v>
      </c>
      <c r="K43" s="2111">
        <v>8.4695652173913043</v>
      </c>
      <c r="L43" s="2111">
        <v>1.7845846999999999</v>
      </c>
      <c r="M43" s="2112">
        <v>0</v>
      </c>
      <c r="N43" s="2111">
        <v>40.825945903695654</v>
      </c>
      <c r="O43" s="2113">
        <v>62808</v>
      </c>
      <c r="P43" s="2114">
        <v>0.53605994913200072</v>
      </c>
      <c r="Q43" s="2066">
        <v>2015</v>
      </c>
    </row>
    <row r="44" spans="8:17" ht="20.100000000000001" customHeight="1">
      <c r="H44" s="3028"/>
      <c r="I44" s="993" t="s">
        <v>1342</v>
      </c>
      <c r="J44" s="2115">
        <v>11.049383000000001</v>
      </c>
      <c r="K44" s="2115">
        <v>2.9872428000000002</v>
      </c>
      <c r="L44" s="2115">
        <v>1.6765432</v>
      </c>
      <c r="M44" s="2116">
        <v>2.5057156000000001E-2</v>
      </c>
      <c r="N44" s="2115">
        <v>30.45242</v>
      </c>
      <c r="O44" s="2117">
        <v>1458</v>
      </c>
      <c r="P44" s="2118">
        <v>1.2443883037741325E-2</v>
      </c>
      <c r="Q44" s="2072">
        <v>2015</v>
      </c>
    </row>
    <row r="45" spans="8:17" ht="20.100000000000001" customHeight="1">
      <c r="H45" s="3028"/>
      <c r="I45" s="2119" t="s">
        <v>1365</v>
      </c>
      <c r="J45" s="2120">
        <v>10.909722</v>
      </c>
      <c r="K45" s="2120">
        <v>4.1394652000000001</v>
      </c>
      <c r="L45" s="2120">
        <v>0.60026389999999996</v>
      </c>
      <c r="M45" s="2121">
        <v>0.39241938599999998</v>
      </c>
      <c r="N45" s="2120">
        <v>24.082889999999999</v>
      </c>
      <c r="O45" s="2122">
        <v>936</v>
      </c>
      <c r="P45" s="2123">
        <v>7.9886656538586277E-3</v>
      </c>
      <c r="Q45" s="2078">
        <v>2015</v>
      </c>
    </row>
    <row r="46" spans="8:17" ht="20.100000000000001" customHeight="1" thickBot="1">
      <c r="H46" s="3029"/>
      <c r="I46" s="2124" t="s">
        <v>1366</v>
      </c>
      <c r="J46" s="2125">
        <v>13.626150000000001</v>
      </c>
      <c r="K46" s="2125">
        <v>3.4329786000000002</v>
      </c>
      <c r="L46" s="2125">
        <v>0.37727850000000002</v>
      </c>
      <c r="M46" s="2126">
        <v>0.80852609499999994</v>
      </c>
      <c r="N46" s="2125">
        <v>26.228480000000001</v>
      </c>
      <c r="O46" s="2127">
        <v>51964</v>
      </c>
      <c r="P46" s="2128">
        <v>0.44350750217639928</v>
      </c>
      <c r="Q46" s="2129">
        <v>2015</v>
      </c>
    </row>
    <row r="47" spans="8:17" ht="20.100000000000001" customHeight="1">
      <c r="H47" s="3030">
        <v>2018</v>
      </c>
      <c r="I47" s="2130" t="s">
        <v>1364</v>
      </c>
      <c r="J47" s="2131">
        <v>14.640881</v>
      </c>
      <c r="K47" s="2131">
        <v>8.4695652173913043</v>
      </c>
      <c r="L47" s="2131">
        <v>1.7845846999999999</v>
      </c>
      <c r="M47" s="2132">
        <v>0</v>
      </c>
      <c r="N47" s="2131">
        <v>40.825945903695654</v>
      </c>
      <c r="O47" s="2133">
        <v>68419</v>
      </c>
      <c r="P47" s="2134">
        <v>0.6195914005759513</v>
      </c>
      <c r="Q47" s="2090">
        <v>2018</v>
      </c>
    </row>
    <row r="48" spans="8:17" ht="20.100000000000001" customHeight="1">
      <c r="H48" s="3031"/>
      <c r="I48" s="2135" t="s">
        <v>1342</v>
      </c>
      <c r="J48" s="2136">
        <v>14.887499999999999</v>
      </c>
      <c r="K48" s="2136">
        <v>3.0625</v>
      </c>
      <c r="L48" s="2136">
        <v>1.2250000000000001</v>
      </c>
      <c r="M48" s="2137">
        <v>8.3333330000000001E-3</v>
      </c>
      <c r="N48" s="2136">
        <v>33.659120000000001</v>
      </c>
      <c r="O48" s="2138">
        <v>24</v>
      </c>
      <c r="P48" s="2139">
        <v>2.1734011917483201E-4</v>
      </c>
      <c r="Q48" s="2096">
        <v>2018</v>
      </c>
    </row>
    <row r="49" spans="8:17" ht="20.100000000000001" customHeight="1">
      <c r="H49" s="3031"/>
      <c r="I49" s="2140" t="s">
        <v>1365</v>
      </c>
      <c r="J49" s="2141">
        <v>13.233852000000001</v>
      </c>
      <c r="K49" s="2141">
        <v>7.9625243000000001</v>
      </c>
      <c r="L49" s="2141">
        <v>2.5794174999999999</v>
      </c>
      <c r="M49" s="2142">
        <v>0.35016769599999997</v>
      </c>
      <c r="N49" s="2141">
        <v>43.376910000000002</v>
      </c>
      <c r="O49" s="2143">
        <v>515</v>
      </c>
      <c r="P49" s="2144">
        <v>4.6637567239599369E-3</v>
      </c>
      <c r="Q49" s="2102">
        <v>2018</v>
      </c>
    </row>
    <row r="50" spans="8:17" ht="20.100000000000001" customHeight="1" thickBot="1">
      <c r="H50" s="3032"/>
      <c r="I50" s="2145" t="s">
        <v>1366</v>
      </c>
      <c r="J50" s="2146">
        <v>11.961494</v>
      </c>
      <c r="K50" s="2146">
        <v>1.5287474999999999</v>
      </c>
      <c r="L50" s="2146">
        <v>0.58637499999999998</v>
      </c>
      <c r="M50" s="2147">
        <v>0.75249995599999997</v>
      </c>
      <c r="N50" s="2146">
        <v>23.877649999999999</v>
      </c>
      <c r="O50" s="2148">
        <v>41468</v>
      </c>
      <c r="P50" s="2149">
        <v>0.37552750258091394</v>
      </c>
      <c r="Q50" s="2150">
        <v>2018</v>
      </c>
    </row>
    <row r="51" spans="8:17" ht="20.100000000000001" customHeight="1">
      <c r="H51" s="1554" t="s">
        <v>1947</v>
      </c>
      <c r="I51" s="2151" t="s">
        <v>1948</v>
      </c>
      <c r="J51" s="923"/>
      <c r="K51" s="923"/>
      <c r="L51" s="923"/>
      <c r="M51" s="923"/>
      <c r="N51" s="923"/>
      <c r="O51" s="923"/>
      <c r="P51" s="923"/>
      <c r="Q51" s="923"/>
    </row>
    <row r="52" spans="8:17" ht="20.100000000000001" customHeight="1">
      <c r="H52" s="1554" t="s">
        <v>1949</v>
      </c>
      <c r="I52" s="2151" t="s">
        <v>1983</v>
      </c>
      <c r="J52" s="923"/>
      <c r="K52" s="923"/>
      <c r="L52" s="923"/>
      <c r="M52" s="923"/>
      <c r="N52" s="923"/>
      <c r="O52" s="458" t="s">
        <v>15</v>
      </c>
      <c r="P52" s="458"/>
      <c r="Q52" s="866">
        <f>SUMPRODUCT(P43:P46,N43:N46)</f>
        <v>34.089018643969382</v>
      </c>
    </row>
    <row r="53" spans="8:17" ht="20.100000000000001" customHeight="1">
      <c r="H53" s="1554" t="s">
        <v>1984</v>
      </c>
      <c r="I53" s="2151" t="s">
        <v>1985</v>
      </c>
      <c r="J53" s="923"/>
      <c r="K53" s="2152"/>
      <c r="L53" s="2152"/>
      <c r="M53" s="923"/>
      <c r="N53" s="923"/>
      <c r="O53" s="458" t="s">
        <v>1986</v>
      </c>
      <c r="P53" s="458"/>
      <c r="Q53" s="866">
        <f>N50</f>
        <v>23.877649999999999</v>
      </c>
    </row>
    <row r="54" spans="8:17" ht="20.100000000000001" customHeight="1">
      <c r="H54" s="1554" t="s">
        <v>1987</v>
      </c>
      <c r="I54" s="2151" t="s">
        <v>1988</v>
      </c>
      <c r="J54" s="923"/>
      <c r="K54" s="923"/>
      <c r="L54" s="2152"/>
      <c r="M54" s="923"/>
      <c r="N54" s="923"/>
      <c r="O54" s="923"/>
      <c r="P54" s="923"/>
      <c r="Q54" s="923"/>
    </row>
    <row r="55" spans="8:17" ht="20.100000000000001" customHeight="1">
      <c r="H55" s="1554" t="s">
        <v>1964</v>
      </c>
      <c r="I55" s="2151" t="s">
        <v>1989</v>
      </c>
      <c r="J55" s="2152"/>
      <c r="K55" s="2152"/>
      <c r="L55" s="2152"/>
      <c r="M55" s="923"/>
      <c r="N55" s="923"/>
      <c r="O55" s="923"/>
      <c r="P55" s="923"/>
      <c r="Q55" s="923"/>
    </row>
    <row r="56" spans="8:17" ht="20.100000000000001" customHeight="1">
      <c r="H56" s="1554" t="s">
        <v>1966</v>
      </c>
      <c r="I56" s="2151" t="s">
        <v>1990</v>
      </c>
      <c r="J56" s="2152"/>
      <c r="K56" s="2152"/>
      <c r="L56" s="2152"/>
      <c r="M56" s="923"/>
      <c r="N56" s="923"/>
      <c r="O56" s="923"/>
      <c r="P56" s="923"/>
      <c r="Q56" s="867">
        <f>Q52-Q53</f>
        <v>10.211368643969383</v>
      </c>
    </row>
    <row r="57" spans="8:17" ht="20.100000000000001" customHeight="1">
      <c r="H57" s="1554" t="s">
        <v>1968</v>
      </c>
      <c r="I57" s="2151" t="s">
        <v>1991</v>
      </c>
      <c r="J57" s="2152"/>
      <c r="K57" s="2152"/>
      <c r="L57" s="2152"/>
      <c r="M57" s="923"/>
      <c r="N57" s="923"/>
      <c r="O57" s="923"/>
      <c r="P57" s="923"/>
      <c r="Q57" s="923"/>
    </row>
    <row r="58" spans="8:17" ht="20.100000000000001" customHeight="1">
      <c r="H58" s="1554" t="s">
        <v>1970</v>
      </c>
      <c r="I58" s="2151" t="s">
        <v>1973</v>
      </c>
      <c r="J58" s="923"/>
      <c r="K58" s="923"/>
      <c r="L58" s="923"/>
      <c r="M58" s="923"/>
      <c r="N58" s="923"/>
      <c r="O58" s="923"/>
      <c r="P58" s="923"/>
      <c r="Q58" s="923"/>
    </row>
    <row r="59" spans="8:17" ht="20.100000000000001" customHeight="1">
      <c r="H59" s="1554" t="s">
        <v>1972</v>
      </c>
      <c r="I59" s="1555" t="s">
        <v>1992</v>
      </c>
      <c r="J59" s="923"/>
      <c r="K59" s="923"/>
      <c r="L59" s="923"/>
      <c r="M59" s="923"/>
      <c r="N59" s="923"/>
      <c r="O59" s="923"/>
      <c r="P59" s="923"/>
      <c r="Q59" s="923"/>
    </row>
    <row r="60" spans="8:17" ht="20.100000000000001" customHeight="1">
      <c r="H60" s="1554" t="s">
        <v>1993</v>
      </c>
      <c r="I60" s="2151" t="s">
        <v>1994</v>
      </c>
      <c r="J60" s="923"/>
      <c r="K60" s="923"/>
      <c r="L60" s="923"/>
      <c r="M60" s="923"/>
      <c r="N60" s="923"/>
      <c r="O60" s="923"/>
      <c r="P60" s="923"/>
      <c r="Q60" s="923"/>
    </row>
  </sheetData>
  <autoFilter ref="A4:AD19">
    <filterColumn colId="11">
      <filters blank="1">
        <filter val="2020"/>
        <filter val="2021"/>
      </filters>
    </filterColumn>
    <filterColumn colId="12">
      <filters blank="1">
        <filter val="15,351"/>
        <filter val="19,738"/>
        <filter val="21,382"/>
        <filter val="7,954"/>
      </filters>
    </filterColumn>
  </autoFilter>
  <dataConsolidate/>
  <mergeCells count="12">
    <mergeCell ref="H43:H46"/>
    <mergeCell ref="H47:H50"/>
    <mergeCell ref="H29:H32"/>
    <mergeCell ref="H33:Q33"/>
    <mergeCell ref="H18:L18"/>
    <mergeCell ref="H25:H28"/>
    <mergeCell ref="R3:S3"/>
    <mergeCell ref="T3:V3"/>
    <mergeCell ref="I1:L1"/>
    <mergeCell ref="A3:G3"/>
    <mergeCell ref="H3:L3"/>
    <mergeCell ref="M3:Q3"/>
  </mergeCells>
  <hyperlinks>
    <hyperlink ref="H1" location="' Summary by Program 2020-21'!A1" display="' Summary by Program 2020-21'!A1"/>
  </hyperlinks>
  <pageMargins left="0.7" right="0.7" top="0.75" bottom="0.75" header="0.3" footer="0.3"/>
  <pageSetup scale="24"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filterMode="1">
    <tabColor rgb="FF0083CA"/>
    <pageSetUpPr fitToPage="1"/>
  </sheetPr>
  <dimension ref="A1:AA94"/>
  <sheetViews>
    <sheetView topLeftCell="H1" workbookViewId="0">
      <selection activeCell="H1" sqref="H1"/>
    </sheetView>
  </sheetViews>
  <sheetFormatPr defaultColWidth="19.109375" defaultRowHeight="12.75" customHeight="1" outlineLevelCol="1"/>
  <cols>
    <col min="1" max="1" width="14.109375" style="460" hidden="1" customWidth="1" outlineLevel="1"/>
    <col min="2" max="2" width="11.109375" style="460" hidden="1" customWidth="1" outlineLevel="1"/>
    <col min="3" max="3" width="4.44140625" style="461" hidden="1" customWidth="1" outlineLevel="1"/>
    <col min="4" max="4" width="7.109375" style="461" hidden="1" customWidth="1" outlineLevel="1"/>
    <col min="5" max="5" width="8.33203125" style="461" hidden="1" customWidth="1" outlineLevel="1"/>
    <col min="6" max="6" width="15.109375" style="461" hidden="1" customWidth="1" outlineLevel="1"/>
    <col min="7" max="7" width="8.5546875" style="460" hidden="1" customWidth="1" outlineLevel="1"/>
    <col min="8" max="8" width="13.109375" style="462" customWidth="1" collapsed="1"/>
    <col min="9" max="9" width="31.44140625" style="462" customWidth="1"/>
    <col min="10" max="10" width="41.88671875" style="462" customWidth="1"/>
    <col min="11" max="11" width="71.44140625" style="462" customWidth="1"/>
    <col min="12" max="12" width="19.109375" style="462"/>
    <col min="13" max="16" width="12.88671875" style="463" customWidth="1"/>
    <col min="17" max="17" width="12.88671875" style="462" customWidth="1"/>
    <col min="18" max="18" width="11.6640625" style="462" customWidth="1"/>
    <col min="19" max="19" width="13.44140625" style="462" customWidth="1"/>
    <col min="20" max="20" width="11.33203125" style="462" customWidth="1"/>
    <col min="21" max="21" width="11.5546875" style="462" customWidth="1"/>
    <col min="22" max="22" width="12.109375" style="464" customWidth="1"/>
    <col min="23" max="16384" width="19.109375" style="462"/>
  </cols>
  <sheetData>
    <row r="1" spans="1:22" ht="12.75" customHeight="1">
      <c r="H1" s="239" t="s">
        <v>1067</v>
      </c>
    </row>
    <row r="2" spans="1:22" ht="88.5" customHeight="1">
      <c r="H2" s="1579" t="str">
        <f>I6&amp;":"</f>
        <v>Other Non-Residential Standards:</v>
      </c>
      <c r="I2" s="2875" t="str">
        <f>INDEX(Programs!C:C,MATCH(I7,Programs!B:B,0))</f>
        <v>NEEA and its utility partners leverage the market power of the Northwest’s 12 million energy consumers to accelerate the market adoption of more stringent appliance and equipment standards at a regional and national level. NEEA does this by collaborating with its regional partners to develop strategies for advancing higher standards for appliances and equipment.</v>
      </c>
      <c r="J2" s="2875"/>
      <c r="K2" s="2875"/>
      <c r="L2" s="2875"/>
    </row>
    <row r="3" spans="1:22" ht="36.75" customHeight="1">
      <c r="H3" s="926"/>
    </row>
    <row r="4" spans="1:22" s="458" customFormat="1" ht="15.75" customHeight="1">
      <c r="A4" s="2876" t="s">
        <v>131</v>
      </c>
      <c r="B4" s="2877"/>
      <c r="C4" s="2877"/>
      <c r="D4" s="2877"/>
      <c r="E4" s="2877"/>
      <c r="F4" s="2877"/>
      <c r="G4" s="2878"/>
      <c r="H4" s="3037" t="s">
        <v>7</v>
      </c>
      <c r="I4" s="3038"/>
      <c r="J4" s="3038"/>
      <c r="K4" s="3038"/>
      <c r="L4" s="3038"/>
      <c r="M4" s="2881" t="s">
        <v>127</v>
      </c>
      <c r="N4" s="2882"/>
      <c r="O4" s="2882"/>
      <c r="P4" s="2882"/>
      <c r="Q4" s="2883"/>
      <c r="R4" s="2884" t="s">
        <v>129</v>
      </c>
      <c r="S4" s="2885"/>
      <c r="T4" s="2872" t="s">
        <v>130</v>
      </c>
      <c r="U4" s="2873"/>
      <c r="V4" s="2874"/>
    </row>
    <row r="5" spans="1:22" s="931" customFormat="1" ht="60" customHeight="1" thickBot="1">
      <c r="A5" s="927" t="s">
        <v>0</v>
      </c>
      <c r="B5" s="928" t="s">
        <v>11</v>
      </c>
      <c r="C5" s="929" t="s">
        <v>1</v>
      </c>
      <c r="D5" s="929" t="s">
        <v>2</v>
      </c>
      <c r="E5" s="929" t="s">
        <v>266</v>
      </c>
      <c r="F5" s="929" t="s">
        <v>306</v>
      </c>
      <c r="G5" s="930" t="s">
        <v>12</v>
      </c>
      <c r="H5" s="2242" t="s">
        <v>3</v>
      </c>
      <c r="I5" s="2242" t="s">
        <v>4</v>
      </c>
      <c r="J5" s="2242" t="s">
        <v>5</v>
      </c>
      <c r="K5" s="2242" t="s">
        <v>6</v>
      </c>
      <c r="L5" s="2242" t="s">
        <v>8</v>
      </c>
      <c r="M5" s="2243" t="s">
        <v>13</v>
      </c>
      <c r="N5" s="2242" t="s">
        <v>14</v>
      </c>
      <c r="O5" s="2242" t="s">
        <v>123</v>
      </c>
      <c r="P5" s="2242" t="s">
        <v>124</v>
      </c>
      <c r="Q5" s="2244" t="s">
        <v>16</v>
      </c>
      <c r="R5" s="2243" t="s">
        <v>871</v>
      </c>
      <c r="S5" s="2244" t="s">
        <v>125</v>
      </c>
      <c r="T5" s="2243" t="s">
        <v>126</v>
      </c>
      <c r="U5" s="2242" t="s">
        <v>18</v>
      </c>
      <c r="V5" s="2245" t="s">
        <v>17</v>
      </c>
    </row>
    <row r="6" spans="1:22" ht="12.75" hidden="1" customHeight="1" thickTop="1">
      <c r="A6" s="498" t="s">
        <v>122</v>
      </c>
      <c r="B6" s="499" t="str">
        <f t="shared" ref="B6:B7" si="0">LEFT(A6,10)</f>
        <v>COM_201304</v>
      </c>
      <c r="C6" s="499">
        <v>0</v>
      </c>
      <c r="D6" s="499">
        <v>1</v>
      </c>
      <c r="E6" s="499">
        <f t="shared" ref="E6:E25" si="1">COUNTIFS($A:$A,A6,$L:$L,L6)</f>
        <v>1</v>
      </c>
      <c r="F6" s="499">
        <v>3</v>
      </c>
      <c r="G6" s="500" t="b">
        <v>1</v>
      </c>
      <c r="H6" s="501" t="str">
        <f t="shared" ref="H6:H7" si="2">IF(LEFT(A6,3)="Res","Residential",IF(LEFT(A6,3)="Ind","industrial",IF(LEFT(A6,3)="Com","Commercial",IF(LEFT(A6,3)="AGR","Agriculture",""))))</f>
        <v>Commercial</v>
      </c>
      <c r="I6" s="502" t="s">
        <v>142</v>
      </c>
      <c r="J6" s="848" t="s">
        <v>1233</v>
      </c>
      <c r="K6" s="502" t="s">
        <v>484</v>
      </c>
      <c r="L6" s="24">
        <v>2018</v>
      </c>
      <c r="M6" s="590">
        <v>2.38414036</v>
      </c>
      <c r="N6" s="512">
        <v>0</v>
      </c>
      <c r="O6" s="512">
        <v>0</v>
      </c>
      <c r="P6" s="318" t="s">
        <v>872</v>
      </c>
      <c r="Q6" s="505">
        <v>0.14199999999999999</v>
      </c>
      <c r="R6" s="506">
        <v>8760000</v>
      </c>
      <c r="S6" s="318" t="s">
        <v>777</v>
      </c>
      <c r="T6" s="590">
        <f>(M6-O6)*Q6*R6/8760000</f>
        <v>0.33854793111999998</v>
      </c>
      <c r="U6" s="508">
        <f t="shared" ref="U6:U7" si="3">IFERROR((N6-O6/M6*N6)*Q6*R6/8760/1000,0)</f>
        <v>0</v>
      </c>
      <c r="V6" s="598">
        <f t="shared" ref="V6:V7" si="4">T6-U6</f>
        <v>0.33854793111999998</v>
      </c>
    </row>
    <row r="7" spans="1:22" ht="12.75" hidden="1" customHeight="1">
      <c r="A7" s="498" t="s">
        <v>122</v>
      </c>
      <c r="B7" s="499" t="str">
        <f t="shared" si="0"/>
        <v>COM_201304</v>
      </c>
      <c r="C7" s="499">
        <v>0</v>
      </c>
      <c r="D7" s="499">
        <v>1</v>
      </c>
      <c r="E7" s="499">
        <f t="shared" si="1"/>
        <v>1</v>
      </c>
      <c r="F7" s="499">
        <v>3</v>
      </c>
      <c r="G7" s="500" t="b">
        <v>1</v>
      </c>
      <c r="H7" s="501" t="str">
        <f t="shared" si="2"/>
        <v>Commercial</v>
      </c>
      <c r="I7" s="502" t="s">
        <v>142</v>
      </c>
      <c r="J7" s="848" t="s">
        <v>1233</v>
      </c>
      <c r="K7" s="502" t="s">
        <v>484</v>
      </c>
      <c r="L7" s="24">
        <v>2019</v>
      </c>
      <c r="M7" s="590">
        <v>2.4886671900000001</v>
      </c>
      <c r="N7" s="512">
        <v>0</v>
      </c>
      <c r="O7" s="512">
        <v>0</v>
      </c>
      <c r="P7" s="318" t="s">
        <v>872</v>
      </c>
      <c r="Q7" s="505">
        <v>0.14199999999999999</v>
      </c>
      <c r="R7" s="506">
        <v>8760000</v>
      </c>
      <c r="S7" s="318" t="s">
        <v>777</v>
      </c>
      <c r="T7" s="590">
        <f>(M7-O7)*Q7*R7/8760000</f>
        <v>0.35339074098000001</v>
      </c>
      <c r="U7" s="508">
        <f t="shared" si="3"/>
        <v>0</v>
      </c>
      <c r="V7" s="598">
        <f t="shared" si="4"/>
        <v>0.35339074098000001</v>
      </c>
    </row>
    <row r="8" spans="1:22" ht="12.75" hidden="1" customHeight="1">
      <c r="A8" s="460" t="s">
        <v>1227</v>
      </c>
      <c r="B8" s="499" t="str">
        <f t="shared" ref="B8" si="5">LEFT(A8,10)</f>
        <v>COM_201304</v>
      </c>
      <c r="C8" s="499">
        <v>0</v>
      </c>
      <c r="D8" s="499">
        <v>1</v>
      </c>
      <c r="E8" s="499">
        <f t="shared" si="1"/>
        <v>1</v>
      </c>
      <c r="F8" s="499">
        <v>3</v>
      </c>
      <c r="G8" s="500" t="b">
        <v>1</v>
      </c>
      <c r="H8" s="501" t="str">
        <f t="shared" ref="H8:H9" si="6">IF(LEFT(A8,3)="Res","Residential",IF(LEFT(A8,3)="Ind","industrial",IF(LEFT(A8,3)="Com","Commercial",IF(LEFT(A8,3)="AGR","Agriculture",""))))</f>
        <v>Commercial</v>
      </c>
      <c r="I8" s="502" t="s">
        <v>142</v>
      </c>
      <c r="J8" s="848" t="s">
        <v>1239</v>
      </c>
      <c r="K8" s="502" t="s">
        <v>484</v>
      </c>
      <c r="L8" s="24">
        <v>2018</v>
      </c>
      <c r="M8" s="511">
        <v>0</v>
      </c>
      <c r="N8" s="512">
        <v>0</v>
      </c>
      <c r="O8" s="512">
        <v>0</v>
      </c>
      <c r="P8" s="318" t="s">
        <v>872</v>
      </c>
      <c r="Q8" s="505">
        <v>0</v>
      </c>
      <c r="R8" s="506">
        <v>0</v>
      </c>
      <c r="S8" s="318" t="s">
        <v>1228</v>
      </c>
      <c r="T8" s="590">
        <f t="shared" ref="T8:T9" si="7">(M8-O8)*Q8*R8/8760000</f>
        <v>0</v>
      </c>
      <c r="U8" s="508">
        <f t="shared" ref="U8:U9" si="8">IFERROR((N8-O8/M8*N8)*Q8*R8/8760/1000,0)</f>
        <v>0</v>
      </c>
      <c r="V8" s="598">
        <f t="shared" ref="V8:V9" si="9">T8-U8</f>
        <v>0</v>
      </c>
    </row>
    <row r="9" spans="1:22" ht="12.75" hidden="1" customHeight="1">
      <c r="A9" s="460" t="s">
        <v>1227</v>
      </c>
      <c r="B9" s="499" t="str">
        <f t="shared" ref="B9" si="10">LEFT(A9,10)</f>
        <v>COM_201304</v>
      </c>
      <c r="C9" s="499">
        <v>0</v>
      </c>
      <c r="D9" s="499">
        <v>1</v>
      </c>
      <c r="E9" s="499">
        <f t="shared" si="1"/>
        <v>1</v>
      </c>
      <c r="F9" s="499">
        <v>3</v>
      </c>
      <c r="G9" s="500" t="b">
        <v>1</v>
      </c>
      <c r="H9" s="501" t="str">
        <f t="shared" si="6"/>
        <v>Commercial</v>
      </c>
      <c r="I9" s="502" t="s">
        <v>142</v>
      </c>
      <c r="J9" s="848" t="s">
        <v>1239</v>
      </c>
      <c r="K9" s="502" t="s">
        <v>484</v>
      </c>
      <c r="L9" s="24">
        <v>2019</v>
      </c>
      <c r="M9" s="511">
        <v>3060.6780931500002</v>
      </c>
      <c r="N9" s="512">
        <v>0</v>
      </c>
      <c r="O9" s="512">
        <v>0</v>
      </c>
      <c r="P9" s="318" t="s">
        <v>872</v>
      </c>
      <c r="Q9" s="505">
        <v>0.14199999999999999</v>
      </c>
      <c r="R9" s="506">
        <v>248.88078548388921</v>
      </c>
      <c r="S9" s="318" t="s">
        <v>1229</v>
      </c>
      <c r="T9" s="590">
        <f t="shared" si="7"/>
        <v>1.2347904503080319E-2</v>
      </c>
      <c r="U9" s="508">
        <f t="shared" si="8"/>
        <v>0</v>
      </c>
      <c r="V9" s="598">
        <f t="shared" si="9"/>
        <v>1.2347904503080319E-2</v>
      </c>
    </row>
    <row r="10" spans="1:22" ht="12.75" hidden="1" customHeight="1">
      <c r="A10" s="460" t="s">
        <v>1429</v>
      </c>
      <c r="B10" s="499" t="str">
        <f t="shared" ref="B10:B15" si="11">LEFT(A10,10)</f>
        <v>COM_201304</v>
      </c>
      <c r="C10" s="499">
        <v>0</v>
      </c>
      <c r="D10" s="499">
        <v>1</v>
      </c>
      <c r="E10" s="499">
        <f t="shared" si="1"/>
        <v>1</v>
      </c>
      <c r="F10" s="499">
        <v>3</v>
      </c>
      <c r="G10" s="500" t="b">
        <v>1</v>
      </c>
      <c r="H10" s="501" t="str">
        <f t="shared" ref="H10:H11" si="12">IF(LEFT(A10,3)="Res","Residential",IF(LEFT(A10,3)="Ind","industrial",IF(LEFT(A10,3)="Com","Commercial",IF(LEFT(A10,3)="AGR","Agriculture",""))))</f>
        <v>Commercial</v>
      </c>
      <c r="I10" s="502" t="s">
        <v>142</v>
      </c>
      <c r="J10" s="848" t="s">
        <v>1430</v>
      </c>
      <c r="K10" s="502" t="s">
        <v>484</v>
      </c>
      <c r="L10" s="24">
        <v>2018</v>
      </c>
      <c r="M10" s="511">
        <v>0</v>
      </c>
      <c r="N10" s="512">
        <v>0</v>
      </c>
      <c r="O10" s="512">
        <v>0</v>
      </c>
      <c r="P10" s="318" t="s">
        <v>872</v>
      </c>
      <c r="Q10" s="505">
        <v>0</v>
      </c>
      <c r="R10" s="506">
        <v>0</v>
      </c>
      <c r="S10" s="318" t="s">
        <v>1329</v>
      </c>
      <c r="T10" s="590">
        <f t="shared" ref="T10:T11" si="13">(M10-O10)*Q10*R10/8760000</f>
        <v>0</v>
      </c>
      <c r="U10" s="508">
        <f t="shared" ref="U10:U15" si="14">IFERROR((N10-O10/M10*N10)*Q10*R10/8760/1000,0)</f>
        <v>0</v>
      </c>
      <c r="V10" s="598">
        <f t="shared" ref="V10:V15" si="15">T10-U10</f>
        <v>0</v>
      </c>
    </row>
    <row r="11" spans="1:22" ht="12.75" hidden="1" customHeight="1" thickBot="1">
      <c r="A11" s="460" t="s">
        <v>1429</v>
      </c>
      <c r="B11" s="499" t="str">
        <f t="shared" si="11"/>
        <v>COM_201304</v>
      </c>
      <c r="C11" s="499">
        <v>0</v>
      </c>
      <c r="D11" s="499">
        <v>1</v>
      </c>
      <c r="E11" s="499">
        <f t="shared" si="1"/>
        <v>1</v>
      </c>
      <c r="F11" s="499">
        <v>3</v>
      </c>
      <c r="G11" s="500" t="b">
        <v>1</v>
      </c>
      <c r="H11" s="710" t="str">
        <f t="shared" si="12"/>
        <v>Commercial</v>
      </c>
      <c r="I11" s="559" t="s">
        <v>142</v>
      </c>
      <c r="J11" s="1903" t="s">
        <v>1430</v>
      </c>
      <c r="K11" s="559" t="s">
        <v>484</v>
      </c>
      <c r="L11" s="277">
        <v>2019</v>
      </c>
      <c r="M11" s="560">
        <v>1649.13920983</v>
      </c>
      <c r="N11" s="561">
        <v>0</v>
      </c>
      <c r="O11" s="561">
        <v>0</v>
      </c>
      <c r="P11" s="319" t="s">
        <v>872</v>
      </c>
      <c r="Q11" s="562">
        <v>0.14199999999999999</v>
      </c>
      <c r="R11" s="711">
        <v>368.4396511681062</v>
      </c>
      <c r="S11" s="319" t="s">
        <v>1330</v>
      </c>
      <c r="T11" s="1169">
        <f t="shared" si="13"/>
        <v>9.8493578856201393E-3</v>
      </c>
      <c r="U11" s="565">
        <f t="shared" si="14"/>
        <v>0</v>
      </c>
      <c r="V11" s="832">
        <f t="shared" si="15"/>
        <v>9.8493578856201393E-3</v>
      </c>
    </row>
    <row r="12" spans="1:22" ht="12.75" customHeight="1" thickTop="1">
      <c r="A12" s="712" t="s">
        <v>122</v>
      </c>
      <c r="B12" s="713" t="str">
        <f t="shared" si="11"/>
        <v>COM_201304</v>
      </c>
      <c r="C12" s="713">
        <v>0</v>
      </c>
      <c r="D12" s="713">
        <v>1</v>
      </c>
      <c r="E12" s="713">
        <f t="shared" si="1"/>
        <v>1</v>
      </c>
      <c r="F12" s="713">
        <v>3</v>
      </c>
      <c r="G12" s="713" t="b">
        <v>1</v>
      </c>
      <c r="H12" s="716" t="s">
        <v>844</v>
      </c>
      <c r="I12" s="716" t="s">
        <v>142</v>
      </c>
      <c r="J12" s="716" t="s">
        <v>1233</v>
      </c>
      <c r="K12" s="1748" t="s">
        <v>2600</v>
      </c>
      <c r="L12" s="701">
        <v>2020</v>
      </c>
      <c r="M12" s="763">
        <v>2.6538911500000002</v>
      </c>
      <c r="N12" s="764">
        <v>0</v>
      </c>
      <c r="O12" s="764">
        <v>0</v>
      </c>
      <c r="P12" s="765" t="s">
        <v>872</v>
      </c>
      <c r="Q12" s="719">
        <v>0.14199999999999999</v>
      </c>
      <c r="R12" s="2246">
        <v>8760000</v>
      </c>
      <c r="S12" s="765" t="s">
        <v>777</v>
      </c>
      <c r="T12" s="1171">
        <f>(M12-O12)*Q12*R12/8760000</f>
        <v>0.37685254330000001</v>
      </c>
      <c r="U12" s="722">
        <f t="shared" si="14"/>
        <v>0</v>
      </c>
      <c r="V12" s="1749">
        <f t="shared" si="15"/>
        <v>0.37685254330000001</v>
      </c>
    </row>
    <row r="13" spans="1:22" ht="12.75" customHeight="1">
      <c r="A13" s="726" t="s">
        <v>1918</v>
      </c>
      <c r="B13" s="499" t="str">
        <f t="shared" si="11"/>
        <v>COM_201304</v>
      </c>
      <c r="C13" s="499">
        <v>0</v>
      </c>
      <c r="D13" s="499">
        <v>1</v>
      </c>
      <c r="E13" s="499">
        <f t="shared" si="1"/>
        <v>1</v>
      </c>
      <c r="F13" s="499">
        <v>3</v>
      </c>
      <c r="G13" s="499" t="b">
        <v>1</v>
      </c>
      <c r="H13" s="502" t="s">
        <v>2632</v>
      </c>
      <c r="I13" s="502" t="s">
        <v>142</v>
      </c>
      <c r="J13" s="848" t="s">
        <v>2490</v>
      </c>
      <c r="K13" s="848" t="s">
        <v>2609</v>
      </c>
      <c r="L13" s="24">
        <v>2020</v>
      </c>
      <c r="M13" s="511">
        <v>3813.82293084</v>
      </c>
      <c r="N13" s="512">
        <v>0</v>
      </c>
      <c r="O13" s="512">
        <v>0</v>
      </c>
      <c r="P13" s="318" t="s">
        <v>872</v>
      </c>
      <c r="Q13" s="505">
        <v>0.14199999999999999</v>
      </c>
      <c r="R13" s="860">
        <v>162.03073144000001</v>
      </c>
      <c r="S13" s="318" t="s">
        <v>777</v>
      </c>
      <c r="T13" s="590">
        <f>(M13-O13)*Q13*R13/8760000</f>
        <v>1.0017103391263044E-2</v>
      </c>
      <c r="U13" s="508">
        <f t="shared" si="14"/>
        <v>0</v>
      </c>
      <c r="V13" s="2247">
        <f t="shared" si="15"/>
        <v>1.0017103391263044E-2</v>
      </c>
    </row>
    <row r="14" spans="1:22" ht="12.75" customHeight="1">
      <c r="A14" s="726" t="s">
        <v>1919</v>
      </c>
      <c r="B14" s="499" t="str">
        <f t="shared" si="11"/>
        <v>COM_201304</v>
      </c>
      <c r="C14" s="499">
        <v>0</v>
      </c>
      <c r="D14" s="499">
        <v>1</v>
      </c>
      <c r="E14" s="499">
        <f t="shared" si="1"/>
        <v>1</v>
      </c>
      <c r="F14" s="499">
        <v>3</v>
      </c>
      <c r="G14" s="499" t="b">
        <v>1</v>
      </c>
      <c r="H14" s="502" t="s">
        <v>844</v>
      </c>
      <c r="I14" s="502" t="s">
        <v>142</v>
      </c>
      <c r="J14" s="848" t="s">
        <v>2490</v>
      </c>
      <c r="K14" s="848" t="s">
        <v>2605</v>
      </c>
      <c r="L14" s="24">
        <v>2020</v>
      </c>
      <c r="M14" s="511">
        <v>10419.03449957</v>
      </c>
      <c r="N14" s="512">
        <v>0</v>
      </c>
      <c r="O14" s="512">
        <v>0</v>
      </c>
      <c r="P14" s="318" t="s">
        <v>872</v>
      </c>
      <c r="Q14" s="505">
        <v>0.14199999999999999</v>
      </c>
      <c r="R14" s="860">
        <v>162.03073144000001</v>
      </c>
      <c r="S14" s="318" t="s">
        <v>1228</v>
      </c>
      <c r="T14" s="590">
        <f t="shared" ref="T14:T17" si="16">(M14-O14)*Q14*R14/8760000</f>
        <v>2.7365860374734798E-2</v>
      </c>
      <c r="U14" s="508">
        <f t="shared" si="14"/>
        <v>0</v>
      </c>
      <c r="V14" s="2247">
        <f t="shared" si="15"/>
        <v>2.7365860374734798E-2</v>
      </c>
    </row>
    <row r="15" spans="1:22" ht="12.75" customHeight="1">
      <c r="A15" s="726" t="s">
        <v>1920</v>
      </c>
      <c r="B15" s="499" t="str">
        <f t="shared" si="11"/>
        <v>COM_201304</v>
      </c>
      <c r="C15" s="499">
        <v>0</v>
      </c>
      <c r="D15" s="499">
        <v>1</v>
      </c>
      <c r="E15" s="499">
        <f t="shared" si="1"/>
        <v>1</v>
      </c>
      <c r="F15" s="499">
        <v>3</v>
      </c>
      <c r="G15" s="499" t="b">
        <v>1</v>
      </c>
      <c r="H15" s="502" t="s">
        <v>33</v>
      </c>
      <c r="I15" s="502" t="s">
        <v>142</v>
      </c>
      <c r="J15" s="848" t="s">
        <v>2490</v>
      </c>
      <c r="K15" s="848" t="s">
        <v>2607</v>
      </c>
      <c r="L15" s="24">
        <v>2020</v>
      </c>
      <c r="M15" s="511">
        <v>10834.33732237</v>
      </c>
      <c r="N15" s="512">
        <v>0</v>
      </c>
      <c r="O15" s="512">
        <v>0</v>
      </c>
      <c r="P15" s="318" t="s">
        <v>872</v>
      </c>
      <c r="Q15" s="505">
        <v>0.14199999999999999</v>
      </c>
      <c r="R15" s="860">
        <v>162.03073144000001</v>
      </c>
      <c r="S15" s="318" t="s">
        <v>1229</v>
      </c>
      <c r="T15" s="590">
        <f t="shared" si="16"/>
        <v>2.8456663852009689E-2</v>
      </c>
      <c r="U15" s="508">
        <f t="shared" si="14"/>
        <v>0</v>
      </c>
      <c r="V15" s="2247">
        <f t="shared" si="15"/>
        <v>2.8456663852009689E-2</v>
      </c>
    </row>
    <row r="16" spans="1:22" ht="12.75" customHeight="1">
      <c r="A16" s="726" t="s">
        <v>1227</v>
      </c>
      <c r="B16" s="499" t="str">
        <f t="shared" ref="B16:B22" si="17">LEFT(A16,10)</f>
        <v>COM_201304</v>
      </c>
      <c r="C16" s="499">
        <v>0</v>
      </c>
      <c r="D16" s="499">
        <v>1</v>
      </c>
      <c r="E16" s="499">
        <f t="shared" si="1"/>
        <v>1</v>
      </c>
      <c r="F16" s="499">
        <v>3</v>
      </c>
      <c r="G16" s="499" t="b">
        <v>1</v>
      </c>
      <c r="H16" s="502" t="s">
        <v>844</v>
      </c>
      <c r="I16" s="502" t="s">
        <v>142</v>
      </c>
      <c r="J16" s="848" t="s">
        <v>2436</v>
      </c>
      <c r="K16" s="848" t="s">
        <v>2313</v>
      </c>
      <c r="L16" s="24">
        <v>2020</v>
      </c>
      <c r="M16" s="511">
        <v>2399.6734579399999</v>
      </c>
      <c r="N16" s="512">
        <v>0</v>
      </c>
      <c r="O16" s="512">
        <v>0</v>
      </c>
      <c r="P16" s="318" t="s">
        <v>872</v>
      </c>
      <c r="Q16" s="505">
        <v>0.14199999999999999</v>
      </c>
      <c r="R16" s="860">
        <v>248.88078547999999</v>
      </c>
      <c r="S16" s="318" t="s">
        <v>1329</v>
      </c>
      <c r="T16" s="590">
        <f t="shared" si="16"/>
        <v>9.6811679617901051E-3</v>
      </c>
      <c r="U16" s="508">
        <f t="shared" ref="U16:U22" si="18">IFERROR((N16-O16/M16*N16)*Q16*R16/8760/1000,0)</f>
        <v>0</v>
      </c>
      <c r="V16" s="2247">
        <f t="shared" ref="V16:V22" si="19">T16-U16</f>
        <v>9.6811679617901051E-3</v>
      </c>
    </row>
    <row r="17" spans="1:27" ht="12.75" customHeight="1">
      <c r="A17" s="726" t="s">
        <v>1921</v>
      </c>
      <c r="B17" s="499" t="str">
        <f t="shared" si="17"/>
        <v>COM_201304</v>
      </c>
      <c r="C17" s="499">
        <v>0</v>
      </c>
      <c r="D17" s="499">
        <v>1</v>
      </c>
      <c r="E17" s="499">
        <f t="shared" si="1"/>
        <v>1</v>
      </c>
      <c r="F17" s="499">
        <v>3</v>
      </c>
      <c r="G17" s="499" t="b">
        <v>1</v>
      </c>
      <c r="H17" s="502" t="s">
        <v>844</v>
      </c>
      <c r="I17" s="502" t="s">
        <v>142</v>
      </c>
      <c r="J17" s="848" t="s">
        <v>2488</v>
      </c>
      <c r="K17" s="848" t="s">
        <v>2603</v>
      </c>
      <c r="L17" s="24">
        <v>2020</v>
      </c>
      <c r="M17" s="511">
        <v>6949.18625892</v>
      </c>
      <c r="N17" s="512">
        <v>0</v>
      </c>
      <c r="O17" s="512">
        <v>0</v>
      </c>
      <c r="P17" s="318" t="s">
        <v>872</v>
      </c>
      <c r="Q17" s="505">
        <v>0.14199999999999999</v>
      </c>
      <c r="R17" s="860">
        <v>1008.0959436000001</v>
      </c>
      <c r="S17" s="318" t="s">
        <v>1330</v>
      </c>
      <c r="T17" s="590">
        <f t="shared" si="16"/>
        <v>0.11355860730698764</v>
      </c>
      <c r="U17" s="508">
        <f t="shared" si="18"/>
        <v>0</v>
      </c>
      <c r="V17" s="2247">
        <f t="shared" si="19"/>
        <v>0.11355860730698764</v>
      </c>
    </row>
    <row r="18" spans="1:27" ht="12.75" customHeight="1">
      <c r="A18" s="726" t="s">
        <v>1429</v>
      </c>
      <c r="B18" s="499" t="str">
        <f t="shared" ref="B18" si="20">LEFT(A18,10)</f>
        <v>COM_201304</v>
      </c>
      <c r="C18" s="499">
        <v>0</v>
      </c>
      <c r="D18" s="499">
        <v>1</v>
      </c>
      <c r="E18" s="499">
        <f t="shared" si="1"/>
        <v>1</v>
      </c>
      <c r="F18" s="499">
        <v>2</v>
      </c>
      <c r="G18" s="499" t="b">
        <v>1</v>
      </c>
      <c r="H18" s="502" t="s">
        <v>844</v>
      </c>
      <c r="I18" s="502" t="s">
        <v>142</v>
      </c>
      <c r="J18" s="848" t="s">
        <v>1430</v>
      </c>
      <c r="K18" s="848" t="s">
        <v>2314</v>
      </c>
      <c r="L18" s="24">
        <v>2020</v>
      </c>
      <c r="M18" s="511">
        <v>1665.63060193</v>
      </c>
      <c r="N18" s="512">
        <v>0</v>
      </c>
      <c r="O18" s="512">
        <v>0</v>
      </c>
      <c r="P18" s="318" t="s">
        <v>872</v>
      </c>
      <c r="Q18" s="505">
        <v>0.14199999999999999</v>
      </c>
      <c r="R18" s="860">
        <v>348.00828630000001</v>
      </c>
      <c r="S18" s="318" t="s">
        <v>1922</v>
      </c>
      <c r="T18" s="590">
        <f t="shared" ref="T18" si="21">(M18-O18)*Q18*R18/8760000</f>
        <v>9.396205673160107E-3</v>
      </c>
      <c r="U18" s="508">
        <f t="shared" ref="U18" si="22">IFERROR((N18-O18/M18*N18)*Q18*R18/8760/1000,0)</f>
        <v>0</v>
      </c>
      <c r="V18" s="2247">
        <f t="shared" ref="V18" si="23">T18-U18</f>
        <v>9.396205673160107E-3</v>
      </c>
    </row>
    <row r="19" spans="1:27" ht="12.75" customHeight="1">
      <c r="A19" s="726" t="s">
        <v>122</v>
      </c>
      <c r="B19" s="499" t="str">
        <f t="shared" si="17"/>
        <v>COM_201304</v>
      </c>
      <c r="C19" s="499">
        <v>0</v>
      </c>
      <c r="D19" s="499">
        <v>1</v>
      </c>
      <c r="E19" s="499">
        <f t="shared" si="1"/>
        <v>1</v>
      </c>
      <c r="F19" s="499">
        <v>3</v>
      </c>
      <c r="G19" s="499" t="b">
        <v>1</v>
      </c>
      <c r="H19" s="502" t="s">
        <v>844</v>
      </c>
      <c r="I19" s="502" t="s">
        <v>142</v>
      </c>
      <c r="J19" s="848" t="s">
        <v>1233</v>
      </c>
      <c r="K19" s="848" t="s">
        <v>2600</v>
      </c>
      <c r="L19" s="24">
        <v>2021</v>
      </c>
      <c r="M19" s="511">
        <v>2.6749421600000001</v>
      </c>
      <c r="N19" s="512">
        <v>0</v>
      </c>
      <c r="O19" s="512">
        <v>0</v>
      </c>
      <c r="P19" s="318" t="s">
        <v>872</v>
      </c>
      <c r="Q19" s="505">
        <v>0.14199999999999999</v>
      </c>
      <c r="R19" s="860">
        <v>8760000</v>
      </c>
      <c r="S19" s="318" t="s">
        <v>777</v>
      </c>
      <c r="T19" s="590">
        <f>(M19-O19)*Q19*R19/8760000</f>
        <v>0.37984178671999996</v>
      </c>
      <c r="U19" s="508">
        <f t="shared" si="18"/>
        <v>0</v>
      </c>
      <c r="V19" s="2247">
        <f t="shared" si="19"/>
        <v>0.37984178671999996</v>
      </c>
    </row>
    <row r="20" spans="1:27" ht="12.75" customHeight="1">
      <c r="A20" s="726" t="s">
        <v>1918</v>
      </c>
      <c r="B20" s="499" t="str">
        <f t="shared" si="17"/>
        <v>COM_201304</v>
      </c>
      <c r="C20" s="499">
        <v>0</v>
      </c>
      <c r="D20" s="499">
        <v>1</v>
      </c>
      <c r="E20" s="499">
        <f t="shared" si="1"/>
        <v>1</v>
      </c>
      <c r="F20" s="499">
        <v>3</v>
      </c>
      <c r="G20" s="499" t="b">
        <v>1</v>
      </c>
      <c r="H20" s="502" t="s">
        <v>2632</v>
      </c>
      <c r="I20" s="502" t="s">
        <v>142</v>
      </c>
      <c r="J20" s="502" t="s">
        <v>2490</v>
      </c>
      <c r="K20" s="848" t="s">
        <v>2609</v>
      </c>
      <c r="L20" s="24">
        <v>2021</v>
      </c>
      <c r="M20" s="511">
        <v>3861.9966919399999</v>
      </c>
      <c r="N20" s="512">
        <v>0</v>
      </c>
      <c r="O20" s="512">
        <v>0</v>
      </c>
      <c r="P20" s="318" t="s">
        <v>872</v>
      </c>
      <c r="Q20" s="505">
        <v>0.14199999999999999</v>
      </c>
      <c r="R20" s="860">
        <v>161.99258717000001</v>
      </c>
      <c r="S20" s="318" t="s">
        <v>777</v>
      </c>
      <c r="T20" s="590">
        <f>(M20-O20)*Q20*R20/8760000</f>
        <v>1.0141245054708512E-2</v>
      </c>
      <c r="U20" s="508">
        <f t="shared" si="18"/>
        <v>0</v>
      </c>
      <c r="V20" s="2247">
        <f t="shared" si="19"/>
        <v>1.0141245054708512E-2</v>
      </c>
    </row>
    <row r="21" spans="1:27" ht="12.75" customHeight="1">
      <c r="A21" s="726" t="s">
        <v>1919</v>
      </c>
      <c r="B21" s="499" t="str">
        <f t="shared" si="17"/>
        <v>COM_201304</v>
      </c>
      <c r="C21" s="499">
        <v>0</v>
      </c>
      <c r="D21" s="499">
        <v>1</v>
      </c>
      <c r="E21" s="499">
        <f t="shared" si="1"/>
        <v>1</v>
      </c>
      <c r="F21" s="499">
        <v>3</v>
      </c>
      <c r="G21" s="499" t="b">
        <v>1</v>
      </c>
      <c r="H21" s="502" t="s">
        <v>844</v>
      </c>
      <c r="I21" s="502" t="s">
        <v>142</v>
      </c>
      <c r="J21" s="848" t="s">
        <v>2490</v>
      </c>
      <c r="K21" s="848" t="s">
        <v>2605</v>
      </c>
      <c r="L21" s="24">
        <v>2021</v>
      </c>
      <c r="M21" s="511">
        <v>10550.64104975</v>
      </c>
      <c r="N21" s="512">
        <v>0</v>
      </c>
      <c r="O21" s="512">
        <v>0</v>
      </c>
      <c r="P21" s="318" t="s">
        <v>872</v>
      </c>
      <c r="Q21" s="505">
        <v>0.14199999999999999</v>
      </c>
      <c r="R21" s="860">
        <v>161.99258717000001</v>
      </c>
      <c r="S21" s="318" t="s">
        <v>1228</v>
      </c>
      <c r="T21" s="590">
        <f t="shared" ref="T21:T24" si="24">(M21-O21)*Q21*R21/8760000</f>
        <v>2.7705004665872487E-2</v>
      </c>
      <c r="U21" s="508">
        <f t="shared" si="18"/>
        <v>0</v>
      </c>
      <c r="V21" s="2247">
        <f t="shared" si="19"/>
        <v>2.7705004665872487E-2</v>
      </c>
    </row>
    <row r="22" spans="1:27" ht="12.75" customHeight="1">
      <c r="A22" s="726" t="s">
        <v>1920</v>
      </c>
      <c r="B22" s="499" t="str">
        <f t="shared" si="17"/>
        <v>COM_201304</v>
      </c>
      <c r="C22" s="499">
        <v>0</v>
      </c>
      <c r="D22" s="499">
        <v>1</v>
      </c>
      <c r="E22" s="499">
        <f t="shared" si="1"/>
        <v>1</v>
      </c>
      <c r="F22" s="499">
        <v>3</v>
      </c>
      <c r="G22" s="499" t="b">
        <v>1</v>
      </c>
      <c r="H22" s="502" t="str">
        <f t="shared" ref="H22" si="25">IF(LEFT(A22,3)="Res","Residential",IF(LEFT(A22,3)="Ind","industrial",IF(LEFT(A22,3)="Com","Commercial",IF(LEFT(A22,3)="AGR","Agriculture",""))))</f>
        <v>Commercial</v>
      </c>
      <c r="I22" s="502" t="s">
        <v>142</v>
      </c>
      <c r="J22" s="848" t="s">
        <v>2490</v>
      </c>
      <c r="K22" s="848" t="s">
        <v>2607</v>
      </c>
      <c r="L22" s="24">
        <v>2021</v>
      </c>
      <c r="M22" s="511">
        <v>10971.189711000001</v>
      </c>
      <c r="N22" s="512">
        <v>0</v>
      </c>
      <c r="O22" s="512">
        <v>0</v>
      </c>
      <c r="P22" s="318" t="s">
        <v>872</v>
      </c>
      <c r="Q22" s="505">
        <v>0.14199999999999999</v>
      </c>
      <c r="R22" s="860">
        <v>161.99258717000001</v>
      </c>
      <c r="S22" s="318" t="s">
        <v>1229</v>
      </c>
      <c r="T22" s="590">
        <f t="shared" si="24"/>
        <v>2.8809326438096347E-2</v>
      </c>
      <c r="U22" s="508">
        <f t="shared" si="18"/>
        <v>0</v>
      </c>
      <c r="V22" s="2247">
        <f t="shared" si="19"/>
        <v>2.8809326438096347E-2</v>
      </c>
    </row>
    <row r="23" spans="1:27" ht="12.75" customHeight="1">
      <c r="A23" s="726" t="s">
        <v>1227</v>
      </c>
      <c r="B23" s="499" t="str">
        <f t="shared" ref="B23:B24" si="26">LEFT(A23,10)</f>
        <v>COM_201304</v>
      </c>
      <c r="C23" s="499">
        <v>0</v>
      </c>
      <c r="D23" s="499">
        <v>1</v>
      </c>
      <c r="E23" s="499">
        <f t="shared" si="1"/>
        <v>1</v>
      </c>
      <c r="F23" s="499">
        <v>3</v>
      </c>
      <c r="G23" s="499" t="b">
        <v>1</v>
      </c>
      <c r="H23" s="502" t="s">
        <v>844</v>
      </c>
      <c r="I23" s="502" t="s">
        <v>142</v>
      </c>
      <c r="J23" s="848" t="s">
        <v>2436</v>
      </c>
      <c r="K23" s="848" t="s">
        <v>2313</v>
      </c>
      <c r="L23" s="24">
        <v>2021</v>
      </c>
      <c r="M23" s="511">
        <v>2267.9307102299999</v>
      </c>
      <c r="N23" s="512">
        <v>0</v>
      </c>
      <c r="O23" s="512">
        <v>0</v>
      </c>
      <c r="P23" s="318" t="s">
        <v>872</v>
      </c>
      <c r="Q23" s="505">
        <v>0.14199999999999999</v>
      </c>
      <c r="R23" s="860">
        <v>248.88078547999999</v>
      </c>
      <c r="S23" s="318" t="s">
        <v>1329</v>
      </c>
      <c r="T23" s="590">
        <f t="shared" si="24"/>
        <v>9.1496691180169443E-3</v>
      </c>
      <c r="U23" s="508">
        <f t="shared" ref="U23:U24" si="27">IFERROR((N23-O23/M23*N23)*Q23*R23/8760/1000,0)</f>
        <v>0</v>
      </c>
      <c r="V23" s="2247">
        <f t="shared" ref="V23:V24" si="28">T23-U23</f>
        <v>9.1496691180169443E-3</v>
      </c>
    </row>
    <row r="24" spans="1:27" ht="12.75" customHeight="1">
      <c r="A24" s="726" t="s">
        <v>1921</v>
      </c>
      <c r="B24" s="499" t="str">
        <f t="shared" si="26"/>
        <v>COM_201304</v>
      </c>
      <c r="C24" s="499">
        <v>0</v>
      </c>
      <c r="D24" s="499">
        <v>1</v>
      </c>
      <c r="E24" s="499">
        <f t="shared" si="1"/>
        <v>1</v>
      </c>
      <c r="F24" s="499">
        <v>3</v>
      </c>
      <c r="G24" s="499" t="b">
        <v>1</v>
      </c>
      <c r="H24" s="502" t="s">
        <v>844</v>
      </c>
      <c r="I24" s="502" t="s">
        <v>142</v>
      </c>
      <c r="J24" s="848" t="s">
        <v>2488</v>
      </c>
      <c r="K24" s="848" t="s">
        <v>2603</v>
      </c>
      <c r="L24" s="24">
        <v>2021</v>
      </c>
      <c r="M24" s="511">
        <v>6959.1952397799996</v>
      </c>
      <c r="N24" s="512">
        <v>0</v>
      </c>
      <c r="O24" s="512">
        <v>0</v>
      </c>
      <c r="P24" s="318" t="s">
        <v>872</v>
      </c>
      <c r="Q24" s="505">
        <v>0.14199999999999999</v>
      </c>
      <c r="R24" s="860">
        <v>1008.0959436000001</v>
      </c>
      <c r="S24" s="318" t="s">
        <v>1330</v>
      </c>
      <c r="T24" s="590">
        <f t="shared" si="24"/>
        <v>0.11372216687852235</v>
      </c>
      <c r="U24" s="508">
        <f t="shared" si="27"/>
        <v>0</v>
      </c>
      <c r="V24" s="2247">
        <f t="shared" si="28"/>
        <v>0.11372216687852235</v>
      </c>
    </row>
    <row r="25" spans="1:27" ht="12.75" customHeight="1" thickBot="1">
      <c r="A25" s="730" t="s">
        <v>1429</v>
      </c>
      <c r="B25" s="731" t="str">
        <f t="shared" ref="B25" si="29">LEFT(A25,10)</f>
        <v>COM_201304</v>
      </c>
      <c r="C25" s="731">
        <v>0</v>
      </c>
      <c r="D25" s="731">
        <v>1</v>
      </c>
      <c r="E25" s="731">
        <f t="shared" si="1"/>
        <v>1</v>
      </c>
      <c r="F25" s="731">
        <v>2</v>
      </c>
      <c r="G25" s="731" t="b">
        <v>1</v>
      </c>
      <c r="H25" s="734" t="s">
        <v>844</v>
      </c>
      <c r="I25" s="734" t="s">
        <v>142</v>
      </c>
      <c r="J25" s="1390" t="s">
        <v>1430</v>
      </c>
      <c r="K25" s="1390" t="s">
        <v>2314</v>
      </c>
      <c r="L25" s="708">
        <v>2021</v>
      </c>
      <c r="M25" s="735">
        <v>1682.2869079500001</v>
      </c>
      <c r="N25" s="736">
        <v>0</v>
      </c>
      <c r="O25" s="736">
        <v>0</v>
      </c>
      <c r="P25" s="810" t="s">
        <v>872</v>
      </c>
      <c r="Q25" s="737">
        <v>0.14199999999999999</v>
      </c>
      <c r="R25" s="861">
        <v>336.68352598000001</v>
      </c>
      <c r="S25" s="810" t="s">
        <v>1922</v>
      </c>
      <c r="T25" s="1174">
        <f t="shared" ref="T25" si="30">(M25-O25)*Q25*R25/8760000</f>
        <v>9.1813421094475867E-3</v>
      </c>
      <c r="U25" s="740">
        <f t="shared" ref="U25" si="31">IFERROR((N25-O25/M25*N25)*Q25*R25/8760/1000,0)</f>
        <v>0</v>
      </c>
      <c r="V25" s="2248">
        <f t="shared" ref="V25" si="32">T25-U25</f>
        <v>9.1813421094475867E-3</v>
      </c>
    </row>
    <row r="26" spans="1:27" s="482" customFormat="1" ht="12.75" customHeight="1">
      <c r="A26" s="460"/>
      <c r="B26" s="499"/>
      <c r="C26" s="499"/>
      <c r="D26" s="499"/>
      <c r="E26" s="499"/>
      <c r="F26" s="499"/>
      <c r="G26" s="499"/>
      <c r="H26" s="1382"/>
      <c r="I26" s="1382"/>
      <c r="J26" s="1382"/>
      <c r="K26" s="1382"/>
      <c r="L26" s="271"/>
      <c r="M26" s="1383"/>
      <c r="N26" s="1383"/>
      <c r="O26" s="1383"/>
      <c r="P26" s="807"/>
      <c r="Q26" s="1384"/>
      <c r="R26" s="1385"/>
      <c r="S26" s="807"/>
      <c r="T26" s="2249"/>
      <c r="U26" s="2249"/>
      <c r="V26" s="2250"/>
    </row>
    <row r="27" spans="1:27" ht="14.4" thickBot="1">
      <c r="H27" s="941" t="s">
        <v>10</v>
      </c>
      <c r="I27" s="941"/>
      <c r="J27" s="941"/>
      <c r="K27" s="941"/>
      <c r="L27" s="941"/>
      <c r="M27" s="941"/>
      <c r="N27" s="941"/>
      <c r="O27" s="941"/>
      <c r="P27" s="941"/>
      <c r="Q27" s="941"/>
      <c r="R27" s="941"/>
      <c r="S27" s="941"/>
      <c r="T27" s="941"/>
      <c r="U27" s="941"/>
      <c r="V27" s="941"/>
      <c r="W27" s="941"/>
      <c r="X27" s="458"/>
      <c r="Y27" s="458"/>
      <c r="Z27" s="458"/>
      <c r="AA27" s="458"/>
    </row>
    <row r="28" spans="1:27" s="482" customFormat="1" ht="14.4" thickTop="1">
      <c r="A28" s="460"/>
      <c r="B28" s="460"/>
      <c r="C28" s="461"/>
      <c r="D28" s="461"/>
      <c r="E28" s="461"/>
      <c r="F28" s="461"/>
      <c r="G28" s="460"/>
      <c r="H28" s="2200"/>
      <c r="I28" s="2200"/>
      <c r="J28" s="2200"/>
      <c r="K28" s="2200"/>
      <c r="L28" s="2200"/>
      <c r="M28" s="2200"/>
      <c r="N28" s="2200"/>
      <c r="O28" s="2200"/>
      <c r="P28" s="2200"/>
      <c r="Q28" s="2200"/>
      <c r="R28" s="2200"/>
      <c r="S28" s="2200"/>
      <c r="T28" s="2200"/>
      <c r="U28" s="2200"/>
      <c r="V28" s="2200"/>
      <c r="W28" s="2200"/>
      <c r="X28" s="727"/>
      <c r="Y28" s="727"/>
      <c r="Z28" s="727"/>
      <c r="AA28" s="727"/>
    </row>
    <row r="29" spans="1:27" s="482" customFormat="1" ht="13.8">
      <c r="A29" s="460"/>
      <c r="B29" s="460"/>
      <c r="C29" s="461"/>
      <c r="D29" s="461"/>
      <c r="E29" s="461"/>
      <c r="F29" s="461"/>
      <c r="G29" s="460"/>
      <c r="H29" s="2200" t="s">
        <v>1233</v>
      </c>
      <c r="I29" s="2200"/>
      <c r="J29" s="2200"/>
      <c r="K29" s="2200"/>
      <c r="L29" s="2200"/>
      <c r="M29" s="2200"/>
      <c r="N29" s="2200"/>
      <c r="O29" s="2200"/>
      <c r="P29" s="2200"/>
      <c r="Q29" s="2200"/>
      <c r="R29" s="2200"/>
      <c r="S29" s="2200"/>
      <c r="T29" s="2200"/>
      <c r="U29" s="2200"/>
      <c r="V29" s="2200"/>
      <c r="W29" s="2200"/>
      <c r="X29" s="727"/>
      <c r="Y29" s="727"/>
      <c r="Z29" s="727"/>
      <c r="AA29" s="727"/>
    </row>
    <row r="30" spans="1:27" ht="68.25" customHeight="1">
      <c r="H30" s="3036" t="s">
        <v>1072</v>
      </c>
      <c r="I30" s="3036"/>
      <c r="J30" s="3036"/>
      <c r="K30" s="3036"/>
      <c r="L30" s="3036"/>
    </row>
    <row r="31" spans="1:27" ht="18" customHeight="1">
      <c r="H31" s="2251" t="s">
        <v>1073</v>
      </c>
    </row>
    <row r="32" spans="1:27" ht="12.75" customHeight="1">
      <c r="H32" s="2789" t="s">
        <v>776</v>
      </c>
      <c r="I32" s="2789"/>
      <c r="J32" s="2789"/>
      <c r="K32" s="2789"/>
      <c r="L32" s="2789"/>
    </row>
    <row r="33" spans="8:12" ht="12.75" customHeight="1">
      <c r="H33" s="2789"/>
      <c r="I33" s="2789"/>
      <c r="J33" s="2789"/>
      <c r="K33" s="2789"/>
      <c r="L33" s="2789"/>
    </row>
    <row r="34" spans="8:12" ht="12.75" customHeight="1">
      <c r="H34" s="2789"/>
      <c r="I34" s="2789"/>
      <c r="J34" s="2789"/>
      <c r="K34" s="2789"/>
      <c r="L34" s="2789"/>
    </row>
    <row r="35" spans="8:12" ht="12.75" customHeight="1">
      <c r="H35" s="2789"/>
      <c r="I35" s="2789"/>
      <c r="J35" s="2789"/>
      <c r="K35" s="2789"/>
      <c r="L35" s="2789"/>
    </row>
    <row r="36" spans="8:12" ht="12.75" customHeight="1">
      <c r="H36" s="2789"/>
      <c r="I36" s="2789"/>
      <c r="J36" s="2789"/>
      <c r="K36" s="2789"/>
      <c r="L36" s="2789"/>
    </row>
    <row r="37" spans="8:12" ht="12.75" customHeight="1">
      <c r="H37" s="2789"/>
      <c r="I37" s="2789"/>
      <c r="J37" s="2789"/>
      <c r="K37" s="2789"/>
      <c r="L37" s="2789"/>
    </row>
    <row r="38" spans="8:12" ht="12.75" customHeight="1">
      <c r="H38" s="2789"/>
      <c r="I38" s="2789"/>
      <c r="J38" s="2789"/>
      <c r="K38" s="2789"/>
      <c r="L38" s="2789"/>
    </row>
    <row r="39" spans="8:12" ht="12.75" customHeight="1">
      <c r="H39" s="2789"/>
      <c r="I39" s="2789"/>
      <c r="J39" s="2789"/>
      <c r="K39" s="2789"/>
      <c r="L39" s="2789"/>
    </row>
    <row r="40" spans="8:12" ht="12.75" customHeight="1">
      <c r="H40" s="2789"/>
      <c r="I40" s="2789"/>
      <c r="J40" s="2789"/>
      <c r="K40" s="2789"/>
      <c r="L40" s="2789"/>
    </row>
    <row r="41" spans="8:12" ht="12.75" customHeight="1">
      <c r="H41" s="2789"/>
      <c r="I41" s="2789"/>
      <c r="J41" s="2789"/>
      <c r="K41" s="2789"/>
      <c r="L41" s="2789"/>
    </row>
    <row r="42" spans="8:12" ht="12.75" customHeight="1">
      <c r="H42" s="2789"/>
      <c r="I42" s="2789"/>
      <c r="J42" s="2789"/>
      <c r="K42" s="2789"/>
      <c r="L42" s="2789"/>
    </row>
    <row r="43" spans="8:12" ht="12.75" customHeight="1">
      <c r="H43" s="2789"/>
      <c r="I43" s="2789"/>
      <c r="J43" s="2789"/>
      <c r="K43" s="2789"/>
      <c r="L43" s="2789"/>
    </row>
    <row r="44" spans="8:12" ht="12.75" customHeight="1">
      <c r="H44" s="2789"/>
      <c r="I44" s="2789"/>
      <c r="J44" s="2789"/>
      <c r="K44" s="2789"/>
      <c r="L44" s="2789"/>
    </row>
    <row r="45" spans="8:12" ht="12.75" customHeight="1">
      <c r="H45" s="2789"/>
      <c r="I45" s="2789"/>
      <c r="J45" s="2789"/>
      <c r="K45" s="2789"/>
      <c r="L45" s="2789"/>
    </row>
    <row r="46" spans="8:12" ht="12.75" customHeight="1">
      <c r="H46" s="2789"/>
      <c r="I46" s="2789"/>
      <c r="J46" s="2789"/>
      <c r="K46" s="2789"/>
      <c r="L46" s="2789"/>
    </row>
    <row r="47" spans="8:12" ht="12.75" customHeight="1">
      <c r="H47" s="2789"/>
      <c r="I47" s="2789"/>
      <c r="J47" s="2789"/>
      <c r="K47" s="2789"/>
      <c r="L47" s="2789"/>
    </row>
    <row r="48" spans="8:12" ht="12.75" customHeight="1">
      <c r="H48" s="2789"/>
      <c r="I48" s="2789"/>
      <c r="J48" s="2789"/>
      <c r="K48" s="2789"/>
      <c r="L48" s="2789"/>
    </row>
    <row r="49" spans="8:12" ht="12.75" customHeight="1">
      <c r="H49" s="2789"/>
      <c r="I49" s="2789"/>
      <c r="J49" s="2789"/>
      <c r="K49" s="2789"/>
      <c r="L49" s="2789"/>
    </row>
    <row r="50" spans="8:12" ht="12.75" customHeight="1">
      <c r="H50" s="2789"/>
      <c r="I50" s="2789"/>
      <c r="J50" s="2789"/>
      <c r="K50" s="2789"/>
      <c r="L50" s="2789"/>
    </row>
    <row r="51" spans="8:12" ht="12.75" customHeight="1">
      <c r="H51" s="2789"/>
      <c r="I51" s="2789"/>
      <c r="J51" s="2789"/>
      <c r="K51" s="2789"/>
      <c r="L51" s="2789"/>
    </row>
    <row r="52" spans="8:12" ht="12.75" customHeight="1">
      <c r="H52" s="2789"/>
      <c r="I52" s="2789"/>
      <c r="J52" s="2789"/>
      <c r="K52" s="2789"/>
      <c r="L52" s="2789"/>
    </row>
    <row r="53" spans="8:12" ht="12.75" customHeight="1">
      <c r="H53" s="2789"/>
      <c r="I53" s="2789"/>
      <c r="J53" s="2789"/>
      <c r="K53" s="2789"/>
      <c r="L53" s="2789"/>
    </row>
    <row r="54" spans="8:12" ht="12.75" customHeight="1">
      <c r="H54" s="2789"/>
      <c r="I54" s="2789"/>
      <c r="J54" s="2789"/>
      <c r="K54" s="2789"/>
      <c r="L54" s="2789"/>
    </row>
    <row r="56" spans="8:12" ht="13.8">
      <c r="H56" s="2200" t="s">
        <v>1234</v>
      </c>
      <c r="I56" s="2200"/>
      <c r="J56" s="2200"/>
      <c r="K56" s="2200"/>
      <c r="L56" s="2200"/>
    </row>
    <row r="57" spans="8:12" ht="51.75" customHeight="1">
      <c r="H57" s="3036" t="s">
        <v>1235</v>
      </c>
      <c r="I57" s="3036"/>
      <c r="J57" s="3036"/>
      <c r="K57" s="3036"/>
      <c r="L57" s="3036"/>
    </row>
    <row r="58" spans="8:12" ht="12.75" customHeight="1">
      <c r="H58" s="2789" t="s">
        <v>1236</v>
      </c>
      <c r="I58" s="2789"/>
      <c r="J58" s="2789"/>
      <c r="K58" s="2789"/>
      <c r="L58" s="2789"/>
    </row>
    <row r="59" spans="8:12" ht="12.75" customHeight="1">
      <c r="H59" s="2789"/>
      <c r="I59" s="2789"/>
      <c r="J59" s="2789"/>
      <c r="K59" s="2789"/>
      <c r="L59" s="2789"/>
    </row>
    <row r="60" spans="8:12" ht="12.75" customHeight="1">
      <c r="H60" s="2789"/>
      <c r="I60" s="2789"/>
      <c r="J60" s="2789"/>
      <c r="K60" s="2789"/>
      <c r="L60" s="2789"/>
    </row>
    <row r="61" spans="8:12" ht="12.75" customHeight="1">
      <c r="H61" s="2789"/>
      <c r="I61" s="2789"/>
      <c r="J61" s="2789"/>
      <c r="K61" s="2789"/>
      <c r="L61" s="2789"/>
    </row>
    <row r="62" spans="8:12" ht="12.75" customHeight="1">
      <c r="H62" s="2789"/>
      <c r="I62" s="2789"/>
      <c r="J62" s="2789"/>
      <c r="K62" s="2789"/>
      <c r="L62" s="2789"/>
    </row>
    <row r="63" spans="8:12" ht="12.75" customHeight="1">
      <c r="H63" s="2789" t="s">
        <v>1237</v>
      </c>
      <c r="I63" s="2789"/>
      <c r="J63" s="2789"/>
      <c r="K63" s="2789"/>
      <c r="L63" s="2789"/>
    </row>
    <row r="64" spans="8:12" ht="12.75" customHeight="1">
      <c r="H64" s="2789"/>
      <c r="I64" s="2789"/>
      <c r="J64" s="2789"/>
      <c r="K64" s="2789"/>
      <c r="L64" s="2789"/>
    </row>
    <row r="67" spans="8:12" ht="13.8">
      <c r="H67" s="2200" t="s">
        <v>1625</v>
      </c>
      <c r="I67" s="2200"/>
      <c r="J67" s="2200"/>
      <c r="K67" s="2200"/>
      <c r="L67" s="2200"/>
    </row>
    <row r="68" spans="8:12" ht="51.75" customHeight="1">
      <c r="H68" s="3036" t="s">
        <v>1235</v>
      </c>
      <c r="I68" s="3036"/>
      <c r="J68" s="3036"/>
      <c r="K68" s="3036"/>
      <c r="L68" s="3036"/>
    </row>
    <row r="69" spans="8:12" ht="12.75" customHeight="1">
      <c r="H69" s="2789" t="s">
        <v>1628</v>
      </c>
      <c r="I69" s="2789"/>
      <c r="J69" s="2789"/>
      <c r="K69" s="2789"/>
      <c r="L69" s="2789"/>
    </row>
    <row r="70" spans="8:12" ht="12.75" customHeight="1">
      <c r="H70" s="2789"/>
      <c r="I70" s="2789"/>
      <c r="J70" s="2789"/>
      <c r="K70" s="2789"/>
      <c r="L70" s="2789"/>
    </row>
    <row r="71" spans="8:12" ht="12.75" customHeight="1">
      <c r="H71" s="2789"/>
      <c r="I71" s="2789"/>
      <c r="J71" s="2789"/>
      <c r="K71" s="2789"/>
      <c r="L71" s="2789"/>
    </row>
    <row r="72" spans="8:12" ht="12.75" customHeight="1">
      <c r="H72" s="2789"/>
      <c r="I72" s="2789"/>
      <c r="J72" s="2789"/>
      <c r="K72" s="2789"/>
      <c r="L72" s="2789"/>
    </row>
    <row r="73" spans="8:12" ht="12.75" customHeight="1">
      <c r="H73" s="2789"/>
      <c r="I73" s="2789"/>
      <c r="J73" s="2789"/>
      <c r="K73" s="2789"/>
      <c r="L73" s="2789"/>
    </row>
    <row r="74" spans="8:12" ht="12.75" customHeight="1">
      <c r="H74" s="2789"/>
      <c r="I74" s="2789"/>
      <c r="J74" s="2789"/>
      <c r="K74" s="2789"/>
      <c r="L74" s="2789"/>
    </row>
    <row r="78" spans="8:12" ht="12.75" customHeight="1">
      <c r="H78" s="2200" t="s">
        <v>2488</v>
      </c>
      <c r="I78" s="2200"/>
      <c r="J78" s="2200"/>
      <c r="K78" s="2200"/>
      <c r="L78" s="2200"/>
    </row>
    <row r="79" spans="8:12" ht="49.5" customHeight="1">
      <c r="H79" s="3036" t="s">
        <v>1235</v>
      </c>
      <c r="I79" s="3036"/>
      <c r="J79" s="3036"/>
      <c r="K79" s="3036"/>
      <c r="L79" s="3036"/>
    </row>
    <row r="80" spans="8:12" ht="12.75" customHeight="1">
      <c r="H80" s="2789" t="s">
        <v>2489</v>
      </c>
      <c r="I80" s="2789"/>
      <c r="J80" s="2789"/>
      <c r="K80" s="2789"/>
      <c r="L80" s="2789"/>
    </row>
    <row r="81" spans="8:12" ht="12.75" customHeight="1">
      <c r="H81" s="2789"/>
      <c r="I81" s="2789"/>
      <c r="J81" s="2789"/>
      <c r="K81" s="2789"/>
      <c r="L81" s="2789"/>
    </row>
    <row r="82" spans="8:12" ht="12.75" customHeight="1">
      <c r="H82" s="2789"/>
      <c r="I82" s="2789"/>
      <c r="J82" s="2789"/>
      <c r="K82" s="2789"/>
      <c r="L82" s="2789"/>
    </row>
    <row r="83" spans="8:12" ht="12.75" customHeight="1">
      <c r="H83" s="2789"/>
      <c r="I83" s="2789"/>
      <c r="J83" s="2789"/>
      <c r="K83" s="2789"/>
      <c r="L83" s="2789"/>
    </row>
    <row r="84" spans="8:12" ht="12.75" customHeight="1">
      <c r="H84" s="2789"/>
      <c r="I84" s="2789"/>
      <c r="J84" s="2789"/>
      <c r="K84" s="2789"/>
      <c r="L84" s="2789"/>
    </row>
    <row r="85" spans="8:12" ht="12.75" customHeight="1">
      <c r="H85" s="2789"/>
      <c r="I85" s="2789"/>
      <c r="J85" s="2789"/>
      <c r="K85" s="2789"/>
      <c r="L85" s="2789"/>
    </row>
    <row r="87" spans="8:12" ht="12.75" customHeight="1">
      <c r="H87" s="2200" t="s">
        <v>2490</v>
      </c>
      <c r="I87" s="2200"/>
      <c r="J87" s="2200"/>
      <c r="K87" s="2200"/>
      <c r="L87" s="2200"/>
    </row>
    <row r="88" spans="8:12" ht="44.25" customHeight="1">
      <c r="H88" s="3036" t="s">
        <v>1235</v>
      </c>
      <c r="I88" s="3036"/>
      <c r="J88" s="3036"/>
      <c r="K88" s="3036"/>
      <c r="L88" s="3036"/>
    </row>
    <row r="89" spans="8:12" ht="12.75" customHeight="1">
      <c r="H89" s="2789" t="s">
        <v>2491</v>
      </c>
      <c r="I89" s="2789"/>
      <c r="J89" s="2789"/>
      <c r="K89" s="2789"/>
      <c r="L89" s="2789"/>
    </row>
    <row r="90" spans="8:12" ht="12.75" customHeight="1">
      <c r="H90" s="2789"/>
      <c r="I90" s="2789"/>
      <c r="J90" s="2789"/>
      <c r="K90" s="2789"/>
      <c r="L90" s="2789"/>
    </row>
    <row r="91" spans="8:12" ht="12.75" customHeight="1">
      <c r="H91" s="2789"/>
      <c r="I91" s="2789"/>
      <c r="J91" s="2789"/>
      <c r="K91" s="2789"/>
      <c r="L91" s="2789"/>
    </row>
    <row r="92" spans="8:12" ht="12.75" customHeight="1">
      <c r="H92" s="2789"/>
      <c r="I92" s="2789"/>
      <c r="J92" s="2789"/>
      <c r="K92" s="2789"/>
      <c r="L92" s="2789"/>
    </row>
    <row r="93" spans="8:12" ht="12.75" customHeight="1">
      <c r="H93" s="2789"/>
      <c r="I93" s="2789"/>
      <c r="J93" s="2789"/>
      <c r="K93" s="2789"/>
      <c r="L93" s="2789"/>
    </row>
    <row r="94" spans="8:12" ht="12.75" customHeight="1">
      <c r="H94" s="2789"/>
      <c r="I94" s="2789"/>
      <c r="J94" s="2789"/>
      <c r="K94" s="2789"/>
      <c r="L94" s="2789"/>
    </row>
  </sheetData>
  <autoFilter ref="A5:AA25">
    <filterColumn colId="11">
      <filters>
        <filter val="2020"/>
        <filter val="2021"/>
      </filters>
    </filterColumn>
  </autoFilter>
  <dataConsolidate/>
  <mergeCells count="17">
    <mergeCell ref="I2:L2"/>
    <mergeCell ref="A4:G4"/>
    <mergeCell ref="H4:L4"/>
    <mergeCell ref="M4:Q4"/>
    <mergeCell ref="H58:L62"/>
    <mergeCell ref="H63:L64"/>
    <mergeCell ref="R4:S4"/>
    <mergeCell ref="H57:L57"/>
    <mergeCell ref="T4:V4"/>
    <mergeCell ref="H32:L54"/>
    <mergeCell ref="H30:L30"/>
    <mergeCell ref="H79:L79"/>
    <mergeCell ref="H80:L85"/>
    <mergeCell ref="H88:L88"/>
    <mergeCell ref="H89:L94"/>
    <mergeCell ref="H68:L68"/>
    <mergeCell ref="H69:L74"/>
  </mergeCells>
  <hyperlinks>
    <hyperlink ref="H1" location="' Summary by Program 2020-21'!H1" display="Summary Page"/>
  </hyperlinks>
  <pageMargins left="0.7" right="0.7" top="0.75" bottom="0.75" header="0.3" footer="0.3"/>
  <pageSetup scale="1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filterMode="1">
    <tabColor rgb="FF0083CA"/>
    <pageSetUpPr fitToPage="1"/>
  </sheetPr>
  <dimension ref="A1:AD235"/>
  <sheetViews>
    <sheetView topLeftCell="J1" workbookViewId="0">
      <selection activeCell="M20" sqref="M20"/>
    </sheetView>
  </sheetViews>
  <sheetFormatPr defaultColWidth="26.5546875" defaultRowHeight="12.75" customHeight="1" outlineLevelCol="1"/>
  <cols>
    <col min="1" max="2" width="26.5546875" style="460" hidden="1" customWidth="1" outlineLevel="1"/>
    <col min="3" max="6" width="26.5546875" style="461" hidden="1" customWidth="1" outlineLevel="1"/>
    <col min="7" max="7" width="26.5546875" style="460" hidden="1" customWidth="1" outlineLevel="1"/>
    <col min="8" max="8" width="15.6640625" style="462" customWidth="1" collapsed="1"/>
    <col min="9" max="10" width="26.5546875" style="462"/>
    <col min="11" max="11" width="43" style="462" customWidth="1"/>
    <col min="12" max="12" width="12.88671875" style="462" customWidth="1"/>
    <col min="13" max="13" width="14.44140625" style="463" customWidth="1"/>
    <col min="14" max="14" width="13.88671875" style="463" customWidth="1"/>
    <col min="15" max="15" width="8.109375" style="463" customWidth="1"/>
    <col min="16" max="16" width="26.5546875" style="463"/>
    <col min="17" max="17" width="13.44140625" style="462" customWidth="1"/>
    <col min="18" max="18" width="13.88671875" style="462" customWidth="1"/>
    <col min="19" max="19" width="26.5546875" style="462"/>
    <col min="20" max="20" width="12.109375" style="462" customWidth="1"/>
    <col min="21" max="21" width="10.33203125" style="462" customWidth="1"/>
    <col min="22" max="22" width="10.88671875" style="464" customWidth="1"/>
    <col min="23" max="16384" width="26.5546875" style="462"/>
  </cols>
  <sheetData>
    <row r="1" spans="1:30" ht="12.75" customHeight="1">
      <c r="H1" s="239" t="s">
        <v>1067</v>
      </c>
    </row>
    <row r="2" spans="1:30" ht="45.75" customHeight="1">
      <c r="E2" s="461" t="str">
        <f>"2019RES_201403_P8T1"</f>
        <v>2019RES_201403_P8T1</v>
      </c>
      <c r="H2" s="1164" t="str">
        <f>I6&amp;":"</f>
        <v>Retail Product Portfolio:</v>
      </c>
      <c r="I2" s="2875" t="str">
        <f>INDEX(Programs!C:C,MATCH(I9,Programs!B:B,0))</f>
        <v>The Retail Product Portfolio initiative uses mid-stream incentives to influence retail stocking practices, ultimately driving manufacturing and standards for a portfolio of energy-efficient product sold through the retail channel.</v>
      </c>
      <c r="J2" s="2875"/>
      <c r="K2" s="2875"/>
      <c r="L2" s="2875"/>
      <c r="R2" s="462" t="s">
        <v>1152</v>
      </c>
      <c r="S2" s="925" t="s">
        <v>1870</v>
      </c>
      <c r="AA2" s="462" t="s">
        <v>10</v>
      </c>
      <c r="AB2" s="1741" t="s">
        <v>419</v>
      </c>
      <c r="AD2" s="462" t="s">
        <v>419</v>
      </c>
    </row>
    <row r="3" spans="1:30" ht="10.5" customHeight="1">
      <c r="E3" s="461" t="s">
        <v>626</v>
      </c>
      <c r="F3" s="461" t="b">
        <f>E3=E2</f>
        <v>1</v>
      </c>
      <c r="H3" s="926"/>
      <c r="M3" s="1380"/>
      <c r="AD3" s="462" t="s">
        <v>420</v>
      </c>
    </row>
    <row r="4" spans="1:30" s="458" customFormat="1" ht="15.75" customHeight="1">
      <c r="A4" s="2876" t="s">
        <v>131</v>
      </c>
      <c r="B4" s="2877"/>
      <c r="C4" s="2877"/>
      <c r="D4" s="2877"/>
      <c r="E4" s="2877"/>
      <c r="F4" s="2877"/>
      <c r="G4" s="2878"/>
      <c r="H4" s="2879" t="s">
        <v>7</v>
      </c>
      <c r="I4" s="2880"/>
      <c r="J4" s="2880"/>
      <c r="K4" s="2880"/>
      <c r="L4" s="2880"/>
      <c r="M4" s="2881" t="s">
        <v>127</v>
      </c>
      <c r="N4" s="2882"/>
      <c r="O4" s="2882"/>
      <c r="P4" s="2882"/>
      <c r="Q4" s="2883"/>
      <c r="R4" s="2884" t="s">
        <v>129</v>
      </c>
      <c r="S4" s="2885"/>
      <c r="T4" s="2872" t="s">
        <v>130</v>
      </c>
      <c r="U4" s="2873"/>
      <c r="V4" s="2874"/>
    </row>
    <row r="5" spans="1:30" s="931" customFormat="1" ht="41.1" customHeight="1">
      <c r="A5" s="927" t="s">
        <v>0</v>
      </c>
      <c r="B5" s="928" t="s">
        <v>11</v>
      </c>
      <c r="C5" s="929" t="s">
        <v>1</v>
      </c>
      <c r="D5" s="929" t="s">
        <v>2</v>
      </c>
      <c r="E5" s="929" t="s">
        <v>266</v>
      </c>
      <c r="F5" s="929" t="s">
        <v>306</v>
      </c>
      <c r="G5" s="930" t="s">
        <v>12</v>
      </c>
      <c r="H5" s="1918" t="s">
        <v>3</v>
      </c>
      <c r="I5" s="1919" t="s">
        <v>4</v>
      </c>
      <c r="J5" s="1919" t="s">
        <v>5</v>
      </c>
      <c r="K5" s="2471" t="s">
        <v>6</v>
      </c>
      <c r="L5" s="1919" t="s">
        <v>8</v>
      </c>
      <c r="M5" s="1918" t="s">
        <v>13</v>
      </c>
      <c r="N5" s="1919" t="s">
        <v>14</v>
      </c>
      <c r="O5" s="1919" t="s">
        <v>123</v>
      </c>
      <c r="P5" s="1919" t="s">
        <v>124</v>
      </c>
      <c r="Q5" s="1920" t="s">
        <v>16</v>
      </c>
      <c r="R5" s="1918" t="s">
        <v>871</v>
      </c>
      <c r="S5" s="1920" t="s">
        <v>125</v>
      </c>
      <c r="T5" s="1918" t="s">
        <v>126</v>
      </c>
      <c r="U5" s="1919" t="s">
        <v>18</v>
      </c>
      <c r="V5" s="1921" t="s">
        <v>17</v>
      </c>
    </row>
    <row r="6" spans="1:30" ht="12.75" hidden="1" customHeight="1" thickTop="1">
      <c r="A6" s="498" t="s">
        <v>97</v>
      </c>
      <c r="B6" s="499" t="str">
        <f t="shared" ref="B6:B11" si="0">LEFT(A6,10)</f>
        <v>RES_201403</v>
      </c>
      <c r="C6" s="499">
        <v>0</v>
      </c>
      <c r="D6" s="499">
        <v>0</v>
      </c>
      <c r="E6" s="499">
        <f t="shared" ref="E6:E29" si="1">COUNTIFS($A:$A,A6,$L:$L,L6)</f>
        <v>1</v>
      </c>
      <c r="F6" s="499">
        <v>1</v>
      </c>
      <c r="G6" s="500" t="b">
        <v>1</v>
      </c>
      <c r="H6" s="1904" t="str">
        <f>IF(LEFT(A6,3)="Res","Residential",IF(LEFT(A6,3)="Ind","industrial",IF(LEFT(A6,3)="Com","Commercial",IF(LEFT(A6,3)="AGR","Agriculture",""))))</f>
        <v>Residential</v>
      </c>
      <c r="I6" s="580" t="s">
        <v>155</v>
      </c>
      <c r="J6" s="1905" t="s">
        <v>157</v>
      </c>
      <c r="K6" s="580" t="s">
        <v>1461</v>
      </c>
      <c r="L6" s="279">
        <v>2019</v>
      </c>
      <c r="M6" s="1906">
        <v>0</v>
      </c>
      <c r="N6" s="582">
        <v>0</v>
      </c>
      <c r="O6" s="582">
        <v>0</v>
      </c>
      <c r="P6" s="322" t="s">
        <v>1253</v>
      </c>
      <c r="Q6" s="583">
        <v>0</v>
      </c>
      <c r="R6" s="1907">
        <f t="shared" ref="R6:R17" si="2">IF(AB$2="frozen",INDEX($M$40:$M$51,MATCH(K6,$N$40:$N$51,0)),INDEX($P$118:$P$125,MATCH(A6,$I$118:$I$125,0)))</f>
        <v>49.756977781788009</v>
      </c>
      <c r="S6" s="369" t="s">
        <v>710</v>
      </c>
      <c r="T6" s="1908">
        <f>(M6-O6)*Q6*R6/8760000</f>
        <v>0</v>
      </c>
      <c r="U6" s="1909">
        <f t="shared" ref="U6:U10" si="3">IFERROR((N6-O6/M6*N6)*Q6*R6/8760/1000,0)</f>
        <v>0</v>
      </c>
      <c r="V6" s="1910">
        <f t="shared" ref="V6:V10" si="4">T6-U6</f>
        <v>0</v>
      </c>
    </row>
    <row r="7" spans="1:30" ht="12.75" hidden="1" customHeight="1">
      <c r="A7" s="498" t="s">
        <v>98</v>
      </c>
      <c r="B7" s="499" t="str">
        <f t="shared" si="0"/>
        <v>RES_201403</v>
      </c>
      <c r="C7" s="499">
        <v>0</v>
      </c>
      <c r="D7" s="499">
        <v>0</v>
      </c>
      <c r="E7" s="499">
        <f t="shared" si="1"/>
        <v>1</v>
      </c>
      <c r="F7" s="499">
        <v>1</v>
      </c>
      <c r="G7" s="500" t="b">
        <v>1</v>
      </c>
      <c r="H7" s="501" t="str">
        <f t="shared" ref="H7:H11" si="5">IF(LEFT(A7,3)="Res","Residential",IF(LEFT(A7,3)="Ind","industrial",IF(LEFT(A7,3)="Com","Commercial",IF(LEFT(A7,3)="AGR","Agriculture",""))))</f>
        <v>Residential</v>
      </c>
      <c r="I7" s="502" t="s">
        <v>155</v>
      </c>
      <c r="J7" s="848" t="s">
        <v>157</v>
      </c>
      <c r="K7" s="502" t="s">
        <v>165</v>
      </c>
      <c r="L7" s="24">
        <v>2019</v>
      </c>
      <c r="M7" s="1742">
        <v>7569.7133807399996</v>
      </c>
      <c r="N7" s="512">
        <v>1946.0660590099999</v>
      </c>
      <c r="O7" s="512">
        <v>0</v>
      </c>
      <c r="P7" s="318" t="s">
        <v>1253</v>
      </c>
      <c r="Q7" s="505">
        <v>0.14199999999999999</v>
      </c>
      <c r="R7" s="531">
        <f t="shared" si="2"/>
        <v>79.214751581241472</v>
      </c>
      <c r="S7" s="71" t="s">
        <v>710</v>
      </c>
      <c r="T7" s="1743">
        <f>(M7-O7)*Q7*R7/8760000</f>
        <v>9.7200777430942499E-3</v>
      </c>
      <c r="U7" s="1744">
        <f t="shared" si="3"/>
        <v>2.4988942692206742E-3</v>
      </c>
      <c r="V7" s="598">
        <f t="shared" si="4"/>
        <v>7.2211834738735757E-3</v>
      </c>
    </row>
    <row r="8" spans="1:30" ht="12.75" hidden="1" customHeight="1">
      <c r="A8" s="460" t="s">
        <v>99</v>
      </c>
      <c r="B8" s="499" t="str">
        <f t="shared" si="0"/>
        <v>RES_201403</v>
      </c>
      <c r="C8" s="499">
        <v>0</v>
      </c>
      <c r="D8" s="499">
        <v>0</v>
      </c>
      <c r="E8" s="499">
        <f t="shared" si="1"/>
        <v>1</v>
      </c>
      <c r="F8" s="499">
        <v>1</v>
      </c>
      <c r="G8" s="500" t="b">
        <v>1</v>
      </c>
      <c r="H8" s="501" t="str">
        <f t="shared" si="5"/>
        <v>Residential</v>
      </c>
      <c r="I8" s="502" t="s">
        <v>155</v>
      </c>
      <c r="J8" s="848" t="s">
        <v>157</v>
      </c>
      <c r="K8" s="502" t="s">
        <v>166</v>
      </c>
      <c r="L8" s="24">
        <v>2019</v>
      </c>
      <c r="M8" s="1742">
        <v>95372.770488209993</v>
      </c>
      <c r="N8" s="512">
        <v>10842.64547161</v>
      </c>
      <c r="O8" s="512">
        <v>0</v>
      </c>
      <c r="P8" s="318" t="s">
        <v>1253</v>
      </c>
      <c r="Q8" s="505">
        <v>0.14199999999999999</v>
      </c>
      <c r="R8" s="531">
        <f t="shared" si="2"/>
        <v>94.461612834876433</v>
      </c>
      <c r="S8" s="71" t="s">
        <v>710</v>
      </c>
      <c r="T8" s="1743">
        <f t="shared" ref="T8:T17" si="6">(M8-O8)*Q8*R8/8760000</f>
        <v>0.14603736670779094</v>
      </c>
      <c r="U8" s="1744">
        <f t="shared" si="3"/>
        <v>1.6602552119588707E-2</v>
      </c>
      <c r="V8" s="598">
        <f>T8-U8</f>
        <v>0.12943481458820222</v>
      </c>
    </row>
    <row r="9" spans="1:30" ht="12.75" hidden="1" customHeight="1">
      <c r="A9" s="460" t="s">
        <v>97</v>
      </c>
      <c r="B9" s="499" t="str">
        <f t="shared" si="0"/>
        <v>RES_201403</v>
      </c>
      <c r="C9" s="499">
        <v>0</v>
      </c>
      <c r="D9" s="499">
        <v>0</v>
      </c>
      <c r="E9" s="499">
        <f t="shared" si="1"/>
        <v>1</v>
      </c>
      <c r="F9" s="499">
        <v>1</v>
      </c>
      <c r="G9" s="500" t="b">
        <v>1</v>
      </c>
      <c r="H9" s="501" t="str">
        <f t="shared" si="5"/>
        <v>Residential</v>
      </c>
      <c r="I9" s="502" t="s">
        <v>155</v>
      </c>
      <c r="J9" s="848" t="s">
        <v>157</v>
      </c>
      <c r="K9" s="502" t="s">
        <v>1461</v>
      </c>
      <c r="L9" s="24">
        <v>2018</v>
      </c>
      <c r="M9" s="1742">
        <v>6527.76608407</v>
      </c>
      <c r="N9" s="512">
        <v>4581.7000250600004</v>
      </c>
      <c r="O9" s="512">
        <v>0</v>
      </c>
      <c r="P9" s="318" t="s">
        <v>1253</v>
      </c>
      <c r="Q9" s="505">
        <v>0.14199999999999999</v>
      </c>
      <c r="R9" s="531">
        <f t="shared" si="2"/>
        <v>49.756977781788009</v>
      </c>
      <c r="S9" s="71" t="s">
        <v>710</v>
      </c>
      <c r="T9" s="1743">
        <f t="shared" si="6"/>
        <v>5.2650538248160735E-3</v>
      </c>
      <c r="U9" s="1744">
        <f t="shared" si="3"/>
        <v>3.6954291759887414E-3</v>
      </c>
      <c r="V9" s="598">
        <f>T9-U9</f>
        <v>1.5696246488273321E-3</v>
      </c>
    </row>
    <row r="10" spans="1:30" ht="12.75" hidden="1" customHeight="1">
      <c r="A10" s="460" t="s">
        <v>98</v>
      </c>
      <c r="B10" s="499" t="str">
        <f t="shared" si="0"/>
        <v>RES_201403</v>
      </c>
      <c r="C10" s="499">
        <v>0</v>
      </c>
      <c r="D10" s="499">
        <v>0</v>
      </c>
      <c r="E10" s="499">
        <f t="shared" si="1"/>
        <v>1</v>
      </c>
      <c r="F10" s="499">
        <v>1</v>
      </c>
      <c r="G10" s="500" t="b">
        <v>1</v>
      </c>
      <c r="H10" s="501" t="str">
        <f t="shared" si="5"/>
        <v>Residential</v>
      </c>
      <c r="I10" s="502" t="s">
        <v>155</v>
      </c>
      <c r="J10" s="848" t="s">
        <v>157</v>
      </c>
      <c r="K10" s="502" t="s">
        <v>165</v>
      </c>
      <c r="L10" s="24">
        <v>2018</v>
      </c>
      <c r="M10" s="1742">
        <v>18218.147434689999</v>
      </c>
      <c r="N10" s="512">
        <v>1946.0660590099999</v>
      </c>
      <c r="O10" s="512">
        <v>0</v>
      </c>
      <c r="P10" s="318" t="s">
        <v>1253</v>
      </c>
      <c r="Q10" s="505">
        <v>0.14199999999999999</v>
      </c>
      <c r="R10" s="531">
        <f t="shared" si="2"/>
        <v>79.214751581241472</v>
      </c>
      <c r="S10" s="71" t="s">
        <v>710</v>
      </c>
      <c r="T10" s="1743">
        <f t="shared" si="6"/>
        <v>2.3393462934924059E-2</v>
      </c>
      <c r="U10" s="1744">
        <f t="shared" si="3"/>
        <v>2.4988942692206742E-3</v>
      </c>
      <c r="V10" s="598">
        <f t="shared" si="4"/>
        <v>2.0894568665703384E-2</v>
      </c>
    </row>
    <row r="11" spans="1:30" ht="12.75" hidden="1" customHeight="1">
      <c r="A11" s="460" t="s">
        <v>99</v>
      </c>
      <c r="B11" s="499" t="str">
        <f t="shared" si="0"/>
        <v>RES_201403</v>
      </c>
      <c r="C11" s="499">
        <v>0</v>
      </c>
      <c r="D11" s="499">
        <v>0</v>
      </c>
      <c r="E11" s="499">
        <f t="shared" si="1"/>
        <v>1</v>
      </c>
      <c r="F11" s="499">
        <v>1</v>
      </c>
      <c r="G11" s="500" t="b">
        <v>1</v>
      </c>
      <c r="H11" s="501" t="str">
        <f t="shared" si="5"/>
        <v>Residential</v>
      </c>
      <c r="I11" s="502" t="s">
        <v>155</v>
      </c>
      <c r="J11" s="848" t="s">
        <v>157</v>
      </c>
      <c r="K11" s="502" t="s">
        <v>166</v>
      </c>
      <c r="L11" s="24">
        <v>2018</v>
      </c>
      <c r="M11" s="1742">
        <v>78196.570350180002</v>
      </c>
      <c r="N11" s="512">
        <v>10842.64547161</v>
      </c>
      <c r="O11" s="512">
        <v>0</v>
      </c>
      <c r="P11" s="318" t="s">
        <v>1253</v>
      </c>
      <c r="Q11" s="505">
        <v>0.14199999999999999</v>
      </c>
      <c r="R11" s="531">
        <f t="shared" si="2"/>
        <v>94.461612834876433</v>
      </c>
      <c r="S11" s="71" t="s">
        <v>710</v>
      </c>
      <c r="T11" s="1743">
        <f t="shared" si="6"/>
        <v>0.11973670431365423</v>
      </c>
      <c r="U11" s="1744">
        <f t="shared" ref="U11:U22" si="7">IFERROR((N11-O11/M11*N11)*Q11*R11/8760/1000,0)</f>
        <v>1.6602552119588707E-2</v>
      </c>
      <c r="V11" s="598">
        <f t="shared" ref="V11:V19" si="8">T11-U11</f>
        <v>0.10313415219406552</v>
      </c>
    </row>
    <row r="12" spans="1:30" ht="12.75" hidden="1" customHeight="1">
      <c r="A12" s="460" t="s">
        <v>371</v>
      </c>
      <c r="B12" s="499" t="str">
        <f t="shared" ref="B12:B15" si="9">LEFT(A12,10)</f>
        <v>RES_201403</v>
      </c>
      <c r="C12" s="499">
        <v>0</v>
      </c>
      <c r="D12" s="499">
        <v>0</v>
      </c>
      <c r="E12" s="499">
        <f t="shared" si="1"/>
        <v>1</v>
      </c>
      <c r="F12" s="499">
        <v>1</v>
      </c>
      <c r="G12" s="500" t="b">
        <v>1</v>
      </c>
      <c r="H12" s="501" t="str">
        <f>IF(LEFT(A12,3)="Res","Residential",IF(LEFT(A12,3)="Ind","industrial",IF(LEFT(A12,3)="Com","Commercial",IF(LEFT(A12,3)="AGR","Agriculture",""))))</f>
        <v>Residential</v>
      </c>
      <c r="I12" s="502" t="s">
        <v>155</v>
      </c>
      <c r="J12" s="502" t="s">
        <v>431</v>
      </c>
      <c r="K12" s="502" t="s">
        <v>1461</v>
      </c>
      <c r="L12" s="24">
        <v>2019</v>
      </c>
      <c r="M12" s="1742">
        <v>113193.87791646</v>
      </c>
      <c r="N12" s="512">
        <v>2042.58844432</v>
      </c>
      <c r="O12" s="512">
        <v>0</v>
      </c>
      <c r="P12" s="318" t="s">
        <v>1253</v>
      </c>
      <c r="Q12" s="505">
        <v>0.14199999999999999</v>
      </c>
      <c r="R12" s="531">
        <f t="shared" si="2"/>
        <v>49.756977781788009</v>
      </c>
      <c r="S12" s="71" t="s">
        <v>710</v>
      </c>
      <c r="T12" s="1743">
        <f t="shared" si="6"/>
        <v>9.1297980380179083E-2</v>
      </c>
      <c r="U12" s="1744">
        <f t="shared" si="7"/>
        <v>1.6474760220860887E-3</v>
      </c>
      <c r="V12" s="598">
        <f t="shared" si="8"/>
        <v>8.9650504358092992E-2</v>
      </c>
    </row>
    <row r="13" spans="1:30" ht="12.75" hidden="1" customHeight="1">
      <c r="A13" s="460" t="s">
        <v>372</v>
      </c>
      <c r="B13" s="499" t="str">
        <f t="shared" si="9"/>
        <v>RES_201403</v>
      </c>
      <c r="C13" s="499">
        <v>0</v>
      </c>
      <c r="D13" s="499">
        <v>0</v>
      </c>
      <c r="E13" s="499">
        <f t="shared" si="1"/>
        <v>1</v>
      </c>
      <c r="F13" s="499">
        <v>1</v>
      </c>
      <c r="G13" s="500" t="b">
        <v>1</v>
      </c>
      <c r="H13" s="501" t="str">
        <f t="shared" ref="H13:H17" si="10">IF(LEFT(A13,3)="Res","Residential",IF(LEFT(A13,3)="Ind","industrial",IF(LEFT(A13,3)="Com","Commercial",IF(LEFT(A13,3)="AGR","Agriculture",""))))</f>
        <v>Residential</v>
      </c>
      <c r="I13" s="502" t="s">
        <v>155</v>
      </c>
      <c r="J13" s="502" t="s">
        <v>431</v>
      </c>
      <c r="K13" s="502" t="s">
        <v>165</v>
      </c>
      <c r="L13" s="24">
        <v>2019</v>
      </c>
      <c r="M13" s="1742">
        <v>1099.4419992999999</v>
      </c>
      <c r="N13" s="512">
        <v>0</v>
      </c>
      <c r="O13" s="512">
        <v>0</v>
      </c>
      <c r="P13" s="318" t="s">
        <v>1253</v>
      </c>
      <c r="Q13" s="505">
        <v>0.14199999999999999</v>
      </c>
      <c r="R13" s="531">
        <f t="shared" si="2"/>
        <v>79.214751581241472</v>
      </c>
      <c r="S13" s="71" t="s">
        <v>710</v>
      </c>
      <c r="T13" s="1743">
        <f t="shared" si="6"/>
        <v>1.4117656996643468E-3</v>
      </c>
      <c r="U13" s="1744">
        <f t="shared" si="7"/>
        <v>0</v>
      </c>
      <c r="V13" s="598">
        <f t="shared" si="8"/>
        <v>1.4117656996643468E-3</v>
      </c>
    </row>
    <row r="14" spans="1:30" ht="12.75" hidden="1" customHeight="1">
      <c r="A14" s="460" t="s">
        <v>373</v>
      </c>
      <c r="B14" s="499" t="str">
        <f t="shared" si="9"/>
        <v>RES_201403</v>
      </c>
      <c r="C14" s="499">
        <v>0</v>
      </c>
      <c r="D14" s="499">
        <v>0</v>
      </c>
      <c r="E14" s="499">
        <f t="shared" si="1"/>
        <v>1</v>
      </c>
      <c r="F14" s="499">
        <v>1</v>
      </c>
      <c r="G14" s="500" t="b">
        <v>1</v>
      </c>
      <c r="H14" s="501" t="str">
        <f t="shared" si="10"/>
        <v>Residential</v>
      </c>
      <c r="I14" s="502" t="s">
        <v>155</v>
      </c>
      <c r="J14" s="502" t="s">
        <v>431</v>
      </c>
      <c r="K14" s="502" t="s">
        <v>166</v>
      </c>
      <c r="L14" s="24">
        <v>2019</v>
      </c>
      <c r="M14" s="1742">
        <v>0</v>
      </c>
      <c r="N14" s="512">
        <v>0</v>
      </c>
      <c r="O14" s="512">
        <v>0</v>
      </c>
      <c r="P14" s="318" t="s">
        <v>1253</v>
      </c>
      <c r="Q14" s="505">
        <v>0</v>
      </c>
      <c r="R14" s="531">
        <f t="shared" si="2"/>
        <v>94.461612834876433</v>
      </c>
      <c r="S14" s="71" t="s">
        <v>710</v>
      </c>
      <c r="T14" s="1743">
        <f t="shared" si="6"/>
        <v>0</v>
      </c>
      <c r="U14" s="1744">
        <f t="shared" si="7"/>
        <v>0</v>
      </c>
      <c r="V14" s="598">
        <f t="shared" si="8"/>
        <v>0</v>
      </c>
    </row>
    <row r="15" spans="1:30" ht="12.75" hidden="1" customHeight="1">
      <c r="A15" s="460" t="s">
        <v>371</v>
      </c>
      <c r="B15" s="499" t="str">
        <f t="shared" si="9"/>
        <v>RES_201403</v>
      </c>
      <c r="C15" s="499">
        <v>0</v>
      </c>
      <c r="D15" s="499">
        <v>0</v>
      </c>
      <c r="E15" s="499">
        <f t="shared" si="1"/>
        <v>1</v>
      </c>
      <c r="F15" s="499">
        <v>1</v>
      </c>
      <c r="G15" s="500" t="b">
        <v>1</v>
      </c>
      <c r="H15" s="501" t="str">
        <f t="shared" si="10"/>
        <v>Residential</v>
      </c>
      <c r="I15" s="502" t="s">
        <v>155</v>
      </c>
      <c r="J15" s="502" t="s">
        <v>431</v>
      </c>
      <c r="K15" s="502" t="s">
        <v>1461</v>
      </c>
      <c r="L15" s="24">
        <v>2018</v>
      </c>
      <c r="M15" s="1742">
        <v>105643.67312209</v>
      </c>
      <c r="N15" s="512">
        <v>2042.58844432</v>
      </c>
      <c r="O15" s="512">
        <v>0</v>
      </c>
      <c r="P15" s="318" t="s">
        <v>1253</v>
      </c>
      <c r="Q15" s="505">
        <v>0.14199999999999999</v>
      </c>
      <c r="R15" s="531">
        <f t="shared" si="2"/>
        <v>49.756977781788009</v>
      </c>
      <c r="S15" s="71" t="s">
        <v>710</v>
      </c>
      <c r="T15" s="1743">
        <f t="shared" si="6"/>
        <v>8.5208265442667519E-2</v>
      </c>
      <c r="U15" s="1744">
        <f t="shared" si="7"/>
        <v>1.6474760220860887E-3</v>
      </c>
      <c r="V15" s="598">
        <f t="shared" si="8"/>
        <v>8.3560789420581427E-2</v>
      </c>
    </row>
    <row r="16" spans="1:30" ht="12.75" hidden="1" customHeight="1">
      <c r="A16" s="460" t="s">
        <v>372</v>
      </c>
      <c r="B16" s="499" t="str">
        <f t="shared" ref="B16:B27" si="11">LEFT(A16,10)</f>
        <v>RES_201403</v>
      </c>
      <c r="C16" s="499">
        <v>0</v>
      </c>
      <c r="D16" s="499">
        <v>0</v>
      </c>
      <c r="E16" s="499">
        <f t="shared" si="1"/>
        <v>1</v>
      </c>
      <c r="F16" s="499">
        <v>1</v>
      </c>
      <c r="G16" s="500" t="b">
        <v>1</v>
      </c>
      <c r="H16" s="501" t="str">
        <f t="shared" si="10"/>
        <v>Residential</v>
      </c>
      <c r="I16" s="502" t="s">
        <v>155</v>
      </c>
      <c r="J16" s="502" t="s">
        <v>431</v>
      </c>
      <c r="K16" s="502" t="s">
        <v>165</v>
      </c>
      <c r="L16" s="24">
        <v>2018</v>
      </c>
      <c r="M16" s="1742">
        <v>281.32075773999998</v>
      </c>
      <c r="N16" s="512">
        <v>0</v>
      </c>
      <c r="O16" s="512">
        <v>0</v>
      </c>
      <c r="P16" s="318" t="s">
        <v>1253</v>
      </c>
      <c r="Q16" s="505">
        <v>0.14199999999999999</v>
      </c>
      <c r="R16" s="531">
        <f t="shared" si="2"/>
        <v>79.214751581241472</v>
      </c>
      <c r="S16" s="71" t="s">
        <v>710</v>
      </c>
      <c r="T16" s="1743">
        <f t="shared" si="6"/>
        <v>3.612368789201988E-4</v>
      </c>
      <c r="U16" s="1744">
        <f t="shared" si="7"/>
        <v>0</v>
      </c>
      <c r="V16" s="598">
        <f t="shared" si="8"/>
        <v>3.612368789201988E-4</v>
      </c>
    </row>
    <row r="17" spans="1:23" ht="12.75" hidden="1" customHeight="1" thickBot="1">
      <c r="A17" s="460" t="s">
        <v>373</v>
      </c>
      <c r="B17" s="499" t="str">
        <f t="shared" si="11"/>
        <v>RES_201403</v>
      </c>
      <c r="C17" s="499">
        <v>0</v>
      </c>
      <c r="D17" s="499">
        <v>0</v>
      </c>
      <c r="E17" s="499">
        <f t="shared" si="1"/>
        <v>1</v>
      </c>
      <c r="F17" s="499">
        <v>1</v>
      </c>
      <c r="G17" s="500" t="b">
        <v>1</v>
      </c>
      <c r="H17" s="710" t="str">
        <f t="shared" si="10"/>
        <v>Residential</v>
      </c>
      <c r="I17" s="559" t="s">
        <v>155</v>
      </c>
      <c r="J17" s="559" t="s">
        <v>431</v>
      </c>
      <c r="K17" s="559" t="s">
        <v>166</v>
      </c>
      <c r="L17" s="277">
        <v>2018</v>
      </c>
      <c r="M17" s="1745">
        <v>0</v>
      </c>
      <c r="N17" s="561">
        <v>0</v>
      </c>
      <c r="O17" s="561">
        <v>0</v>
      </c>
      <c r="P17" s="319" t="s">
        <v>1253</v>
      </c>
      <c r="Q17" s="562">
        <v>0</v>
      </c>
      <c r="R17" s="841">
        <f t="shared" si="2"/>
        <v>94.461612834876433</v>
      </c>
      <c r="S17" s="696" t="s">
        <v>710</v>
      </c>
      <c r="T17" s="1746">
        <f t="shared" si="6"/>
        <v>0</v>
      </c>
      <c r="U17" s="1747">
        <f t="shared" si="7"/>
        <v>0</v>
      </c>
      <c r="V17" s="832">
        <f t="shared" si="8"/>
        <v>0</v>
      </c>
    </row>
    <row r="18" spans="1:23" s="724" customFormat="1" ht="12.75" hidden="1" customHeight="1">
      <c r="A18" s="712" t="s">
        <v>97</v>
      </c>
      <c r="B18" s="713" t="str">
        <f t="shared" si="11"/>
        <v>RES_201403</v>
      </c>
      <c r="C18" s="713">
        <v>0</v>
      </c>
      <c r="D18" s="713">
        <v>0</v>
      </c>
      <c r="E18" s="713">
        <f t="shared" si="1"/>
        <v>1</v>
      </c>
      <c r="F18" s="713">
        <v>1</v>
      </c>
      <c r="G18" s="714" t="b">
        <v>1</v>
      </c>
      <c r="H18" s="2413" t="str">
        <f>IF(LEFT(A18,3)="Res","Residential",IF(LEFT(A18,3)="Ind","industrial",IF(LEFT(A18,3)="Com","Commercial",IF(LEFT(A18,3)="AGR","Agriculture",""))))</f>
        <v>Residential</v>
      </c>
      <c r="I18" s="2414" t="s">
        <v>155</v>
      </c>
      <c r="J18" s="2414" t="s">
        <v>157</v>
      </c>
      <c r="K18" s="2414" t="s">
        <v>1492</v>
      </c>
      <c r="L18" s="2415">
        <v>2020</v>
      </c>
      <c r="M18" s="2416">
        <v>0</v>
      </c>
      <c r="N18" s="2417">
        <v>0</v>
      </c>
      <c r="O18" s="2417">
        <v>0</v>
      </c>
      <c r="P18" s="2418" t="s">
        <v>1253</v>
      </c>
      <c r="Q18" s="2419">
        <v>0</v>
      </c>
      <c r="R18" s="2420">
        <f t="shared" ref="R18:R25" si="12">IF($S$2="7th PP",INDEX($M$40:$M$51,MATCH(K18,$O$40:$O$51,0)),IF($S$2="RTF",SUMIFS($J$139:$J$218,$L$139:$L$218,$A18),""))</f>
        <v>0</v>
      </c>
      <c r="S18" s="2520" t="str">
        <f>"Savings rate from: "&amp;$S$2</f>
        <v>Savings rate from: RTF</v>
      </c>
      <c r="T18" s="2421">
        <f>(M18-O18)*Q18*R18/8760000</f>
        <v>0</v>
      </c>
      <c r="U18" s="2422">
        <f t="shared" si="7"/>
        <v>0</v>
      </c>
      <c r="V18" s="2423">
        <f t="shared" si="8"/>
        <v>0</v>
      </c>
      <c r="W18" s="724">
        <v>0</v>
      </c>
    </row>
    <row r="19" spans="1:23" s="482" customFormat="1" ht="12.75" customHeight="1">
      <c r="A19" s="726" t="s">
        <v>98</v>
      </c>
      <c r="B19" s="499" t="str">
        <f t="shared" si="11"/>
        <v>RES_201403</v>
      </c>
      <c r="C19" s="499">
        <v>0</v>
      </c>
      <c r="D19" s="499">
        <v>0</v>
      </c>
      <c r="E19" s="499">
        <f t="shared" si="1"/>
        <v>1</v>
      </c>
      <c r="F19" s="499">
        <v>1</v>
      </c>
      <c r="G19" s="500" t="b">
        <v>1</v>
      </c>
      <c r="H19" s="606" t="str">
        <f t="shared" ref="H19:H23" si="13">IF(LEFT(A19,3)="Res","Residential",IF(LEFT(A19,3)="Ind","industrial",IF(LEFT(A19,3)="Com","Commercial",IF(LEFT(A19,3)="AGR","Agriculture",""))))</f>
        <v>Residential</v>
      </c>
      <c r="I19" s="607" t="s">
        <v>155</v>
      </c>
      <c r="J19" s="607" t="s">
        <v>157</v>
      </c>
      <c r="K19" s="607" t="s">
        <v>1493</v>
      </c>
      <c r="L19" s="152">
        <v>2020</v>
      </c>
      <c r="M19" s="2514">
        <v>1825.88343267</v>
      </c>
      <c r="N19" s="2398">
        <v>0</v>
      </c>
      <c r="O19" s="2398">
        <v>0</v>
      </c>
      <c r="P19" s="605" t="s">
        <v>1253</v>
      </c>
      <c r="Q19" s="2399">
        <v>0.13985600000000001</v>
      </c>
      <c r="R19" s="2524">
        <f t="shared" si="12"/>
        <v>135.36177864225328</v>
      </c>
      <c r="S19" s="2521" t="str">
        <f t="shared" ref="S19:S27" si="14">"Savings rate from: "&amp;$S$2</f>
        <v>Savings rate from: RTF</v>
      </c>
      <c r="T19" s="2400">
        <f>(M19-O19)*Q19*R19/8760000</f>
        <v>3.9459002020738659E-3</v>
      </c>
      <c r="U19" s="2401">
        <f t="shared" si="7"/>
        <v>0</v>
      </c>
      <c r="V19" s="2403">
        <f t="shared" si="8"/>
        <v>3.9459002020738659E-3</v>
      </c>
    </row>
    <row r="20" spans="1:23" s="482" customFormat="1" ht="12.75" customHeight="1">
      <c r="A20" s="726" t="s">
        <v>99</v>
      </c>
      <c r="B20" s="499" t="str">
        <f t="shared" si="11"/>
        <v>RES_201403</v>
      </c>
      <c r="C20" s="499">
        <v>0</v>
      </c>
      <c r="D20" s="499">
        <v>0</v>
      </c>
      <c r="E20" s="499">
        <f t="shared" si="1"/>
        <v>1</v>
      </c>
      <c r="F20" s="499">
        <v>1</v>
      </c>
      <c r="G20" s="500" t="b">
        <v>1</v>
      </c>
      <c r="H20" s="606" t="str">
        <f t="shared" si="13"/>
        <v>Residential</v>
      </c>
      <c r="I20" s="607" t="s">
        <v>155</v>
      </c>
      <c r="J20" s="607" t="s">
        <v>157</v>
      </c>
      <c r="K20" s="607" t="s">
        <v>2332</v>
      </c>
      <c r="L20" s="152">
        <v>2020</v>
      </c>
      <c r="M20" s="2669">
        <v>80893.280349024004</v>
      </c>
      <c r="N20" s="2398">
        <v>12000</v>
      </c>
      <c r="O20" s="2398">
        <v>0</v>
      </c>
      <c r="P20" s="605" t="str">
        <f>IF($S$2="RTF", "RTF current practice, incorporated in the Savings Rate",IF($S$2="7th PP","7th PP assumes 0% baseline saturation. However, the recent standard is incorporated in the baseline unit energy consumption.",""))</f>
        <v>RTF current practice, incorporated in the Savings Rate</v>
      </c>
      <c r="Q20" s="2399">
        <v>0.13985600000000001</v>
      </c>
      <c r="R20" s="2524">
        <f>IF($S$2="7th PP",INDEX($M$40:$M$51,MATCH(K20,$O$40:$O$51,0)),IF($S$2="RTF",SUMIFS($J$139:$J$218,$L$139:$L$218,$A20),""))</f>
        <v>152.12586663317194</v>
      </c>
      <c r="S20" s="2521" t="str">
        <f t="shared" si="14"/>
        <v>Savings rate from: RTF</v>
      </c>
      <c r="T20" s="2400">
        <f t="shared" ref="T20:T29" si="15">(M20-O20)*Q20*R20/8760000</f>
        <v>0.19646830988709374</v>
      </c>
      <c r="U20" s="2401">
        <f t="shared" si="7"/>
        <v>2.9144815347738218E-2</v>
      </c>
      <c r="V20" s="2403">
        <f>T20-U20</f>
        <v>0.16732349453935552</v>
      </c>
    </row>
    <row r="21" spans="1:23" s="482" customFormat="1" ht="12.75" hidden="1" customHeight="1">
      <c r="A21" s="726" t="s">
        <v>97</v>
      </c>
      <c r="B21" s="499" t="str">
        <f t="shared" si="11"/>
        <v>RES_201403</v>
      </c>
      <c r="C21" s="499">
        <v>0</v>
      </c>
      <c r="D21" s="499">
        <v>0</v>
      </c>
      <c r="E21" s="499">
        <f t="shared" si="1"/>
        <v>1</v>
      </c>
      <c r="F21" s="499">
        <v>1</v>
      </c>
      <c r="G21" s="500" t="b">
        <v>1</v>
      </c>
      <c r="H21" s="606" t="str">
        <f t="shared" si="13"/>
        <v>Residential</v>
      </c>
      <c r="I21" s="607" t="s">
        <v>155</v>
      </c>
      <c r="J21" s="607" t="s">
        <v>157</v>
      </c>
      <c r="K21" s="607" t="s">
        <v>1492</v>
      </c>
      <c r="L21" s="152">
        <v>2021</v>
      </c>
      <c r="M21" s="2402">
        <v>0</v>
      </c>
      <c r="N21" s="2398">
        <v>0</v>
      </c>
      <c r="O21" s="2398">
        <v>0</v>
      </c>
      <c r="P21" s="605" t="s">
        <v>1253</v>
      </c>
      <c r="Q21" s="2399">
        <v>0</v>
      </c>
      <c r="R21" s="611">
        <f t="shared" si="12"/>
        <v>0</v>
      </c>
      <c r="S21" s="2521" t="str">
        <f t="shared" si="14"/>
        <v>Savings rate from: RTF</v>
      </c>
      <c r="T21" s="2400">
        <f t="shared" si="15"/>
        <v>0</v>
      </c>
      <c r="U21" s="2401">
        <f t="shared" si="7"/>
        <v>0</v>
      </c>
      <c r="V21" s="2403">
        <f>T21-U21</f>
        <v>0</v>
      </c>
      <c r="W21" s="482">
        <v>0</v>
      </c>
    </row>
    <row r="22" spans="1:23" s="482" customFormat="1" ht="12.75" customHeight="1">
      <c r="A22" s="726" t="s">
        <v>98</v>
      </c>
      <c r="B22" s="499" t="str">
        <f t="shared" si="11"/>
        <v>RES_201403</v>
      </c>
      <c r="C22" s="499">
        <v>0</v>
      </c>
      <c r="D22" s="499">
        <v>0</v>
      </c>
      <c r="E22" s="499">
        <f t="shared" si="1"/>
        <v>1</v>
      </c>
      <c r="F22" s="499">
        <v>1</v>
      </c>
      <c r="G22" s="500" t="b">
        <v>1</v>
      </c>
      <c r="H22" s="606" t="str">
        <f t="shared" si="13"/>
        <v>Residential</v>
      </c>
      <c r="I22" s="607" t="s">
        <v>155</v>
      </c>
      <c r="J22" s="607" t="s">
        <v>157</v>
      </c>
      <c r="K22" s="607" t="s">
        <v>1493</v>
      </c>
      <c r="L22" s="152">
        <v>2021</v>
      </c>
      <c r="M22" s="2514">
        <v>359.56804181000001</v>
      </c>
      <c r="N22" s="2398">
        <v>0</v>
      </c>
      <c r="O22" s="2398">
        <v>0</v>
      </c>
      <c r="P22" s="605" t="s">
        <v>1253</v>
      </c>
      <c r="Q22" s="2399">
        <v>0.13985600000000001</v>
      </c>
      <c r="R22" s="2524">
        <f t="shared" si="12"/>
        <v>135.36177864225328</v>
      </c>
      <c r="S22" s="2521" t="str">
        <f t="shared" si="14"/>
        <v>Savings rate from: RTF</v>
      </c>
      <c r="T22" s="2400">
        <f t="shared" si="15"/>
        <v>7.770592489371764E-4</v>
      </c>
      <c r="U22" s="2401">
        <f t="shared" si="7"/>
        <v>0</v>
      </c>
      <c r="V22" s="2403">
        <f t="shared" ref="V22:V29" si="16">T22-U22</f>
        <v>7.770592489371764E-4</v>
      </c>
    </row>
    <row r="23" spans="1:23" s="482" customFormat="1" ht="12.75" customHeight="1">
      <c r="A23" s="726" t="s">
        <v>99</v>
      </c>
      <c r="B23" s="499" t="str">
        <f t="shared" si="11"/>
        <v>RES_201403</v>
      </c>
      <c r="C23" s="499">
        <v>0</v>
      </c>
      <c r="D23" s="499">
        <v>0</v>
      </c>
      <c r="E23" s="499">
        <f t="shared" si="1"/>
        <v>1</v>
      </c>
      <c r="F23" s="499">
        <v>1</v>
      </c>
      <c r="G23" s="500" t="b">
        <v>1</v>
      </c>
      <c r="H23" s="606" t="str">
        <f t="shared" si="13"/>
        <v>Residential</v>
      </c>
      <c r="I23" s="607" t="s">
        <v>155</v>
      </c>
      <c r="J23" s="607" t="s">
        <v>157</v>
      </c>
      <c r="K23" s="607" t="s">
        <v>2332</v>
      </c>
      <c r="L23" s="152">
        <v>2021</v>
      </c>
      <c r="M23" s="2669">
        <v>82066.332661712004</v>
      </c>
      <c r="N23" s="2398">
        <v>0</v>
      </c>
      <c r="O23" s="2398">
        <v>0</v>
      </c>
      <c r="P23" s="605" t="str">
        <f>IF($S$2="RTF", "RTF current practice, incorporated in the Savings Rate",IF($S$2="7th PP","7th PP assumes 0% baseline saturation. However, the recent standard is incorporated in the baseline unit energy consumption.",""))</f>
        <v>RTF current practice, incorporated in the Savings Rate</v>
      </c>
      <c r="Q23" s="2399">
        <v>0.13985600000000001</v>
      </c>
      <c r="R23" s="2524">
        <f t="shared" si="12"/>
        <v>152.12586663317194</v>
      </c>
      <c r="S23" s="2521" t="str">
        <f t="shared" si="14"/>
        <v>Savings rate from: RTF</v>
      </c>
      <c r="T23" s="2400">
        <f t="shared" si="15"/>
        <v>0.19931734264097115</v>
      </c>
      <c r="U23" s="2401">
        <f t="shared" ref="U23:U29" si="17">IFERROR((N23-O23/M23*N23)*Q23*R23/8760/1000,0)</f>
        <v>0</v>
      </c>
      <c r="V23" s="2403">
        <f t="shared" si="16"/>
        <v>0.19931734264097115</v>
      </c>
    </row>
    <row r="24" spans="1:23" s="482" customFormat="1" ht="12.75" customHeight="1">
      <c r="A24" s="726" t="s">
        <v>371</v>
      </c>
      <c r="B24" s="499" t="str">
        <f t="shared" si="11"/>
        <v>RES_201403</v>
      </c>
      <c r="C24" s="499">
        <v>0</v>
      </c>
      <c r="D24" s="499">
        <v>0</v>
      </c>
      <c r="E24" s="499">
        <f t="shared" si="1"/>
        <v>1</v>
      </c>
      <c r="F24" s="499">
        <v>1</v>
      </c>
      <c r="G24" s="500" t="b">
        <v>1</v>
      </c>
      <c r="H24" s="606" t="str">
        <f>IF(LEFT(A24,3)="Res","Residential",IF(LEFT(A24,3)="Ind","industrial",IF(LEFT(A24,3)="Com","Commercial",IF(LEFT(A24,3)="AGR","Agriculture",""))))</f>
        <v>Residential</v>
      </c>
      <c r="I24" s="607" t="s">
        <v>155</v>
      </c>
      <c r="J24" s="607" t="s">
        <v>431</v>
      </c>
      <c r="K24" s="607" t="s">
        <v>1492</v>
      </c>
      <c r="L24" s="152">
        <v>2020</v>
      </c>
      <c r="M24" s="2402">
        <v>117579.42426011999</v>
      </c>
      <c r="N24" s="2398">
        <v>12477.00477394</v>
      </c>
      <c r="O24" s="2398">
        <v>0</v>
      </c>
      <c r="P24" s="605" t="str">
        <f>IF($S$2="RTF", "RTF current practice, incorporated in the Savings Rate",IF($S$2="7th PP","7th PP assumes 0% baseline saturation. However, the recent standard is incorporated in the baseline unit energy consumption.",""))</f>
        <v>RTF current practice, incorporated in the Savings Rate</v>
      </c>
      <c r="Q24" s="2399">
        <v>0.13985600000000001</v>
      </c>
      <c r="R24" s="2524">
        <f t="shared" si="12"/>
        <v>26.087175854208262</v>
      </c>
      <c r="S24" s="2521" t="str">
        <f t="shared" si="14"/>
        <v>Savings rate from: RTF</v>
      </c>
      <c r="T24" s="2400">
        <f t="shared" si="15"/>
        <v>4.89705962413838E-2</v>
      </c>
      <c r="U24" s="2401">
        <f t="shared" si="17"/>
        <v>5.1965415456934842E-3</v>
      </c>
      <c r="V24" s="2403">
        <f t="shared" si="16"/>
        <v>4.3774054695690318E-2</v>
      </c>
    </row>
    <row r="25" spans="1:23" s="482" customFormat="1" ht="12.75" customHeight="1">
      <c r="A25" s="726" t="s">
        <v>372</v>
      </c>
      <c r="B25" s="499" t="str">
        <f t="shared" si="11"/>
        <v>RES_201403</v>
      </c>
      <c r="C25" s="499">
        <v>0</v>
      </c>
      <c r="D25" s="499">
        <v>0</v>
      </c>
      <c r="E25" s="499">
        <f t="shared" si="1"/>
        <v>1</v>
      </c>
      <c r="F25" s="499">
        <v>1</v>
      </c>
      <c r="G25" s="500" t="b">
        <v>1</v>
      </c>
      <c r="H25" s="606" t="str">
        <f t="shared" ref="H25:H29" si="18">IF(LEFT(A25,3)="Res","Residential",IF(LEFT(A25,3)="Ind","industrial",IF(LEFT(A25,3)="Com","Commercial",IF(LEFT(A25,3)="AGR","Agriculture",""))))</f>
        <v>Residential</v>
      </c>
      <c r="I25" s="607" t="s">
        <v>155</v>
      </c>
      <c r="J25" s="607" t="s">
        <v>431</v>
      </c>
      <c r="K25" s="607" t="s">
        <v>1493</v>
      </c>
      <c r="L25" s="152">
        <v>2020</v>
      </c>
      <c r="M25" s="2402">
        <v>1437.49573988</v>
      </c>
      <c r="N25" s="2398">
        <v>332.70210356000001</v>
      </c>
      <c r="O25" s="2398">
        <v>0</v>
      </c>
      <c r="P25" s="605" t="str">
        <f>IF($S$2="RTF", "RTF current practice, incorporated in the Savings Rate",IF($S$2="7th PP","7th PP assumes 0% baseline saturation. However, the recent standard is incorporated in the baseline unit energy consumption.",""))</f>
        <v>RTF current practice, incorporated in the Savings Rate</v>
      </c>
      <c r="Q25" s="2399">
        <v>0.13985600000000001</v>
      </c>
      <c r="R25" s="2524">
        <f t="shared" si="12"/>
        <v>118.92522564123846</v>
      </c>
      <c r="S25" s="2521" t="str">
        <f t="shared" si="14"/>
        <v>Savings rate from: RTF</v>
      </c>
      <c r="T25" s="2400">
        <f t="shared" si="15"/>
        <v>2.7293394158155859E-3</v>
      </c>
      <c r="U25" s="2401">
        <f t="shared" si="17"/>
        <v>6.316936737822056E-4</v>
      </c>
      <c r="V25" s="2403">
        <f t="shared" si="16"/>
        <v>2.0976457420333805E-3</v>
      </c>
    </row>
    <row r="26" spans="1:23" s="482" customFormat="1" ht="12.75" hidden="1" customHeight="1">
      <c r="A26" s="726" t="s">
        <v>373</v>
      </c>
      <c r="B26" s="499" t="str">
        <f t="shared" si="11"/>
        <v>RES_201403</v>
      </c>
      <c r="C26" s="499">
        <v>0</v>
      </c>
      <c r="D26" s="499">
        <v>0</v>
      </c>
      <c r="E26" s="499">
        <f t="shared" si="1"/>
        <v>1</v>
      </c>
      <c r="F26" s="499">
        <v>1</v>
      </c>
      <c r="G26" s="500" t="b">
        <v>1</v>
      </c>
      <c r="H26" s="606" t="str">
        <f t="shared" si="18"/>
        <v>Residential</v>
      </c>
      <c r="I26" s="607" t="s">
        <v>155</v>
      </c>
      <c r="J26" s="607" t="s">
        <v>431</v>
      </c>
      <c r="K26" s="607" t="s">
        <v>166</v>
      </c>
      <c r="L26" s="152">
        <v>2020</v>
      </c>
      <c r="M26" s="2402">
        <v>0</v>
      </c>
      <c r="N26" s="2398">
        <v>0</v>
      </c>
      <c r="O26" s="2398">
        <v>0</v>
      </c>
      <c r="P26" s="605" t="s">
        <v>1253</v>
      </c>
      <c r="Q26" s="2399">
        <v>0</v>
      </c>
      <c r="R26" s="611">
        <f>R25</f>
        <v>118.92522564123846</v>
      </c>
      <c r="S26" s="2521" t="str">
        <f t="shared" si="14"/>
        <v>Savings rate from: RTF</v>
      </c>
      <c r="T26" s="2400">
        <f t="shared" si="15"/>
        <v>0</v>
      </c>
      <c r="U26" s="2401">
        <f t="shared" si="17"/>
        <v>0</v>
      </c>
      <c r="V26" s="2403">
        <f t="shared" si="16"/>
        <v>0</v>
      </c>
      <c r="W26" s="482">
        <v>0</v>
      </c>
    </row>
    <row r="27" spans="1:23" s="482" customFormat="1" ht="12.75" customHeight="1">
      <c r="A27" s="726" t="s">
        <v>371</v>
      </c>
      <c r="B27" s="499" t="str">
        <f t="shared" si="11"/>
        <v>RES_201403</v>
      </c>
      <c r="C27" s="499">
        <v>0</v>
      </c>
      <c r="D27" s="499">
        <v>0</v>
      </c>
      <c r="E27" s="499">
        <f t="shared" si="1"/>
        <v>1</v>
      </c>
      <c r="F27" s="499">
        <v>1</v>
      </c>
      <c r="G27" s="500" t="b">
        <v>1</v>
      </c>
      <c r="H27" s="606" t="str">
        <f t="shared" si="18"/>
        <v>Residential</v>
      </c>
      <c r="I27" s="607" t="s">
        <v>155</v>
      </c>
      <c r="J27" s="607" t="s">
        <v>431</v>
      </c>
      <c r="K27" s="607" t="s">
        <v>1492</v>
      </c>
      <c r="L27" s="152">
        <v>2021</v>
      </c>
      <c r="M27" s="2402">
        <v>123100.77313104999</v>
      </c>
      <c r="N27" s="2398">
        <v>18749.725119760002</v>
      </c>
      <c r="O27" s="2398">
        <v>0</v>
      </c>
      <c r="P27" s="605" t="str">
        <f>IF($S$2="RTF", "RTF current practice, incorporated in the Savings Rate",IF($S$2="7th PP","7th PP assumes 0% baseline saturation. However, the recent standard is incorporated in the baseline unit energy consumption.",""))</f>
        <v>RTF current practice, incorporated in the Savings Rate</v>
      </c>
      <c r="Q27" s="2399">
        <v>0.13985600000000001</v>
      </c>
      <c r="R27" s="2524">
        <f>IF($S$2="7th PP",INDEX($M$40:$M$51,MATCH(K27,$O$40:$O$51,0)),IF($S$2="RTF",SUMIFS($J$139:$J$218,$L$139:$L$218,$A27),""))</f>
        <v>26.087175854208262</v>
      </c>
      <c r="S27" s="2521" t="str">
        <f t="shared" si="14"/>
        <v>Savings rate from: RTF</v>
      </c>
      <c r="T27" s="2400">
        <f t="shared" si="15"/>
        <v>5.1270180101124149E-2</v>
      </c>
      <c r="U27" s="2401">
        <f t="shared" si="17"/>
        <v>7.8090637392934075E-3</v>
      </c>
      <c r="V27" s="2403">
        <f t="shared" si="16"/>
        <v>4.346111636183074E-2</v>
      </c>
    </row>
    <row r="28" spans="1:23" s="482" customFormat="1" ht="12.75" customHeight="1">
      <c r="A28" s="726" t="s">
        <v>372</v>
      </c>
      <c r="B28" s="499" t="str">
        <f t="shared" ref="B28:B29" si="19">LEFT(A28,10)</f>
        <v>RES_201403</v>
      </c>
      <c r="C28" s="499">
        <v>0</v>
      </c>
      <c r="D28" s="499">
        <v>0</v>
      </c>
      <c r="E28" s="499">
        <f t="shared" si="1"/>
        <v>1</v>
      </c>
      <c r="F28" s="499">
        <v>1</v>
      </c>
      <c r="G28" s="500" t="b">
        <v>1</v>
      </c>
      <c r="H28" s="606" t="str">
        <f t="shared" si="18"/>
        <v>Residential</v>
      </c>
      <c r="I28" s="607" t="s">
        <v>155</v>
      </c>
      <c r="J28" s="607" t="s">
        <v>431</v>
      </c>
      <c r="K28" s="607" t="s">
        <v>1493</v>
      </c>
      <c r="L28" s="152">
        <v>2021</v>
      </c>
      <c r="M28" s="2402">
        <v>1544.8025921599999</v>
      </c>
      <c r="N28" s="2398">
        <v>281.32075773999998</v>
      </c>
      <c r="O28" s="2398">
        <v>0</v>
      </c>
      <c r="P28" s="605" t="str">
        <f>IF($S$2="RTF", "RTF current practice, incorporated in the Savings Rate",IF($S$2="7th PP","7th PP assumes 0% baseline saturation. However, the recent standard is incorporated in the baseline unit energy consumption.",""))</f>
        <v>RTF current practice, incorporated in the Savings Rate</v>
      </c>
      <c r="Q28" s="2399">
        <v>0.13985600000000001</v>
      </c>
      <c r="R28" s="2524">
        <f>IF($S$2="7th PP",INDEX($M$40:$M$51,MATCH(K28,$O$40:$O$51,0)),IF($S$2="RTF",SUMIFS($J$139:$J$218,$L$139:$L$218,$A28),""))</f>
        <v>118.92522564123846</v>
      </c>
      <c r="S28" s="2521" t="str">
        <f>"Savings rate from: "&amp;$S$2</f>
        <v>Savings rate from: RTF</v>
      </c>
      <c r="T28" s="2400">
        <f t="shared" si="15"/>
        <v>2.933080417190208E-3</v>
      </c>
      <c r="U28" s="2401">
        <f t="shared" si="17"/>
        <v>5.3413711866094702E-4</v>
      </c>
      <c r="V28" s="2403">
        <f t="shared" si="16"/>
        <v>2.3989432985292609E-3</v>
      </c>
    </row>
    <row r="29" spans="1:23" s="496" customFormat="1" ht="12.75" customHeight="1" thickBot="1">
      <c r="A29" s="730" t="s">
        <v>373</v>
      </c>
      <c r="B29" s="731" t="str">
        <f t="shared" si="19"/>
        <v>RES_201403</v>
      </c>
      <c r="C29" s="731">
        <v>0</v>
      </c>
      <c r="D29" s="731">
        <v>0</v>
      </c>
      <c r="E29" s="731">
        <f t="shared" si="1"/>
        <v>1</v>
      </c>
      <c r="F29" s="731">
        <v>1</v>
      </c>
      <c r="G29" s="732" t="b">
        <v>1</v>
      </c>
      <c r="H29" s="2404" t="str">
        <f t="shared" si="18"/>
        <v>Residential</v>
      </c>
      <c r="I29" s="2424" t="s">
        <v>155</v>
      </c>
      <c r="J29" s="2424" t="s">
        <v>431</v>
      </c>
      <c r="K29" s="2424" t="s">
        <v>166</v>
      </c>
      <c r="L29" s="2405">
        <v>2021</v>
      </c>
      <c r="M29" s="2406">
        <v>592.68327679000004</v>
      </c>
      <c r="N29" s="2407">
        <v>0</v>
      </c>
      <c r="O29" s="2407">
        <v>0</v>
      </c>
      <c r="P29" s="2408" t="str">
        <f>IF($S$2="RTF", "RTF current practice, incorporated in the Savings Rate",IF($S$2="7th PP","7th PP assumes 0% baseline saturation. However, the recent standard is incorporated in the baseline unit energy consumption.",""))</f>
        <v>RTF current practice, incorporated in the Savings Rate</v>
      </c>
      <c r="Q29" s="2409">
        <v>0.13985600000000001</v>
      </c>
      <c r="R29" s="2525">
        <f>R28</f>
        <v>118.92522564123846</v>
      </c>
      <c r="S29" s="2522" t="str">
        <f>"Savings rate from: "&amp;$S$2&amp;" (assumes it matches lower teir)"</f>
        <v>Savings rate from: RTF (assumes it matches lower teir)</v>
      </c>
      <c r="T29" s="2410">
        <f t="shared" si="15"/>
        <v>1.1253138242849497E-3</v>
      </c>
      <c r="U29" s="2411">
        <f t="shared" si="17"/>
        <v>0</v>
      </c>
      <c r="V29" s="2412">
        <f t="shared" si="16"/>
        <v>1.1253138242849497E-3</v>
      </c>
    </row>
    <row r="30" spans="1:23" ht="12.75" customHeight="1">
      <c r="F30" s="499"/>
      <c r="H30" s="940"/>
      <c r="I30" s="940"/>
      <c r="J30" s="940"/>
      <c r="K30" s="940"/>
      <c r="L30" s="96"/>
    </row>
    <row r="31" spans="1:23" ht="12.75" customHeight="1">
      <c r="F31" s="499"/>
      <c r="H31" s="1393" t="s">
        <v>1355</v>
      </c>
      <c r="I31" s="940"/>
      <c r="J31" s="940"/>
      <c r="K31" s="940"/>
      <c r="L31" s="96"/>
    </row>
    <row r="32" spans="1:23" ht="9.75" customHeight="1">
      <c r="F32" s="499"/>
      <c r="H32" s="3039" t="s">
        <v>2261</v>
      </c>
      <c r="I32" s="3040"/>
      <c r="J32" s="3040"/>
      <c r="K32" s="3040"/>
      <c r="L32" s="3041"/>
    </row>
    <row r="33" spans="1:22" ht="50.25" customHeight="1">
      <c r="F33" s="499"/>
      <c r="H33" s="3042"/>
      <c r="I33" s="3043"/>
      <c r="J33" s="3043"/>
      <c r="K33" s="3043"/>
      <c r="L33" s="3044"/>
    </row>
    <row r="34" spans="1:22" ht="63.75" customHeight="1">
      <c r="F34" s="499"/>
      <c r="H34" s="3045"/>
      <c r="I34" s="3046"/>
      <c r="J34" s="3046"/>
      <c r="K34" s="3046"/>
      <c r="L34" s="3047"/>
    </row>
    <row r="35" spans="1:22" ht="12.75" customHeight="1">
      <c r="F35" s="499"/>
      <c r="H35" s="940"/>
      <c r="I35" s="940"/>
      <c r="J35" s="940"/>
      <c r="K35" s="940"/>
      <c r="L35" s="96"/>
    </row>
    <row r="36" spans="1:22" s="458" customFormat="1" ht="20.25" customHeight="1">
      <c r="A36" s="460"/>
      <c r="B36" s="460"/>
      <c r="C36" s="461"/>
      <c r="D36" s="461"/>
      <c r="E36" s="461"/>
      <c r="F36" s="499"/>
      <c r="G36" s="460"/>
      <c r="H36" s="891" t="s">
        <v>242</v>
      </c>
    </row>
    <row r="37" spans="1:22" s="458" customFormat="1" ht="21" hidden="1" customHeight="1">
      <c r="A37" s="460"/>
      <c r="B37" s="460"/>
      <c r="C37" s="461"/>
      <c r="D37" s="461"/>
      <c r="E37" s="461"/>
      <c r="F37" s="499"/>
      <c r="G37" s="460"/>
      <c r="H37" s="1926" t="s">
        <v>2219</v>
      </c>
    </row>
    <row r="38" spans="1:22" ht="12.75" hidden="1" customHeight="1">
      <c r="H38" s="1408" t="s">
        <v>337</v>
      </c>
      <c r="P38" s="462"/>
      <c r="U38" s="464"/>
      <c r="V38" s="462"/>
    </row>
    <row r="39" spans="1:22" s="931" customFormat="1" ht="55.2" hidden="1">
      <c r="A39" s="928"/>
      <c r="B39" s="928"/>
      <c r="C39" s="929"/>
      <c r="D39" s="929"/>
      <c r="E39" s="929"/>
      <c r="F39" s="929"/>
      <c r="G39" s="928"/>
      <c r="H39" s="1750" t="s">
        <v>7</v>
      </c>
      <c r="I39" s="1750"/>
      <c r="J39" s="1750" t="s">
        <v>299</v>
      </c>
      <c r="K39" s="1750" t="s">
        <v>297</v>
      </c>
      <c r="L39" s="1750" t="s">
        <v>401</v>
      </c>
      <c r="M39" s="1750" t="s">
        <v>402</v>
      </c>
      <c r="N39" s="1750" t="s">
        <v>403</v>
      </c>
      <c r="O39" s="1395"/>
      <c r="U39" s="1078"/>
    </row>
    <row r="40" spans="1:22" ht="12.75" hidden="1" customHeight="1">
      <c r="H40" s="1790" t="s">
        <v>381</v>
      </c>
      <c r="I40" s="1751"/>
      <c r="J40" s="1791">
        <v>15.257895698369602</v>
      </c>
      <c r="K40" s="1792">
        <f>I58</f>
        <v>0.79280955561532662</v>
      </c>
      <c r="L40" s="1791"/>
      <c r="M40" s="1791"/>
      <c r="N40" s="1791"/>
      <c r="P40" s="462"/>
      <c r="U40" s="464"/>
      <c r="V40" s="462"/>
    </row>
    <row r="41" spans="1:22" ht="12.75" hidden="1" customHeight="1">
      <c r="H41" s="1790" t="s">
        <v>382</v>
      </c>
      <c r="I41" s="1751"/>
      <c r="J41" s="1791">
        <v>15.202058162525336</v>
      </c>
      <c r="K41" s="1792">
        <f>J58</f>
        <v>8.1974433230411856E-2</v>
      </c>
      <c r="L41" s="1791"/>
      <c r="M41" s="1791"/>
      <c r="N41" s="1791"/>
      <c r="P41" s="462"/>
      <c r="U41" s="464"/>
      <c r="V41" s="462"/>
    </row>
    <row r="42" spans="1:22" ht="12.75" hidden="1" customHeight="1">
      <c r="H42" s="1790" t="s">
        <v>383</v>
      </c>
      <c r="I42" s="1751"/>
      <c r="J42" s="1791">
        <v>15.207072877128866</v>
      </c>
      <c r="K42" s="1792">
        <f>L58</f>
        <v>0.10659811625425848</v>
      </c>
      <c r="L42" s="1791"/>
      <c r="M42" s="1791"/>
      <c r="N42" s="1791"/>
      <c r="P42" s="462"/>
      <c r="U42" s="464"/>
      <c r="V42" s="462"/>
    </row>
    <row r="43" spans="1:22" ht="12.75" hidden="1" customHeight="1">
      <c r="H43" s="1790" t="s">
        <v>384</v>
      </c>
      <c r="I43" s="1751"/>
      <c r="J43" s="1791">
        <v>15.202058162525336</v>
      </c>
      <c r="K43" s="1792">
        <f>K58</f>
        <v>1.8617894900003151E-2</v>
      </c>
      <c r="L43" s="1791">
        <f>SUMPRODUCT(J40:J43,K40:K43)</f>
        <v>15.246861253634973</v>
      </c>
      <c r="M43" s="1791">
        <f>L43+L47+L51</f>
        <v>94.461612834876433</v>
      </c>
      <c r="N43" s="1791" t="s">
        <v>166</v>
      </c>
      <c r="O43" s="463" t="s">
        <v>2332</v>
      </c>
      <c r="P43" s="462"/>
      <c r="U43" s="464"/>
      <c r="V43" s="462"/>
    </row>
    <row r="44" spans="1:22" ht="12" hidden="1" customHeight="1">
      <c r="H44" s="1793" t="s">
        <v>391</v>
      </c>
      <c r="I44" s="1752"/>
      <c r="J44" s="1794">
        <v>29.516183728361376</v>
      </c>
      <c r="K44" s="1795">
        <f>I58</f>
        <v>0.79280955561532662</v>
      </c>
      <c r="L44" s="1794"/>
      <c r="M44" s="1794"/>
      <c r="N44" s="1794"/>
      <c r="P44" s="462"/>
      <c r="U44" s="464"/>
      <c r="V44" s="462"/>
    </row>
    <row r="45" spans="1:22" ht="12.75" hidden="1" customHeight="1">
      <c r="H45" s="1793" t="s">
        <v>385</v>
      </c>
      <c r="I45" s="1752"/>
      <c r="J45" s="1794">
        <v>29.246851800257712</v>
      </c>
      <c r="K45" s="1795">
        <f>L58</f>
        <v>0.10659811625425848</v>
      </c>
      <c r="L45" s="1794"/>
      <c r="M45" s="1794"/>
      <c r="N45" s="1794"/>
      <c r="P45" s="462"/>
      <c r="U45" s="464"/>
      <c r="V45" s="462"/>
    </row>
    <row r="46" spans="1:22" ht="12.75" hidden="1" customHeight="1">
      <c r="H46" s="1793" t="s">
        <v>386</v>
      </c>
      <c r="I46" s="1752"/>
      <c r="J46" s="1794">
        <v>29.220936036246719</v>
      </c>
      <c r="K46" s="1795">
        <f>J58</f>
        <v>8.1974433230411856E-2</v>
      </c>
      <c r="L46" s="1794"/>
      <c r="M46" s="1794"/>
      <c r="N46" s="1794"/>
      <c r="P46" s="462"/>
      <c r="U46" s="464"/>
      <c r="V46" s="462"/>
    </row>
    <row r="47" spans="1:22" ht="12.75" hidden="1" customHeight="1">
      <c r="H47" s="1793" t="s">
        <v>387</v>
      </c>
      <c r="I47" s="1752"/>
      <c r="J47" s="1794">
        <v>29.220936036246719</v>
      </c>
      <c r="K47" s="1795">
        <f>K58</f>
        <v>1.8617894900003151E-2</v>
      </c>
      <c r="L47" s="1794">
        <f>SUMPRODUCT(J44:J47,K44:K47)</f>
        <v>29.457773799453459</v>
      </c>
      <c r="M47" s="1794">
        <f>L47+L51</f>
        <v>79.214751581241472</v>
      </c>
      <c r="N47" s="1794" t="s">
        <v>165</v>
      </c>
      <c r="O47" s="463" t="s">
        <v>1493</v>
      </c>
      <c r="P47" s="462"/>
      <c r="U47" s="464"/>
      <c r="V47" s="462"/>
    </row>
    <row r="48" spans="1:22" ht="12.75" hidden="1" customHeight="1">
      <c r="H48" s="1796" t="s">
        <v>388</v>
      </c>
      <c r="I48" s="1753"/>
      <c r="J48" s="1797">
        <v>49.35336595458935</v>
      </c>
      <c r="K48" s="1798">
        <f>L58</f>
        <v>0.10659811625425848</v>
      </c>
      <c r="L48" s="1797"/>
      <c r="M48" s="1797"/>
      <c r="N48" s="1797"/>
      <c r="P48" s="462"/>
      <c r="U48" s="464"/>
      <c r="V48" s="462"/>
    </row>
    <row r="49" spans="8:22" ht="12.75" hidden="1" customHeight="1">
      <c r="H49" s="1796" t="s">
        <v>389</v>
      </c>
      <c r="I49" s="1753"/>
      <c r="J49" s="1797">
        <v>49.30393553093645</v>
      </c>
      <c r="K49" s="1798">
        <f>J58</f>
        <v>8.1974433230411856E-2</v>
      </c>
      <c r="L49" s="1797"/>
      <c r="M49" s="1797"/>
      <c r="N49" s="1797"/>
      <c r="P49" s="462"/>
      <c r="U49" s="464"/>
      <c r="V49" s="462"/>
    </row>
    <row r="50" spans="8:22" ht="12.75" hidden="1" customHeight="1">
      <c r="H50" s="1796" t="s">
        <v>390</v>
      </c>
      <c r="I50" s="1753"/>
      <c r="J50" s="1797">
        <v>49.30393553093645</v>
      </c>
      <c r="K50" s="1798">
        <f>K58</f>
        <v>1.8617894900003151E-2</v>
      </c>
      <c r="L50" s="1797"/>
      <c r="M50" s="1797"/>
      <c r="N50" s="1797"/>
      <c r="P50" s="462"/>
      <c r="U50" s="464"/>
      <c r="V50" s="462"/>
    </row>
    <row r="51" spans="8:22" ht="12.75" hidden="1" customHeight="1">
      <c r="H51" s="1796" t="s">
        <v>392</v>
      </c>
      <c r="I51" s="1753"/>
      <c r="J51" s="1797">
        <v>49.86872824519299</v>
      </c>
      <c r="K51" s="1798">
        <f>I58</f>
        <v>0.79280955561532662</v>
      </c>
      <c r="L51" s="1797">
        <f>SUMPRODUCT(J48:J51,K48:K51)</f>
        <v>49.756977781788009</v>
      </c>
      <c r="M51" s="1797">
        <f>L51</f>
        <v>49.756977781788009</v>
      </c>
      <c r="N51" s="1797" t="s">
        <v>159</v>
      </c>
      <c r="O51" s="463" t="s">
        <v>1492</v>
      </c>
      <c r="P51" s="462"/>
      <c r="U51" s="464"/>
      <c r="V51" s="462"/>
    </row>
    <row r="52" spans="8:22" ht="12.75" hidden="1" customHeight="1">
      <c r="P52" s="462"/>
      <c r="U52" s="464"/>
      <c r="V52" s="462"/>
    </row>
    <row r="53" spans="8:22" ht="12.75" hidden="1" customHeight="1">
      <c r="H53" s="1408" t="s">
        <v>393</v>
      </c>
      <c r="L53" s="463"/>
    </row>
    <row r="54" spans="8:22" ht="12.75" hidden="1" customHeight="1">
      <c r="H54" s="1237"/>
      <c r="I54" s="1237" t="s">
        <v>394</v>
      </c>
      <c r="J54" s="1237" t="s">
        <v>395</v>
      </c>
      <c r="K54" s="1237" t="s">
        <v>396</v>
      </c>
      <c r="L54" s="1237" t="s">
        <v>397</v>
      </c>
    </row>
    <row r="55" spans="8:22" ht="12.75" hidden="1" customHeight="1">
      <c r="H55" s="1754" t="s">
        <v>398</v>
      </c>
      <c r="I55" s="1755">
        <v>0.71024544302937254</v>
      </c>
      <c r="J55" s="1755">
        <v>0.15571012661832076</v>
      </c>
      <c r="K55" s="1755">
        <v>3.5364621114215594E-2</v>
      </c>
      <c r="L55" s="1755">
        <v>9.8679809238090999E-2</v>
      </c>
    </row>
    <row r="56" spans="8:22" ht="12.75" hidden="1" customHeight="1">
      <c r="H56" s="1756" t="s">
        <v>400</v>
      </c>
      <c r="I56" s="1755">
        <v>0.98546930096285335</v>
      </c>
      <c r="J56" s="1755">
        <v>0.46477658924872384</v>
      </c>
      <c r="K56" s="1755">
        <v>0.46477658924872384</v>
      </c>
      <c r="L56" s="1755">
        <v>0.95368270905809616</v>
      </c>
    </row>
    <row r="57" spans="8:22" ht="12.75" hidden="1" customHeight="1">
      <c r="H57" s="1756" t="s">
        <v>399</v>
      </c>
      <c r="I57" s="1755">
        <f>I55*I56</f>
        <v>0.69992508025420785</v>
      </c>
      <c r="J57" s="1755">
        <f t="shared" ref="J57:L57" si="20">J55*J56</f>
        <v>7.2370421561150047E-2</v>
      </c>
      <c r="K57" s="1755">
        <f t="shared" si="20"/>
        <v>1.6436647981538526E-2</v>
      </c>
      <c r="L57" s="1755">
        <f t="shared" si="20"/>
        <v>9.4109227803518769E-2</v>
      </c>
    </row>
    <row r="58" spans="8:22" ht="12.75" hidden="1" customHeight="1">
      <c r="H58" s="1757"/>
      <c r="I58" s="1758">
        <f>I57/SUM($I$57:$L$57)</f>
        <v>0.79280955561532662</v>
      </c>
      <c r="J58" s="1758">
        <f t="shared" ref="J58:L58" si="21">J57/SUM($I$57:$L$57)</f>
        <v>8.1974433230411856E-2</v>
      </c>
      <c r="K58" s="1758">
        <f t="shared" si="21"/>
        <v>1.8617894900003151E-2</v>
      </c>
      <c r="L58" s="1758">
        <f t="shared" si="21"/>
        <v>0.10659811625425848</v>
      </c>
    </row>
    <row r="59" spans="8:22" ht="12.75" hidden="1" customHeight="1"/>
    <row r="60" spans="8:22" ht="12.75" hidden="1" customHeight="1">
      <c r="H60" s="462" t="s">
        <v>417</v>
      </c>
    </row>
    <row r="61" spans="8:22" ht="12.75" hidden="1" customHeight="1">
      <c r="H61" s="398"/>
      <c r="I61" s="1799" t="s">
        <v>15</v>
      </c>
      <c r="J61" s="1799"/>
      <c r="K61" s="398"/>
      <c r="L61" s="1800" t="s">
        <v>338</v>
      </c>
      <c r="M61" s="1800"/>
      <c r="N61" s="1800"/>
      <c r="O61" s="1801"/>
      <c r="P61" s="1801"/>
      <c r="Q61" s="1801"/>
    </row>
    <row r="62" spans="8:22" ht="12.75" hidden="1" customHeight="1" thickBot="1">
      <c r="H62" s="398"/>
      <c r="I62" s="398"/>
      <c r="J62" s="398"/>
      <c r="K62" s="398"/>
      <c r="L62" s="1802" t="s">
        <v>339</v>
      </c>
      <c r="M62" s="1802" t="s">
        <v>340</v>
      </c>
      <c r="N62" s="1803" t="s">
        <v>341</v>
      </c>
      <c r="O62" s="1803" t="s">
        <v>162</v>
      </c>
      <c r="P62" s="1803" t="s">
        <v>163</v>
      </c>
      <c r="Q62" s="1803" t="s">
        <v>164</v>
      </c>
    </row>
    <row r="63" spans="8:22" ht="55.5" hidden="1" customHeight="1" thickBot="1">
      <c r="H63" s="398"/>
      <c r="I63" s="1804" t="s">
        <v>342</v>
      </c>
      <c r="J63" s="1804" t="s">
        <v>337</v>
      </c>
      <c r="K63" s="1805"/>
      <c r="L63" s="1806" t="s">
        <v>339</v>
      </c>
      <c r="M63" s="1807" t="s">
        <v>340</v>
      </c>
      <c r="N63" s="1807" t="s">
        <v>341</v>
      </c>
      <c r="O63" s="1808" t="s">
        <v>162</v>
      </c>
      <c r="P63" s="1808" t="s">
        <v>163</v>
      </c>
      <c r="Q63" s="1809" t="s">
        <v>164</v>
      </c>
    </row>
    <row r="64" spans="8:22" ht="12.75" hidden="1" customHeight="1">
      <c r="H64" s="1810" t="s">
        <v>343</v>
      </c>
      <c r="I64" s="1811">
        <v>2.1767894525547438</v>
      </c>
      <c r="J64" s="1811">
        <v>2.3161001848580569</v>
      </c>
      <c r="K64" s="1812"/>
      <c r="L64" s="1813">
        <v>2.31115</v>
      </c>
      <c r="M64" s="1814">
        <v>2.6988296721311471</v>
      </c>
      <c r="N64" s="1814">
        <v>2.5893671764705872</v>
      </c>
      <c r="O64" s="1815">
        <v>2.5856956944444445</v>
      </c>
      <c r="P64" s="1815">
        <v>2.8331187499999997</v>
      </c>
      <c r="Q64" s="1816">
        <v>2.9762379999999999</v>
      </c>
    </row>
    <row r="65" spans="8:17" ht="12.75" hidden="1" customHeight="1">
      <c r="H65" s="1817" t="s">
        <v>344</v>
      </c>
      <c r="I65" s="1818">
        <v>4.1747655474452543</v>
      </c>
      <c r="J65" s="1818">
        <v>3.9217127286166567</v>
      </c>
      <c r="K65" s="1812"/>
      <c r="L65" s="1819">
        <v>4.0922604166666652</v>
      </c>
      <c r="M65" s="1820">
        <v>3.1629357377049185</v>
      </c>
      <c r="N65" s="1820">
        <v>3.4253332941176473</v>
      </c>
      <c r="O65" s="1821">
        <v>3.2865300000000008</v>
      </c>
      <c r="P65" s="1821">
        <v>2.9900809999999991</v>
      </c>
      <c r="Q65" s="1822">
        <v>2.9644759999999999</v>
      </c>
    </row>
    <row r="66" spans="8:17" ht="12.75" hidden="1" customHeight="1">
      <c r="H66" s="1817" t="s">
        <v>345</v>
      </c>
      <c r="I66" s="1818">
        <v>3.7770072992700716</v>
      </c>
      <c r="J66" s="1818">
        <v>3.9257934407096169</v>
      </c>
      <c r="K66" s="1812"/>
      <c r="L66" s="1819">
        <v>4.5916666666666668</v>
      </c>
      <c r="M66" s="1820">
        <v>4.0704918032786903</v>
      </c>
      <c r="N66" s="1820">
        <v>4.2176470588235304</v>
      </c>
      <c r="O66" s="1821">
        <v>3.9638888888888895</v>
      </c>
      <c r="P66" s="1821">
        <v>4.0849999999999991</v>
      </c>
      <c r="Q66" s="1822">
        <v>4.7799999999999994</v>
      </c>
    </row>
    <row r="67" spans="8:17" ht="12.75" hidden="1" customHeight="1">
      <c r="H67" s="1817" t="s">
        <v>346</v>
      </c>
      <c r="I67" s="1823">
        <v>36.113650200160976</v>
      </c>
      <c r="J67" s="1823">
        <v>34.923898397154204</v>
      </c>
      <c r="K67" s="1824"/>
      <c r="L67" s="1825">
        <v>34.299999999999997</v>
      </c>
      <c r="M67" s="1826">
        <v>32.029508196721316</v>
      </c>
      <c r="N67" s="1826">
        <v>32.590123456790117</v>
      </c>
      <c r="O67" s="1827">
        <v>32.638888888888893</v>
      </c>
      <c r="P67" s="1827">
        <v>31.444999999999993</v>
      </c>
      <c r="Q67" s="1828">
        <v>29.98</v>
      </c>
    </row>
    <row r="68" spans="8:17" ht="12.75" hidden="1" customHeight="1">
      <c r="H68" s="1829" t="s">
        <v>347</v>
      </c>
      <c r="I68" s="1823">
        <v>461.07511996810217</v>
      </c>
      <c r="J68" s="1823">
        <v>433.10134090607494</v>
      </c>
      <c r="K68" s="1830"/>
      <c r="L68" s="1831">
        <v>422.64446052978178</v>
      </c>
      <c r="M68" s="1832">
        <v>360.75402016396106</v>
      </c>
      <c r="N68" s="1832">
        <v>378.22896803195749</v>
      </c>
      <c r="O68" s="1833">
        <v>375.83477824196774</v>
      </c>
      <c r="P68" s="1833">
        <v>342.32766956622078</v>
      </c>
      <c r="Q68" s="1834">
        <v>325.87796439327468</v>
      </c>
    </row>
    <row r="69" spans="8:17" ht="12.75" hidden="1" customHeight="1">
      <c r="H69" s="1817" t="s">
        <v>348</v>
      </c>
      <c r="I69" s="1835">
        <v>4047.8861059902265</v>
      </c>
      <c r="J69" s="1835">
        <v>3802.5240664273615</v>
      </c>
      <c r="K69" s="1812"/>
      <c r="L69" s="1825">
        <v>3967.88847049284</v>
      </c>
      <c r="M69" s="1826">
        <v>3066.8078198141188</v>
      </c>
      <c r="N69" s="1826">
        <v>3321.230591770463</v>
      </c>
      <c r="O69" s="1827">
        <v>3186.6458062683578</v>
      </c>
      <c r="P69" s="1827">
        <v>2899.206481928567</v>
      </c>
      <c r="Q69" s="1828">
        <v>2874.3796688857838</v>
      </c>
    </row>
    <row r="70" spans="8:17" ht="12.75" hidden="1" customHeight="1" thickBot="1">
      <c r="H70" s="1836" t="s">
        <v>349</v>
      </c>
      <c r="I70" s="1837">
        <v>776.31603614450796</v>
      </c>
      <c r="J70" s="1837">
        <v>825.23457500176619</v>
      </c>
      <c r="K70" s="1812"/>
      <c r="L70" s="1838">
        <v>754.7360149776722</v>
      </c>
      <c r="M70" s="1839">
        <v>969.81887509547198</v>
      </c>
      <c r="N70" s="1839">
        <v>921.19144585144784</v>
      </c>
      <c r="O70" s="1840">
        <v>951.49912384722427</v>
      </c>
      <c r="P70" s="1840">
        <v>1001.0825583529517</v>
      </c>
      <c r="Q70" s="1841">
        <v>996.04811179834417</v>
      </c>
    </row>
    <row r="71" spans="8:17" ht="12.75" hidden="1" customHeight="1" thickBot="1">
      <c r="H71" s="1842" t="s">
        <v>350</v>
      </c>
      <c r="I71" s="1843">
        <v>47.558261685804517</v>
      </c>
      <c r="J71" s="1843">
        <v>44.675524429925424</v>
      </c>
      <c r="K71" s="1844"/>
      <c r="L71" s="1845">
        <v>46.61837642628597</v>
      </c>
      <c r="M71" s="1846">
        <v>36.031658257121869</v>
      </c>
      <c r="N71" s="1846">
        <v>39.020849269591736</v>
      </c>
      <c r="O71" s="1847">
        <v>37.439624333849331</v>
      </c>
      <c r="P71" s="1847">
        <v>34.062524719926635</v>
      </c>
      <c r="Q71" s="1848">
        <v>33.77083665346499</v>
      </c>
    </row>
    <row r="72" spans="8:17" ht="12.75" hidden="1" customHeight="1">
      <c r="H72" s="398"/>
      <c r="I72" s="398"/>
      <c r="J72" s="398"/>
      <c r="K72" s="398"/>
      <c r="L72" s="398"/>
      <c r="M72" s="398"/>
      <c r="N72" s="398"/>
      <c r="O72" s="398"/>
      <c r="P72" s="398"/>
      <c r="Q72" s="398"/>
    </row>
    <row r="73" spans="8:17" ht="12.75" hidden="1" customHeight="1" thickBot="1">
      <c r="H73" s="1849" t="s">
        <v>351</v>
      </c>
      <c r="I73" s="1850"/>
      <c r="J73" s="1850"/>
      <c r="K73" s="400"/>
      <c r="L73" s="1850"/>
      <c r="M73" s="1850"/>
      <c r="N73" s="1850"/>
      <c r="O73" s="1850"/>
      <c r="P73" s="1850"/>
      <c r="Q73" s="1850"/>
    </row>
    <row r="74" spans="8:17" ht="12.75" hidden="1" customHeight="1">
      <c r="H74" s="1759" t="s">
        <v>352</v>
      </c>
      <c r="I74" s="1851">
        <v>1.3096069259156635</v>
      </c>
      <c r="J74" s="1851">
        <v>1.2652842682500836</v>
      </c>
      <c r="K74" s="398"/>
      <c r="L74" s="1852">
        <v>1.2420417440485778</v>
      </c>
      <c r="M74" s="1853">
        <v>1.1574575217974319</v>
      </c>
      <c r="N74" s="1853">
        <v>1.1783425149458626</v>
      </c>
      <c r="O74" s="1854">
        <v>1.180159207761428</v>
      </c>
      <c r="P74" s="1854">
        <v>1.1356824283363152</v>
      </c>
      <c r="Q74" s="1855">
        <v>1.0811057567011264</v>
      </c>
    </row>
    <row r="75" spans="8:17" ht="12.75" hidden="1" customHeight="1">
      <c r="H75" s="1760" t="s">
        <v>353</v>
      </c>
      <c r="I75" s="1856">
        <v>299.88461596396166</v>
      </c>
      <c r="J75" s="1856">
        <v>289.73524754698326</v>
      </c>
      <c r="K75" s="398"/>
      <c r="L75" s="1857">
        <v>284.41298228839946</v>
      </c>
      <c r="M75" s="1858">
        <v>265.0441881071531</v>
      </c>
      <c r="N75" s="1858">
        <v>269.82660642351016</v>
      </c>
      <c r="O75" s="1833">
        <v>270.24260775684104</v>
      </c>
      <c r="P75" s="1833">
        <v>260.05794726576426</v>
      </c>
      <c r="Q75" s="1859">
        <v>247.560529994955</v>
      </c>
    </row>
    <row r="76" spans="8:17" ht="12.75" hidden="1" customHeight="1">
      <c r="H76" s="1760" t="s">
        <v>354</v>
      </c>
      <c r="I76" s="1818">
        <v>0.2</v>
      </c>
      <c r="J76" s="1818">
        <v>0.2</v>
      </c>
      <c r="K76" s="1860"/>
      <c r="L76" s="1819">
        <v>0.2</v>
      </c>
      <c r="M76" s="1820">
        <v>0.2</v>
      </c>
      <c r="N76" s="1820">
        <v>0.2</v>
      </c>
      <c r="O76" s="1821">
        <v>0.2</v>
      </c>
      <c r="P76" s="1821">
        <v>0.2</v>
      </c>
      <c r="Q76" s="1822">
        <v>0.2</v>
      </c>
    </row>
    <row r="77" spans="8:17" ht="12.75" hidden="1" customHeight="1">
      <c r="H77" s="1760" t="s">
        <v>355</v>
      </c>
      <c r="I77" s="1856">
        <v>51.342660000000002</v>
      </c>
      <c r="J77" s="1856">
        <v>51.342660000000002</v>
      </c>
      <c r="K77" s="398"/>
      <c r="L77" s="1857">
        <v>51.342660000000002</v>
      </c>
      <c r="M77" s="1858">
        <v>51.342660000000002</v>
      </c>
      <c r="N77" s="1858">
        <v>51.342660000000002</v>
      </c>
      <c r="O77" s="1833">
        <v>51.342660000000002</v>
      </c>
      <c r="P77" s="1833">
        <v>51.342660000000002</v>
      </c>
      <c r="Q77" s="1859">
        <v>51.342660000000002</v>
      </c>
    </row>
    <row r="78" spans="8:17" ht="12.75" hidden="1" customHeight="1">
      <c r="H78" s="1760" t="s">
        <v>356</v>
      </c>
      <c r="I78" s="1861">
        <v>0.13</v>
      </c>
      <c r="J78" s="1861">
        <v>0.13</v>
      </c>
      <c r="K78" s="1862"/>
      <c r="L78" s="1863">
        <v>0.13</v>
      </c>
      <c r="M78" s="1864">
        <v>0.13</v>
      </c>
      <c r="N78" s="1864">
        <v>0.13</v>
      </c>
      <c r="O78" s="1865">
        <v>0.13</v>
      </c>
      <c r="P78" s="1865">
        <v>0.13</v>
      </c>
      <c r="Q78" s="1866">
        <v>0.13</v>
      </c>
    </row>
    <row r="79" spans="8:17" ht="12.75" hidden="1" customHeight="1">
      <c r="H79" s="1760" t="s">
        <v>357</v>
      </c>
      <c r="I79" s="1856">
        <v>526.22519377872948</v>
      </c>
      <c r="J79" s="1856">
        <v>494.32812863555699</v>
      </c>
      <c r="K79" s="398"/>
      <c r="L79" s="1857">
        <v>515.82550116406924</v>
      </c>
      <c r="M79" s="1858">
        <v>398.68501657583545</v>
      </c>
      <c r="N79" s="1858">
        <v>431.75997693016018</v>
      </c>
      <c r="O79" s="1833">
        <v>414.26395481488652</v>
      </c>
      <c r="P79" s="1833">
        <v>376.89684265071372</v>
      </c>
      <c r="Q79" s="1859">
        <v>373.6693569551519</v>
      </c>
    </row>
    <row r="80" spans="8:17" ht="12.75" hidden="1" customHeight="1" thickBot="1">
      <c r="H80" s="1761" t="s">
        <v>358</v>
      </c>
      <c r="I80" s="1867">
        <v>85.426610612386526</v>
      </c>
      <c r="J80" s="1867">
        <v>80.24848878188844</v>
      </c>
      <c r="K80" s="398"/>
      <c r="L80" s="1868">
        <v>83.738340073491244</v>
      </c>
      <c r="M80" s="1869">
        <v>64.72192907270383</v>
      </c>
      <c r="N80" s="1869">
        <v>70.091268649396724</v>
      </c>
      <c r="O80" s="1870">
        <v>67.250990597001447</v>
      </c>
      <c r="P80" s="1870">
        <v>61.184869517476663</v>
      </c>
      <c r="Q80" s="1871">
        <v>60.660924318669359</v>
      </c>
    </row>
    <row r="81" spans="8:18" ht="12.75" hidden="1" customHeight="1" thickBot="1">
      <c r="H81" s="398"/>
      <c r="I81" s="398"/>
      <c r="J81" s="398"/>
      <c r="K81" s="398"/>
      <c r="L81" s="398"/>
      <c r="M81" s="398"/>
      <c r="N81" s="398"/>
      <c r="O81" s="398"/>
      <c r="P81" s="398"/>
      <c r="Q81" s="398"/>
    </row>
    <row r="82" spans="8:18" ht="12.75" hidden="1" customHeight="1">
      <c r="H82" s="1759" t="s">
        <v>359</v>
      </c>
      <c r="I82" s="1872">
        <v>436.65388657634821</v>
      </c>
      <c r="J82" s="1872">
        <v>421.32639632887174</v>
      </c>
      <c r="K82" s="398"/>
      <c r="L82" s="1873">
        <v>419.49398236189074</v>
      </c>
      <c r="M82" s="1874">
        <v>381.10877717985693</v>
      </c>
      <c r="N82" s="1874">
        <v>391.26053507290692</v>
      </c>
      <c r="O82" s="1875">
        <v>388.83625835384248</v>
      </c>
      <c r="P82" s="1875">
        <v>372.58547678324095</v>
      </c>
      <c r="Q82" s="1876">
        <v>359.56411431362437</v>
      </c>
      <c r="R82" s="1762"/>
    </row>
    <row r="83" spans="8:18" ht="12.75" hidden="1" customHeight="1">
      <c r="H83" s="1760" t="s">
        <v>360</v>
      </c>
      <c r="I83" s="1877">
        <v>0.11758205200590335</v>
      </c>
      <c r="J83" s="1877">
        <v>0.12185958546001906</v>
      </c>
      <c r="K83" s="398"/>
      <c r="L83" s="1878">
        <v>0.12239188679399818</v>
      </c>
      <c r="M83" s="1879">
        <v>0.13471917487686152</v>
      </c>
      <c r="N83" s="1879">
        <v>0.13122371258433435</v>
      </c>
      <c r="O83" s="1880">
        <v>0.13204185282864744</v>
      </c>
      <c r="P83" s="1880">
        <v>0.13780102338736522</v>
      </c>
      <c r="Q83" s="1881">
        <v>0.14279139089841747</v>
      </c>
    </row>
    <row r="84" spans="8:18" ht="12.75" hidden="1" customHeight="1">
      <c r="H84" s="1760" t="s">
        <v>361</v>
      </c>
      <c r="I84" s="1877">
        <v>0.68677876272956828</v>
      </c>
      <c r="J84" s="1877">
        <v>0.68767409322445272</v>
      </c>
      <c r="K84" s="398"/>
      <c r="L84" s="1878">
        <v>0.67799061308832065</v>
      </c>
      <c r="M84" s="1879">
        <v>0.69545548142038882</v>
      </c>
      <c r="N84" s="1879">
        <v>0.68963409860192282</v>
      </c>
      <c r="O84" s="1880">
        <v>0.69500362157821005</v>
      </c>
      <c r="P84" s="1880">
        <v>0.6979819758703536</v>
      </c>
      <c r="Q84" s="1881">
        <v>0.68850177239607413</v>
      </c>
      <c r="R84" s="970"/>
    </row>
    <row r="85" spans="8:18" ht="12.75" hidden="1" customHeight="1" thickBot="1">
      <c r="H85" s="1761" t="s">
        <v>362</v>
      </c>
      <c r="I85" s="1882">
        <v>0.19563918526452834</v>
      </c>
      <c r="J85" s="1882">
        <v>0.19046632131552815</v>
      </c>
      <c r="K85" s="398"/>
      <c r="L85" s="1883">
        <v>0.19961750011768112</v>
      </c>
      <c r="M85" s="1884">
        <v>0.16982534370274963</v>
      </c>
      <c r="N85" s="1884">
        <v>0.1791421888137428</v>
      </c>
      <c r="O85" s="1885">
        <v>0.17295452559314256</v>
      </c>
      <c r="P85" s="1885">
        <v>0.16421700074228118</v>
      </c>
      <c r="Q85" s="1886">
        <v>0.16870683670550835</v>
      </c>
    </row>
    <row r="86" spans="8:18" ht="12.75" hidden="1" customHeight="1" thickBot="1">
      <c r="H86" s="1763" t="s">
        <v>363</v>
      </c>
      <c r="I86" s="1850"/>
      <c r="J86" s="1850"/>
      <c r="K86" s="1850"/>
      <c r="L86" s="1850"/>
      <c r="M86" s="1850"/>
      <c r="N86" s="1850"/>
      <c r="O86" s="1850"/>
      <c r="P86" s="1850"/>
      <c r="Q86" s="1850"/>
    </row>
    <row r="87" spans="8:18" ht="12.75" hidden="1" customHeight="1">
      <c r="H87" s="1764" t="s">
        <v>364</v>
      </c>
      <c r="I87" s="1887">
        <v>54.214158734717515</v>
      </c>
      <c r="J87" s="1872">
        <v>52.777549864992686</v>
      </c>
      <c r="K87" s="398"/>
      <c r="L87" s="1873">
        <v>51.72825296727148</v>
      </c>
      <c r="M87" s="1874">
        <v>48.600483929999498</v>
      </c>
      <c r="N87" s="1874">
        <v>49.632609392094977</v>
      </c>
      <c r="O87" s="1875">
        <v>49.625920476513251</v>
      </c>
      <c r="P87" s="1875">
        <v>47.173103200037019</v>
      </c>
      <c r="Q87" s="1876">
        <v>46.532567798860654</v>
      </c>
    </row>
    <row r="88" spans="8:18" ht="12.75" hidden="1" customHeight="1">
      <c r="H88" s="1765" t="s">
        <v>365</v>
      </c>
      <c r="I88" s="1856">
        <v>316.65660041708048</v>
      </c>
      <c r="J88" s="1856">
        <v>297.83257188187963</v>
      </c>
      <c r="K88" s="398"/>
      <c r="L88" s="1857">
        <v>286.54897691296929</v>
      </c>
      <c r="M88" s="1858">
        <v>250.88836076746819</v>
      </c>
      <c r="N88" s="1858">
        <v>260.83959343385447</v>
      </c>
      <c r="O88" s="1833">
        <v>261.20653199321106</v>
      </c>
      <c r="P88" s="1833">
        <v>238.93854319892429</v>
      </c>
      <c r="Q88" s="1859">
        <v>224.36755606959434</v>
      </c>
    </row>
    <row r="89" spans="8:18" ht="12.75" hidden="1" customHeight="1" thickBot="1">
      <c r="H89" s="1761" t="s">
        <v>366</v>
      </c>
      <c r="I89" s="1867">
        <v>90.204360816304174</v>
      </c>
      <c r="J89" s="1867">
        <v>82.491219159202572</v>
      </c>
      <c r="K89" s="398"/>
      <c r="L89" s="1868">
        <v>84.367230649540986</v>
      </c>
      <c r="M89" s="1869">
        <v>61.265175466493353</v>
      </c>
      <c r="N89" s="1869">
        <v>67.756765206008026</v>
      </c>
      <c r="O89" s="1870">
        <v>65.002325772243466</v>
      </c>
      <c r="P89" s="1870">
        <v>56.216023167259465</v>
      </c>
      <c r="Q89" s="1871">
        <v>54.977840524819655</v>
      </c>
    </row>
    <row r="90" spans="8:18" ht="12.75" hidden="1" customHeight="1" thickBot="1">
      <c r="H90" s="1763" t="s">
        <v>367</v>
      </c>
      <c r="I90" s="1850"/>
      <c r="J90" s="1850"/>
      <c r="K90" s="1850"/>
      <c r="L90" s="1850"/>
      <c r="M90" s="1850"/>
      <c r="N90" s="1850"/>
      <c r="O90" s="1850"/>
      <c r="P90" s="1850"/>
      <c r="Q90" s="1850"/>
    </row>
    <row r="91" spans="8:18" ht="12.75" hidden="1" customHeight="1">
      <c r="H91" s="1764" t="s">
        <v>368</v>
      </c>
      <c r="I91" s="1887">
        <v>0</v>
      </c>
      <c r="J91" s="1887">
        <v>0</v>
      </c>
      <c r="K91" s="1888"/>
      <c r="L91" s="1889">
        <v>0</v>
      </c>
      <c r="M91" s="1890">
        <v>0</v>
      </c>
      <c r="N91" s="1890">
        <v>0</v>
      </c>
      <c r="O91" s="1891">
        <v>0</v>
      </c>
      <c r="P91" s="1891">
        <v>0</v>
      </c>
      <c r="Q91" s="1892">
        <v>0</v>
      </c>
    </row>
    <row r="92" spans="8:18" ht="12.75" hidden="1" customHeight="1">
      <c r="H92" s="1765" t="s">
        <v>369</v>
      </c>
      <c r="I92" s="1893">
        <v>12.104388544903154</v>
      </c>
      <c r="J92" s="1893">
        <v>11.384828759727979</v>
      </c>
      <c r="K92" s="1888"/>
      <c r="L92" s="1894">
        <v>10.9535065718844</v>
      </c>
      <c r="M92" s="1895">
        <v>9.5903581233529334</v>
      </c>
      <c r="N92" s="1895">
        <v>9.970749962765149</v>
      </c>
      <c r="O92" s="1896">
        <v>9.9847764093596894</v>
      </c>
      <c r="P92" s="1896">
        <v>9.1335691769048033</v>
      </c>
      <c r="Q92" s="1897">
        <v>8.5765844512938862</v>
      </c>
    </row>
    <row r="93" spans="8:18" ht="12.75" hidden="1" customHeight="1" thickBot="1">
      <c r="H93" s="1761" t="s">
        <v>370</v>
      </c>
      <c r="I93" s="1898">
        <v>4.1048997795472824</v>
      </c>
      <c r="J93" s="1898">
        <v>3.7539004132047786</v>
      </c>
      <c r="K93" s="1888"/>
      <c r="L93" s="1899">
        <v>3.8392714427584451</v>
      </c>
      <c r="M93" s="1900">
        <v>2.7879739182285577</v>
      </c>
      <c r="N93" s="1900">
        <v>3.0833845286414054</v>
      </c>
      <c r="O93" s="1901">
        <v>2.9580391714755589</v>
      </c>
      <c r="P93" s="1901">
        <v>2.5582038275980876</v>
      </c>
      <c r="Q93" s="1902">
        <v>2.5018582628161266</v>
      </c>
    </row>
    <row r="94" spans="8:18" ht="12.75" hidden="1" customHeight="1"/>
    <row r="95" spans="8:18" ht="12.75" hidden="1" customHeight="1"/>
    <row r="100" spans="1:21" s="1769" customFormat="1" ht="12.75" hidden="1" customHeight="1">
      <c r="A100" s="1766"/>
      <c r="B100" s="1766"/>
      <c r="C100" s="1767"/>
      <c r="D100" s="1767"/>
      <c r="E100" s="1767"/>
      <c r="F100" s="1767"/>
      <c r="G100" s="1766"/>
      <c r="H100" s="1768" t="s">
        <v>374</v>
      </c>
      <c r="K100" s="1770" t="s">
        <v>377</v>
      </c>
      <c r="L100" s="1770"/>
      <c r="M100" s="1770"/>
      <c r="N100" s="1771"/>
      <c r="O100" s="1771"/>
      <c r="U100" s="1772"/>
    </row>
    <row r="101" spans="1:21" s="1769" customFormat="1" ht="12.75" hidden="1" customHeight="1">
      <c r="A101" s="1766"/>
      <c r="B101" s="1766"/>
      <c r="C101" s="1767"/>
      <c r="D101" s="1767"/>
      <c r="E101" s="1767"/>
      <c r="F101" s="1767"/>
      <c r="G101" s="1766"/>
      <c r="H101" s="1773" t="s">
        <v>406</v>
      </c>
      <c r="K101" s="1771"/>
      <c r="L101" s="1771"/>
      <c r="M101" s="1771"/>
      <c r="N101" s="1771"/>
      <c r="O101" s="1771"/>
      <c r="U101" s="1772"/>
    </row>
    <row r="102" spans="1:21" s="1769" customFormat="1" ht="12.75" hidden="1" customHeight="1">
      <c r="A102" s="1766"/>
      <c r="B102" s="1766"/>
      <c r="C102" s="1767"/>
      <c r="D102" s="1767"/>
      <c r="E102" s="1767"/>
      <c r="F102" s="1767"/>
      <c r="G102" s="1766"/>
      <c r="H102" s="1774" t="s">
        <v>407</v>
      </c>
      <c r="K102" s="1771"/>
      <c r="L102" s="1771"/>
      <c r="M102" s="1771"/>
      <c r="N102" s="1771"/>
      <c r="O102" s="1771"/>
      <c r="U102" s="1772"/>
    </row>
    <row r="103" spans="1:21" s="1769" customFormat="1" ht="12.75" hidden="1" customHeight="1">
      <c r="A103" s="1766"/>
      <c r="B103" s="1766"/>
      <c r="C103" s="1767"/>
      <c r="D103" s="1767"/>
      <c r="E103" s="1767"/>
      <c r="F103" s="1767"/>
      <c r="G103" s="1766"/>
      <c r="H103" s="1773"/>
      <c r="K103" s="1771"/>
      <c r="L103" s="1771"/>
      <c r="M103" s="1771"/>
      <c r="N103" s="1771"/>
      <c r="O103" s="1771"/>
      <c r="U103" s="1772"/>
    </row>
    <row r="104" spans="1:21" s="1769" customFormat="1" ht="12.75" hidden="1" customHeight="1">
      <c r="A104" s="1766"/>
      <c r="B104" s="1766"/>
      <c r="C104" s="1767"/>
      <c r="D104" s="1767"/>
      <c r="E104" s="1767"/>
      <c r="F104" s="1767"/>
      <c r="G104" s="1766"/>
      <c r="H104" s="1770" t="s">
        <v>404</v>
      </c>
      <c r="I104" s="1770"/>
      <c r="J104" s="1770"/>
      <c r="K104" s="1771"/>
      <c r="L104" s="1771"/>
      <c r="M104" s="1771"/>
      <c r="N104" s="1771"/>
      <c r="O104" s="1771"/>
      <c r="U104" s="1772"/>
    </row>
    <row r="105" spans="1:21" s="1769" customFormat="1" ht="12.75" hidden="1" customHeight="1">
      <c r="A105" s="1766"/>
      <c r="B105" s="1766"/>
      <c r="C105" s="1767"/>
      <c r="D105" s="1767"/>
      <c r="E105" s="1767"/>
      <c r="F105" s="1767"/>
      <c r="G105" s="1766"/>
      <c r="H105" s="1775" t="s">
        <v>405</v>
      </c>
      <c r="I105" s="1769">
        <v>257</v>
      </c>
      <c r="J105" s="1776">
        <f>I58+L58</f>
        <v>0.89940767186958515</v>
      </c>
      <c r="K105" s="1771"/>
      <c r="L105" s="1771"/>
      <c r="M105" s="1771"/>
      <c r="N105" s="1771"/>
      <c r="O105" s="1771"/>
      <c r="U105" s="1772"/>
    </row>
    <row r="106" spans="1:21" s="1769" customFormat="1" ht="12.75" hidden="1" customHeight="1">
      <c r="A106" s="1766"/>
      <c r="B106" s="1766"/>
      <c r="C106" s="1767"/>
      <c r="D106" s="1767"/>
      <c r="E106" s="1767"/>
      <c r="F106" s="1767"/>
      <c r="G106" s="1766"/>
      <c r="H106" s="1775" t="s">
        <v>408</v>
      </c>
      <c r="I106" s="1777">
        <v>231</v>
      </c>
      <c r="J106" s="1776">
        <f>1-J105</f>
        <v>0.10059232813041485</v>
      </c>
      <c r="K106" s="1771"/>
      <c r="L106" s="1771"/>
      <c r="M106" s="1771"/>
      <c r="N106" s="1771"/>
      <c r="O106" s="1771"/>
      <c r="U106" s="1772"/>
    </row>
    <row r="107" spans="1:21" s="1769" customFormat="1" ht="12.75" hidden="1" customHeight="1">
      <c r="A107" s="1766"/>
      <c r="B107" s="1766"/>
      <c r="C107" s="1767"/>
      <c r="D107" s="1767"/>
      <c r="E107" s="1767"/>
      <c r="F107" s="1767"/>
      <c r="G107" s="1766"/>
      <c r="J107" s="1778">
        <f>SUMPRODUCT(I105:I106,J105:J106)</f>
        <v>254.38459946860922</v>
      </c>
      <c r="K107" s="1771"/>
      <c r="L107" s="1771"/>
      <c r="M107" s="1771"/>
      <c r="N107" s="1771"/>
      <c r="O107" s="1771"/>
      <c r="U107" s="1772"/>
    </row>
    <row r="108" spans="1:21" s="1769" customFormat="1" ht="12.75" hidden="1" customHeight="1">
      <c r="A108" s="1766"/>
      <c r="B108" s="1766"/>
      <c r="C108" s="1767"/>
      <c r="D108" s="1767"/>
      <c r="E108" s="1767"/>
      <c r="F108" s="1767"/>
      <c r="G108" s="1766"/>
      <c r="H108" s="1774" t="s">
        <v>411</v>
      </c>
      <c r="K108" s="1771"/>
      <c r="L108" s="1771"/>
      <c r="M108" s="1771"/>
      <c r="N108" s="1771"/>
      <c r="O108" s="1771"/>
      <c r="U108" s="1772"/>
    </row>
    <row r="109" spans="1:21" s="1769" customFormat="1" ht="12.75" hidden="1" customHeight="1">
      <c r="A109" s="1766"/>
      <c r="B109" s="1766"/>
      <c r="C109" s="1767"/>
      <c r="D109" s="1767"/>
      <c r="E109" s="1767"/>
      <c r="F109" s="1767"/>
      <c r="G109" s="1766"/>
      <c r="H109" s="1774" t="s">
        <v>409</v>
      </c>
      <c r="K109" s="1771"/>
      <c r="L109" s="1771"/>
      <c r="M109" s="1771"/>
      <c r="N109" s="1771"/>
      <c r="O109" s="1771"/>
      <c r="U109" s="1772"/>
    </row>
    <row r="110" spans="1:21" s="1769" customFormat="1" ht="12.75" hidden="1" customHeight="1">
      <c r="A110" s="1766"/>
      <c r="B110" s="1766"/>
      <c r="C110" s="1767"/>
      <c r="D110" s="1767"/>
      <c r="E110" s="1767"/>
      <c r="F110" s="1767"/>
      <c r="G110" s="1766"/>
      <c r="H110" s="1774" t="s">
        <v>410</v>
      </c>
      <c r="K110" s="1771"/>
      <c r="L110" s="1771"/>
      <c r="M110" s="1771"/>
      <c r="N110" s="1771"/>
      <c r="O110" s="1771"/>
      <c r="U110" s="1772"/>
    </row>
    <row r="111" spans="1:21" s="1769" customFormat="1" ht="12.75" hidden="1" customHeight="1">
      <c r="A111" s="1766"/>
      <c r="B111" s="1766"/>
      <c r="C111" s="1767"/>
      <c r="D111" s="1767"/>
      <c r="E111" s="1767"/>
      <c r="F111" s="1767"/>
      <c r="G111" s="1766"/>
      <c r="H111" s="1770" t="s">
        <v>414</v>
      </c>
      <c r="I111" s="1770"/>
      <c r="K111" s="1771"/>
      <c r="L111" s="1771"/>
      <c r="M111" s="1771"/>
      <c r="N111" s="1771"/>
      <c r="O111" s="1771"/>
      <c r="U111" s="1772"/>
    </row>
    <row r="112" spans="1:21" s="1769" customFormat="1" ht="12.75" hidden="1" customHeight="1">
      <c r="A112" s="1766"/>
      <c r="B112" s="1766"/>
      <c r="C112" s="1767"/>
      <c r="D112" s="1767"/>
      <c r="E112" s="1767"/>
      <c r="F112" s="1767"/>
      <c r="G112" s="1766"/>
      <c r="H112" s="1769" t="s">
        <v>380</v>
      </c>
      <c r="I112" s="1779">
        <f>J66</f>
        <v>3.9257934407096169</v>
      </c>
      <c r="K112" s="1771"/>
      <c r="L112" s="1771"/>
      <c r="M112" s="1771"/>
      <c r="N112" s="1771"/>
      <c r="O112" s="1771"/>
      <c r="U112" s="1772"/>
    </row>
    <row r="113" spans="1:24" s="1769" customFormat="1" ht="28.5" hidden="1" customHeight="1">
      <c r="A113" s="1766"/>
      <c r="B113" s="1766"/>
      <c r="C113" s="1767"/>
      <c r="D113" s="1767"/>
      <c r="E113" s="1767"/>
      <c r="F113" s="1767"/>
      <c r="G113" s="1766"/>
      <c r="H113" s="1780" t="s">
        <v>413</v>
      </c>
      <c r="I113" s="1769">
        <v>4.38</v>
      </c>
      <c r="K113" s="1771"/>
      <c r="L113" s="1771"/>
      <c r="M113" s="1771"/>
      <c r="N113" s="1771"/>
      <c r="O113" s="1771"/>
      <c r="U113" s="1772"/>
    </row>
    <row r="114" spans="1:24" s="1769" customFormat="1" ht="36" hidden="1" customHeight="1">
      <c r="A114" s="1766"/>
      <c r="B114" s="1766"/>
      <c r="C114" s="1767"/>
      <c r="D114" s="1767"/>
      <c r="E114" s="1767"/>
      <c r="F114" s="1767"/>
      <c r="G114" s="1766"/>
      <c r="H114" s="1780" t="s">
        <v>412</v>
      </c>
      <c r="I114" s="1769">
        <v>4.34</v>
      </c>
      <c r="O114" s="1781"/>
      <c r="R114" s="1772"/>
    </row>
    <row r="115" spans="1:24" s="1769" customFormat="1" ht="15" hidden="1" customHeight="1">
      <c r="A115" s="1766"/>
      <c r="B115" s="1766"/>
      <c r="C115" s="1767"/>
      <c r="D115" s="1767"/>
      <c r="E115" s="1767"/>
      <c r="F115" s="1767"/>
      <c r="G115" s="1766"/>
      <c r="H115" s="1780"/>
      <c r="K115" s="1782" t="s">
        <v>415</v>
      </c>
      <c r="L115" s="1782"/>
      <c r="M115" s="1782" t="s">
        <v>123</v>
      </c>
      <c r="N115" s="1782"/>
      <c r="O115" s="1782"/>
      <c r="R115" s="1772"/>
    </row>
    <row r="116" spans="1:24" s="1769" customFormat="1" ht="48.75" hidden="1" customHeight="1">
      <c r="A116" s="1766"/>
      <c r="B116" s="1766"/>
      <c r="C116" s="1767"/>
      <c r="D116" s="1767"/>
      <c r="E116" s="1767"/>
      <c r="F116" s="1767"/>
      <c r="G116" s="1766"/>
      <c r="K116" s="1783">
        <v>2018</v>
      </c>
      <c r="L116" s="1783">
        <v>2019</v>
      </c>
      <c r="M116" s="1781" t="s">
        <v>416</v>
      </c>
      <c r="N116" s="1781" t="s">
        <v>379</v>
      </c>
      <c r="O116" s="1781" t="s">
        <v>418</v>
      </c>
      <c r="P116" s="1781" t="s">
        <v>10</v>
      </c>
    </row>
    <row r="117" spans="1:24" s="1769" customFormat="1" ht="12.75" hidden="1" customHeight="1">
      <c r="A117" s="1766"/>
      <c r="B117" s="1766"/>
      <c r="C117" s="1767"/>
      <c r="D117" s="1767"/>
      <c r="E117" s="1767"/>
      <c r="F117" s="1767"/>
      <c r="G117" s="1766"/>
      <c r="K117" s="1777"/>
      <c r="L117" s="1777"/>
      <c r="M117" s="1777"/>
      <c r="N117" s="1777"/>
      <c r="O117" s="1777"/>
    </row>
    <row r="118" spans="1:24" s="1769" customFormat="1" ht="12.75" hidden="1" customHeight="1">
      <c r="A118" s="1766"/>
      <c r="B118" s="1766"/>
      <c r="C118" s="1767"/>
      <c r="D118" s="1767"/>
      <c r="E118" s="1767"/>
      <c r="F118" s="1767"/>
      <c r="G118" s="1766"/>
      <c r="H118" s="1769" t="s">
        <v>376</v>
      </c>
      <c r="I118" s="1784" t="s">
        <v>135</v>
      </c>
      <c r="J118" s="1769" t="s">
        <v>375</v>
      </c>
      <c r="K118" s="1785">
        <v>774</v>
      </c>
      <c r="L118" s="1785">
        <v>774</v>
      </c>
      <c r="M118" s="1777">
        <v>498</v>
      </c>
      <c r="N118" s="1777">
        <f t="shared" ref="N118:N125" si="22">SUM($J$87:$J$89)</f>
        <v>433.10134090607488</v>
      </c>
      <c r="O118" s="1786">
        <f>M118*$I$114/$I$112</f>
        <v>550.54348442981882</v>
      </c>
      <c r="P118" s="1786">
        <f>O118-K118</f>
        <v>-223.45651557018118</v>
      </c>
    </row>
    <row r="119" spans="1:24" s="1769" customFormat="1" ht="12.75" hidden="1" customHeight="1">
      <c r="A119" s="1766"/>
      <c r="B119" s="1766"/>
      <c r="C119" s="1767"/>
      <c r="D119" s="1767"/>
      <c r="E119" s="1767"/>
      <c r="F119" s="1767"/>
      <c r="G119" s="1766"/>
      <c r="H119" s="1769" t="s">
        <v>159</v>
      </c>
      <c r="I119" s="1784" t="s">
        <v>371</v>
      </c>
      <c r="J119" s="1769" t="s">
        <v>375</v>
      </c>
      <c r="K119" s="1785">
        <v>522.22608744619902</v>
      </c>
      <c r="L119" s="1785">
        <v>522.22608744619902</v>
      </c>
      <c r="M119" s="1777">
        <v>498</v>
      </c>
      <c r="N119" s="1777">
        <f t="shared" si="22"/>
        <v>433.10134090607488</v>
      </c>
      <c r="O119" s="1786">
        <f>M119*$I$114/$I$112</f>
        <v>550.54348442981882</v>
      </c>
      <c r="P119" s="1786">
        <f t="shared" ref="P119:P121" si="23">O119-K119</f>
        <v>28.317396983619801</v>
      </c>
    </row>
    <row r="120" spans="1:24" s="1769" customFormat="1" ht="12.75" hidden="1" customHeight="1">
      <c r="A120" s="1766"/>
      <c r="B120" s="1766"/>
      <c r="C120" s="1767"/>
      <c r="D120" s="1767"/>
      <c r="E120" s="1767"/>
      <c r="F120" s="1767"/>
      <c r="G120" s="1766"/>
      <c r="H120" s="1769" t="s">
        <v>165</v>
      </c>
      <c r="I120" s="1784" t="s">
        <v>372</v>
      </c>
      <c r="J120" s="1769" t="s">
        <v>375</v>
      </c>
      <c r="K120" s="1785">
        <v>410.09742943305656</v>
      </c>
      <c r="L120" s="1785">
        <v>410.09742943305656</v>
      </c>
      <c r="M120" s="1777">
        <v>498</v>
      </c>
      <c r="N120" s="1777">
        <f t="shared" si="22"/>
        <v>433.10134090607488</v>
      </c>
      <c r="O120" s="1786">
        <f>M120*$I$114/$I$112</f>
        <v>550.54348442981882</v>
      </c>
      <c r="P120" s="1786">
        <f t="shared" si="23"/>
        <v>140.44605499676226</v>
      </c>
      <c r="R120" s="1772"/>
    </row>
    <row r="121" spans="1:24" s="1769" customFormat="1" ht="12.75" hidden="1" customHeight="1">
      <c r="A121" s="1766"/>
      <c r="B121" s="1766"/>
      <c r="C121" s="1767"/>
      <c r="D121" s="1767"/>
      <c r="E121" s="1767"/>
      <c r="F121" s="1767"/>
      <c r="G121" s="1766"/>
      <c r="H121" s="1769" t="s">
        <v>166</v>
      </c>
      <c r="I121" s="1784" t="s">
        <v>373</v>
      </c>
      <c r="J121" s="1769" t="s">
        <v>375</v>
      </c>
      <c r="K121" s="1785">
        <v>389.59255796140371</v>
      </c>
      <c r="L121" s="1785">
        <v>389.59255796140371</v>
      </c>
      <c r="M121" s="1777">
        <v>498</v>
      </c>
      <c r="N121" s="1777">
        <f t="shared" si="22"/>
        <v>433.10134090607488</v>
      </c>
      <c r="O121" s="1786">
        <f>M121*$I$114/$I$112</f>
        <v>550.54348442981882</v>
      </c>
      <c r="P121" s="1786">
        <f t="shared" si="23"/>
        <v>160.9509264684151</v>
      </c>
      <c r="R121" s="1772"/>
    </row>
    <row r="122" spans="1:24" s="1769" customFormat="1" ht="12.75" hidden="1" customHeight="1">
      <c r="A122" s="1766"/>
      <c r="B122" s="1766"/>
      <c r="C122" s="1767"/>
      <c r="D122" s="1767"/>
      <c r="E122" s="1767"/>
      <c r="F122" s="1767"/>
      <c r="G122" s="1766"/>
      <c r="H122" s="1769" t="s">
        <v>376</v>
      </c>
      <c r="I122" s="1784" t="s">
        <v>136</v>
      </c>
      <c r="J122" s="1769" t="s">
        <v>378</v>
      </c>
      <c r="K122" s="1785">
        <v>669.73144900803254</v>
      </c>
      <c r="L122" s="1785">
        <v>669.73144900803254</v>
      </c>
      <c r="M122" s="1777">
        <v>378</v>
      </c>
      <c r="N122" s="1777">
        <f t="shared" si="22"/>
        <v>433.10134090607488</v>
      </c>
      <c r="O122" s="1778">
        <f>$I$113/$I$112*M122</f>
        <v>421.73385457099607</v>
      </c>
      <c r="P122" s="1777">
        <f>O122-K122</f>
        <v>-247.99759443703647</v>
      </c>
      <c r="U122" s="1772"/>
    </row>
    <row r="123" spans="1:24" s="1769" customFormat="1" ht="12.75" hidden="1" customHeight="1">
      <c r="A123" s="1766"/>
      <c r="B123" s="1766"/>
      <c r="C123" s="1767"/>
      <c r="D123" s="1767"/>
      <c r="E123" s="1767"/>
      <c r="F123" s="1767"/>
      <c r="G123" s="1766"/>
      <c r="H123" s="1769" t="s">
        <v>159</v>
      </c>
      <c r="I123" s="1784" t="s">
        <v>97</v>
      </c>
      <c r="J123" s="1769" t="s">
        <v>378</v>
      </c>
      <c r="K123" s="1785">
        <v>477.31358139685079</v>
      </c>
      <c r="L123" s="1785">
        <v>477.31358139685079</v>
      </c>
      <c r="M123" s="1777">
        <v>378</v>
      </c>
      <c r="N123" s="1777">
        <f t="shared" si="22"/>
        <v>433.10134090607488</v>
      </c>
      <c r="O123" s="1778">
        <f>$I$113/$I$112*M123</f>
        <v>421.73385457099607</v>
      </c>
      <c r="P123" s="1777">
        <f t="shared" ref="P123:P125" si="24">O123-K123</f>
        <v>-55.579726825854721</v>
      </c>
      <c r="U123" s="1772"/>
    </row>
    <row r="124" spans="1:24" s="1769" customFormat="1" ht="12.75" hidden="1" customHeight="1">
      <c r="A124" s="1766"/>
      <c r="B124" s="1766"/>
      <c r="C124" s="1767"/>
      <c r="D124" s="1767"/>
      <c r="E124" s="1767"/>
      <c r="F124" s="1767"/>
      <c r="G124" s="1766"/>
      <c r="H124" s="1769" t="s">
        <v>165</v>
      </c>
      <c r="I124" s="1784" t="s">
        <v>98</v>
      </c>
      <c r="J124" s="1769" t="s">
        <v>378</v>
      </c>
      <c r="K124" s="1785">
        <v>437.97987362682073</v>
      </c>
      <c r="L124" s="1785">
        <v>437.97987362682073</v>
      </c>
      <c r="M124" s="1777">
        <v>378</v>
      </c>
      <c r="N124" s="1777">
        <f t="shared" si="22"/>
        <v>433.10134090607488</v>
      </c>
      <c r="O124" s="1778">
        <f>$I$113/$I$112*M124</f>
        <v>421.73385457099607</v>
      </c>
      <c r="P124" s="1777">
        <f t="shared" si="24"/>
        <v>-16.246019055824661</v>
      </c>
      <c r="U124" s="1772"/>
    </row>
    <row r="125" spans="1:24" s="1769" customFormat="1" ht="12.75" hidden="1" customHeight="1">
      <c r="A125" s="1766"/>
      <c r="B125" s="1766"/>
      <c r="C125" s="1767"/>
      <c r="D125" s="1767"/>
      <c r="E125" s="1767"/>
      <c r="F125" s="1767"/>
      <c r="G125" s="1766"/>
      <c r="H125" s="1769" t="s">
        <v>166</v>
      </c>
      <c r="I125" s="1784" t="s">
        <v>99</v>
      </c>
      <c r="J125" s="1769" t="s">
        <v>378</v>
      </c>
      <c r="K125" s="1785">
        <v>421.43524648160013</v>
      </c>
      <c r="L125" s="1785">
        <v>421.43524648160013</v>
      </c>
      <c r="M125" s="1777">
        <v>378</v>
      </c>
      <c r="N125" s="1777">
        <f t="shared" si="22"/>
        <v>433.10134090607488</v>
      </c>
      <c r="O125" s="1778">
        <f>$I$113/$I$112*M125</f>
        <v>421.73385457099607</v>
      </c>
      <c r="P125" s="1777">
        <f t="shared" si="24"/>
        <v>0.29860808939594108</v>
      </c>
      <c r="U125" s="1772"/>
    </row>
    <row r="126" spans="1:24" s="1769" customFormat="1" ht="12.75" hidden="1" customHeight="1">
      <c r="A126" s="1766"/>
      <c r="B126" s="1766"/>
      <c r="C126" s="1767"/>
      <c r="D126" s="1767"/>
      <c r="E126" s="1767"/>
      <c r="F126" s="1767"/>
      <c r="G126" s="1766"/>
      <c r="M126" s="1777"/>
      <c r="N126" s="1777"/>
      <c r="O126" s="1777"/>
      <c r="P126" s="1777"/>
      <c r="X126" s="1772"/>
    </row>
    <row r="127" spans="1:24" s="1769" customFormat="1" ht="12.75" hidden="1" customHeight="1">
      <c r="A127" s="1766"/>
      <c r="B127" s="1766"/>
      <c r="C127" s="1767"/>
      <c r="D127" s="1767"/>
      <c r="E127" s="1767"/>
      <c r="F127" s="1767"/>
      <c r="G127" s="1766"/>
      <c r="M127" s="1777"/>
      <c r="N127" s="1777"/>
      <c r="O127" s="1777"/>
      <c r="P127" s="1777"/>
      <c r="V127" s="1772"/>
    </row>
    <row r="128" spans="1:24" ht="12.75" hidden="1" customHeight="1"/>
    <row r="129" spans="8:12" ht="12.75" hidden="1" customHeight="1"/>
    <row r="130" spans="8:12" ht="12.75" hidden="1" customHeight="1"/>
    <row r="131" spans="8:12" ht="12.75" hidden="1" customHeight="1"/>
    <row r="132" spans="8:12" ht="12.75" hidden="1" customHeight="1"/>
    <row r="133" spans="8:12" ht="12.75" hidden="1" customHeight="1"/>
    <row r="135" spans="8:12" ht="12.75" customHeight="1">
      <c r="H135" s="1400" t="s">
        <v>1851</v>
      </c>
    </row>
    <row r="137" spans="8:12" ht="12.75" customHeight="1">
      <c r="H137" s="1520" t="s">
        <v>718</v>
      </c>
      <c r="I137" s="1521"/>
      <c r="J137" s="1521"/>
      <c r="K137" s="1522"/>
    </row>
    <row r="138" spans="8:12" ht="12.75" customHeight="1">
      <c r="H138" s="1574" t="s">
        <v>1809</v>
      </c>
      <c r="I138" s="1574" t="s">
        <v>1810</v>
      </c>
      <c r="J138" s="1574" t="s">
        <v>1871</v>
      </c>
      <c r="K138" s="1574" t="s">
        <v>1872</v>
      </c>
      <c r="L138" s="1672" t="s">
        <v>1915</v>
      </c>
    </row>
    <row r="139" spans="8:12" ht="12.75" customHeight="1">
      <c r="H139" s="458" t="s">
        <v>1873</v>
      </c>
      <c r="I139" s="458" t="s">
        <v>1874</v>
      </c>
      <c r="J139" s="1215">
        <v>40.449823976845934</v>
      </c>
      <c r="K139" s="458">
        <v>14.2</v>
      </c>
      <c r="L139" s="1787"/>
    </row>
    <row r="140" spans="8:12" ht="12.75" customHeight="1">
      <c r="H140" s="458" t="s">
        <v>1875</v>
      </c>
      <c r="I140" s="458" t="s">
        <v>1874</v>
      </c>
      <c r="J140" s="1215">
        <v>51.803656085517375</v>
      </c>
      <c r="K140" s="458">
        <v>14.2</v>
      </c>
      <c r="L140" s="1787"/>
    </row>
    <row r="141" spans="8:12" ht="12.75" customHeight="1">
      <c r="H141" s="458" t="s">
        <v>1876</v>
      </c>
      <c r="I141" s="458" t="s">
        <v>1874</v>
      </c>
      <c r="J141" s="1215">
        <v>-4.5278579431298001</v>
      </c>
      <c r="K141" s="458">
        <v>14.2</v>
      </c>
      <c r="L141" s="1787"/>
    </row>
    <row r="142" spans="8:12" ht="12.75" customHeight="1">
      <c r="H142" s="458" t="s">
        <v>1877</v>
      </c>
      <c r="I142" s="458" t="s">
        <v>1874</v>
      </c>
      <c r="J142" s="1215">
        <v>6.8259741655416404</v>
      </c>
      <c r="K142" s="458">
        <v>14.2</v>
      </c>
      <c r="L142" s="1787"/>
    </row>
    <row r="143" spans="8:12" ht="12.75" customHeight="1">
      <c r="H143" s="1788" t="s">
        <v>1878</v>
      </c>
      <c r="I143" s="1788" t="s">
        <v>1874</v>
      </c>
      <c r="J143" s="1789">
        <v>23.450751791983297</v>
      </c>
      <c r="K143" s="1788">
        <v>14.2</v>
      </c>
      <c r="L143" s="1787" t="s">
        <v>371</v>
      </c>
    </row>
    <row r="144" spans="8:12" ht="12.75" customHeight="1">
      <c r="H144" s="458" t="s">
        <v>1879</v>
      </c>
      <c r="I144" s="458" t="s">
        <v>1874</v>
      </c>
      <c r="J144" s="1215">
        <v>27.088585608521548</v>
      </c>
      <c r="K144" s="458">
        <v>14.2</v>
      </c>
      <c r="L144" s="1787"/>
    </row>
    <row r="145" spans="8:15" ht="12.75" customHeight="1">
      <c r="H145" s="458" t="s">
        <v>1880</v>
      </c>
      <c r="I145" s="458" t="s">
        <v>1874</v>
      </c>
      <c r="J145" s="1215">
        <v>46.054640730594819</v>
      </c>
      <c r="K145" s="458">
        <v>14.2</v>
      </c>
      <c r="L145" s="1787"/>
    </row>
    <row r="146" spans="8:15" ht="12.75" customHeight="1">
      <c r="H146" s="458" t="s">
        <v>1881</v>
      </c>
      <c r="I146" s="458" t="s">
        <v>1874</v>
      </c>
      <c r="J146" s="1215">
        <v>-12.140163037409501</v>
      </c>
      <c r="K146" s="458">
        <v>14.2</v>
      </c>
      <c r="L146" s="1787"/>
    </row>
    <row r="147" spans="8:15" ht="12.75" customHeight="1">
      <c r="H147" s="458" t="s">
        <v>1882</v>
      </c>
      <c r="I147" s="458" t="s">
        <v>1874</v>
      </c>
      <c r="J147" s="1215">
        <v>6.8258920846637707</v>
      </c>
      <c r="K147" s="458">
        <v>14.2</v>
      </c>
      <c r="L147" s="1787"/>
    </row>
    <row r="148" spans="8:15" ht="12.75" customHeight="1">
      <c r="H148" s="458" t="s">
        <v>1883</v>
      </c>
      <c r="I148" s="458" t="s">
        <v>1874</v>
      </c>
      <c r="J148" s="1215">
        <v>12.688690748540679</v>
      </c>
      <c r="K148" s="458">
        <v>14.2</v>
      </c>
      <c r="L148" s="1787"/>
    </row>
    <row r="149" spans="8:15" ht="12.75" customHeight="1">
      <c r="H149" s="458" t="s">
        <v>1884</v>
      </c>
      <c r="I149" s="458" t="s">
        <v>1874</v>
      </c>
      <c r="J149" s="1215">
        <v>153.59297042915591</v>
      </c>
      <c r="K149" s="458">
        <v>14.2</v>
      </c>
      <c r="L149" s="1787"/>
    </row>
    <row r="150" spans="8:15" ht="12.75" customHeight="1">
      <c r="H150" s="458" t="s">
        <v>1885</v>
      </c>
      <c r="I150" s="458" t="s">
        <v>1874</v>
      </c>
      <c r="J150" s="1215">
        <v>100.48639553881786</v>
      </c>
      <c r="K150" s="458">
        <v>14.2</v>
      </c>
      <c r="L150" s="1787"/>
    </row>
    <row r="151" spans="8:15" ht="12.75" customHeight="1">
      <c r="H151" s="458" t="s">
        <v>1886</v>
      </c>
      <c r="I151" s="458" t="s">
        <v>1874</v>
      </c>
      <c r="J151" s="1215">
        <v>59.933244117858962</v>
      </c>
      <c r="K151" s="458">
        <v>14.2</v>
      </c>
      <c r="L151" s="1787"/>
    </row>
    <row r="152" spans="8:15" ht="12.75" customHeight="1">
      <c r="H152" s="458" t="s">
        <v>1887</v>
      </c>
      <c r="I152" s="458" t="s">
        <v>1874</v>
      </c>
      <c r="J152" s="1215">
        <v>6.8266692275209202</v>
      </c>
      <c r="K152" s="458">
        <v>14.2</v>
      </c>
      <c r="L152" s="1787"/>
      <c r="M152" s="458"/>
      <c r="N152" s="458"/>
      <c r="O152" s="458"/>
    </row>
    <row r="153" spans="8:15" ht="12.75" customHeight="1">
      <c r="H153" s="1788" t="s">
        <v>1888</v>
      </c>
      <c r="I153" s="1788" t="s">
        <v>1874</v>
      </c>
      <c r="J153" s="1789">
        <v>114.58402965143918</v>
      </c>
      <c r="K153" s="1788">
        <v>14.2</v>
      </c>
      <c r="L153" s="1787" t="s">
        <v>372</v>
      </c>
      <c r="M153" s="458"/>
      <c r="N153" s="458"/>
      <c r="O153" s="458"/>
    </row>
    <row r="154" spans="8:15" ht="12.75" customHeight="1">
      <c r="H154" s="458" t="s">
        <v>1889</v>
      </c>
      <c r="I154" s="458" t="s">
        <v>1874</v>
      </c>
      <c r="J154" s="1215">
        <v>131.63686138870509</v>
      </c>
      <c r="K154" s="458">
        <v>14.2</v>
      </c>
      <c r="L154" s="1787"/>
      <c r="M154" s="458"/>
      <c r="N154" s="458"/>
      <c r="O154" s="458"/>
    </row>
    <row r="155" spans="8:15" ht="12.75" customHeight="1">
      <c r="H155" s="458" t="s">
        <v>1890</v>
      </c>
      <c r="I155" s="458" t="s">
        <v>1874</v>
      </c>
      <c r="J155" s="1215">
        <v>64.483009566011617</v>
      </c>
      <c r="K155" s="458">
        <v>14.2</v>
      </c>
      <c r="L155" s="1787"/>
      <c r="M155" s="458"/>
      <c r="N155" s="458"/>
      <c r="O155" s="458"/>
    </row>
    <row r="156" spans="8:15" ht="12.75" customHeight="1">
      <c r="H156" s="458" t="s">
        <v>1891</v>
      </c>
      <c r="I156" s="458" t="s">
        <v>1874</v>
      </c>
      <c r="J156" s="1215">
        <v>49.27553533592868</v>
      </c>
      <c r="K156" s="458">
        <v>14.2</v>
      </c>
      <c r="L156" s="1787"/>
      <c r="M156" s="458"/>
      <c r="N156" s="458"/>
      <c r="O156" s="458"/>
    </row>
    <row r="157" spans="8:15" ht="12.75" customHeight="1">
      <c r="H157" s="458" t="s">
        <v>1892</v>
      </c>
      <c r="I157" s="458" t="s">
        <v>1874</v>
      </c>
      <c r="J157" s="1215">
        <v>-17.878316486764788</v>
      </c>
      <c r="K157" s="458">
        <v>14.2</v>
      </c>
      <c r="L157" s="1787"/>
      <c r="M157" s="458"/>
      <c r="N157" s="458"/>
      <c r="O157" s="458"/>
    </row>
    <row r="158" spans="8:15" ht="12.75" customHeight="1">
      <c r="H158" s="458" t="s">
        <v>1893</v>
      </c>
      <c r="I158" s="458" t="s">
        <v>1874</v>
      </c>
      <c r="J158" s="1215">
        <v>96.371400536145615</v>
      </c>
      <c r="K158" s="458">
        <v>14.2</v>
      </c>
      <c r="L158" s="1787"/>
      <c r="M158" s="458"/>
      <c r="N158" s="458"/>
      <c r="O158" s="458"/>
    </row>
    <row r="159" spans="8:15" ht="12.75" customHeight="1">
      <c r="H159" s="458" t="s">
        <v>1894</v>
      </c>
      <c r="I159" s="458" t="s">
        <v>1874</v>
      </c>
      <c r="J159" s="1215">
        <v>181.14710010451927</v>
      </c>
      <c r="K159" s="458">
        <v>14.2</v>
      </c>
      <c r="L159" s="1787"/>
      <c r="M159" s="458"/>
      <c r="N159" s="458"/>
      <c r="O159" s="458"/>
    </row>
    <row r="160" spans="8:15" ht="12.75" customHeight="1">
      <c r="H160" s="458" t="s">
        <v>1895</v>
      </c>
      <c r="I160" s="458" t="s">
        <v>1874</v>
      </c>
      <c r="J160" s="1215">
        <v>85.561866742652327</v>
      </c>
      <c r="K160" s="458">
        <v>14.2</v>
      </c>
      <c r="L160" s="1787"/>
      <c r="M160" s="458"/>
      <c r="N160" s="458"/>
      <c r="O160" s="458"/>
    </row>
    <row r="161" spans="8:15" ht="12.75" customHeight="1">
      <c r="H161" s="458" t="s">
        <v>1896</v>
      </c>
      <c r="I161" s="458" t="s">
        <v>1874</v>
      </c>
      <c r="J161" s="1215">
        <v>77.707085469191028</v>
      </c>
      <c r="K161" s="458">
        <v>14.2</v>
      </c>
      <c r="L161" s="1787"/>
      <c r="M161" s="458"/>
      <c r="N161" s="458"/>
      <c r="O161" s="458"/>
    </row>
    <row r="162" spans="8:15" ht="12.75" customHeight="1">
      <c r="H162" s="458" t="s">
        <v>1897</v>
      </c>
      <c r="I162" s="458" t="s">
        <v>1874</v>
      </c>
      <c r="J162" s="1215">
        <v>-17.878147892675898</v>
      </c>
      <c r="K162" s="458">
        <v>14.2</v>
      </c>
      <c r="L162" s="1787"/>
      <c r="M162" s="458"/>
      <c r="N162" s="458"/>
      <c r="O162" s="458"/>
    </row>
    <row r="163" spans="8:15" ht="12.75" customHeight="1">
      <c r="H163" s="458" t="s">
        <v>1898</v>
      </c>
      <c r="I163" s="458" t="s">
        <v>1874</v>
      </c>
      <c r="J163" s="1215">
        <v>136.32714919444055</v>
      </c>
      <c r="K163" s="458">
        <v>14.2</v>
      </c>
      <c r="L163" s="1787"/>
      <c r="M163" s="458"/>
      <c r="N163" s="458"/>
      <c r="O163" s="458"/>
    </row>
    <row r="164" spans="8:15" ht="12.75" customHeight="1">
      <c r="H164" s="458" t="s">
        <v>1899</v>
      </c>
      <c r="I164" s="458" t="s">
        <v>1874</v>
      </c>
      <c r="J164" s="1215">
        <v>173.40873775641393</v>
      </c>
      <c r="K164" s="458">
        <v>14.2</v>
      </c>
      <c r="L164" s="1787"/>
      <c r="M164" s="458"/>
      <c r="N164" s="458"/>
      <c r="O164" s="458"/>
    </row>
    <row r="165" spans="8:15" ht="12.75" customHeight="1">
      <c r="H165" s="458" t="s">
        <v>1900</v>
      </c>
      <c r="I165" s="458" t="s">
        <v>1874</v>
      </c>
      <c r="J165" s="1215">
        <v>84.679003063762991</v>
      </c>
      <c r="K165" s="458">
        <v>14.2</v>
      </c>
      <c r="L165" s="1787"/>
      <c r="M165" s="458"/>
      <c r="N165" s="458"/>
      <c r="O165" s="458"/>
    </row>
    <row r="166" spans="8:15" ht="12.75" customHeight="1">
      <c r="H166" s="458" t="s">
        <v>1901</v>
      </c>
      <c r="I166" s="458" t="s">
        <v>1874</v>
      </c>
      <c r="J166" s="1215">
        <v>70.851448682076636</v>
      </c>
      <c r="K166" s="458">
        <v>14.2</v>
      </c>
      <c r="L166" s="1787"/>
      <c r="M166" s="458"/>
      <c r="N166" s="458"/>
      <c r="O166" s="458"/>
    </row>
    <row r="167" spans="8:15" ht="12.75" customHeight="1">
      <c r="H167" s="458" t="s">
        <v>1902</v>
      </c>
      <c r="I167" s="458" t="s">
        <v>1874</v>
      </c>
      <c r="J167" s="1215">
        <v>-17.878286010574307</v>
      </c>
      <c r="K167" s="458">
        <v>14.2</v>
      </c>
      <c r="L167" s="1787"/>
      <c r="M167" s="458"/>
      <c r="N167" s="458"/>
      <c r="O167" s="458"/>
    </row>
    <row r="168" spans="8:15" ht="12.75" customHeight="1">
      <c r="H168" s="1788" t="s">
        <v>1903</v>
      </c>
      <c r="I168" s="1788" t="s">
        <v>1874</v>
      </c>
      <c r="J168" s="1789">
        <v>129.25541548461112</v>
      </c>
      <c r="K168" s="1788">
        <v>14.2</v>
      </c>
      <c r="L168" s="1787" t="s">
        <v>98</v>
      </c>
      <c r="M168" s="458"/>
      <c r="N168" s="458"/>
      <c r="O168" s="458"/>
    </row>
    <row r="169" spans="8:15" ht="12.75" customHeight="1">
      <c r="H169" s="458" t="s">
        <v>1904</v>
      </c>
      <c r="I169" s="458" t="s">
        <v>1874</v>
      </c>
      <c r="J169" s="1215">
        <v>191.95041102135576</v>
      </c>
      <c r="K169" s="458">
        <v>14.2</v>
      </c>
      <c r="L169" s="1787"/>
      <c r="M169" s="458"/>
      <c r="N169" s="458"/>
      <c r="O169" s="458"/>
    </row>
    <row r="170" spans="8:15" ht="12.75" customHeight="1">
      <c r="H170" s="458" t="s">
        <v>1905</v>
      </c>
      <c r="I170" s="458" t="s">
        <v>1874</v>
      </c>
      <c r="J170" s="1215">
        <v>86.264098168937622</v>
      </c>
      <c r="K170" s="458">
        <v>14.2</v>
      </c>
      <c r="L170" s="1787"/>
      <c r="M170" s="458"/>
      <c r="N170" s="458"/>
      <c r="O170" s="458"/>
    </row>
    <row r="171" spans="8:15" ht="12.75" customHeight="1">
      <c r="H171" s="458" t="s">
        <v>1906</v>
      </c>
      <c r="I171" s="458" t="s">
        <v>1874</v>
      </c>
      <c r="J171" s="1215">
        <v>87.808335413272417</v>
      </c>
      <c r="K171" s="458">
        <v>14.2</v>
      </c>
      <c r="L171" s="1787"/>
      <c r="M171" s="458"/>
      <c r="N171" s="458"/>
      <c r="O171" s="458"/>
    </row>
    <row r="172" spans="8:15" ht="12.75" customHeight="1">
      <c r="H172" s="458" t="s">
        <v>1907</v>
      </c>
      <c r="I172" s="458" t="s">
        <v>1874</v>
      </c>
      <c r="J172" s="1215">
        <v>-17.877977439145734</v>
      </c>
      <c r="K172" s="458">
        <v>14.2</v>
      </c>
      <c r="L172" s="1787"/>
    </row>
    <row r="173" spans="8:15" ht="12.75" customHeight="1">
      <c r="H173" s="1788" t="s">
        <v>1908</v>
      </c>
      <c r="I173" s="1788" t="s">
        <v>1874</v>
      </c>
      <c r="J173" s="1789">
        <v>146.38156651663022</v>
      </c>
      <c r="K173" s="1788">
        <v>14.2</v>
      </c>
      <c r="L173" s="1787" t="s">
        <v>99</v>
      </c>
    </row>
    <row r="174" spans="8:15" ht="12.75" customHeight="1">
      <c r="H174" s="458" t="s">
        <v>1909</v>
      </c>
      <c r="I174" s="458" t="s">
        <v>1874</v>
      </c>
      <c r="J174" s="1215">
        <v>185.88656099968981</v>
      </c>
      <c r="K174" s="458">
        <v>14.2</v>
      </c>
      <c r="L174" s="1787"/>
    </row>
    <row r="175" spans="8:15" ht="12.75" customHeight="1">
      <c r="H175" s="458" t="s">
        <v>1910</v>
      </c>
      <c r="I175" s="458" t="s">
        <v>1874</v>
      </c>
      <c r="J175" s="1215">
        <v>109.0006088186324</v>
      </c>
      <c r="K175" s="458">
        <v>14.2</v>
      </c>
      <c r="L175" s="1787"/>
    </row>
    <row r="176" spans="8:15" ht="12.75" customHeight="1">
      <c r="H176" s="458" t="s">
        <v>1911</v>
      </c>
      <c r="I176" s="458" t="s">
        <v>1874</v>
      </c>
      <c r="J176" s="1215">
        <v>59.008854741911655</v>
      </c>
      <c r="K176" s="458">
        <v>14.2</v>
      </c>
      <c r="L176" s="1787"/>
    </row>
    <row r="177" spans="8:12" ht="12.75" customHeight="1">
      <c r="H177" s="458" t="s">
        <v>1912</v>
      </c>
      <c r="I177" s="458" t="s">
        <v>1874</v>
      </c>
      <c r="J177" s="1215">
        <v>-17.87709743914575</v>
      </c>
      <c r="K177" s="458">
        <v>14.2</v>
      </c>
      <c r="L177" s="1787"/>
    </row>
    <row r="178" spans="8:12" ht="12.75" customHeight="1">
      <c r="H178" s="1788" t="s">
        <v>1913</v>
      </c>
      <c r="I178" s="1788" t="s">
        <v>1874</v>
      </c>
      <c r="J178" s="1789">
        <v>132.80984322059967</v>
      </c>
      <c r="K178" s="1788">
        <v>14.2</v>
      </c>
      <c r="L178" s="1787"/>
    </row>
    <row r="179" spans="8:12" ht="12.75" customHeight="1">
      <c r="H179" s="458" t="s">
        <v>1873</v>
      </c>
      <c r="I179" s="458" t="s">
        <v>1914</v>
      </c>
      <c r="J179" s="1215">
        <v>2.6364240622249637</v>
      </c>
      <c r="K179" s="458">
        <v>14.2</v>
      </c>
      <c r="L179" s="1787"/>
    </row>
    <row r="180" spans="8:12" ht="12.75" customHeight="1">
      <c r="H180" s="458" t="s">
        <v>1875</v>
      </c>
      <c r="I180" s="458" t="s">
        <v>1914</v>
      </c>
      <c r="J180" s="1215">
        <v>2.6364240622249637</v>
      </c>
      <c r="K180" s="458">
        <v>14.2</v>
      </c>
      <c r="L180" s="1787"/>
    </row>
    <row r="181" spans="8:12" ht="12.75" customHeight="1">
      <c r="H181" s="458" t="s">
        <v>1876</v>
      </c>
      <c r="I181" s="458" t="s">
        <v>1914</v>
      </c>
      <c r="J181" s="1215">
        <v>2.6364240622249637</v>
      </c>
      <c r="K181" s="458">
        <v>14.2</v>
      </c>
      <c r="L181" s="1787"/>
    </row>
    <row r="182" spans="8:12" ht="12.75" customHeight="1">
      <c r="H182" s="458" t="s">
        <v>1877</v>
      </c>
      <c r="I182" s="458" t="s">
        <v>1914</v>
      </c>
      <c r="J182" s="1215">
        <v>2.6364240622249637</v>
      </c>
      <c r="K182" s="458">
        <v>14.2</v>
      </c>
      <c r="L182" s="1787"/>
    </row>
    <row r="183" spans="8:12" ht="12.75" customHeight="1">
      <c r="H183" s="1788" t="s">
        <v>1878</v>
      </c>
      <c r="I183" s="1788" t="s">
        <v>1914</v>
      </c>
      <c r="J183" s="1789">
        <v>2.6364240622249637</v>
      </c>
      <c r="K183" s="1788">
        <v>14.2</v>
      </c>
      <c r="L183" s="1787" t="s">
        <v>371</v>
      </c>
    </row>
    <row r="184" spans="8:12" ht="12.75" customHeight="1">
      <c r="H184" s="458" t="s">
        <v>1879</v>
      </c>
      <c r="I184" s="458" t="s">
        <v>1914</v>
      </c>
      <c r="J184" s="1215">
        <v>2.4351050711754332</v>
      </c>
      <c r="K184" s="458">
        <v>14.2</v>
      </c>
      <c r="L184" s="1787"/>
    </row>
    <row r="185" spans="8:12" ht="12.75" customHeight="1">
      <c r="H185" s="458" t="s">
        <v>1880</v>
      </c>
      <c r="I185" s="458" t="s">
        <v>1914</v>
      </c>
      <c r="J185" s="1215">
        <v>2.4351050711754332</v>
      </c>
      <c r="K185" s="458">
        <v>14.2</v>
      </c>
      <c r="L185" s="1787"/>
    </row>
    <row r="186" spans="8:12" ht="12.75" customHeight="1">
      <c r="H186" s="458" t="s">
        <v>1881</v>
      </c>
      <c r="I186" s="458" t="s">
        <v>1914</v>
      </c>
      <c r="J186" s="1215">
        <v>2.4351050711754332</v>
      </c>
      <c r="K186" s="458">
        <v>14.2</v>
      </c>
      <c r="L186" s="1787"/>
    </row>
    <row r="187" spans="8:12" ht="12.75" customHeight="1">
      <c r="H187" s="458" t="s">
        <v>1882</v>
      </c>
      <c r="I187" s="458" t="s">
        <v>1914</v>
      </c>
      <c r="J187" s="1215">
        <v>2.4351050711754332</v>
      </c>
      <c r="K187" s="458">
        <v>14.2</v>
      </c>
      <c r="L187" s="1787"/>
    </row>
    <row r="188" spans="8:12" ht="12.75" customHeight="1">
      <c r="H188" s="458" t="s">
        <v>1883</v>
      </c>
      <c r="I188" s="458" t="s">
        <v>1914</v>
      </c>
      <c r="J188" s="1215">
        <v>2.4351050711754332</v>
      </c>
      <c r="K188" s="458">
        <v>14.2</v>
      </c>
      <c r="L188" s="1787"/>
    </row>
    <row r="189" spans="8:12" ht="12.75" customHeight="1">
      <c r="H189" s="458" t="s">
        <v>1884</v>
      </c>
      <c r="I189" s="458" t="s">
        <v>1914</v>
      </c>
      <c r="J189" s="1215">
        <v>4.34119598979927</v>
      </c>
      <c r="K189" s="458">
        <v>14.2</v>
      </c>
      <c r="L189" s="1787"/>
    </row>
    <row r="190" spans="8:12" ht="12.75" customHeight="1">
      <c r="H190" s="458" t="s">
        <v>1885</v>
      </c>
      <c r="I190" s="458" t="s">
        <v>1914</v>
      </c>
      <c r="J190" s="1215">
        <v>4.34119598979927</v>
      </c>
      <c r="K190" s="458">
        <v>14.2</v>
      </c>
      <c r="L190" s="1787"/>
    </row>
    <row r="191" spans="8:12" ht="12.75" customHeight="1">
      <c r="H191" s="458" t="s">
        <v>1886</v>
      </c>
      <c r="I191" s="458" t="s">
        <v>1914</v>
      </c>
      <c r="J191" s="1215">
        <v>4.34119598979927</v>
      </c>
      <c r="K191" s="458">
        <v>14.2</v>
      </c>
      <c r="L191" s="1787"/>
    </row>
    <row r="192" spans="8:12" ht="12.75" customHeight="1">
      <c r="H192" s="458" t="s">
        <v>1887</v>
      </c>
      <c r="I192" s="458" t="s">
        <v>1914</v>
      </c>
      <c r="J192" s="1215">
        <v>4.34119598979927</v>
      </c>
      <c r="K192" s="458">
        <v>14.2</v>
      </c>
      <c r="L192" s="1787"/>
    </row>
    <row r="193" spans="8:12" ht="12.75" customHeight="1">
      <c r="H193" s="1788" t="s">
        <v>1888</v>
      </c>
      <c r="I193" s="1788" t="s">
        <v>1914</v>
      </c>
      <c r="J193" s="1789">
        <v>4.34119598979927</v>
      </c>
      <c r="K193" s="1788">
        <v>14.2</v>
      </c>
      <c r="L193" s="1787" t="s">
        <v>372</v>
      </c>
    </row>
    <row r="194" spans="8:12" ht="12.75" customHeight="1">
      <c r="H194" s="458" t="s">
        <v>1889</v>
      </c>
      <c r="I194" s="458" t="s">
        <v>1914</v>
      </c>
      <c r="J194" s="1215">
        <v>5.3570722175339913</v>
      </c>
      <c r="K194" s="458">
        <v>14.2</v>
      </c>
      <c r="L194" s="1787"/>
    </row>
    <row r="195" spans="8:12" ht="12.75" customHeight="1">
      <c r="H195" s="458" t="s">
        <v>1890</v>
      </c>
      <c r="I195" s="458" t="s">
        <v>1914</v>
      </c>
      <c r="J195" s="1215">
        <v>5.3570722175339913</v>
      </c>
      <c r="K195" s="458">
        <v>14.2</v>
      </c>
      <c r="L195" s="1787"/>
    </row>
    <row r="196" spans="8:12" ht="12.75" customHeight="1">
      <c r="H196" s="458" t="s">
        <v>1891</v>
      </c>
      <c r="I196" s="458" t="s">
        <v>1914</v>
      </c>
      <c r="J196" s="1215">
        <v>5.3570722175339913</v>
      </c>
      <c r="K196" s="458">
        <v>14.2</v>
      </c>
      <c r="L196" s="1787"/>
    </row>
    <row r="197" spans="8:12" ht="12.75" customHeight="1">
      <c r="H197" s="458" t="s">
        <v>1892</v>
      </c>
      <c r="I197" s="458" t="s">
        <v>1914</v>
      </c>
      <c r="J197" s="1215">
        <v>5.3570722175339913</v>
      </c>
      <c r="K197" s="458">
        <v>14.2</v>
      </c>
      <c r="L197" s="1787"/>
    </row>
    <row r="198" spans="8:12" ht="12.75" customHeight="1">
      <c r="H198" s="458" t="s">
        <v>1893</v>
      </c>
      <c r="I198" s="458" t="s">
        <v>1914</v>
      </c>
      <c r="J198" s="1215">
        <v>5.3570722175339913</v>
      </c>
      <c r="K198" s="458">
        <v>14.2</v>
      </c>
      <c r="L198" s="1787"/>
    </row>
    <row r="199" spans="8:12" ht="12.75" customHeight="1">
      <c r="H199" s="458" t="s">
        <v>1894</v>
      </c>
      <c r="I199" s="458" t="s">
        <v>1914</v>
      </c>
      <c r="J199" s="1215">
        <v>5.9672719848187059</v>
      </c>
      <c r="K199" s="458">
        <v>14.2</v>
      </c>
      <c r="L199" s="1787"/>
    </row>
    <row r="200" spans="8:12" ht="12.75" customHeight="1">
      <c r="H200" s="458" t="s">
        <v>1895</v>
      </c>
      <c r="I200" s="458" t="s">
        <v>1914</v>
      </c>
      <c r="J200" s="1215">
        <v>5.9672719848187059</v>
      </c>
      <c r="K200" s="458">
        <v>14.2</v>
      </c>
      <c r="L200" s="1787"/>
    </row>
    <row r="201" spans="8:12" ht="12.75" customHeight="1">
      <c r="H201" s="458" t="s">
        <v>1896</v>
      </c>
      <c r="I201" s="458" t="s">
        <v>1914</v>
      </c>
      <c r="J201" s="1215">
        <v>5.9672719848187059</v>
      </c>
      <c r="K201" s="458">
        <v>14.2</v>
      </c>
      <c r="L201" s="1787"/>
    </row>
    <row r="202" spans="8:12" ht="12.75" customHeight="1">
      <c r="H202" s="458" t="s">
        <v>1897</v>
      </c>
      <c r="I202" s="458" t="s">
        <v>1914</v>
      </c>
      <c r="J202" s="1215">
        <v>5.9672719848187059</v>
      </c>
      <c r="K202" s="458">
        <v>14.2</v>
      </c>
      <c r="L202" s="1787"/>
    </row>
    <row r="203" spans="8:12" ht="12.75" customHeight="1">
      <c r="H203" s="1788" t="s">
        <v>1898</v>
      </c>
      <c r="I203" s="1788" t="s">
        <v>1914</v>
      </c>
      <c r="J203" s="1789">
        <v>5.9672719848187059</v>
      </c>
      <c r="K203" s="1788">
        <v>14.2</v>
      </c>
      <c r="L203" s="1787"/>
    </row>
    <row r="204" spans="8:12" ht="12.75" customHeight="1">
      <c r="H204" s="458" t="s">
        <v>1899</v>
      </c>
      <c r="I204" s="458" t="s">
        <v>1914</v>
      </c>
      <c r="J204" s="1215">
        <v>6.1063631576421651</v>
      </c>
      <c r="K204" s="458">
        <v>14.2</v>
      </c>
      <c r="L204" s="1787"/>
    </row>
    <row r="205" spans="8:12" ht="12.75" customHeight="1">
      <c r="H205" s="458" t="s">
        <v>1900</v>
      </c>
      <c r="I205" s="458" t="s">
        <v>1914</v>
      </c>
      <c r="J205" s="1215">
        <v>6.1063631576421651</v>
      </c>
      <c r="K205" s="458">
        <v>14.2</v>
      </c>
      <c r="L205" s="1787"/>
    </row>
    <row r="206" spans="8:12" ht="12.75" customHeight="1">
      <c r="H206" s="458" t="s">
        <v>1901</v>
      </c>
      <c r="I206" s="458" t="s">
        <v>1914</v>
      </c>
      <c r="J206" s="1215">
        <v>6.1063631576421651</v>
      </c>
      <c r="K206" s="458">
        <v>14.2</v>
      </c>
      <c r="L206" s="1787"/>
    </row>
    <row r="207" spans="8:12" ht="12.75" customHeight="1">
      <c r="H207" s="458" t="s">
        <v>1902</v>
      </c>
      <c r="I207" s="458" t="s">
        <v>1914</v>
      </c>
      <c r="J207" s="1215">
        <v>6.1063631576421651</v>
      </c>
      <c r="K207" s="458">
        <v>14.2</v>
      </c>
      <c r="L207" s="1787"/>
    </row>
    <row r="208" spans="8:12" ht="12.75" customHeight="1">
      <c r="H208" s="1788" t="s">
        <v>1903</v>
      </c>
      <c r="I208" s="1788" t="s">
        <v>1914</v>
      </c>
      <c r="J208" s="1789">
        <v>6.1063631576421651</v>
      </c>
      <c r="K208" s="1788">
        <v>14.2</v>
      </c>
      <c r="L208" s="1787" t="s">
        <v>98</v>
      </c>
    </row>
    <row r="209" spans="1:22" ht="12.75" customHeight="1">
      <c r="H209" s="458" t="s">
        <v>1904</v>
      </c>
      <c r="I209" s="458" t="s">
        <v>1914</v>
      </c>
      <c r="J209" s="1215">
        <v>5.7443001165417362</v>
      </c>
      <c r="K209" s="458">
        <v>14.2</v>
      </c>
      <c r="L209" s="1787"/>
    </row>
    <row r="210" spans="1:22" ht="12.75" customHeight="1">
      <c r="H210" s="458" t="s">
        <v>1905</v>
      </c>
      <c r="I210" s="458" t="s">
        <v>1914</v>
      </c>
      <c r="J210" s="1215">
        <v>5.7443001165417362</v>
      </c>
      <c r="K210" s="458">
        <v>14.2</v>
      </c>
      <c r="L210" s="1787"/>
    </row>
    <row r="211" spans="1:22" ht="12.75" customHeight="1">
      <c r="H211" s="458" t="s">
        <v>1906</v>
      </c>
      <c r="I211" s="458" t="s">
        <v>1914</v>
      </c>
      <c r="J211" s="1215">
        <v>5.7443001165417362</v>
      </c>
      <c r="K211" s="458">
        <v>14.2</v>
      </c>
      <c r="L211" s="1787"/>
    </row>
    <row r="212" spans="1:22" ht="12.75" customHeight="1">
      <c r="H212" s="458" t="s">
        <v>1907</v>
      </c>
      <c r="I212" s="458" t="s">
        <v>1914</v>
      </c>
      <c r="J212" s="1215">
        <v>5.7443001165417362</v>
      </c>
      <c r="K212" s="458">
        <v>14.2</v>
      </c>
      <c r="L212" s="1787"/>
    </row>
    <row r="213" spans="1:22" ht="12.75" customHeight="1">
      <c r="H213" s="1788" t="s">
        <v>1908</v>
      </c>
      <c r="I213" s="1788" t="s">
        <v>1914</v>
      </c>
      <c r="J213" s="1789">
        <v>5.7443001165417362</v>
      </c>
      <c r="K213" s="1788">
        <v>14.2</v>
      </c>
      <c r="L213" s="1787" t="s">
        <v>99</v>
      </c>
    </row>
    <row r="214" spans="1:22" ht="12.75" customHeight="1">
      <c r="H214" s="458" t="s">
        <v>1909</v>
      </c>
      <c r="I214" s="458" t="s">
        <v>1914</v>
      </c>
      <c r="J214" s="1215">
        <v>7.1252198092066399</v>
      </c>
      <c r="K214" s="458">
        <v>14.2</v>
      </c>
      <c r="L214" s="1787"/>
    </row>
    <row r="215" spans="1:22" ht="12.75" customHeight="1">
      <c r="H215" s="458" t="s">
        <v>1910</v>
      </c>
      <c r="I215" s="458" t="s">
        <v>1914</v>
      </c>
      <c r="J215" s="1215">
        <v>7.1252198092066399</v>
      </c>
      <c r="K215" s="458">
        <v>14.2</v>
      </c>
      <c r="L215" s="1787"/>
    </row>
    <row r="216" spans="1:22" ht="12.75" customHeight="1">
      <c r="H216" s="458" t="s">
        <v>1911</v>
      </c>
      <c r="I216" s="458" t="s">
        <v>1914</v>
      </c>
      <c r="J216" s="1215">
        <v>7.1252198092066399</v>
      </c>
      <c r="K216" s="458">
        <v>14.2</v>
      </c>
      <c r="L216" s="1787"/>
    </row>
    <row r="217" spans="1:22" ht="12.75" customHeight="1">
      <c r="H217" s="458" t="s">
        <v>1912</v>
      </c>
      <c r="I217" s="458" t="s">
        <v>1914</v>
      </c>
      <c r="J217" s="1215">
        <v>7.1252198092066399</v>
      </c>
      <c r="K217" s="458">
        <v>14.2</v>
      </c>
      <c r="L217" s="1787"/>
    </row>
    <row r="218" spans="1:22" ht="12.75" customHeight="1">
      <c r="H218" s="1788" t="s">
        <v>1913</v>
      </c>
      <c r="I218" s="1788" t="s">
        <v>1914</v>
      </c>
      <c r="J218" s="1789">
        <v>7.1252198092066399</v>
      </c>
      <c r="K218" s="1788">
        <v>14.2</v>
      </c>
      <c r="L218" s="1787"/>
    </row>
    <row r="222" spans="1:22" ht="12.75" customHeight="1">
      <c r="H222" s="1402" t="s">
        <v>2346</v>
      </c>
    </row>
    <row r="223" spans="1:22" s="2055" customFormat="1" ht="39" customHeight="1">
      <c r="A223" s="460"/>
      <c r="B223" s="460"/>
      <c r="C223" s="461"/>
      <c r="D223" s="461"/>
      <c r="E223" s="461"/>
      <c r="F223" s="461"/>
      <c r="G223" s="460"/>
      <c r="H223" s="2475" t="s">
        <v>2340</v>
      </c>
      <c r="I223" s="2475" t="s">
        <v>2341</v>
      </c>
      <c r="J223" s="2475" t="s">
        <v>2334</v>
      </c>
      <c r="K223" s="2475" t="s">
        <v>2345</v>
      </c>
      <c r="L223" s="2475" t="s">
        <v>2342</v>
      </c>
      <c r="M223" s="2476" t="s">
        <v>2343</v>
      </c>
      <c r="N223" s="2476" t="s">
        <v>2344</v>
      </c>
      <c r="O223" s="2477"/>
      <c r="P223" s="2477"/>
      <c r="V223" s="2478"/>
    </row>
    <row r="224" spans="1:22" ht="30" customHeight="1">
      <c r="H224" s="2472" t="s">
        <v>157</v>
      </c>
      <c r="I224" s="2472" t="s">
        <v>2330</v>
      </c>
      <c r="J224" s="2473">
        <v>42070</v>
      </c>
      <c r="K224" s="2465" t="s">
        <v>2335</v>
      </c>
      <c r="L224" s="2474" t="s">
        <v>1154</v>
      </c>
      <c r="M224" s="2466" t="s">
        <v>1154</v>
      </c>
      <c r="N224" s="2467" t="s">
        <v>1154</v>
      </c>
    </row>
    <row r="225" spans="8:14" ht="30" customHeight="1">
      <c r="H225" s="2472" t="s">
        <v>157</v>
      </c>
      <c r="I225" s="2472" t="s">
        <v>1493</v>
      </c>
      <c r="J225" s="2473">
        <v>42736</v>
      </c>
      <c r="K225" s="2465" t="s">
        <v>2336</v>
      </c>
      <c r="L225" s="2474" t="s">
        <v>158</v>
      </c>
      <c r="M225" s="2466" t="s">
        <v>1154</v>
      </c>
      <c r="N225" s="2467" t="s">
        <v>1154</v>
      </c>
    </row>
    <row r="226" spans="8:14" ht="30" customHeight="1">
      <c r="H226" s="2472" t="s">
        <v>157</v>
      </c>
      <c r="I226" s="2472" t="s">
        <v>1502</v>
      </c>
      <c r="J226" s="2473">
        <v>42736</v>
      </c>
      <c r="K226" s="2465" t="s">
        <v>2336</v>
      </c>
      <c r="L226" s="2474" t="s">
        <v>160</v>
      </c>
      <c r="M226" s="2466" t="s">
        <v>1154</v>
      </c>
      <c r="N226" s="2467" t="s">
        <v>1154</v>
      </c>
    </row>
    <row r="227" spans="8:14" ht="30" customHeight="1">
      <c r="H227" s="2472" t="s">
        <v>157</v>
      </c>
      <c r="I227" s="2472" t="s">
        <v>2331</v>
      </c>
      <c r="J227" s="2473">
        <v>43136</v>
      </c>
      <c r="K227" s="2465" t="s">
        <v>2337</v>
      </c>
      <c r="L227" s="2474" t="s">
        <v>158</v>
      </c>
      <c r="M227" s="2468">
        <v>43136</v>
      </c>
      <c r="N227" s="2469" t="s">
        <v>2339</v>
      </c>
    </row>
    <row r="228" spans="8:14" ht="30" customHeight="1">
      <c r="H228" s="2472" t="s">
        <v>157</v>
      </c>
      <c r="I228" s="2472" t="s">
        <v>2332</v>
      </c>
      <c r="J228" s="2473">
        <v>43136</v>
      </c>
      <c r="K228" s="2469" t="s">
        <v>2338</v>
      </c>
      <c r="L228" s="2474" t="s">
        <v>160</v>
      </c>
      <c r="M228" s="2468">
        <v>43136</v>
      </c>
      <c r="N228" s="2469" t="s">
        <v>2339</v>
      </c>
    </row>
    <row r="229" spans="8:14" ht="30" customHeight="1">
      <c r="H229" s="2472" t="s">
        <v>157</v>
      </c>
      <c r="I229" s="2472" t="s">
        <v>2333</v>
      </c>
      <c r="J229" s="2473">
        <v>43136</v>
      </c>
      <c r="K229" s="2469" t="s">
        <v>2338</v>
      </c>
      <c r="L229" s="2474" t="s">
        <v>160</v>
      </c>
      <c r="M229" s="2468">
        <v>43136</v>
      </c>
      <c r="N229" s="2469" t="s">
        <v>2339</v>
      </c>
    </row>
    <row r="230" spans="8:14" ht="30" customHeight="1">
      <c r="H230" s="2472" t="s">
        <v>431</v>
      </c>
      <c r="I230" s="2472" t="s">
        <v>2330</v>
      </c>
      <c r="J230" s="2473">
        <v>42070</v>
      </c>
      <c r="K230" s="2465" t="s">
        <v>2335</v>
      </c>
      <c r="L230" s="2474" t="s">
        <v>1154</v>
      </c>
      <c r="M230" s="2466" t="s">
        <v>1154</v>
      </c>
      <c r="N230" s="2467" t="s">
        <v>1154</v>
      </c>
    </row>
    <row r="231" spans="8:14" ht="30" customHeight="1">
      <c r="H231" s="2472" t="s">
        <v>431</v>
      </c>
      <c r="I231" s="2472" t="s">
        <v>1493</v>
      </c>
      <c r="J231" s="2473">
        <v>42736</v>
      </c>
      <c r="K231" s="2465" t="s">
        <v>2336</v>
      </c>
      <c r="L231" s="2474" t="s">
        <v>158</v>
      </c>
      <c r="M231" s="2466" t="s">
        <v>1154</v>
      </c>
      <c r="N231" s="2467" t="s">
        <v>1154</v>
      </c>
    </row>
    <row r="232" spans="8:14" ht="30" customHeight="1">
      <c r="H232" s="2472" t="s">
        <v>431</v>
      </c>
      <c r="I232" s="2472" t="s">
        <v>1502</v>
      </c>
      <c r="J232" s="2473">
        <v>42736</v>
      </c>
      <c r="K232" s="2465" t="s">
        <v>2336</v>
      </c>
      <c r="L232" s="2474" t="s">
        <v>158</v>
      </c>
      <c r="M232" s="2466" t="s">
        <v>1154</v>
      </c>
      <c r="N232" s="2467" t="s">
        <v>1154</v>
      </c>
    </row>
    <row r="233" spans="8:14" ht="30" customHeight="1">
      <c r="H233" s="2472" t="s">
        <v>431</v>
      </c>
      <c r="I233" s="2472" t="s">
        <v>2331</v>
      </c>
      <c r="J233" s="2473">
        <v>43136</v>
      </c>
      <c r="K233" s="2465" t="s">
        <v>2337</v>
      </c>
      <c r="L233" s="2474" t="s">
        <v>1154</v>
      </c>
      <c r="M233" s="2466" t="s">
        <v>1154</v>
      </c>
      <c r="N233" s="2467" t="s">
        <v>1154</v>
      </c>
    </row>
    <row r="234" spans="8:14" ht="30" customHeight="1">
      <c r="H234" s="2472" t="s">
        <v>431</v>
      </c>
      <c r="I234" s="2472" t="s">
        <v>2332</v>
      </c>
      <c r="J234" s="2473">
        <v>43136</v>
      </c>
      <c r="K234" s="2470" t="s">
        <v>2338</v>
      </c>
      <c r="L234" s="2474" t="s">
        <v>158</v>
      </c>
      <c r="M234" s="2466" t="s">
        <v>1154</v>
      </c>
      <c r="N234" s="2467" t="s">
        <v>1154</v>
      </c>
    </row>
    <row r="235" spans="8:14" ht="30" customHeight="1">
      <c r="H235" s="2472" t="s">
        <v>431</v>
      </c>
      <c r="I235" s="2472" t="s">
        <v>2333</v>
      </c>
      <c r="J235" s="2473">
        <v>43136</v>
      </c>
      <c r="K235" s="2470" t="s">
        <v>2338</v>
      </c>
      <c r="L235" s="2474" t="s">
        <v>158</v>
      </c>
      <c r="M235" s="2466" t="s">
        <v>1154</v>
      </c>
      <c r="N235" s="2467" t="s">
        <v>1154</v>
      </c>
    </row>
  </sheetData>
  <autoFilter ref="A5:AD29">
    <filterColumn colId="11">
      <filters>
        <filter val="2020"/>
        <filter val="2021"/>
      </filters>
    </filterColumn>
    <filterColumn colId="21">
      <filters>
        <filter val="0.00"/>
        <filter val="0.04"/>
        <filter val="0.22"/>
        <filter val="0.25"/>
      </filters>
    </filterColumn>
  </autoFilter>
  <dataConsolidate/>
  <mergeCells count="7">
    <mergeCell ref="T4:V4"/>
    <mergeCell ref="H32:L34"/>
    <mergeCell ref="I2:L2"/>
    <mergeCell ref="A4:G4"/>
    <mergeCell ref="H4:L4"/>
    <mergeCell ref="M4:Q4"/>
    <mergeCell ref="R4:S4"/>
  </mergeCells>
  <dataValidations count="2">
    <dataValidation type="list" allowBlank="1" showInputMessage="1" showErrorMessage="1" sqref="AB2">
      <formula1>$AD$2:$AD$3</formula1>
    </dataValidation>
    <dataValidation type="list" allowBlank="1" showInputMessage="1" showErrorMessage="1" sqref="S2">
      <formula1>Source_list</formula1>
    </dataValidation>
  </dataValidations>
  <hyperlinks>
    <hyperlink ref="H1" location="' Summary by Program 2020-21'!H1" display="Summary Page"/>
    <hyperlink ref="K224" r:id="rId1"/>
    <hyperlink ref="K227" r:id="rId2"/>
    <hyperlink ref="K226" r:id="rId3"/>
    <hyperlink ref="K225" r:id="rId4"/>
    <hyperlink ref="K228" r:id="rId5"/>
    <hyperlink ref="K229" r:id="rId6"/>
    <hyperlink ref="K230" r:id="rId7"/>
    <hyperlink ref="K231" r:id="rId8"/>
    <hyperlink ref="K232" r:id="rId9"/>
    <hyperlink ref="K233" r:id="rId10"/>
    <hyperlink ref="K234" r:id="rId11"/>
    <hyperlink ref="K235" r:id="rId12"/>
    <hyperlink ref="N228" r:id="rId13"/>
    <hyperlink ref="N229" r:id="rId14"/>
    <hyperlink ref="N227" r:id="rId15"/>
    <hyperlink ref="K5" location="Clothes_Washers!A222" display="Tier"/>
  </hyperlinks>
  <pageMargins left="0.7" right="0.7" top="0.75" bottom="0.75" header="0.3" footer="0.3"/>
  <pageSetup scale="18" orientation="portrait" r:id="rId16"/>
  <ignoredErrors>
    <ignoredError sqref="L44:L46 L48:L51" formulaRange="1"/>
  </ignoredErrors>
  <legacyDrawing r:id="rId17"/>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filterMode="1">
    <tabColor rgb="FF0083CA"/>
    <pageSetUpPr fitToPage="1"/>
  </sheetPr>
  <dimension ref="A1:AD234"/>
  <sheetViews>
    <sheetView topLeftCell="H1" workbookViewId="0">
      <selection activeCell="H1" sqref="H1"/>
    </sheetView>
  </sheetViews>
  <sheetFormatPr defaultColWidth="18.6640625" defaultRowHeight="12.75" customHeight="1" outlineLevelCol="1"/>
  <cols>
    <col min="1" max="1" width="5.88671875" style="460" hidden="1" customWidth="1" outlineLevel="1"/>
    <col min="2" max="2" width="9.44140625" style="460" hidden="1" customWidth="1" outlineLevel="1"/>
    <col min="3" max="3" width="8.109375" style="461" hidden="1" customWidth="1" outlineLevel="1"/>
    <col min="4" max="4" width="6.33203125" style="461" hidden="1" customWidth="1" outlineLevel="1"/>
    <col min="5" max="5" width="13.88671875" style="461" hidden="1" customWidth="1" outlineLevel="1"/>
    <col min="6" max="6" width="12.33203125" style="461" hidden="1" customWidth="1" outlineLevel="1"/>
    <col min="7" max="7" width="17.109375" style="460" hidden="1" customWidth="1" outlineLevel="1"/>
    <col min="8" max="8" width="17.109375" style="462" customWidth="1" collapsed="1"/>
    <col min="9" max="9" width="23.5546875" style="462" customWidth="1"/>
    <col min="10" max="10" width="30" style="462" customWidth="1"/>
    <col min="11" max="11" width="20.44140625" style="462" customWidth="1"/>
    <col min="12" max="12" width="10.109375" style="462" customWidth="1"/>
    <col min="13" max="13" width="14.88671875" style="463" customWidth="1"/>
    <col min="14" max="14" width="16.109375" style="463" customWidth="1"/>
    <col min="15" max="15" width="13.88671875" style="463" customWidth="1"/>
    <col min="16" max="16" width="22.5546875" style="463" customWidth="1"/>
    <col min="17" max="17" width="9.33203125" style="462" customWidth="1"/>
    <col min="18" max="18" width="11.6640625" style="462" customWidth="1"/>
    <col min="19" max="19" width="41.88671875" style="462" customWidth="1"/>
    <col min="20" max="20" width="9" style="462" customWidth="1"/>
    <col min="21" max="21" width="10.33203125" style="462" customWidth="1"/>
    <col min="22" max="22" width="12.6640625" style="464" customWidth="1"/>
    <col min="23" max="23" width="19.5546875" style="462" customWidth="1"/>
    <col min="24" max="16384" width="18.6640625" style="462"/>
  </cols>
  <sheetData>
    <row r="1" spans="1:30" ht="12.75" customHeight="1">
      <c r="H1" s="239" t="s">
        <v>1067</v>
      </c>
    </row>
    <row r="2" spans="1:30" ht="36.75" customHeight="1">
      <c r="E2" s="461" t="str">
        <f>"2019RES_201403_P8T1"</f>
        <v>2019RES_201403_P8T1</v>
      </c>
      <c r="H2" s="1164" t="str">
        <f>I6&amp;":"</f>
        <v>Retail Product Portfolio:</v>
      </c>
      <c r="I2" s="2875" t="str">
        <f>INDEX(Programs!C:C,MATCH(I7,Programs!B:B,0))</f>
        <v>The Retail Product Portfolio initiative uses mid-stream incentives to influence retail stocking practices, ultimately driving manufacturing and standards for a portfolio of energy-efficient product sold through the retail channel.</v>
      </c>
      <c r="J2" s="2875"/>
      <c r="K2" s="2875"/>
      <c r="L2" s="2875"/>
      <c r="Q2" s="458"/>
      <c r="R2" s="1632" t="s">
        <v>1152</v>
      </c>
      <c r="S2" s="925" t="s">
        <v>1870</v>
      </c>
      <c r="AD2" s="462" t="s">
        <v>419</v>
      </c>
    </row>
    <row r="3" spans="1:30" ht="18" customHeight="1">
      <c r="E3" s="461" t="s">
        <v>626</v>
      </c>
      <c r="F3" s="461" t="b">
        <f>E3=E2</f>
        <v>1</v>
      </c>
      <c r="H3" s="926"/>
      <c r="M3" s="1380"/>
      <c r="AD3" s="462" t="s">
        <v>420</v>
      </c>
    </row>
    <row r="4" spans="1:30" s="458" customFormat="1" ht="15.75" customHeight="1">
      <c r="A4" s="2876" t="s">
        <v>131</v>
      </c>
      <c r="B4" s="2877"/>
      <c r="C4" s="2877"/>
      <c r="D4" s="2877"/>
      <c r="E4" s="2877"/>
      <c r="F4" s="2877"/>
      <c r="G4" s="2878"/>
      <c r="H4" s="2879" t="s">
        <v>7</v>
      </c>
      <c r="I4" s="2880"/>
      <c r="J4" s="2880"/>
      <c r="K4" s="2880"/>
      <c r="L4" s="2959"/>
      <c r="M4" s="2881" t="s">
        <v>127</v>
      </c>
      <c r="N4" s="2882"/>
      <c r="O4" s="2882"/>
      <c r="P4" s="2882"/>
      <c r="Q4" s="2883"/>
      <c r="R4" s="2884" t="s">
        <v>129</v>
      </c>
      <c r="S4" s="2885"/>
      <c r="T4" s="2872" t="s">
        <v>130</v>
      </c>
      <c r="U4" s="2873"/>
      <c r="V4" s="2874"/>
    </row>
    <row r="5" spans="1:30" s="931" customFormat="1" ht="38.25" customHeight="1" thickBot="1">
      <c r="A5" s="927" t="s">
        <v>0</v>
      </c>
      <c r="B5" s="928" t="s">
        <v>11</v>
      </c>
      <c r="C5" s="929" t="s">
        <v>1</v>
      </c>
      <c r="D5" s="929" t="s">
        <v>2</v>
      </c>
      <c r="E5" s="929" t="s">
        <v>266</v>
      </c>
      <c r="F5" s="929" t="s">
        <v>306</v>
      </c>
      <c r="G5" s="930" t="s">
        <v>12</v>
      </c>
      <c r="H5" s="1112" t="s">
        <v>3</v>
      </c>
      <c r="I5" s="1112" t="s">
        <v>4</v>
      </c>
      <c r="J5" s="1112" t="s">
        <v>5</v>
      </c>
      <c r="K5" s="2480" t="s">
        <v>6</v>
      </c>
      <c r="L5" s="1112" t="s">
        <v>8</v>
      </c>
      <c r="M5" s="2397" t="s">
        <v>13</v>
      </c>
      <c r="N5" s="1112" t="s">
        <v>14</v>
      </c>
      <c r="O5" s="1112" t="s">
        <v>123</v>
      </c>
      <c r="P5" s="1112" t="s">
        <v>124</v>
      </c>
      <c r="Q5" s="1114" t="s">
        <v>16</v>
      </c>
      <c r="R5" s="2397" t="s">
        <v>871</v>
      </c>
      <c r="S5" s="1114" t="s">
        <v>125</v>
      </c>
      <c r="T5" s="1113" t="s">
        <v>126</v>
      </c>
      <c r="U5" s="1112" t="s">
        <v>18</v>
      </c>
      <c r="V5" s="1115" t="s">
        <v>17</v>
      </c>
    </row>
    <row r="6" spans="1:30" ht="12.75" hidden="1" customHeight="1" thickTop="1">
      <c r="A6" s="498" t="s">
        <v>711</v>
      </c>
      <c r="B6" s="499" t="str">
        <f t="shared" ref="B6:B17" si="0">LEFT(A6,10)</f>
        <v>RES_201403</v>
      </c>
      <c r="C6" s="499">
        <v>0</v>
      </c>
      <c r="D6" s="499">
        <v>0</v>
      </c>
      <c r="E6" s="499">
        <f t="shared" ref="E6:E37" si="1">COUNTIFS($A:$A,A6,$L:$L,L6)</f>
        <v>1</v>
      </c>
      <c r="F6" s="499">
        <v>1</v>
      </c>
      <c r="G6" s="500" t="b">
        <v>1</v>
      </c>
      <c r="H6" s="549" t="str">
        <f>IF(LEFT(A6,3)="Res","Residential",IF(LEFT(A6,3)="Ind","industrial",IF(LEFT(A6,3)="Com","Commercial",IF(LEFT(A6,3)="AGR","Agriculture",""))))</f>
        <v>Residential</v>
      </c>
      <c r="I6" s="550" t="s">
        <v>155</v>
      </c>
      <c r="J6" s="550" t="s">
        <v>433</v>
      </c>
      <c r="K6" s="550" t="s">
        <v>1461</v>
      </c>
      <c r="L6" s="23">
        <v>2019</v>
      </c>
      <c r="M6" s="511">
        <v>26.293997359999999</v>
      </c>
      <c r="N6" s="512">
        <v>0</v>
      </c>
      <c r="O6" s="512">
        <v>0</v>
      </c>
      <c r="P6" s="317" t="s">
        <v>1321</v>
      </c>
      <c r="Q6" s="505">
        <v>0.14199999999999999</v>
      </c>
      <c r="R6" s="551">
        <f>$J$95+$J$85</f>
        <v>10.00330702793846</v>
      </c>
      <c r="S6" s="39" t="s">
        <v>710</v>
      </c>
      <c r="T6" s="552">
        <f>(M6-O6)*Q6*R6/8760000</f>
        <v>4.2636785227067839E-6</v>
      </c>
      <c r="U6" s="553">
        <f t="shared" ref="U6:U17" si="2">IFERROR((N6-O6/M6*N6)*Q6*R6/8760/1000,0)</f>
        <v>0</v>
      </c>
      <c r="V6" s="554">
        <f t="shared" ref="V6:V17" si="3">T6-U6</f>
        <v>4.2636785227067839E-6</v>
      </c>
    </row>
    <row r="7" spans="1:30" ht="12.75" hidden="1" customHeight="1">
      <c r="A7" s="498" t="s">
        <v>712</v>
      </c>
      <c r="B7" s="499" t="str">
        <f t="shared" si="0"/>
        <v>RES_201403</v>
      </c>
      <c r="C7" s="499">
        <v>0</v>
      </c>
      <c r="D7" s="499">
        <v>0</v>
      </c>
      <c r="E7" s="499">
        <f t="shared" si="1"/>
        <v>1</v>
      </c>
      <c r="F7" s="499">
        <v>1</v>
      </c>
      <c r="G7" s="500" t="b">
        <v>1</v>
      </c>
      <c r="H7" s="555" t="str">
        <f t="shared" ref="H7:H11" si="4">IF(LEFT(A7,3)="Res","Residential",IF(LEFT(A7,3)="Ind","industrial",IF(LEFT(A7,3)="Com","Commercial",IF(LEFT(A7,3)="AGR","Agriculture",""))))</f>
        <v>Residential</v>
      </c>
      <c r="I7" s="502" t="s">
        <v>155</v>
      </c>
      <c r="J7" s="502" t="s">
        <v>433</v>
      </c>
      <c r="K7" s="502" t="s">
        <v>486</v>
      </c>
      <c r="L7" s="24">
        <v>2019</v>
      </c>
      <c r="M7" s="511">
        <v>304.44104067000001</v>
      </c>
      <c r="N7" s="512">
        <v>0</v>
      </c>
      <c r="O7" s="512">
        <v>0</v>
      </c>
      <c r="P7" s="318" t="s">
        <v>1321</v>
      </c>
      <c r="Q7" s="505">
        <v>0.14199999999999999</v>
      </c>
      <c r="R7" s="556">
        <v>0</v>
      </c>
      <c r="S7" s="278" t="s">
        <v>1382</v>
      </c>
      <c r="T7" s="507">
        <f>(M7-O7)*Q7*R7/8760000</f>
        <v>0</v>
      </c>
      <c r="U7" s="508">
        <f t="shared" si="2"/>
        <v>0</v>
      </c>
      <c r="V7" s="509">
        <f t="shared" si="3"/>
        <v>0</v>
      </c>
    </row>
    <row r="8" spans="1:30" ht="12.75" hidden="1" customHeight="1">
      <c r="A8" s="498" t="s">
        <v>711</v>
      </c>
      <c r="B8" s="499" t="str">
        <f t="shared" si="0"/>
        <v>RES_201403</v>
      </c>
      <c r="C8" s="499">
        <v>0</v>
      </c>
      <c r="D8" s="499">
        <v>0</v>
      </c>
      <c r="E8" s="499">
        <f t="shared" si="1"/>
        <v>1</v>
      </c>
      <c r="F8" s="499">
        <v>1</v>
      </c>
      <c r="G8" s="500" t="b">
        <v>1</v>
      </c>
      <c r="H8" s="555" t="str">
        <f t="shared" si="4"/>
        <v>Residential</v>
      </c>
      <c r="I8" s="502" t="s">
        <v>155</v>
      </c>
      <c r="J8" s="502" t="s">
        <v>433</v>
      </c>
      <c r="K8" s="502" t="s">
        <v>1461</v>
      </c>
      <c r="L8" s="24">
        <v>2018</v>
      </c>
      <c r="M8" s="511">
        <v>973.41975298</v>
      </c>
      <c r="N8" s="512">
        <v>0</v>
      </c>
      <c r="O8" s="512">
        <v>0</v>
      </c>
      <c r="P8" s="318" t="s">
        <v>1321</v>
      </c>
      <c r="Q8" s="505">
        <v>0.14199999999999999</v>
      </c>
      <c r="R8" s="557">
        <f>$J$95+$J$85</f>
        <v>10.00330702793846</v>
      </c>
      <c r="S8" s="71" t="s">
        <v>710</v>
      </c>
      <c r="T8" s="507">
        <f t="shared" ref="T8:T23" si="5">(M8-O8)*Q8*R8/8760000</f>
        <v>1.5784396862658575E-4</v>
      </c>
      <c r="U8" s="508">
        <f t="shared" si="2"/>
        <v>0</v>
      </c>
      <c r="V8" s="509">
        <f>T8-U8</f>
        <v>1.5784396862658575E-4</v>
      </c>
    </row>
    <row r="9" spans="1:30" ht="12.75" hidden="1" customHeight="1">
      <c r="A9" s="498" t="s">
        <v>712</v>
      </c>
      <c r="B9" s="499" t="str">
        <f t="shared" si="0"/>
        <v>RES_201403</v>
      </c>
      <c r="C9" s="499">
        <v>0</v>
      </c>
      <c r="D9" s="499">
        <v>0</v>
      </c>
      <c r="E9" s="499">
        <f t="shared" si="1"/>
        <v>1</v>
      </c>
      <c r="F9" s="499">
        <v>1</v>
      </c>
      <c r="G9" s="500" t="b">
        <v>1</v>
      </c>
      <c r="H9" s="558" t="str">
        <f t="shared" si="4"/>
        <v>Residential</v>
      </c>
      <c r="I9" s="559" t="s">
        <v>155</v>
      </c>
      <c r="J9" s="559" t="s">
        <v>433</v>
      </c>
      <c r="K9" s="559" t="s">
        <v>486</v>
      </c>
      <c r="L9" s="277">
        <v>2018</v>
      </c>
      <c r="M9" s="560">
        <v>0</v>
      </c>
      <c r="N9" s="561">
        <v>0</v>
      </c>
      <c r="O9" s="561">
        <v>0</v>
      </c>
      <c r="P9" s="319" t="s">
        <v>1321</v>
      </c>
      <c r="Q9" s="562">
        <v>0</v>
      </c>
      <c r="R9" s="563">
        <v>0</v>
      </c>
      <c r="S9" s="316" t="s">
        <v>1382</v>
      </c>
      <c r="T9" s="564">
        <f t="shared" si="5"/>
        <v>0</v>
      </c>
      <c r="U9" s="565">
        <f t="shared" si="2"/>
        <v>0</v>
      </c>
      <c r="V9" s="566">
        <f t="shared" si="3"/>
        <v>0</v>
      </c>
    </row>
    <row r="10" spans="1:30" ht="12.75" hidden="1" customHeight="1">
      <c r="A10" s="460" t="s">
        <v>713</v>
      </c>
      <c r="B10" s="499" t="str">
        <f t="shared" si="0"/>
        <v>RES_201403</v>
      </c>
      <c r="C10" s="499">
        <v>0</v>
      </c>
      <c r="D10" s="499">
        <v>0</v>
      </c>
      <c r="E10" s="499">
        <f t="shared" si="1"/>
        <v>1</v>
      </c>
      <c r="F10" s="499">
        <v>1</v>
      </c>
      <c r="G10" s="500" t="b">
        <v>1</v>
      </c>
      <c r="H10" s="567" t="str">
        <f t="shared" si="4"/>
        <v>Residential</v>
      </c>
      <c r="I10" s="568" t="s">
        <v>155</v>
      </c>
      <c r="J10" s="568" t="s">
        <v>476</v>
      </c>
      <c r="K10" s="568" t="s">
        <v>1461</v>
      </c>
      <c r="L10" s="245">
        <v>2018</v>
      </c>
      <c r="M10" s="569">
        <v>17457.098021419999</v>
      </c>
      <c r="N10" s="570">
        <v>0</v>
      </c>
      <c r="O10" s="570">
        <v>0</v>
      </c>
      <c r="P10" s="320" t="s">
        <v>1321</v>
      </c>
      <c r="Q10" s="571">
        <v>0.14199999999999999</v>
      </c>
      <c r="R10" s="572">
        <f>$J$80+$J$90</f>
        <v>22.866299871619692</v>
      </c>
      <c r="S10" s="246" t="s">
        <v>710</v>
      </c>
      <c r="T10" s="573">
        <f t="shared" si="5"/>
        <v>6.4707136793309226E-3</v>
      </c>
      <c r="U10" s="574">
        <f t="shared" si="2"/>
        <v>0</v>
      </c>
      <c r="V10" s="575">
        <f t="shared" si="3"/>
        <v>6.4707136793309226E-3</v>
      </c>
    </row>
    <row r="11" spans="1:30" ht="12.75" hidden="1" customHeight="1">
      <c r="A11" s="460" t="s">
        <v>714</v>
      </c>
      <c r="B11" s="499" t="str">
        <f t="shared" si="0"/>
        <v>RES_201403</v>
      </c>
      <c r="C11" s="499">
        <v>0</v>
      </c>
      <c r="D11" s="499">
        <v>0</v>
      </c>
      <c r="E11" s="499">
        <f t="shared" si="1"/>
        <v>1</v>
      </c>
      <c r="F11" s="499">
        <v>1</v>
      </c>
      <c r="G11" s="500" t="b">
        <v>1</v>
      </c>
      <c r="H11" s="555" t="str">
        <f t="shared" si="4"/>
        <v>Residential</v>
      </c>
      <c r="I11" s="502" t="s">
        <v>155</v>
      </c>
      <c r="J11" s="502" t="s">
        <v>476</v>
      </c>
      <c r="K11" s="502" t="s">
        <v>486</v>
      </c>
      <c r="L11" s="24">
        <v>2018</v>
      </c>
      <c r="M11" s="511">
        <v>0</v>
      </c>
      <c r="N11" s="512">
        <v>0</v>
      </c>
      <c r="O11" s="512">
        <v>0</v>
      </c>
      <c r="P11" s="318" t="s">
        <v>1321</v>
      </c>
      <c r="Q11" s="505">
        <v>0</v>
      </c>
      <c r="R11" s="556">
        <v>0</v>
      </c>
      <c r="S11" s="278" t="s">
        <v>1382</v>
      </c>
      <c r="T11" s="507">
        <f t="shared" si="5"/>
        <v>0</v>
      </c>
      <c r="U11" s="508">
        <f t="shared" si="2"/>
        <v>0</v>
      </c>
      <c r="V11" s="509">
        <f t="shared" si="3"/>
        <v>0</v>
      </c>
    </row>
    <row r="12" spans="1:30" ht="12.75" hidden="1" customHeight="1">
      <c r="A12" s="460" t="s">
        <v>713</v>
      </c>
      <c r="B12" s="499" t="str">
        <f t="shared" si="0"/>
        <v>RES_201403</v>
      </c>
      <c r="C12" s="499">
        <v>0</v>
      </c>
      <c r="D12" s="499">
        <v>0</v>
      </c>
      <c r="E12" s="499">
        <f t="shared" si="1"/>
        <v>1</v>
      </c>
      <c r="F12" s="499">
        <v>1</v>
      </c>
      <c r="G12" s="500" t="b">
        <v>1</v>
      </c>
      <c r="H12" s="555" t="str">
        <f>IF(LEFT(A12,3)="Res","Residential",IF(LEFT(A12,3)="Ind","industrial",IF(LEFT(A12,3)="Com","Commercial",IF(LEFT(A12,3)="AGR","Agriculture",""))))</f>
        <v>Residential</v>
      </c>
      <c r="I12" s="502" t="s">
        <v>155</v>
      </c>
      <c r="J12" s="502" t="s">
        <v>476</v>
      </c>
      <c r="K12" s="502" t="s">
        <v>1461</v>
      </c>
      <c r="L12" s="24">
        <v>2019</v>
      </c>
      <c r="M12" s="511">
        <v>16613.754851630001</v>
      </c>
      <c r="N12" s="512">
        <v>0</v>
      </c>
      <c r="O12" s="512">
        <v>0</v>
      </c>
      <c r="P12" s="318" t="s">
        <v>1321</v>
      </c>
      <c r="Q12" s="505">
        <v>0.14199999999999999</v>
      </c>
      <c r="R12" s="557">
        <f>$J$80+$J$90</f>
        <v>22.866299871619692</v>
      </c>
      <c r="S12" s="71" t="s">
        <v>710</v>
      </c>
      <c r="T12" s="507">
        <f t="shared" si="5"/>
        <v>6.1581169247939081E-3</v>
      </c>
      <c r="U12" s="508">
        <f t="shared" si="2"/>
        <v>0</v>
      </c>
      <c r="V12" s="509">
        <f t="shared" si="3"/>
        <v>6.1581169247939081E-3</v>
      </c>
    </row>
    <row r="13" spans="1:30" ht="12.75" hidden="1" customHeight="1">
      <c r="A13" s="460" t="s">
        <v>714</v>
      </c>
      <c r="B13" s="499" t="str">
        <f t="shared" si="0"/>
        <v>RES_201403</v>
      </c>
      <c r="C13" s="499">
        <v>0</v>
      </c>
      <c r="D13" s="499">
        <v>0</v>
      </c>
      <c r="E13" s="499">
        <f t="shared" si="1"/>
        <v>1</v>
      </c>
      <c r="F13" s="499">
        <v>1</v>
      </c>
      <c r="G13" s="500" t="b">
        <v>1</v>
      </c>
      <c r="H13" s="576" t="str">
        <f t="shared" ref="H13:H17" si="6">IF(LEFT(A13,3)="Res","Residential",IF(LEFT(A13,3)="Ind","industrial",IF(LEFT(A13,3)="Com","Commercial",IF(LEFT(A13,3)="AGR","Agriculture",""))))</f>
        <v>Residential</v>
      </c>
      <c r="I13" s="577" t="s">
        <v>155</v>
      </c>
      <c r="J13" s="577" t="s">
        <v>476</v>
      </c>
      <c r="K13" s="577" t="s">
        <v>486</v>
      </c>
      <c r="L13" s="243">
        <v>2019</v>
      </c>
      <c r="M13" s="519">
        <v>0</v>
      </c>
      <c r="N13" s="520">
        <v>0</v>
      </c>
      <c r="O13" s="520">
        <v>0</v>
      </c>
      <c r="P13" s="321" t="s">
        <v>1321</v>
      </c>
      <c r="Q13" s="521">
        <v>0</v>
      </c>
      <c r="R13" s="578">
        <v>0</v>
      </c>
      <c r="S13" s="370" t="s">
        <v>1382</v>
      </c>
      <c r="T13" s="528">
        <f t="shared" si="5"/>
        <v>0</v>
      </c>
      <c r="U13" s="529">
        <f t="shared" si="2"/>
        <v>0</v>
      </c>
      <c r="V13" s="530">
        <f t="shared" si="3"/>
        <v>0</v>
      </c>
    </row>
    <row r="14" spans="1:30" ht="12.75" hidden="1" customHeight="1">
      <c r="A14" s="460" t="s">
        <v>715</v>
      </c>
      <c r="B14" s="499" t="str">
        <f t="shared" si="0"/>
        <v>RES_201403</v>
      </c>
      <c r="C14" s="499">
        <v>0</v>
      </c>
      <c r="D14" s="499">
        <v>0</v>
      </c>
      <c r="E14" s="499">
        <f t="shared" si="1"/>
        <v>1</v>
      </c>
      <c r="F14" s="499">
        <v>1</v>
      </c>
      <c r="G14" s="500" t="b">
        <v>1</v>
      </c>
      <c r="H14" s="579" t="str">
        <f t="shared" si="6"/>
        <v>Residential</v>
      </c>
      <c r="I14" s="580" t="s">
        <v>155</v>
      </c>
      <c r="J14" s="580" t="s">
        <v>429</v>
      </c>
      <c r="K14" s="580" t="s">
        <v>1461</v>
      </c>
      <c r="L14" s="279">
        <v>2018</v>
      </c>
      <c r="M14" s="581">
        <v>1542.0319709400001</v>
      </c>
      <c r="N14" s="570">
        <v>0</v>
      </c>
      <c r="O14" s="582">
        <v>0</v>
      </c>
      <c r="P14" s="322" t="s">
        <v>1321</v>
      </c>
      <c r="Q14" s="583">
        <v>0.14199999999999999</v>
      </c>
      <c r="R14" s="584">
        <f>$J$80+$J$90</f>
        <v>22.866299871619692</v>
      </c>
      <c r="S14" s="369" t="s">
        <v>710</v>
      </c>
      <c r="T14" s="585">
        <f t="shared" si="5"/>
        <v>5.7157537616412172E-4</v>
      </c>
      <c r="U14" s="586">
        <f t="shared" si="2"/>
        <v>0</v>
      </c>
      <c r="V14" s="587">
        <f t="shared" si="3"/>
        <v>5.7157537616412172E-4</v>
      </c>
    </row>
    <row r="15" spans="1:30" ht="12.75" hidden="1" customHeight="1">
      <c r="A15" s="460" t="s">
        <v>716</v>
      </c>
      <c r="B15" s="499" t="str">
        <f t="shared" si="0"/>
        <v>RES_201403</v>
      </c>
      <c r="C15" s="499">
        <v>0</v>
      </c>
      <c r="D15" s="499">
        <v>0</v>
      </c>
      <c r="E15" s="499">
        <f t="shared" si="1"/>
        <v>1</v>
      </c>
      <c r="F15" s="499">
        <v>1</v>
      </c>
      <c r="G15" s="500" t="b">
        <v>1</v>
      </c>
      <c r="H15" s="555" t="str">
        <f t="shared" si="6"/>
        <v>Residential</v>
      </c>
      <c r="I15" s="502" t="s">
        <v>155</v>
      </c>
      <c r="J15" s="502" t="s">
        <v>429</v>
      </c>
      <c r="K15" s="502" t="s">
        <v>486</v>
      </c>
      <c r="L15" s="24">
        <v>2018</v>
      </c>
      <c r="M15" s="511">
        <v>196.10623978000001</v>
      </c>
      <c r="N15" s="512">
        <v>0</v>
      </c>
      <c r="O15" s="512">
        <v>0</v>
      </c>
      <c r="P15" s="318" t="s">
        <v>1321</v>
      </c>
      <c r="Q15" s="505">
        <v>0.14199999999999999</v>
      </c>
      <c r="R15" s="556">
        <f>M116</f>
        <v>44.254756986366608</v>
      </c>
      <c r="S15" s="414" t="s">
        <v>1322</v>
      </c>
      <c r="T15" s="507">
        <f t="shared" si="5"/>
        <v>1.4068105318108603E-4</v>
      </c>
      <c r="U15" s="508">
        <f t="shared" si="2"/>
        <v>0</v>
      </c>
      <c r="V15" s="509">
        <f t="shared" si="3"/>
        <v>1.4068105318108603E-4</v>
      </c>
    </row>
    <row r="16" spans="1:30" ht="12.75" hidden="1" customHeight="1">
      <c r="A16" s="460" t="s">
        <v>715</v>
      </c>
      <c r="B16" s="499" t="str">
        <f t="shared" si="0"/>
        <v>RES_201403</v>
      </c>
      <c r="C16" s="499">
        <v>0</v>
      </c>
      <c r="D16" s="499">
        <v>0</v>
      </c>
      <c r="E16" s="499">
        <f t="shared" si="1"/>
        <v>1</v>
      </c>
      <c r="F16" s="499">
        <v>1</v>
      </c>
      <c r="G16" s="500" t="b">
        <v>1</v>
      </c>
      <c r="H16" s="555" t="str">
        <f t="shared" si="6"/>
        <v>Residential</v>
      </c>
      <c r="I16" s="502" t="s">
        <v>155</v>
      </c>
      <c r="J16" s="502" t="s">
        <v>429</v>
      </c>
      <c r="K16" s="502" t="s">
        <v>1461</v>
      </c>
      <c r="L16" s="24">
        <v>2019</v>
      </c>
      <c r="M16" s="511">
        <v>1801.7091053700001</v>
      </c>
      <c r="N16" s="512">
        <v>0</v>
      </c>
      <c r="O16" s="512">
        <v>0</v>
      </c>
      <c r="P16" s="318" t="s">
        <v>1321</v>
      </c>
      <c r="Q16" s="505">
        <v>0.14199999999999999</v>
      </c>
      <c r="R16" s="557">
        <f>$J$80+$J$90</f>
        <v>22.866299871619692</v>
      </c>
      <c r="S16" s="71" t="s">
        <v>710</v>
      </c>
      <c r="T16" s="507">
        <f t="shared" si="5"/>
        <v>6.678282805073247E-4</v>
      </c>
      <c r="U16" s="508">
        <f t="shared" si="2"/>
        <v>0</v>
      </c>
      <c r="V16" s="509">
        <f t="shared" si="3"/>
        <v>6.678282805073247E-4</v>
      </c>
    </row>
    <row r="17" spans="1:23" ht="12.75" hidden="1" customHeight="1">
      <c r="A17" s="460" t="s">
        <v>716</v>
      </c>
      <c r="B17" s="499" t="str">
        <f t="shared" si="0"/>
        <v>RES_201403</v>
      </c>
      <c r="C17" s="499">
        <v>0</v>
      </c>
      <c r="D17" s="499">
        <v>0</v>
      </c>
      <c r="E17" s="499">
        <f t="shared" si="1"/>
        <v>1</v>
      </c>
      <c r="F17" s="499">
        <v>1</v>
      </c>
      <c r="G17" s="500" t="b">
        <v>1</v>
      </c>
      <c r="H17" s="558" t="str">
        <f t="shared" si="6"/>
        <v>Residential</v>
      </c>
      <c r="I17" s="559" t="s">
        <v>155</v>
      </c>
      <c r="J17" s="559" t="s">
        <v>429</v>
      </c>
      <c r="K17" s="559" t="s">
        <v>486</v>
      </c>
      <c r="L17" s="277">
        <v>2019</v>
      </c>
      <c r="M17" s="560">
        <v>23.762813699999999</v>
      </c>
      <c r="N17" s="561">
        <v>0</v>
      </c>
      <c r="O17" s="561">
        <v>0</v>
      </c>
      <c r="P17" s="319" t="s">
        <v>1321</v>
      </c>
      <c r="Q17" s="562">
        <v>0.14199999999999999</v>
      </c>
      <c r="R17" s="556">
        <f>R15</f>
        <v>44.254756986366608</v>
      </c>
      <c r="S17" s="415" t="s">
        <v>1322</v>
      </c>
      <c r="T17" s="564">
        <f t="shared" si="5"/>
        <v>1.7046768433336079E-5</v>
      </c>
      <c r="U17" s="565">
        <f t="shared" si="2"/>
        <v>0</v>
      </c>
      <c r="V17" s="566">
        <f t="shared" si="3"/>
        <v>1.7046768433336079E-5</v>
      </c>
    </row>
    <row r="18" spans="1:23" ht="12.75" hidden="1" customHeight="1">
      <c r="A18" s="460" t="s">
        <v>95</v>
      </c>
      <c r="B18" s="499" t="str">
        <f t="shared" ref="B18:B23" si="7">LEFT(A18,10)</f>
        <v>RES_201403</v>
      </c>
      <c r="C18" s="499">
        <v>0</v>
      </c>
      <c r="D18" s="499">
        <v>0</v>
      </c>
      <c r="E18" s="499">
        <f t="shared" si="1"/>
        <v>1</v>
      </c>
      <c r="F18" s="499">
        <v>1</v>
      </c>
      <c r="G18" s="499" t="b">
        <v>1</v>
      </c>
      <c r="H18" s="567" t="str">
        <f t="shared" ref="H18:H23" si="8">IF(LEFT(A18,3)="Res","Residential",IF(LEFT(A18,3)="Ind","industrial",IF(LEFT(A18,3)="Com","Commercial",IF(LEFT(A18,3)="AGR","Agriculture",""))))</f>
        <v>Residential</v>
      </c>
      <c r="I18" s="568" t="s">
        <v>155</v>
      </c>
      <c r="J18" s="568" t="s">
        <v>465</v>
      </c>
      <c r="K18" s="568" t="s">
        <v>534</v>
      </c>
      <c r="L18" s="245">
        <v>2018</v>
      </c>
      <c r="M18" s="569">
        <v>3080.86117844</v>
      </c>
      <c r="N18" s="570">
        <v>101</v>
      </c>
      <c r="O18" s="570">
        <v>0</v>
      </c>
      <c r="P18" s="320" t="s">
        <v>1321</v>
      </c>
      <c r="Q18" s="571">
        <v>0.14199999999999999</v>
      </c>
      <c r="R18" s="572">
        <f>$J$76+$J$86</f>
        <v>9.1857176090665753</v>
      </c>
      <c r="S18" s="246" t="s">
        <v>710</v>
      </c>
      <c r="T18" s="573">
        <f t="shared" si="5"/>
        <v>4.5874300804335597E-4</v>
      </c>
      <c r="U18" s="574">
        <f t="shared" ref="U18:U23" si="9">IFERROR((N18-O18/M18*N18)*Q18*R18/8760/1000,0)</f>
        <v>1.5038991090095069E-5</v>
      </c>
      <c r="V18" s="575">
        <f t="shared" ref="V18:V23" si="10">T18-U18</f>
        <v>4.437040169532609E-4</v>
      </c>
    </row>
    <row r="19" spans="1:23" ht="12.75" hidden="1" customHeight="1">
      <c r="A19" s="460" t="s">
        <v>96</v>
      </c>
      <c r="B19" s="499" t="str">
        <f t="shared" si="7"/>
        <v>RES_201403</v>
      </c>
      <c r="C19" s="499">
        <v>0</v>
      </c>
      <c r="D19" s="499">
        <v>0</v>
      </c>
      <c r="E19" s="499">
        <f t="shared" si="1"/>
        <v>1</v>
      </c>
      <c r="F19" s="499">
        <v>1</v>
      </c>
      <c r="G19" s="499" t="b">
        <v>1</v>
      </c>
      <c r="H19" s="555" t="str">
        <f t="shared" si="8"/>
        <v>Residential</v>
      </c>
      <c r="I19" s="502" t="s">
        <v>155</v>
      </c>
      <c r="J19" s="502" t="s">
        <v>465</v>
      </c>
      <c r="K19" s="502" t="s">
        <v>502</v>
      </c>
      <c r="L19" s="24">
        <v>2018</v>
      </c>
      <c r="M19" s="511">
        <v>33451.840729800002</v>
      </c>
      <c r="N19" s="512">
        <v>0</v>
      </c>
      <c r="O19" s="512">
        <v>0</v>
      </c>
      <c r="P19" s="318" t="s">
        <v>1321</v>
      </c>
      <c r="Q19" s="505">
        <v>0.14199999999999999</v>
      </c>
      <c r="R19" s="557">
        <f>$J$77+$J$87</f>
        <v>40.551553324551662</v>
      </c>
      <c r="S19" s="71" t="s">
        <v>710</v>
      </c>
      <c r="T19" s="507">
        <f t="shared" si="5"/>
        <v>2.1989317653945541E-2</v>
      </c>
      <c r="U19" s="508">
        <f t="shared" si="9"/>
        <v>0</v>
      </c>
      <c r="V19" s="509">
        <f t="shared" si="10"/>
        <v>2.1989317653945541E-2</v>
      </c>
    </row>
    <row r="20" spans="1:23" ht="12.75" hidden="1" customHeight="1">
      <c r="A20" s="460" t="s">
        <v>603</v>
      </c>
      <c r="B20" s="499" t="str">
        <f t="shared" si="7"/>
        <v>RES_201403</v>
      </c>
      <c r="C20" s="499">
        <v>0</v>
      </c>
      <c r="D20" s="499">
        <v>0</v>
      </c>
      <c r="E20" s="499">
        <f t="shared" si="1"/>
        <v>1</v>
      </c>
      <c r="F20" s="499">
        <v>1</v>
      </c>
      <c r="G20" s="499" t="b">
        <v>1</v>
      </c>
      <c r="H20" s="555" t="str">
        <f t="shared" si="8"/>
        <v>Residential</v>
      </c>
      <c r="I20" s="502" t="s">
        <v>155</v>
      </c>
      <c r="J20" s="502" t="s">
        <v>466</v>
      </c>
      <c r="K20" s="502" t="s">
        <v>534</v>
      </c>
      <c r="L20" s="24">
        <v>2018</v>
      </c>
      <c r="M20" s="511">
        <v>11460.686736789999</v>
      </c>
      <c r="N20" s="512">
        <v>425.27886556999999</v>
      </c>
      <c r="O20" s="512">
        <v>0</v>
      </c>
      <c r="P20" s="318" t="s">
        <v>1321</v>
      </c>
      <c r="Q20" s="505">
        <v>0.14199999999999999</v>
      </c>
      <c r="R20" s="557">
        <f>$J$76+$J$86</f>
        <v>9.1857176090665753</v>
      </c>
      <c r="S20" s="71" t="s">
        <v>710</v>
      </c>
      <c r="T20" s="507">
        <f t="shared" si="5"/>
        <v>1.7065065912965896E-3</v>
      </c>
      <c r="U20" s="508">
        <f t="shared" si="9"/>
        <v>6.3324406634781869E-5</v>
      </c>
      <c r="V20" s="509">
        <f t="shared" si="10"/>
        <v>1.6431821846618077E-3</v>
      </c>
    </row>
    <row r="21" spans="1:23" ht="12.75" hidden="1" customHeight="1">
      <c r="A21" s="460" t="s">
        <v>604</v>
      </c>
      <c r="B21" s="499" t="str">
        <f t="shared" si="7"/>
        <v>RES_201403</v>
      </c>
      <c r="C21" s="499">
        <v>0</v>
      </c>
      <c r="D21" s="499">
        <v>0</v>
      </c>
      <c r="E21" s="499">
        <f t="shared" si="1"/>
        <v>1</v>
      </c>
      <c r="F21" s="499">
        <v>1</v>
      </c>
      <c r="G21" s="499" t="b">
        <v>1</v>
      </c>
      <c r="H21" s="555" t="str">
        <f t="shared" si="8"/>
        <v>Residential</v>
      </c>
      <c r="I21" s="502" t="s">
        <v>155</v>
      </c>
      <c r="J21" s="502" t="s">
        <v>466</v>
      </c>
      <c r="K21" s="502" t="s">
        <v>502</v>
      </c>
      <c r="L21" s="24">
        <v>2018</v>
      </c>
      <c r="M21" s="511">
        <v>250.38090579000001</v>
      </c>
      <c r="N21" s="512">
        <v>0</v>
      </c>
      <c r="O21" s="512">
        <v>0</v>
      </c>
      <c r="P21" s="318" t="s">
        <v>1321</v>
      </c>
      <c r="Q21" s="505">
        <v>0.14199999999999999</v>
      </c>
      <c r="R21" s="557">
        <f>$J$77+$J$87</f>
        <v>40.551553324551662</v>
      </c>
      <c r="S21" s="71" t="s">
        <v>710</v>
      </c>
      <c r="T21" s="507">
        <f t="shared" si="5"/>
        <v>1.6458601834111504E-4</v>
      </c>
      <c r="U21" s="508">
        <f t="shared" si="9"/>
        <v>0</v>
      </c>
      <c r="V21" s="509">
        <f t="shared" si="10"/>
        <v>1.6458601834111504E-4</v>
      </c>
    </row>
    <row r="22" spans="1:23" ht="12.75" hidden="1" customHeight="1">
      <c r="A22" s="460" t="s">
        <v>601</v>
      </c>
      <c r="B22" s="499" t="str">
        <f t="shared" si="7"/>
        <v>RES_201403</v>
      </c>
      <c r="C22" s="499">
        <v>0</v>
      </c>
      <c r="D22" s="499">
        <v>0</v>
      </c>
      <c r="E22" s="499">
        <f t="shared" si="1"/>
        <v>1</v>
      </c>
      <c r="F22" s="499">
        <v>1</v>
      </c>
      <c r="G22" s="499" t="b">
        <v>1</v>
      </c>
      <c r="H22" s="555" t="str">
        <f t="shared" si="8"/>
        <v>Residential</v>
      </c>
      <c r="I22" s="502" t="s">
        <v>155</v>
      </c>
      <c r="J22" s="502" t="s">
        <v>464</v>
      </c>
      <c r="K22" s="502" t="s">
        <v>534</v>
      </c>
      <c r="L22" s="24">
        <v>2018</v>
      </c>
      <c r="M22" s="511">
        <v>117231.8691565</v>
      </c>
      <c r="N22" s="512">
        <v>5402.0016925999998</v>
      </c>
      <c r="O22" s="512">
        <v>0</v>
      </c>
      <c r="P22" s="318" t="s">
        <v>1321</v>
      </c>
      <c r="Q22" s="505">
        <v>0.14199999999999999</v>
      </c>
      <c r="R22" s="557">
        <f>$J$76+$J$86</f>
        <v>9.1857176090665753</v>
      </c>
      <c r="S22" s="71" t="s">
        <v>710</v>
      </c>
      <c r="T22" s="507">
        <f t="shared" si="5"/>
        <v>1.7455931046730641E-2</v>
      </c>
      <c r="U22" s="508">
        <f t="shared" si="9"/>
        <v>8.0436292399692962E-4</v>
      </c>
      <c r="V22" s="509">
        <f t="shared" si="10"/>
        <v>1.6651568122733711E-2</v>
      </c>
    </row>
    <row r="23" spans="1:23" ht="12.75" hidden="1" customHeight="1">
      <c r="A23" s="460" t="s">
        <v>602</v>
      </c>
      <c r="B23" s="499" t="str">
        <f t="shared" si="7"/>
        <v>RES_201403</v>
      </c>
      <c r="C23" s="499">
        <v>0</v>
      </c>
      <c r="D23" s="499">
        <v>0</v>
      </c>
      <c r="E23" s="499">
        <f t="shared" si="1"/>
        <v>1</v>
      </c>
      <c r="F23" s="499">
        <v>1</v>
      </c>
      <c r="G23" s="499" t="b">
        <v>1</v>
      </c>
      <c r="H23" s="555" t="str">
        <f t="shared" si="8"/>
        <v>Residential</v>
      </c>
      <c r="I23" s="502" t="s">
        <v>155</v>
      </c>
      <c r="J23" s="502" t="s">
        <v>464</v>
      </c>
      <c r="K23" s="502" t="s">
        <v>502</v>
      </c>
      <c r="L23" s="24">
        <v>2018</v>
      </c>
      <c r="M23" s="511">
        <v>1818.71844629</v>
      </c>
      <c r="N23" s="512">
        <v>1</v>
      </c>
      <c r="O23" s="512">
        <v>0</v>
      </c>
      <c r="P23" s="318" t="s">
        <v>1321</v>
      </c>
      <c r="Q23" s="505">
        <v>0.14199999999999999</v>
      </c>
      <c r="R23" s="557">
        <f>$J$77+$J$87</f>
        <v>40.551553324551662</v>
      </c>
      <c r="S23" s="71" t="s">
        <v>710</v>
      </c>
      <c r="T23" s="507">
        <f t="shared" si="5"/>
        <v>1.1955209867699319E-3</v>
      </c>
      <c r="U23" s="508">
        <f t="shared" si="9"/>
        <v>6.5734253106008392E-7</v>
      </c>
      <c r="V23" s="509">
        <f t="shared" si="10"/>
        <v>1.1948636442388719E-3</v>
      </c>
    </row>
    <row r="24" spans="1:23" ht="12.75" hidden="1" customHeight="1">
      <c r="A24" s="460" t="s">
        <v>1655</v>
      </c>
      <c r="B24" s="499" t="str">
        <f t="shared" ref="B24:B31" si="11">LEFT(A24,10)</f>
        <v>RES_201403</v>
      </c>
      <c r="C24" s="499">
        <v>0</v>
      </c>
      <c r="D24" s="499">
        <v>0</v>
      </c>
      <c r="E24" s="499">
        <f t="shared" si="1"/>
        <v>1</v>
      </c>
      <c r="F24" s="499">
        <v>1</v>
      </c>
      <c r="G24" s="499" t="b">
        <v>1</v>
      </c>
      <c r="H24" s="555" t="s">
        <v>300</v>
      </c>
      <c r="I24" s="502" t="s">
        <v>155</v>
      </c>
      <c r="J24" s="502" t="s">
        <v>757</v>
      </c>
      <c r="K24" s="502" t="s">
        <v>534</v>
      </c>
      <c r="L24" s="24">
        <v>2018</v>
      </c>
      <c r="M24" s="511">
        <v>0</v>
      </c>
      <c r="N24" s="512">
        <v>0</v>
      </c>
      <c r="O24" s="512">
        <v>0</v>
      </c>
      <c r="P24" s="318" t="s">
        <v>1321</v>
      </c>
      <c r="Q24" s="505">
        <v>0</v>
      </c>
      <c r="R24" s="557">
        <f>J81+J91</f>
        <v>2.4760727015489725</v>
      </c>
      <c r="S24" s="71" t="s">
        <v>710</v>
      </c>
      <c r="T24" s="507"/>
      <c r="U24" s="508"/>
      <c r="V24" s="509"/>
      <c r="W24" s="1391" t="s">
        <v>483</v>
      </c>
    </row>
    <row r="25" spans="1:23" ht="12.75" hidden="1" customHeight="1">
      <c r="A25" s="460" t="s">
        <v>1656</v>
      </c>
      <c r="B25" s="499" t="str">
        <f t="shared" si="11"/>
        <v>RES_201403</v>
      </c>
      <c r="C25" s="499">
        <v>0</v>
      </c>
      <c r="D25" s="499">
        <v>0</v>
      </c>
      <c r="E25" s="499">
        <f t="shared" si="1"/>
        <v>1</v>
      </c>
      <c r="F25" s="499">
        <v>1</v>
      </c>
      <c r="G25" s="499" t="b">
        <v>1</v>
      </c>
      <c r="H25" s="576" t="s">
        <v>300</v>
      </c>
      <c r="I25" s="577" t="s">
        <v>155</v>
      </c>
      <c r="J25" s="577" t="s">
        <v>757</v>
      </c>
      <c r="K25" s="577" t="s">
        <v>502</v>
      </c>
      <c r="L25" s="243">
        <v>2018</v>
      </c>
      <c r="M25" s="519">
        <v>0</v>
      </c>
      <c r="N25" s="520">
        <v>0</v>
      </c>
      <c r="O25" s="520">
        <v>0</v>
      </c>
      <c r="P25" s="321" t="s">
        <v>1321</v>
      </c>
      <c r="Q25" s="521">
        <v>0</v>
      </c>
      <c r="R25" s="588">
        <f>J82+J92</f>
        <v>12.995272019156459</v>
      </c>
      <c r="S25" s="244" t="s">
        <v>710</v>
      </c>
      <c r="T25" s="528"/>
      <c r="U25" s="529"/>
      <c r="V25" s="530"/>
      <c r="W25" s="1391" t="s">
        <v>483</v>
      </c>
    </row>
    <row r="26" spans="1:23" ht="12.75" hidden="1" customHeight="1">
      <c r="A26" s="460" t="s">
        <v>95</v>
      </c>
      <c r="B26" s="499" t="str">
        <f t="shared" si="11"/>
        <v>RES_201403</v>
      </c>
      <c r="C26" s="499">
        <v>0</v>
      </c>
      <c r="D26" s="499">
        <v>0</v>
      </c>
      <c r="E26" s="499">
        <f t="shared" si="1"/>
        <v>1</v>
      </c>
      <c r="F26" s="499">
        <v>1</v>
      </c>
      <c r="G26" s="499" t="b">
        <v>1</v>
      </c>
      <c r="H26" s="567" t="str">
        <f t="shared" ref="H26:H31" si="12">IF(LEFT(A26,3)="Res","Residential",IF(LEFT(A26,3)="Ind","industrial",IF(LEFT(A26,3)="Com","Commercial",IF(LEFT(A26,3)="AGR","Agriculture",""))))</f>
        <v>Residential</v>
      </c>
      <c r="I26" s="568" t="s">
        <v>155</v>
      </c>
      <c r="J26" s="568" t="s">
        <v>465</v>
      </c>
      <c r="K26" s="568" t="s">
        <v>534</v>
      </c>
      <c r="L26" s="245">
        <v>2019</v>
      </c>
      <c r="M26" s="569">
        <v>1452.1284439399999</v>
      </c>
      <c r="N26" s="570">
        <v>101</v>
      </c>
      <c r="O26" s="570">
        <v>0</v>
      </c>
      <c r="P26" s="320" t="s">
        <v>1321</v>
      </c>
      <c r="Q26" s="571">
        <v>0.14199999999999999</v>
      </c>
      <c r="R26" s="572">
        <f>$J$76+$J$86</f>
        <v>9.1857176090665753</v>
      </c>
      <c r="S26" s="246" t="s">
        <v>710</v>
      </c>
      <c r="T26" s="573">
        <f t="shared" ref="T26:T31" si="13">(M26-O26)*Q26*R26/8760000</f>
        <v>2.1622323495135916E-4</v>
      </c>
      <c r="U26" s="574">
        <f t="shared" ref="U26:U31" si="14">IFERROR((N26-O26/M26*N26)*Q26*R26/8760/1000,0)</f>
        <v>1.5038991090095069E-5</v>
      </c>
      <c r="V26" s="575">
        <f t="shared" ref="V26:V31" si="15">T26-U26</f>
        <v>2.0118424386126409E-4</v>
      </c>
      <c r="W26" s="1391"/>
    </row>
    <row r="27" spans="1:23" ht="12.75" hidden="1" customHeight="1">
      <c r="A27" s="460" t="s">
        <v>96</v>
      </c>
      <c r="B27" s="499" t="str">
        <f t="shared" si="11"/>
        <v>RES_201403</v>
      </c>
      <c r="C27" s="499">
        <v>0</v>
      </c>
      <c r="D27" s="499">
        <v>0</v>
      </c>
      <c r="E27" s="499">
        <f t="shared" si="1"/>
        <v>1</v>
      </c>
      <c r="F27" s="499">
        <v>1</v>
      </c>
      <c r="G27" s="499" t="b">
        <v>1</v>
      </c>
      <c r="H27" s="555" t="str">
        <f t="shared" si="12"/>
        <v>Residential</v>
      </c>
      <c r="I27" s="502" t="s">
        <v>155</v>
      </c>
      <c r="J27" s="502" t="s">
        <v>465</v>
      </c>
      <c r="K27" s="502" t="s">
        <v>502</v>
      </c>
      <c r="L27" s="24">
        <v>2019</v>
      </c>
      <c r="M27" s="511">
        <v>35080.573464300003</v>
      </c>
      <c r="N27" s="512">
        <v>0</v>
      </c>
      <c r="O27" s="512">
        <v>0</v>
      </c>
      <c r="P27" s="318" t="s">
        <v>1321</v>
      </c>
      <c r="Q27" s="505">
        <v>0.14199999999999999</v>
      </c>
      <c r="R27" s="557">
        <f>$J$77+$J$87</f>
        <v>40.551553324551662</v>
      </c>
      <c r="S27" s="71" t="s">
        <v>710</v>
      </c>
      <c r="T27" s="507">
        <f t="shared" si="13"/>
        <v>2.3059952952062181E-2</v>
      </c>
      <c r="U27" s="508">
        <f t="shared" si="14"/>
        <v>0</v>
      </c>
      <c r="V27" s="509">
        <f t="shared" si="15"/>
        <v>2.3059952952062181E-2</v>
      </c>
      <c r="W27" s="1391"/>
    </row>
    <row r="28" spans="1:23" ht="12.75" hidden="1" customHeight="1">
      <c r="A28" s="460" t="s">
        <v>603</v>
      </c>
      <c r="B28" s="499" t="str">
        <f t="shared" si="11"/>
        <v>RES_201403</v>
      </c>
      <c r="C28" s="499">
        <v>0</v>
      </c>
      <c r="D28" s="499">
        <v>0</v>
      </c>
      <c r="E28" s="499">
        <f t="shared" si="1"/>
        <v>1</v>
      </c>
      <c r="F28" s="499">
        <v>1</v>
      </c>
      <c r="G28" s="499" t="b">
        <v>1</v>
      </c>
      <c r="H28" s="555" t="str">
        <f t="shared" si="12"/>
        <v>Residential</v>
      </c>
      <c r="I28" s="502" t="s">
        <v>155</v>
      </c>
      <c r="J28" s="502" t="s">
        <v>466</v>
      </c>
      <c r="K28" s="502" t="s">
        <v>534</v>
      </c>
      <c r="L28" s="24">
        <v>2019</v>
      </c>
      <c r="M28" s="511">
        <v>13690.196774219999</v>
      </c>
      <c r="N28" s="512">
        <v>425.27886556999999</v>
      </c>
      <c r="O28" s="512">
        <v>0</v>
      </c>
      <c r="P28" s="318" t="s">
        <v>1321</v>
      </c>
      <c r="Q28" s="505">
        <v>0.14199999999999999</v>
      </c>
      <c r="R28" s="557">
        <f>$J$76+$J$86</f>
        <v>9.1857176090665753</v>
      </c>
      <c r="S28" s="71" t="s">
        <v>710</v>
      </c>
      <c r="T28" s="507">
        <f t="shared" si="13"/>
        <v>2.0384826466251769E-3</v>
      </c>
      <c r="U28" s="508">
        <f t="shared" si="14"/>
        <v>6.3324406634781869E-5</v>
      </c>
      <c r="V28" s="509">
        <f t="shared" si="15"/>
        <v>1.975158239990395E-3</v>
      </c>
      <c r="W28" s="1391"/>
    </row>
    <row r="29" spans="1:23" ht="12.75" hidden="1" customHeight="1">
      <c r="A29" s="460" t="s">
        <v>604</v>
      </c>
      <c r="B29" s="499" t="str">
        <f t="shared" si="11"/>
        <v>RES_201403</v>
      </c>
      <c r="C29" s="499">
        <v>0</v>
      </c>
      <c r="D29" s="499">
        <v>0</v>
      </c>
      <c r="E29" s="499">
        <f t="shared" si="1"/>
        <v>1</v>
      </c>
      <c r="F29" s="499">
        <v>1</v>
      </c>
      <c r="G29" s="499" t="b">
        <v>1</v>
      </c>
      <c r="H29" s="555" t="str">
        <f t="shared" si="12"/>
        <v>Residential</v>
      </c>
      <c r="I29" s="502" t="s">
        <v>155</v>
      </c>
      <c r="J29" s="502" t="s">
        <v>466</v>
      </c>
      <c r="K29" s="502" t="s">
        <v>502</v>
      </c>
      <c r="L29" s="24">
        <v>2019</v>
      </c>
      <c r="M29" s="511">
        <v>9349.3812368700001</v>
      </c>
      <c r="N29" s="512">
        <v>0</v>
      </c>
      <c r="O29" s="512">
        <v>0</v>
      </c>
      <c r="P29" s="318" t="s">
        <v>1321</v>
      </c>
      <c r="Q29" s="505">
        <v>0.14199999999999999</v>
      </c>
      <c r="R29" s="557">
        <f>$J$77+$J$87</f>
        <v>40.551553324551662</v>
      </c>
      <c r="S29" s="71" t="s">
        <v>710</v>
      </c>
      <c r="T29" s="507">
        <f t="shared" si="13"/>
        <v>6.1457459260897849E-3</v>
      </c>
      <c r="U29" s="508">
        <f t="shared" si="14"/>
        <v>0</v>
      </c>
      <c r="V29" s="509">
        <f t="shared" si="15"/>
        <v>6.1457459260897849E-3</v>
      </c>
      <c r="W29" s="1391"/>
    </row>
    <row r="30" spans="1:23" ht="12.75" hidden="1" customHeight="1">
      <c r="A30" s="460" t="s">
        <v>601</v>
      </c>
      <c r="B30" s="499" t="str">
        <f t="shared" si="11"/>
        <v>RES_201403</v>
      </c>
      <c r="C30" s="499">
        <v>0</v>
      </c>
      <c r="D30" s="499">
        <v>0</v>
      </c>
      <c r="E30" s="499">
        <f t="shared" si="1"/>
        <v>1</v>
      </c>
      <c r="F30" s="499">
        <v>1</v>
      </c>
      <c r="G30" s="499" t="b">
        <v>1</v>
      </c>
      <c r="H30" s="555" t="str">
        <f t="shared" si="12"/>
        <v>Residential</v>
      </c>
      <c r="I30" s="502" t="s">
        <v>155</v>
      </c>
      <c r="J30" s="502" t="s">
        <v>464</v>
      </c>
      <c r="K30" s="502" t="s">
        <v>534</v>
      </c>
      <c r="L30" s="24">
        <v>2019</v>
      </c>
      <c r="M30" s="511">
        <v>139697.69971563001</v>
      </c>
      <c r="N30" s="512">
        <v>6494.2150718599996</v>
      </c>
      <c r="O30" s="512">
        <v>0</v>
      </c>
      <c r="P30" s="318" t="s">
        <v>1321</v>
      </c>
      <c r="Q30" s="505">
        <v>0.14199999999999999</v>
      </c>
      <c r="R30" s="557">
        <f>$J$76+$J$86</f>
        <v>9.1857176090665753</v>
      </c>
      <c r="S30" s="71" t="s">
        <v>710</v>
      </c>
      <c r="T30" s="507">
        <f t="shared" si="13"/>
        <v>2.0801113478516198E-2</v>
      </c>
      <c r="U30" s="508">
        <f t="shared" si="14"/>
        <v>9.6699448121647183E-4</v>
      </c>
      <c r="V30" s="509">
        <f t="shared" si="15"/>
        <v>1.9834118997299727E-2</v>
      </c>
      <c r="W30" s="1391"/>
    </row>
    <row r="31" spans="1:23" ht="12.75" hidden="1" customHeight="1">
      <c r="A31" s="460" t="s">
        <v>602</v>
      </c>
      <c r="B31" s="499" t="str">
        <f t="shared" si="11"/>
        <v>RES_201403</v>
      </c>
      <c r="C31" s="499">
        <v>0</v>
      </c>
      <c r="D31" s="499">
        <v>0</v>
      </c>
      <c r="E31" s="499">
        <f t="shared" si="1"/>
        <v>1</v>
      </c>
      <c r="F31" s="499">
        <v>1</v>
      </c>
      <c r="G31" s="499" t="b">
        <v>1</v>
      </c>
      <c r="H31" s="555" t="str">
        <f t="shared" si="12"/>
        <v>Residential</v>
      </c>
      <c r="I31" s="502" t="s">
        <v>155</v>
      </c>
      <c r="J31" s="502" t="s">
        <v>464</v>
      </c>
      <c r="K31" s="502" t="s">
        <v>502</v>
      </c>
      <c r="L31" s="24">
        <v>2019</v>
      </c>
      <c r="M31" s="511">
        <v>3990.7899954499999</v>
      </c>
      <c r="N31" s="512">
        <v>534.22003789999997</v>
      </c>
      <c r="O31" s="512">
        <v>0</v>
      </c>
      <c r="P31" s="318" t="s">
        <v>1321</v>
      </c>
      <c r="Q31" s="505">
        <v>0.14199999999999999</v>
      </c>
      <c r="R31" s="557">
        <f>$J$77+$J$87</f>
        <v>40.551553324551662</v>
      </c>
      <c r="S31" s="71" t="s">
        <v>710</v>
      </c>
      <c r="T31" s="507">
        <f t="shared" si="13"/>
        <v>2.6233159965383642E-3</v>
      </c>
      <c r="U31" s="508">
        <f t="shared" si="14"/>
        <v>3.5116555185620002E-4</v>
      </c>
      <c r="V31" s="509">
        <f t="shared" si="15"/>
        <v>2.272150444682164E-3</v>
      </c>
      <c r="W31" s="1391"/>
    </row>
    <row r="32" spans="1:23" ht="12.75" hidden="1" customHeight="1">
      <c r="A32" s="460" t="s">
        <v>1655</v>
      </c>
      <c r="B32" s="499" t="str">
        <f t="shared" ref="B32:B59" si="16">LEFT(A32,10)</f>
        <v>RES_201403</v>
      </c>
      <c r="C32" s="499">
        <v>0</v>
      </c>
      <c r="D32" s="499">
        <v>0</v>
      </c>
      <c r="E32" s="499">
        <f t="shared" si="1"/>
        <v>1</v>
      </c>
      <c r="F32" s="499">
        <v>1</v>
      </c>
      <c r="G32" s="499" t="b">
        <v>1</v>
      </c>
      <c r="H32" s="555" t="s">
        <v>300</v>
      </c>
      <c r="I32" s="502" t="s">
        <v>155</v>
      </c>
      <c r="J32" s="502" t="s">
        <v>757</v>
      </c>
      <c r="K32" s="502" t="s">
        <v>534</v>
      </c>
      <c r="L32" s="24">
        <v>2019</v>
      </c>
      <c r="M32" s="511">
        <v>0</v>
      </c>
      <c r="N32" s="512">
        <v>0</v>
      </c>
      <c r="O32" s="512">
        <v>0</v>
      </c>
      <c r="P32" s="318" t="s">
        <v>1321</v>
      </c>
      <c r="Q32" s="505">
        <v>0</v>
      </c>
      <c r="R32" s="557">
        <f>J81+J91</f>
        <v>2.4760727015489725</v>
      </c>
      <c r="S32" s="71" t="s">
        <v>710</v>
      </c>
      <c r="T32" s="507"/>
      <c r="U32" s="508"/>
      <c r="V32" s="509"/>
      <c r="W32" s="1391"/>
    </row>
    <row r="33" spans="1:23" ht="12.75" hidden="1" customHeight="1" thickBot="1">
      <c r="A33" s="460" t="s">
        <v>1656</v>
      </c>
      <c r="B33" s="499" t="str">
        <f t="shared" si="16"/>
        <v>RES_201403</v>
      </c>
      <c r="C33" s="499">
        <v>0</v>
      </c>
      <c r="D33" s="499">
        <v>0</v>
      </c>
      <c r="E33" s="499">
        <f t="shared" si="1"/>
        <v>1</v>
      </c>
      <c r="F33" s="499">
        <v>1</v>
      </c>
      <c r="G33" s="499" t="b">
        <v>1</v>
      </c>
      <c r="H33" s="558" t="s">
        <v>300</v>
      </c>
      <c r="I33" s="559" t="s">
        <v>155</v>
      </c>
      <c r="J33" s="559" t="s">
        <v>757</v>
      </c>
      <c r="K33" s="559" t="s">
        <v>502</v>
      </c>
      <c r="L33" s="277">
        <v>2019</v>
      </c>
      <c r="M33" s="560">
        <v>0</v>
      </c>
      <c r="N33" s="561">
        <v>0</v>
      </c>
      <c r="O33" s="561">
        <v>0</v>
      </c>
      <c r="P33" s="319" t="s">
        <v>1321</v>
      </c>
      <c r="Q33" s="562">
        <v>0</v>
      </c>
      <c r="R33" s="762">
        <f>J82+J92</f>
        <v>12.995272019156459</v>
      </c>
      <c r="S33" s="696" t="s">
        <v>710</v>
      </c>
      <c r="T33" s="564"/>
      <c r="U33" s="565"/>
      <c r="V33" s="566"/>
      <c r="W33" s="1391"/>
    </row>
    <row r="34" spans="1:23" s="724" customFormat="1" ht="12.75" customHeight="1" thickTop="1">
      <c r="A34" s="712" t="s">
        <v>711</v>
      </c>
      <c r="B34" s="713" t="str">
        <f t="shared" si="16"/>
        <v>RES_201403</v>
      </c>
      <c r="C34" s="713">
        <v>0</v>
      </c>
      <c r="D34" s="713">
        <v>0</v>
      </c>
      <c r="E34" s="713">
        <f t="shared" si="1"/>
        <v>1</v>
      </c>
      <c r="F34" s="713">
        <v>1</v>
      </c>
      <c r="G34" s="713" t="b">
        <v>1</v>
      </c>
      <c r="H34" s="793" t="str">
        <f>IF(LEFT(A34,3)="Res","Residential",IF(LEFT(A34,3)="Ind","industrial",IF(LEFT(A34,3)="Com","Commercial",IF(LEFT(A34,3)="AGR","Agriculture",""))))</f>
        <v>Residential</v>
      </c>
      <c r="I34" s="502" t="s">
        <v>155</v>
      </c>
      <c r="J34" s="502" t="s">
        <v>1490</v>
      </c>
      <c r="K34" s="502" t="s">
        <v>646</v>
      </c>
      <c r="L34" s="701">
        <v>2020</v>
      </c>
      <c r="M34" s="763">
        <v>25.952161870000001</v>
      </c>
      <c r="N34" s="764">
        <v>0</v>
      </c>
      <c r="O34" s="764">
        <v>0</v>
      </c>
      <c r="P34" s="765" t="str">
        <f>IF($S$2="7th PP",$P$30,IF($S$2="RTF","Updated to RTF baseline",""))</f>
        <v>Updated to RTF baseline</v>
      </c>
      <c r="Q34" s="719">
        <v>0.13985600000000001</v>
      </c>
      <c r="R34" s="766">
        <f>IF($S$2="7th PP",$J$95+$J$85,IF($S$2="RTF",SUMIFS($J$161:$J$188,$K$161:$K$188,$A34),""))</f>
        <v>10.561401586196409</v>
      </c>
      <c r="S34" s="765" t="str">
        <f t="shared" ref="S34:S42" si="17">"Source: "&amp;$S$2</f>
        <v>Source: RTF</v>
      </c>
      <c r="T34" s="721">
        <f>(M34-O34)*Q34*R34/8760000</f>
        <v>4.3759474157712943E-6</v>
      </c>
      <c r="U34" s="722">
        <f t="shared" ref="U34:U51" si="18">IFERROR((N34-O34/M34*N34)*Q34*R34/8760/1000,0)</f>
        <v>0</v>
      </c>
      <c r="V34" s="723">
        <f t="shared" ref="V34:V35" si="19">T34-U34</f>
        <v>4.3759474157712943E-6</v>
      </c>
    </row>
    <row r="35" spans="1:23" s="482" customFormat="1" ht="12.75" customHeight="1">
      <c r="A35" s="726" t="s">
        <v>712</v>
      </c>
      <c r="B35" s="499" t="str">
        <f t="shared" si="16"/>
        <v>RES_201403</v>
      </c>
      <c r="C35" s="499">
        <v>0</v>
      </c>
      <c r="D35" s="499">
        <v>0</v>
      </c>
      <c r="E35" s="499">
        <f t="shared" si="1"/>
        <v>1</v>
      </c>
      <c r="F35" s="499">
        <v>1</v>
      </c>
      <c r="G35" s="499" t="b">
        <v>1</v>
      </c>
      <c r="H35" s="795" t="str">
        <f t="shared" ref="H35:H39" si="20">IF(LEFT(A35,3)="Res","Residential",IF(LEFT(A35,3)="Ind","industrial",IF(LEFT(A35,3)="Com","Commercial",IF(LEFT(A35,3)="AGR","Agriculture",""))))</f>
        <v>Residential</v>
      </c>
      <c r="I35" s="502" t="s">
        <v>155</v>
      </c>
      <c r="J35" s="502" t="s">
        <v>1490</v>
      </c>
      <c r="K35" s="502" t="s">
        <v>1491</v>
      </c>
      <c r="L35" s="24">
        <v>2020</v>
      </c>
      <c r="M35" s="511">
        <v>618.56156126999997</v>
      </c>
      <c r="N35" s="512">
        <v>0</v>
      </c>
      <c r="O35" s="512">
        <v>0</v>
      </c>
      <c r="P35" s="318" t="str">
        <f>IF($S$2="RTF","Updated to RTF Baseline",IF($S$2="7th PP",P$30,""))</f>
        <v>Updated to RTF Baseline</v>
      </c>
      <c r="Q35" s="505">
        <v>0.13985600000000001</v>
      </c>
      <c r="R35" s="803">
        <f>SUMIFS($J$161:$J$188,$K$161:$K$188,$A35)</f>
        <v>32.705986960460983</v>
      </c>
      <c r="S35" s="318" t="s">
        <v>2302</v>
      </c>
      <c r="T35" s="507">
        <f>(M35-O35)*Q35*R35/8760000</f>
        <v>3.2298859292740099E-4</v>
      </c>
      <c r="U35" s="508">
        <f t="shared" si="18"/>
        <v>0</v>
      </c>
      <c r="V35" s="509">
        <f t="shared" si="19"/>
        <v>3.2298859292740099E-4</v>
      </c>
    </row>
    <row r="36" spans="1:23" s="482" customFormat="1" ht="12.75" customHeight="1">
      <c r="A36" s="726" t="s">
        <v>711</v>
      </c>
      <c r="B36" s="499" t="str">
        <f t="shared" si="16"/>
        <v>RES_201403</v>
      </c>
      <c r="C36" s="499">
        <v>0</v>
      </c>
      <c r="D36" s="499">
        <v>0</v>
      </c>
      <c r="E36" s="499">
        <f t="shared" si="1"/>
        <v>1</v>
      </c>
      <c r="F36" s="499">
        <v>1</v>
      </c>
      <c r="G36" s="499" t="b">
        <v>1</v>
      </c>
      <c r="H36" s="795" t="str">
        <f t="shared" si="20"/>
        <v>Residential</v>
      </c>
      <c r="I36" s="502" t="s">
        <v>155</v>
      </c>
      <c r="J36" s="502" t="s">
        <v>433</v>
      </c>
      <c r="K36" s="502" t="s">
        <v>1461</v>
      </c>
      <c r="L36" s="2518">
        <v>2021</v>
      </c>
      <c r="M36" s="511">
        <v>25.268837919999999</v>
      </c>
      <c r="N36" s="512">
        <v>0</v>
      </c>
      <c r="O36" s="512">
        <v>0</v>
      </c>
      <c r="P36" s="318" t="str">
        <f>IF($S$2="7th PP",$P$30,IF($S$2="RTF","Updated to RTF baseline",""))</f>
        <v>Updated to RTF baseline</v>
      </c>
      <c r="Q36" s="505">
        <v>0.13985600000000001</v>
      </c>
      <c r="R36" s="557">
        <f>IF($S$2="7th PP",$J$95+$J$85,IF($S$2="RTF",SUMIFS($J$161:$J$188,$K$161:$K$188,$A36),""))</f>
        <v>10.561401586196409</v>
      </c>
      <c r="S36" s="318" t="str">
        <f t="shared" si="17"/>
        <v>Source: RTF</v>
      </c>
      <c r="T36" s="507">
        <f t="shared" ref="T36:T51" si="21">(M36-O36)*Q36*R36/8760000</f>
        <v>4.2607281254433574E-6</v>
      </c>
      <c r="U36" s="508">
        <f t="shared" si="18"/>
        <v>0</v>
      </c>
      <c r="V36" s="796">
        <f>T36-U36</f>
        <v>4.2607281254433574E-6</v>
      </c>
    </row>
    <row r="37" spans="1:23" s="482" customFormat="1" ht="12.75" customHeight="1">
      <c r="A37" s="726" t="s">
        <v>712</v>
      </c>
      <c r="B37" s="499" t="str">
        <f t="shared" si="16"/>
        <v>RES_201403</v>
      </c>
      <c r="C37" s="499">
        <v>0</v>
      </c>
      <c r="D37" s="499">
        <v>0</v>
      </c>
      <c r="E37" s="499">
        <f t="shared" si="1"/>
        <v>1</v>
      </c>
      <c r="F37" s="499">
        <v>1</v>
      </c>
      <c r="G37" s="499" t="b">
        <v>1</v>
      </c>
      <c r="H37" s="797" t="str">
        <f t="shared" si="20"/>
        <v>Residential</v>
      </c>
      <c r="I37" s="502" t="s">
        <v>155</v>
      </c>
      <c r="J37" s="502" t="s">
        <v>433</v>
      </c>
      <c r="K37" s="502" t="s">
        <v>486</v>
      </c>
      <c r="L37" s="2518">
        <v>2021</v>
      </c>
      <c r="M37" s="560">
        <v>1246.4837065199999</v>
      </c>
      <c r="N37" s="561">
        <v>0</v>
      </c>
      <c r="O37" s="561">
        <v>0</v>
      </c>
      <c r="P37" s="319" t="str">
        <f>IF($S$2="RTF","Updated to RTF Baseline",IF($S$2="7th PP",P$30,""))</f>
        <v>Updated to RTF Baseline</v>
      </c>
      <c r="Q37" s="562">
        <v>0.13985600000000001</v>
      </c>
      <c r="R37" s="2447">
        <f>SUMIFS($J$161:$J$188,$K$161:$K$188,$A37)</f>
        <v>32.705986960460983</v>
      </c>
      <c r="S37" s="319" t="s">
        <v>2241</v>
      </c>
      <c r="T37" s="564">
        <f t="shared" si="21"/>
        <v>6.5086491577205001E-4</v>
      </c>
      <c r="U37" s="565">
        <f t="shared" si="18"/>
        <v>0</v>
      </c>
      <c r="V37" s="798">
        <f t="shared" ref="V37:V51" si="22">T37-U37</f>
        <v>6.5086491577205001E-4</v>
      </c>
    </row>
    <row r="38" spans="1:23" s="482" customFormat="1" ht="12.75" customHeight="1">
      <c r="A38" s="726" t="s">
        <v>713</v>
      </c>
      <c r="B38" s="499" t="str">
        <f t="shared" si="16"/>
        <v>RES_201403</v>
      </c>
      <c r="C38" s="499">
        <v>0</v>
      </c>
      <c r="D38" s="499">
        <v>0</v>
      </c>
      <c r="E38" s="499">
        <f t="shared" ref="E38:E61" si="23">COUNTIFS($A:$A,A38,$L:$L,L38)</f>
        <v>1</v>
      </c>
      <c r="F38" s="499">
        <v>1</v>
      </c>
      <c r="G38" s="499" t="b">
        <v>1</v>
      </c>
      <c r="H38" s="579" t="str">
        <f t="shared" si="20"/>
        <v>Residential</v>
      </c>
      <c r="I38" s="502" t="s">
        <v>155</v>
      </c>
      <c r="J38" s="502" t="s">
        <v>1501</v>
      </c>
      <c r="K38" s="502" t="s">
        <v>646</v>
      </c>
      <c r="L38" s="2518">
        <v>2020</v>
      </c>
      <c r="M38" s="581">
        <v>16294.41850319</v>
      </c>
      <c r="N38" s="582">
        <v>0</v>
      </c>
      <c r="O38" s="582">
        <v>0</v>
      </c>
      <c r="P38" s="322" t="str">
        <f>IF($S$2="RTF","Updated to RTF Baseline",IF($S$2="7th PP",P$30,""))</f>
        <v>Updated to RTF Baseline</v>
      </c>
      <c r="Q38" s="583">
        <v>0.13985600000000001</v>
      </c>
      <c r="R38" s="584">
        <f>IF($S$2="7th PP",$J$80+$J$90,IF($S$2="RTF",SUMIFS($J$161:$J$188,$K$161:$K$188,$A38),""))</f>
        <v>17.860705994535618</v>
      </c>
      <c r="S38" s="322" t="str">
        <f t="shared" si="17"/>
        <v>Source: RTF</v>
      </c>
      <c r="T38" s="585">
        <f t="shared" si="21"/>
        <v>4.6463774268732305E-3</v>
      </c>
      <c r="U38" s="586">
        <f t="shared" si="18"/>
        <v>0</v>
      </c>
      <c r="V38" s="587">
        <f t="shared" si="22"/>
        <v>4.6463774268732305E-3</v>
      </c>
    </row>
    <row r="39" spans="1:23" s="482" customFormat="1" ht="12.75" customHeight="1">
      <c r="A39" s="726" t="s">
        <v>714</v>
      </c>
      <c r="B39" s="499" t="str">
        <f t="shared" si="16"/>
        <v>RES_201403</v>
      </c>
      <c r="C39" s="499">
        <v>0</v>
      </c>
      <c r="D39" s="499">
        <v>0</v>
      </c>
      <c r="E39" s="499">
        <f t="shared" si="23"/>
        <v>1</v>
      </c>
      <c r="F39" s="499">
        <v>1</v>
      </c>
      <c r="G39" s="499" t="b">
        <v>1</v>
      </c>
      <c r="H39" s="555" t="str">
        <f t="shared" si="20"/>
        <v>Residential</v>
      </c>
      <c r="I39" s="502" t="s">
        <v>155</v>
      </c>
      <c r="J39" s="502" t="s">
        <v>1501</v>
      </c>
      <c r="K39" s="502" t="s">
        <v>1491</v>
      </c>
      <c r="L39" s="2518">
        <v>2020</v>
      </c>
      <c r="M39" s="511">
        <v>388.48021950999998</v>
      </c>
      <c r="N39" s="512">
        <v>0</v>
      </c>
      <c r="O39" s="512">
        <v>0</v>
      </c>
      <c r="P39" s="318" t="str">
        <f>IF($S$2="RTF","Updated to RTF Baseline",IF($S$2="7th PP",P$30,""))</f>
        <v>Updated to RTF Baseline</v>
      </c>
      <c r="Q39" s="505">
        <v>0.13985600000000001</v>
      </c>
      <c r="R39" s="803">
        <f>SUMIFS($J$161:$J$188,$K$161:$K$188,$A39)</f>
        <v>66.576667417123048</v>
      </c>
      <c r="S39" s="318" t="s">
        <v>2302</v>
      </c>
      <c r="T39" s="507">
        <f t="shared" si="21"/>
        <v>4.1292194026222822E-4</v>
      </c>
      <c r="U39" s="508">
        <f t="shared" si="18"/>
        <v>0</v>
      </c>
      <c r="V39" s="509">
        <f t="shared" si="22"/>
        <v>4.1292194026222822E-4</v>
      </c>
    </row>
    <row r="40" spans="1:23" s="482" customFormat="1" ht="12.75" customHeight="1">
      <c r="A40" s="726" t="s">
        <v>713</v>
      </c>
      <c r="B40" s="499" t="str">
        <f t="shared" si="16"/>
        <v>RES_201403</v>
      </c>
      <c r="C40" s="499">
        <v>0</v>
      </c>
      <c r="D40" s="499">
        <v>0</v>
      </c>
      <c r="E40" s="499">
        <f t="shared" si="23"/>
        <v>1</v>
      </c>
      <c r="F40" s="499">
        <v>1</v>
      </c>
      <c r="G40" s="499" t="b">
        <v>1</v>
      </c>
      <c r="H40" s="555" t="str">
        <f>IF(LEFT(A40,3)="Res","Residential",IF(LEFT(A40,3)="Ind","industrial",IF(LEFT(A40,3)="Com","Commercial",IF(LEFT(A40,3)="AGR","Agriculture",""))))</f>
        <v>Residential</v>
      </c>
      <c r="I40" s="502" t="s">
        <v>155</v>
      </c>
      <c r="J40" s="502" t="s">
        <v>476</v>
      </c>
      <c r="K40" s="502" t="s">
        <v>1461</v>
      </c>
      <c r="L40" s="2518">
        <v>2021</v>
      </c>
      <c r="M40" s="511">
        <v>16177.41060736</v>
      </c>
      <c r="N40" s="512">
        <v>0</v>
      </c>
      <c r="O40" s="512">
        <v>0</v>
      </c>
      <c r="P40" s="318" t="str">
        <f>IF($S$2="7th PP",$P$30,IF($S$2="RTF","Updated to RTF baseline",""))</f>
        <v>Updated to RTF baseline</v>
      </c>
      <c r="Q40" s="505">
        <v>0.13985600000000001</v>
      </c>
      <c r="R40" s="557">
        <f>IF($S$2="7th PP",$J$80+$J$90,IF($S$2="RTF",SUMIFS($J$161:$J$188,$K$161:$K$188,$A40),""))</f>
        <v>17.860705994535618</v>
      </c>
      <c r="S40" s="318" t="str">
        <f t="shared" si="17"/>
        <v>Source: RTF</v>
      </c>
      <c r="T40" s="507">
        <f t="shared" si="21"/>
        <v>4.6130124531035925E-3</v>
      </c>
      <c r="U40" s="508">
        <f t="shared" si="18"/>
        <v>0</v>
      </c>
      <c r="V40" s="509">
        <f t="shared" si="22"/>
        <v>4.6130124531035925E-3</v>
      </c>
    </row>
    <row r="41" spans="1:23" s="482" customFormat="1" ht="12.75" customHeight="1">
      <c r="A41" s="726" t="s">
        <v>714</v>
      </c>
      <c r="B41" s="499" t="str">
        <f t="shared" si="16"/>
        <v>RES_201403</v>
      </c>
      <c r="C41" s="499">
        <v>0</v>
      </c>
      <c r="D41" s="499">
        <v>0</v>
      </c>
      <c r="E41" s="499">
        <f t="shared" si="23"/>
        <v>1</v>
      </c>
      <c r="F41" s="499">
        <v>1</v>
      </c>
      <c r="G41" s="499" t="b">
        <v>1</v>
      </c>
      <c r="H41" s="558" t="str">
        <f t="shared" ref="H41:H51" si="24">IF(LEFT(A41,3)="Res","Residential",IF(LEFT(A41,3)="Ind","industrial",IF(LEFT(A41,3)="Com","Commercial",IF(LEFT(A41,3)="AGR","Agriculture",""))))</f>
        <v>Residential</v>
      </c>
      <c r="I41" s="502" t="s">
        <v>155</v>
      </c>
      <c r="J41" s="502" t="s">
        <v>476</v>
      </c>
      <c r="K41" s="502" t="s">
        <v>486</v>
      </c>
      <c r="L41" s="2518">
        <v>2021</v>
      </c>
      <c r="M41" s="560">
        <v>797.56607608000002</v>
      </c>
      <c r="N41" s="561">
        <v>600</v>
      </c>
      <c r="O41" s="561">
        <v>0</v>
      </c>
      <c r="P41" s="319" t="str">
        <f>IF($S$2="RTF","Updated to RTF Baseline",IF($S$2="7th PP",P$30,""))</f>
        <v>Updated to RTF Baseline</v>
      </c>
      <c r="Q41" s="562">
        <v>0.13985600000000001</v>
      </c>
      <c r="R41" s="2447">
        <f>SUMIFS($J$161:$J$188,$K$161:$K$188,$A41)</f>
        <v>66.576667417123048</v>
      </c>
      <c r="S41" s="319" t="s">
        <v>2241</v>
      </c>
      <c r="T41" s="564">
        <f t="shared" si="21"/>
        <v>8.4774594711072048E-4</v>
      </c>
      <c r="U41" s="565">
        <f t="shared" si="18"/>
        <v>6.3774975330747679E-4</v>
      </c>
      <c r="V41" s="566">
        <f t="shared" si="22"/>
        <v>2.0999619380324369E-4</v>
      </c>
    </row>
    <row r="42" spans="1:23" s="482" customFormat="1" ht="12.75" customHeight="1">
      <c r="A42" s="726" t="s">
        <v>715</v>
      </c>
      <c r="B42" s="499" t="str">
        <f t="shared" si="16"/>
        <v>RES_201403</v>
      </c>
      <c r="C42" s="499">
        <v>0</v>
      </c>
      <c r="D42" s="499">
        <v>0</v>
      </c>
      <c r="E42" s="499">
        <f t="shared" si="23"/>
        <v>1</v>
      </c>
      <c r="F42" s="499">
        <v>1</v>
      </c>
      <c r="G42" s="499" t="b">
        <v>1</v>
      </c>
      <c r="H42" s="802" t="str">
        <f t="shared" si="24"/>
        <v>Residential</v>
      </c>
      <c r="I42" s="502" t="s">
        <v>155</v>
      </c>
      <c r="J42" s="502" t="s">
        <v>1503</v>
      </c>
      <c r="K42" s="502" t="s">
        <v>646</v>
      </c>
      <c r="L42" s="2518">
        <v>2020</v>
      </c>
      <c r="M42" s="581">
        <v>1977.90225033</v>
      </c>
      <c r="N42" s="582">
        <v>0</v>
      </c>
      <c r="O42" s="582">
        <v>0</v>
      </c>
      <c r="P42" s="322" t="str">
        <f>IF($S$2="7th PP",$P$30,IF($S$2="RTF","Updated to RTF baseline",""))</f>
        <v>Updated to RTF baseline</v>
      </c>
      <c r="Q42" s="583">
        <v>0.13985600000000001</v>
      </c>
      <c r="R42" s="584">
        <f>IF($S$2="7th PP",$J$80+$J$90,IF($S$2="RTF",SUMIFS($J$161:$J$188,$K$161:$K$188,$A42),""))</f>
        <v>25.571254161654139</v>
      </c>
      <c r="S42" s="322" t="str">
        <f t="shared" si="17"/>
        <v>Source: RTF</v>
      </c>
      <c r="T42" s="585">
        <f t="shared" si="21"/>
        <v>8.0748385953057541E-4</v>
      </c>
      <c r="U42" s="586">
        <f t="shared" si="18"/>
        <v>0</v>
      </c>
      <c r="V42" s="587">
        <f t="shared" si="22"/>
        <v>8.0748385953057541E-4</v>
      </c>
    </row>
    <row r="43" spans="1:23" s="482" customFormat="1" ht="12.75" customHeight="1">
      <c r="A43" s="726" t="s">
        <v>716</v>
      </c>
      <c r="B43" s="499" t="str">
        <f t="shared" si="16"/>
        <v>RES_201403</v>
      </c>
      <c r="C43" s="499">
        <v>0</v>
      </c>
      <c r="D43" s="499">
        <v>0</v>
      </c>
      <c r="E43" s="499">
        <f t="shared" si="23"/>
        <v>1</v>
      </c>
      <c r="F43" s="499">
        <v>1</v>
      </c>
      <c r="G43" s="499" t="b">
        <v>1</v>
      </c>
      <c r="H43" s="795" t="str">
        <f t="shared" si="24"/>
        <v>Residential</v>
      </c>
      <c r="I43" s="502" t="s">
        <v>155</v>
      </c>
      <c r="J43" s="502" t="s">
        <v>1503</v>
      </c>
      <c r="K43" s="502" t="s">
        <v>1491</v>
      </c>
      <c r="L43" s="2518">
        <v>2020</v>
      </c>
      <c r="M43" s="511">
        <v>49.355619419999996</v>
      </c>
      <c r="N43" s="512">
        <v>0</v>
      </c>
      <c r="O43" s="512">
        <v>0</v>
      </c>
      <c r="P43" s="322" t="str">
        <f>IF($S$2="7th PP",$P$30,IF($S$2="RTF","Updated to RTF baseline",""))</f>
        <v>Updated to RTF baseline</v>
      </c>
      <c r="Q43" s="505">
        <v>0.13985600000000001</v>
      </c>
      <c r="R43" s="584">
        <f>IF($S$2="7th PP",V209,IF($S$2="RTF",SUMIFS($J$161:$J$188,$K$161:$K$188,$A43),""))</f>
        <v>53.209669820802617</v>
      </c>
      <c r="S43" s="322" t="str">
        <f t="shared" ref="S43:S45" si="25">"Source: "&amp;$S$2</f>
        <v>Source: RTF</v>
      </c>
      <c r="T43" s="507">
        <f t="shared" si="21"/>
        <v>4.1928002007399891E-5</v>
      </c>
      <c r="U43" s="508">
        <f t="shared" si="18"/>
        <v>0</v>
      </c>
      <c r="V43" s="509">
        <f t="shared" si="22"/>
        <v>4.1928002007399891E-5</v>
      </c>
    </row>
    <row r="44" spans="1:23" s="482" customFormat="1" ht="12.75" customHeight="1">
      <c r="A44" s="726" t="s">
        <v>715</v>
      </c>
      <c r="B44" s="499" t="str">
        <f t="shared" si="16"/>
        <v>RES_201403</v>
      </c>
      <c r="C44" s="499">
        <v>0</v>
      </c>
      <c r="D44" s="499">
        <v>0</v>
      </c>
      <c r="E44" s="499">
        <f t="shared" si="23"/>
        <v>1</v>
      </c>
      <c r="F44" s="499">
        <v>1</v>
      </c>
      <c r="G44" s="499" t="b">
        <v>1</v>
      </c>
      <c r="H44" s="795" t="str">
        <f t="shared" si="24"/>
        <v>Residential</v>
      </c>
      <c r="I44" s="502" t="s">
        <v>155</v>
      </c>
      <c r="J44" s="502" t="s">
        <v>429</v>
      </c>
      <c r="K44" s="502" t="s">
        <v>1461</v>
      </c>
      <c r="L44" s="2518">
        <v>2021</v>
      </c>
      <c r="M44" s="511">
        <v>2328.27561917</v>
      </c>
      <c r="N44" s="512">
        <v>0</v>
      </c>
      <c r="O44" s="512">
        <v>0</v>
      </c>
      <c r="P44" s="318" t="str">
        <f>IF($S$2="7th PP",$P$30,IF($S$2="RTF","Updated to RTF baseline",""))</f>
        <v>Updated to RTF baseline</v>
      </c>
      <c r="Q44" s="505">
        <v>0.13985600000000001</v>
      </c>
      <c r="R44" s="584">
        <f>IF($S$2="7th PP",V209,IF($S$2="RTF",SUMIFS($J$161:$J$188,$K$161:$K$188,$A44),""))</f>
        <v>25.571254161654139</v>
      </c>
      <c r="S44" s="322" t="str">
        <f t="shared" si="25"/>
        <v>Source: RTF</v>
      </c>
      <c r="T44" s="507">
        <f t="shared" si="21"/>
        <v>9.5052472016989638E-4</v>
      </c>
      <c r="U44" s="508">
        <f t="shared" si="18"/>
        <v>0</v>
      </c>
      <c r="V44" s="796">
        <f t="shared" si="22"/>
        <v>9.5052472016989638E-4</v>
      </c>
    </row>
    <row r="45" spans="1:23" s="482" customFormat="1" ht="12.75" customHeight="1">
      <c r="A45" s="726" t="s">
        <v>716</v>
      </c>
      <c r="B45" s="499" t="str">
        <f t="shared" si="16"/>
        <v>RES_201403</v>
      </c>
      <c r="C45" s="499">
        <v>0</v>
      </c>
      <c r="D45" s="499">
        <v>0</v>
      </c>
      <c r="E45" s="499">
        <f t="shared" si="23"/>
        <v>1</v>
      </c>
      <c r="F45" s="499">
        <v>1</v>
      </c>
      <c r="G45" s="499" t="b">
        <v>1</v>
      </c>
      <c r="H45" s="797" t="str">
        <f t="shared" si="24"/>
        <v>Residential</v>
      </c>
      <c r="I45" s="577" t="s">
        <v>155</v>
      </c>
      <c r="J45" s="577" t="s">
        <v>429</v>
      </c>
      <c r="K45" s="577" t="s">
        <v>486</v>
      </c>
      <c r="L45" s="2519">
        <v>2021</v>
      </c>
      <c r="M45" s="560">
        <v>85.411315250000001</v>
      </c>
      <c r="N45" s="561">
        <v>0</v>
      </c>
      <c r="O45" s="561">
        <v>0</v>
      </c>
      <c r="P45" s="318" t="str">
        <f>IF($S$2="RTF","Updated to RTF Baseline",IF($S$2="7th PP","NEEA calculation using 7th PP baseline",""))</f>
        <v>Updated to RTF Baseline</v>
      </c>
      <c r="Q45" s="505">
        <v>0.13985600000000001</v>
      </c>
      <c r="R45" s="584">
        <f t="shared" ref="R45" si="26">IF($S$2="7th PP",$J$80+$J$90,IF($S$2="RTF",SUMIFS($J$161:$J$188,$K$161:$K$188,$A45),""))</f>
        <v>53.209669820802617</v>
      </c>
      <c r="S45" s="322" t="str">
        <f t="shared" si="25"/>
        <v>Source: RTF</v>
      </c>
      <c r="T45" s="564">
        <f>(M45-O45)*Q45*R45/8760000</f>
        <v>7.2557610244589754E-5</v>
      </c>
      <c r="U45" s="565">
        <f t="shared" si="18"/>
        <v>0</v>
      </c>
      <c r="V45" s="798">
        <f t="shared" si="22"/>
        <v>7.2557610244589754E-5</v>
      </c>
    </row>
    <row r="46" spans="1:23" s="482" customFormat="1" ht="12.75" customHeight="1">
      <c r="A46" s="726" t="s">
        <v>95</v>
      </c>
      <c r="B46" s="499" t="str">
        <f t="shared" si="16"/>
        <v>RES_201403</v>
      </c>
      <c r="C46" s="499">
        <v>0</v>
      </c>
      <c r="D46" s="499">
        <v>0</v>
      </c>
      <c r="E46" s="499">
        <f t="shared" si="23"/>
        <v>1</v>
      </c>
      <c r="F46" s="499">
        <v>1</v>
      </c>
      <c r="G46" s="499" t="b">
        <v>1</v>
      </c>
      <c r="H46" s="799" t="str">
        <f t="shared" si="24"/>
        <v>Residential</v>
      </c>
      <c r="I46" s="580" t="s">
        <v>155</v>
      </c>
      <c r="J46" s="580" t="s">
        <v>465</v>
      </c>
      <c r="K46" s="580" t="s">
        <v>646</v>
      </c>
      <c r="L46" s="279">
        <v>2020</v>
      </c>
      <c r="M46" s="569">
        <v>57.369526559999997</v>
      </c>
      <c r="N46" s="570">
        <v>57.369526559999997</v>
      </c>
      <c r="O46" s="570">
        <v>0</v>
      </c>
      <c r="P46" s="320" t="str">
        <f t="shared" ref="P46:P61" si="27">IF($S$2="7th PP",$P$30,IF($S$2="RTF","Updated to RTF baseline",""))</f>
        <v>Updated to RTF baseline</v>
      </c>
      <c r="Q46" s="571">
        <v>0.13985600000000001</v>
      </c>
      <c r="R46" s="572">
        <f>IF($S$2="7th PP",$J$76+$J$86,IF($S$2="RTF",SUMIFS($J$161:$J$188,$K$161:$K$188,$A46),""))</f>
        <v>21.033818272949325</v>
      </c>
      <c r="S46" s="320" t="str">
        <f>"Source: "&amp;$S$2</f>
        <v>Source: RTF</v>
      </c>
      <c r="T46" s="573">
        <f t="shared" si="21"/>
        <v>1.9265326783254718E-5</v>
      </c>
      <c r="U46" s="574">
        <f t="shared" si="18"/>
        <v>1.9265326783254718E-5</v>
      </c>
      <c r="V46" s="575">
        <f t="shared" si="22"/>
        <v>0</v>
      </c>
    </row>
    <row r="47" spans="1:23" s="482" customFormat="1" ht="12.75" customHeight="1">
      <c r="A47" s="726" t="s">
        <v>96</v>
      </c>
      <c r="B47" s="499" t="str">
        <f t="shared" si="16"/>
        <v>RES_201403</v>
      </c>
      <c r="C47" s="499">
        <v>0</v>
      </c>
      <c r="D47" s="499">
        <v>0</v>
      </c>
      <c r="E47" s="499">
        <f t="shared" si="23"/>
        <v>1</v>
      </c>
      <c r="F47" s="499">
        <v>1</v>
      </c>
      <c r="G47" s="499" t="b">
        <v>1</v>
      </c>
      <c r="H47" s="795" t="str">
        <f t="shared" si="24"/>
        <v>Residential</v>
      </c>
      <c r="I47" s="502" t="s">
        <v>155</v>
      </c>
      <c r="J47" s="502" t="s">
        <v>465</v>
      </c>
      <c r="K47" s="502" t="s">
        <v>1493</v>
      </c>
      <c r="L47" s="24">
        <v>2020</v>
      </c>
      <c r="M47" s="511">
        <v>36475.332381690001</v>
      </c>
      <c r="N47" s="512">
        <v>3838.9051431500002</v>
      </c>
      <c r="O47" s="512">
        <v>0</v>
      </c>
      <c r="P47" s="318" t="str">
        <f t="shared" si="27"/>
        <v>Updated to RTF baseline</v>
      </c>
      <c r="Q47" s="505">
        <v>0.13985600000000001</v>
      </c>
      <c r="R47" s="557">
        <f>IF($S$2="7th PP",$J$77+$J$87,IF($S$2="RTF",SUMIFS($J$161:$J$188,$K$161:$K$188,$A47),""))</f>
        <v>26.07814889846286</v>
      </c>
      <c r="S47" s="318" t="str">
        <f t="shared" ref="S47:S61" si="28">"Source: "&amp;$S$2</f>
        <v>Source: RTF</v>
      </c>
      <c r="T47" s="507">
        <f t="shared" si="21"/>
        <v>1.5186336385666351E-2</v>
      </c>
      <c r="U47" s="508">
        <f t="shared" si="18"/>
        <v>1.5983104484554502E-3</v>
      </c>
      <c r="V47" s="509">
        <f t="shared" si="22"/>
        <v>1.3588025937210901E-2</v>
      </c>
    </row>
    <row r="48" spans="1:23" s="482" customFormat="1" ht="12.75" customHeight="1">
      <c r="A48" s="726" t="s">
        <v>603</v>
      </c>
      <c r="B48" s="499" t="str">
        <f t="shared" si="16"/>
        <v>RES_201403</v>
      </c>
      <c r="C48" s="499">
        <v>0</v>
      </c>
      <c r="D48" s="499">
        <v>0</v>
      </c>
      <c r="E48" s="499">
        <f t="shared" si="23"/>
        <v>1</v>
      </c>
      <c r="F48" s="499">
        <v>1</v>
      </c>
      <c r="G48" s="499" t="b">
        <v>1</v>
      </c>
      <c r="H48" s="795" t="str">
        <f t="shared" si="24"/>
        <v>Residential</v>
      </c>
      <c r="I48" s="502" t="s">
        <v>155</v>
      </c>
      <c r="J48" s="502" t="s">
        <v>466</v>
      </c>
      <c r="K48" s="502" t="s">
        <v>646</v>
      </c>
      <c r="L48" s="24">
        <v>2020</v>
      </c>
      <c r="M48" s="511">
        <v>13542.54781358</v>
      </c>
      <c r="N48" s="512">
        <v>1823.3220954999999</v>
      </c>
      <c r="O48" s="512">
        <v>0</v>
      </c>
      <c r="P48" s="318" t="str">
        <f t="shared" si="27"/>
        <v>Updated to RTF baseline</v>
      </c>
      <c r="Q48" s="505">
        <v>0.13985600000000001</v>
      </c>
      <c r="R48" s="557">
        <f>IF($S$2="7th PP",$J$76+$J$86,IF($S$2="RTF",SUMIFS($J$161:$J$188,$K$161:$K$188,$A48),""))</f>
        <v>44.588844622442167</v>
      </c>
      <c r="S48" s="318" t="str">
        <f t="shared" si="28"/>
        <v>Source: RTF</v>
      </c>
      <c r="T48" s="507">
        <f t="shared" si="21"/>
        <v>9.640589558283506E-3</v>
      </c>
      <c r="U48" s="508">
        <f t="shared" si="18"/>
        <v>1.2979758459954183E-3</v>
      </c>
      <c r="V48" s="509">
        <f t="shared" si="22"/>
        <v>8.3426137122880883E-3</v>
      </c>
    </row>
    <row r="49" spans="1:23" s="482" customFormat="1" ht="12.75" customHeight="1">
      <c r="A49" s="726" t="s">
        <v>604</v>
      </c>
      <c r="B49" s="499" t="str">
        <f t="shared" si="16"/>
        <v>RES_201403</v>
      </c>
      <c r="C49" s="499">
        <v>0</v>
      </c>
      <c r="D49" s="499">
        <v>0</v>
      </c>
      <c r="E49" s="499">
        <f t="shared" si="23"/>
        <v>1</v>
      </c>
      <c r="F49" s="499">
        <v>1</v>
      </c>
      <c r="G49" s="499" t="b">
        <v>1</v>
      </c>
      <c r="H49" s="795" t="str">
        <f t="shared" si="24"/>
        <v>Residential</v>
      </c>
      <c r="I49" s="502" t="s">
        <v>155</v>
      </c>
      <c r="J49" s="502" t="s">
        <v>466</v>
      </c>
      <c r="K49" s="502" t="s">
        <v>1493</v>
      </c>
      <c r="L49" s="24">
        <v>2020</v>
      </c>
      <c r="M49" s="511">
        <v>9775.8960048000008</v>
      </c>
      <c r="N49" s="512">
        <v>1763.76488328</v>
      </c>
      <c r="O49" s="512">
        <v>0</v>
      </c>
      <c r="P49" s="318" t="str">
        <f t="shared" si="27"/>
        <v>Updated to RTF baseline</v>
      </c>
      <c r="Q49" s="505">
        <v>0.13985600000000001</v>
      </c>
      <c r="R49" s="557">
        <f>IF($S$2="7th PP",$J$77+$J$87,IF($S$2="RTF",SUMIFS($J$161:$J$188,$K$161:$K$188,$A49),""))</f>
        <v>124.09592218330684</v>
      </c>
      <c r="S49" s="318" t="str">
        <f t="shared" si="28"/>
        <v>Source: RTF</v>
      </c>
      <c r="T49" s="507">
        <f t="shared" si="21"/>
        <v>1.936828113609855E-2</v>
      </c>
      <c r="U49" s="508">
        <f t="shared" si="18"/>
        <v>3.4944207774481096E-3</v>
      </c>
      <c r="V49" s="509">
        <f t="shared" si="22"/>
        <v>1.5873860358650439E-2</v>
      </c>
    </row>
    <row r="50" spans="1:23" s="482" customFormat="1" ht="12.75" customHeight="1">
      <c r="A50" s="726" t="s">
        <v>601</v>
      </c>
      <c r="B50" s="499" t="str">
        <f t="shared" si="16"/>
        <v>RES_201403</v>
      </c>
      <c r="C50" s="499">
        <v>0</v>
      </c>
      <c r="D50" s="499">
        <v>0</v>
      </c>
      <c r="E50" s="499">
        <f t="shared" si="23"/>
        <v>1</v>
      </c>
      <c r="F50" s="499">
        <v>1</v>
      </c>
      <c r="G50" s="499" t="b">
        <v>1</v>
      </c>
      <c r="H50" s="795" t="str">
        <f t="shared" si="24"/>
        <v>Residential</v>
      </c>
      <c r="I50" s="502" t="s">
        <v>155</v>
      </c>
      <c r="J50" s="502" t="s">
        <v>464</v>
      </c>
      <c r="K50" s="502" t="s">
        <v>646</v>
      </c>
      <c r="L50" s="24">
        <v>2020</v>
      </c>
      <c r="M50" s="511">
        <v>144403.46407943001</v>
      </c>
      <c r="N50" s="512">
        <v>6494.2150718599996</v>
      </c>
      <c r="O50" s="512">
        <v>0</v>
      </c>
      <c r="P50" s="318" t="str">
        <f t="shared" si="27"/>
        <v>Updated to RTF baseline</v>
      </c>
      <c r="Q50" s="505">
        <v>0.13985600000000001</v>
      </c>
      <c r="R50" s="557">
        <f>IF($S$2="7th PP",$J$76+$J$86,IF($S$2="RTF",SUMIFS($J$161:$J$188,$K$161:$K$188,$A50),""))</f>
        <v>7.057765410106402</v>
      </c>
      <c r="S50" s="318" t="str">
        <f t="shared" si="28"/>
        <v>Source: RTF</v>
      </c>
      <c r="T50" s="507">
        <f t="shared" si="21"/>
        <v>1.6271284072108386E-2</v>
      </c>
      <c r="U50" s="508">
        <f t="shared" si="18"/>
        <v>7.3176373526245766E-4</v>
      </c>
      <c r="V50" s="509">
        <f>T50-U50</f>
        <v>1.5539520336845927E-2</v>
      </c>
    </row>
    <row r="51" spans="1:23" s="482" customFormat="1" ht="12.75" customHeight="1">
      <c r="A51" s="726" t="s">
        <v>602</v>
      </c>
      <c r="B51" s="499" t="str">
        <f t="shared" si="16"/>
        <v>RES_201403</v>
      </c>
      <c r="C51" s="499">
        <v>0</v>
      </c>
      <c r="D51" s="499">
        <v>0</v>
      </c>
      <c r="E51" s="499">
        <f t="shared" si="23"/>
        <v>1</v>
      </c>
      <c r="F51" s="499">
        <v>1</v>
      </c>
      <c r="G51" s="499" t="b">
        <v>1</v>
      </c>
      <c r="H51" s="795" t="str">
        <f t="shared" si="24"/>
        <v>Residential</v>
      </c>
      <c r="I51" s="502" t="s">
        <v>155</v>
      </c>
      <c r="J51" s="502" t="s">
        <v>464</v>
      </c>
      <c r="K51" s="502" t="s">
        <v>1493</v>
      </c>
      <c r="L51" s="24">
        <v>2020</v>
      </c>
      <c r="M51" s="511">
        <v>4198.4272694299998</v>
      </c>
      <c r="N51" s="512">
        <v>3241.81961671</v>
      </c>
      <c r="O51" s="512">
        <v>0</v>
      </c>
      <c r="P51" s="318" t="str">
        <f t="shared" si="27"/>
        <v>Updated to RTF baseline</v>
      </c>
      <c r="Q51" s="505">
        <v>0.13985600000000001</v>
      </c>
      <c r="R51" s="557">
        <f>IF($S$2="7th PP",$J$77+$J$87,IF($S$2="RTF",SUMIFS($J$161:$J$188,$K$161:$K$188,$A51),""))</f>
        <v>58.261695916851224</v>
      </c>
      <c r="S51" s="318" t="str">
        <f t="shared" si="28"/>
        <v>Source: RTF</v>
      </c>
      <c r="T51" s="507">
        <f t="shared" si="21"/>
        <v>3.9052312245546643E-3</v>
      </c>
      <c r="U51" s="508">
        <f t="shared" si="18"/>
        <v>3.0154280112773078E-3</v>
      </c>
      <c r="V51" s="509">
        <f t="shared" si="22"/>
        <v>8.8980321327735649E-4</v>
      </c>
    </row>
    <row r="52" spans="1:23" s="482" customFormat="1" ht="12.75" customHeight="1">
      <c r="A52" s="726" t="s">
        <v>1655</v>
      </c>
      <c r="B52" s="499" t="str">
        <f t="shared" si="16"/>
        <v>RES_201403</v>
      </c>
      <c r="C52" s="499">
        <v>0</v>
      </c>
      <c r="D52" s="499">
        <v>0</v>
      </c>
      <c r="E52" s="499">
        <f t="shared" si="23"/>
        <v>1</v>
      </c>
      <c r="F52" s="499">
        <v>1</v>
      </c>
      <c r="G52" s="499" t="b">
        <v>1</v>
      </c>
      <c r="H52" s="795" t="s">
        <v>300</v>
      </c>
      <c r="I52" s="502" t="s">
        <v>155</v>
      </c>
      <c r="J52" s="502" t="s">
        <v>757</v>
      </c>
      <c r="K52" s="502" t="s">
        <v>534</v>
      </c>
      <c r="L52" s="24">
        <v>2020</v>
      </c>
      <c r="M52" s="511">
        <v>0</v>
      </c>
      <c r="N52" s="512">
        <v>0</v>
      </c>
      <c r="O52" s="512">
        <v>0</v>
      </c>
      <c r="P52" s="318" t="str">
        <f t="shared" si="27"/>
        <v>Updated to RTF baseline</v>
      </c>
      <c r="Q52" s="505">
        <v>0</v>
      </c>
      <c r="R52" s="557">
        <f>IF($S$2="7th PP",J$81+J$91,IF($S$2="RTF",SUMIFS($J$161:$J$188,$K$161:$K$188,$A52),""))</f>
        <v>0</v>
      </c>
      <c r="S52" s="318" t="str">
        <f t="shared" si="28"/>
        <v>Source: RTF</v>
      </c>
      <c r="T52" s="507"/>
      <c r="U52" s="508"/>
      <c r="V52" s="509"/>
      <c r="W52" s="1392" t="s">
        <v>483</v>
      </c>
    </row>
    <row r="53" spans="1:23" s="482" customFormat="1" ht="12.75" customHeight="1">
      <c r="A53" s="726" t="s">
        <v>1656</v>
      </c>
      <c r="B53" s="499" t="str">
        <f t="shared" si="16"/>
        <v>RES_201403</v>
      </c>
      <c r="C53" s="499">
        <v>0</v>
      </c>
      <c r="D53" s="499">
        <v>0</v>
      </c>
      <c r="E53" s="499">
        <f t="shared" si="23"/>
        <v>1</v>
      </c>
      <c r="F53" s="499">
        <v>1</v>
      </c>
      <c r="G53" s="499" t="b">
        <v>1</v>
      </c>
      <c r="H53" s="801" t="s">
        <v>300</v>
      </c>
      <c r="I53" s="577" t="s">
        <v>155</v>
      </c>
      <c r="J53" s="577" t="s">
        <v>757</v>
      </c>
      <c r="K53" s="577" t="s">
        <v>502</v>
      </c>
      <c r="L53" s="243">
        <v>2020</v>
      </c>
      <c r="M53" s="519">
        <v>0</v>
      </c>
      <c r="N53" s="520">
        <v>0</v>
      </c>
      <c r="O53" s="520">
        <v>0</v>
      </c>
      <c r="P53" s="321" t="str">
        <f t="shared" si="27"/>
        <v>Updated to RTF baseline</v>
      </c>
      <c r="Q53" s="521">
        <v>0</v>
      </c>
      <c r="R53" s="588">
        <f>IF($S$2="7th PP",J$82+J$92,IF($S$2="RTF",SUMIFS($J$161:$J$188,$K$161:$K$188,$A53),""))</f>
        <v>0</v>
      </c>
      <c r="S53" s="321" t="str">
        <f t="shared" si="28"/>
        <v>Source: RTF</v>
      </c>
      <c r="T53" s="528"/>
      <c r="U53" s="529"/>
      <c r="V53" s="530"/>
      <c r="W53" s="1392" t="s">
        <v>483</v>
      </c>
    </row>
    <row r="54" spans="1:23" s="482" customFormat="1" ht="12.75" customHeight="1">
      <c r="A54" s="726" t="s">
        <v>95</v>
      </c>
      <c r="B54" s="499" t="str">
        <f t="shared" si="16"/>
        <v>RES_201403</v>
      </c>
      <c r="C54" s="499">
        <v>0</v>
      </c>
      <c r="D54" s="499">
        <v>0</v>
      </c>
      <c r="E54" s="499">
        <f t="shared" si="23"/>
        <v>1</v>
      </c>
      <c r="F54" s="499">
        <v>1</v>
      </c>
      <c r="G54" s="499" t="b">
        <v>1</v>
      </c>
      <c r="H54" s="799" t="str">
        <f t="shared" ref="H54:H59" si="29">IF(LEFT(A54,3)="Res","Residential",IF(LEFT(A54,3)="Ind","industrial",IF(LEFT(A54,3)="Com","Commercial",IF(LEFT(A54,3)="AGR","Agriculture",""))))</f>
        <v>Residential</v>
      </c>
      <c r="I54" s="568" t="s">
        <v>155</v>
      </c>
      <c r="J54" s="568" t="s">
        <v>465</v>
      </c>
      <c r="K54" s="568" t="s">
        <v>534</v>
      </c>
      <c r="L54" s="245">
        <v>2021</v>
      </c>
      <c r="M54" s="569">
        <v>1133.1265533200001</v>
      </c>
      <c r="N54" s="570">
        <v>1133.1265533200001</v>
      </c>
      <c r="O54" s="570">
        <v>0</v>
      </c>
      <c r="P54" s="320" t="str">
        <f t="shared" si="27"/>
        <v>Updated to RTF baseline</v>
      </c>
      <c r="Q54" s="571">
        <v>0.13985600000000001</v>
      </c>
      <c r="R54" s="572">
        <f>IF($S$2="7th PP",$J$76+$J$86,IF($S$2="RTF",SUMIFS($J$161:$J$188,$K$161:$K$188,$A54),""))</f>
        <v>21.033818272949325</v>
      </c>
      <c r="S54" s="320" t="str">
        <f t="shared" si="28"/>
        <v>Source: RTF</v>
      </c>
      <c r="T54" s="573">
        <f t="shared" ref="T54:T59" si="30">(M54-O54)*Q54*R54/8760000</f>
        <v>3.8051653282621936E-4</v>
      </c>
      <c r="U54" s="574">
        <f t="shared" ref="U54:U59" si="31">IFERROR((N54-O54/M54*N54)*Q54*R54/8760/1000,0)</f>
        <v>3.8051653282621936E-4</v>
      </c>
      <c r="V54" s="800">
        <f t="shared" ref="V54:V59" si="32">T54-U54</f>
        <v>0</v>
      </c>
      <c r="W54" s="1392"/>
    </row>
    <row r="55" spans="1:23" s="482" customFormat="1" ht="12.75" customHeight="1">
      <c r="A55" s="726" t="s">
        <v>96</v>
      </c>
      <c r="B55" s="499" t="str">
        <f t="shared" si="16"/>
        <v>RES_201403</v>
      </c>
      <c r="C55" s="499">
        <v>0</v>
      </c>
      <c r="D55" s="499">
        <v>0</v>
      </c>
      <c r="E55" s="499">
        <f t="shared" si="23"/>
        <v>1</v>
      </c>
      <c r="F55" s="499">
        <v>1</v>
      </c>
      <c r="G55" s="499" t="b">
        <v>1</v>
      </c>
      <c r="H55" s="795" t="str">
        <f t="shared" si="29"/>
        <v>Residential</v>
      </c>
      <c r="I55" s="502" t="s">
        <v>155</v>
      </c>
      <c r="J55" s="502" t="s">
        <v>465</v>
      </c>
      <c r="K55" s="502" t="s">
        <v>502</v>
      </c>
      <c r="L55" s="24">
        <v>2021</v>
      </c>
      <c r="M55" s="511">
        <v>40586.182465359998</v>
      </c>
      <c r="N55" s="512">
        <v>3838.9051431500002</v>
      </c>
      <c r="O55" s="512">
        <v>0</v>
      </c>
      <c r="P55" s="318" t="str">
        <f t="shared" si="27"/>
        <v>Updated to RTF baseline</v>
      </c>
      <c r="Q55" s="505">
        <v>0.13985600000000001</v>
      </c>
      <c r="R55" s="557">
        <f>IF($S$2="7th PP",$J$77+$J$87,IF($S$2="RTF",SUMIFS($J$161:$J$188,$K$161:$K$188,$A55),""))</f>
        <v>26.07814889846286</v>
      </c>
      <c r="S55" s="318" t="str">
        <f t="shared" si="28"/>
        <v>Source: RTF</v>
      </c>
      <c r="T55" s="507">
        <f t="shared" si="30"/>
        <v>1.6897869855694317E-2</v>
      </c>
      <c r="U55" s="508">
        <f t="shared" si="31"/>
        <v>1.5983104484554502E-3</v>
      </c>
      <c r="V55" s="796">
        <f t="shared" si="32"/>
        <v>1.5299559407238867E-2</v>
      </c>
      <c r="W55" s="1392"/>
    </row>
    <row r="56" spans="1:23" s="482" customFormat="1" ht="12.75" customHeight="1">
      <c r="A56" s="726" t="s">
        <v>603</v>
      </c>
      <c r="B56" s="499" t="str">
        <f t="shared" si="16"/>
        <v>RES_201403</v>
      </c>
      <c r="C56" s="499">
        <v>0</v>
      </c>
      <c r="D56" s="499">
        <v>0</v>
      </c>
      <c r="E56" s="499">
        <f t="shared" si="23"/>
        <v>1</v>
      </c>
      <c r="F56" s="499">
        <v>1</v>
      </c>
      <c r="G56" s="499" t="b">
        <v>1</v>
      </c>
      <c r="H56" s="795" t="str">
        <f t="shared" si="29"/>
        <v>Residential</v>
      </c>
      <c r="I56" s="502" t="s">
        <v>155</v>
      </c>
      <c r="J56" s="502" t="s">
        <v>466</v>
      </c>
      <c r="K56" s="502" t="s">
        <v>534</v>
      </c>
      <c r="L56" s="24">
        <v>2021</v>
      </c>
      <c r="M56" s="511">
        <v>13319.192338020001</v>
      </c>
      <c r="N56" s="512">
        <v>1823.3220954999999</v>
      </c>
      <c r="O56" s="512">
        <v>0</v>
      </c>
      <c r="P56" s="318" t="str">
        <f t="shared" si="27"/>
        <v>Updated to RTF baseline</v>
      </c>
      <c r="Q56" s="505">
        <v>0.13985600000000001</v>
      </c>
      <c r="R56" s="557">
        <f>IF($S$2="7th PP",$J$76+$J$86,IF($S$2="RTF",SUMIFS($J$161:$J$188,$K$161:$K$188,$A56),""))</f>
        <v>44.588844622442167</v>
      </c>
      <c r="S56" s="318" t="str">
        <f t="shared" si="28"/>
        <v>Source: RTF</v>
      </c>
      <c r="T56" s="507">
        <f t="shared" si="30"/>
        <v>9.4815885715334395E-3</v>
      </c>
      <c r="U56" s="508">
        <f t="shared" si="31"/>
        <v>1.2979758459954183E-3</v>
      </c>
      <c r="V56" s="796">
        <f t="shared" si="32"/>
        <v>8.1836127255380219E-3</v>
      </c>
      <c r="W56" s="1392"/>
    </row>
    <row r="57" spans="1:23" s="482" customFormat="1" ht="12.75" customHeight="1">
      <c r="A57" s="726" t="s">
        <v>604</v>
      </c>
      <c r="B57" s="499" t="str">
        <f t="shared" si="16"/>
        <v>RES_201403</v>
      </c>
      <c r="C57" s="499">
        <v>0</v>
      </c>
      <c r="D57" s="499">
        <v>0</v>
      </c>
      <c r="E57" s="499">
        <f t="shared" si="23"/>
        <v>1</v>
      </c>
      <c r="F57" s="499">
        <v>1</v>
      </c>
      <c r="G57" s="499" t="b">
        <v>1</v>
      </c>
      <c r="H57" s="795" t="str">
        <f t="shared" si="29"/>
        <v>Residential</v>
      </c>
      <c r="I57" s="502" t="s">
        <v>155</v>
      </c>
      <c r="J57" s="502" t="s">
        <v>466</v>
      </c>
      <c r="K57" s="502" t="s">
        <v>502</v>
      </c>
      <c r="L57" s="24">
        <v>2021</v>
      </c>
      <c r="M57" s="511">
        <v>11159.27814068</v>
      </c>
      <c r="N57" s="512">
        <v>1763.76488328</v>
      </c>
      <c r="O57" s="512">
        <v>0</v>
      </c>
      <c r="P57" s="318" t="str">
        <f t="shared" si="27"/>
        <v>Updated to RTF baseline</v>
      </c>
      <c r="Q57" s="505">
        <v>0.13985600000000001</v>
      </c>
      <c r="R57" s="557">
        <f>IF($S$2="7th PP",$J$77+$J$87,IF($S$2="RTF",SUMIFS($J$161:$J$188,$K$161:$K$188,$A57),""))</f>
        <v>124.09592218330684</v>
      </c>
      <c r="S57" s="318" t="str">
        <f t="shared" si="28"/>
        <v>Source: RTF</v>
      </c>
      <c r="T57" s="507">
        <f t="shared" si="30"/>
        <v>2.2109076876276685E-2</v>
      </c>
      <c r="U57" s="508">
        <f t="shared" si="31"/>
        <v>3.4944207774481096E-3</v>
      </c>
      <c r="V57" s="796">
        <f t="shared" si="32"/>
        <v>1.8614656098828574E-2</v>
      </c>
      <c r="W57" s="1392"/>
    </row>
    <row r="58" spans="1:23" s="482" customFormat="1" ht="12.75" customHeight="1">
      <c r="A58" s="726" t="s">
        <v>601</v>
      </c>
      <c r="B58" s="499" t="str">
        <f t="shared" si="16"/>
        <v>RES_201403</v>
      </c>
      <c r="C58" s="499">
        <v>0</v>
      </c>
      <c r="D58" s="499">
        <v>0</v>
      </c>
      <c r="E58" s="499">
        <f t="shared" si="23"/>
        <v>1</v>
      </c>
      <c r="F58" s="499">
        <v>1</v>
      </c>
      <c r="G58" s="499" t="b">
        <v>1</v>
      </c>
      <c r="H58" s="795" t="str">
        <f t="shared" si="29"/>
        <v>Residential</v>
      </c>
      <c r="I58" s="502" t="s">
        <v>155</v>
      </c>
      <c r="J58" s="502" t="s">
        <v>464</v>
      </c>
      <c r="K58" s="502" t="s">
        <v>534</v>
      </c>
      <c r="L58" s="24">
        <v>2021</v>
      </c>
      <c r="M58" s="511">
        <v>146931.27288904999</v>
      </c>
      <c r="N58" s="512">
        <v>6494.2150718599996</v>
      </c>
      <c r="O58" s="512">
        <v>0</v>
      </c>
      <c r="P58" s="318" t="str">
        <f t="shared" si="27"/>
        <v>Updated to RTF baseline</v>
      </c>
      <c r="Q58" s="505">
        <v>0.13985600000000001</v>
      </c>
      <c r="R58" s="557">
        <f>IF($S$2="7th PP",$J$76+$J$86,IF($S$2="RTF",SUMIFS($J$161:$J$188,$K$161:$K$188,$A58),""))</f>
        <v>7.057765410106402</v>
      </c>
      <c r="S58" s="318" t="str">
        <f t="shared" si="28"/>
        <v>Source: RTF</v>
      </c>
      <c r="T58" s="507">
        <f t="shared" si="30"/>
        <v>1.6556115848710924E-2</v>
      </c>
      <c r="U58" s="508">
        <f t="shared" si="31"/>
        <v>7.3176373526245766E-4</v>
      </c>
      <c r="V58" s="796">
        <f t="shared" si="32"/>
        <v>1.5824352113448466E-2</v>
      </c>
      <c r="W58" s="1392"/>
    </row>
    <row r="59" spans="1:23" s="482" customFormat="1" ht="12.75" customHeight="1">
      <c r="A59" s="726" t="s">
        <v>602</v>
      </c>
      <c r="B59" s="499" t="str">
        <f t="shared" si="16"/>
        <v>RES_201403</v>
      </c>
      <c r="C59" s="499">
        <v>0</v>
      </c>
      <c r="D59" s="499">
        <v>0</v>
      </c>
      <c r="E59" s="499">
        <f t="shared" si="23"/>
        <v>1</v>
      </c>
      <c r="F59" s="499">
        <v>1</v>
      </c>
      <c r="G59" s="499" t="b">
        <v>1</v>
      </c>
      <c r="H59" s="795" t="str">
        <f t="shared" si="29"/>
        <v>Residential</v>
      </c>
      <c r="I59" s="502" t="s">
        <v>155</v>
      </c>
      <c r="J59" s="502" t="s">
        <v>464</v>
      </c>
      <c r="K59" s="502" t="s">
        <v>502</v>
      </c>
      <c r="L59" s="24">
        <v>2021</v>
      </c>
      <c r="M59" s="511">
        <v>4885.1087226</v>
      </c>
      <c r="N59" s="512">
        <v>3241.81961671</v>
      </c>
      <c r="O59" s="512">
        <v>0</v>
      </c>
      <c r="P59" s="318" t="str">
        <f t="shared" si="27"/>
        <v>Updated to RTF baseline</v>
      </c>
      <c r="Q59" s="505">
        <v>0.13985600000000001</v>
      </c>
      <c r="R59" s="557">
        <f>IF($S$2="7th PP",$J$77+$J$87,IF($S$2="RTF",SUMIFS($J$161:$J$188,$K$161:$K$188,$A59),""))</f>
        <v>58.261695916851224</v>
      </c>
      <c r="S59" s="318" t="str">
        <f t="shared" si="28"/>
        <v>Source: RTF</v>
      </c>
      <c r="T59" s="507">
        <f t="shared" si="30"/>
        <v>4.5439584621962317E-3</v>
      </c>
      <c r="U59" s="508">
        <f t="shared" si="31"/>
        <v>3.0154280112773078E-3</v>
      </c>
      <c r="V59" s="796">
        <f t="shared" si="32"/>
        <v>1.5285304509189239E-3</v>
      </c>
      <c r="W59" s="1392"/>
    </row>
    <row r="60" spans="1:23" s="482" customFormat="1" ht="12.75" customHeight="1">
      <c r="A60" s="726" t="s">
        <v>1655</v>
      </c>
      <c r="B60" s="499" t="str">
        <f t="shared" ref="B60:B61" si="33">LEFT(A60,10)</f>
        <v>RES_201403</v>
      </c>
      <c r="C60" s="499">
        <v>0</v>
      </c>
      <c r="D60" s="499">
        <v>0</v>
      </c>
      <c r="E60" s="499">
        <f t="shared" si="23"/>
        <v>1</v>
      </c>
      <c r="F60" s="499">
        <v>1</v>
      </c>
      <c r="G60" s="499" t="b">
        <v>1</v>
      </c>
      <c r="H60" s="795" t="s">
        <v>300</v>
      </c>
      <c r="I60" s="502" t="s">
        <v>155</v>
      </c>
      <c r="J60" s="502" t="s">
        <v>757</v>
      </c>
      <c r="K60" s="502" t="s">
        <v>534</v>
      </c>
      <c r="L60" s="24">
        <v>2021</v>
      </c>
      <c r="M60" s="511">
        <v>0</v>
      </c>
      <c r="N60" s="512">
        <v>0</v>
      </c>
      <c r="O60" s="512">
        <v>0</v>
      </c>
      <c r="P60" s="318" t="str">
        <f t="shared" si="27"/>
        <v>Updated to RTF baseline</v>
      </c>
      <c r="Q60" s="505">
        <v>0</v>
      </c>
      <c r="R60" s="557">
        <f>IF($S$2="7th PP",J$81+J$91,IF($S$2="RTF",SUMIFS($J$161:$J$188,$K$161:$K$188,$A60),""))</f>
        <v>0</v>
      </c>
      <c r="S60" s="318" t="str">
        <f t="shared" si="28"/>
        <v>Source: RTF</v>
      </c>
      <c r="T60" s="507"/>
      <c r="U60" s="508"/>
      <c r="V60" s="796"/>
      <c r="W60" s="1392"/>
    </row>
    <row r="61" spans="1:23" s="482" customFormat="1" ht="12.75" customHeight="1" thickBot="1">
      <c r="A61" s="726" t="s">
        <v>1656</v>
      </c>
      <c r="B61" s="499" t="str">
        <f t="shared" si="33"/>
        <v>RES_201403</v>
      </c>
      <c r="C61" s="499">
        <v>0</v>
      </c>
      <c r="D61" s="499">
        <v>0</v>
      </c>
      <c r="E61" s="499">
        <f t="shared" si="23"/>
        <v>1</v>
      </c>
      <c r="F61" s="499">
        <v>1</v>
      </c>
      <c r="G61" s="499" t="b">
        <v>1</v>
      </c>
      <c r="H61" s="809" t="s">
        <v>300</v>
      </c>
      <c r="I61" s="734" t="s">
        <v>155</v>
      </c>
      <c r="J61" s="734" t="s">
        <v>757</v>
      </c>
      <c r="K61" s="734" t="s">
        <v>502</v>
      </c>
      <c r="L61" s="708">
        <v>2021</v>
      </c>
      <c r="M61" s="735">
        <v>0</v>
      </c>
      <c r="N61" s="736">
        <v>0</v>
      </c>
      <c r="O61" s="736">
        <v>0</v>
      </c>
      <c r="P61" s="810" t="str">
        <f t="shared" si="27"/>
        <v>Updated to RTF baseline</v>
      </c>
      <c r="Q61" s="737">
        <v>0</v>
      </c>
      <c r="R61" s="1556">
        <f>IF($S$2="7th PP",J$82+J$92,IF($S$2="RTF",SUMIFS($J$161:$J$188,$K$161:$K$188,$A61),""))</f>
        <v>0</v>
      </c>
      <c r="S61" s="810" t="str">
        <f t="shared" si="28"/>
        <v>Source: RTF</v>
      </c>
      <c r="T61" s="739"/>
      <c r="U61" s="740"/>
      <c r="V61" s="811"/>
      <c r="W61" s="1392"/>
    </row>
    <row r="62" spans="1:23" ht="12.75" customHeight="1">
      <c r="F62" s="499"/>
      <c r="H62" s="940"/>
      <c r="I62" s="940"/>
      <c r="J62" s="940"/>
      <c r="K62" s="940"/>
      <c r="L62" s="96"/>
    </row>
    <row r="63" spans="1:23" ht="20.25" customHeight="1">
      <c r="F63" s="499"/>
      <c r="H63" s="939" t="s">
        <v>1354</v>
      </c>
      <c r="I63" s="940"/>
      <c r="J63" s="940"/>
      <c r="K63" s="940"/>
      <c r="L63" s="96"/>
    </row>
    <row r="64" spans="1:23" ht="76.5" customHeight="1">
      <c r="F64" s="499"/>
      <c r="H64" s="2956" t="s">
        <v>1614</v>
      </c>
      <c r="I64" s="2957"/>
      <c r="J64" s="2957"/>
      <c r="K64" s="2957"/>
      <c r="L64" s="2958"/>
    </row>
    <row r="65" spans="1:22" ht="29.25" customHeight="1">
      <c r="F65" s="499"/>
      <c r="H65" s="939" t="s">
        <v>1356</v>
      </c>
      <c r="I65" s="940"/>
      <c r="J65" s="940"/>
      <c r="K65" s="940"/>
      <c r="L65" s="96"/>
    </row>
    <row r="66" spans="1:22" ht="122.25" customHeight="1">
      <c r="F66" s="499"/>
      <c r="H66" s="2956" t="s">
        <v>1604</v>
      </c>
      <c r="I66" s="2957"/>
      <c r="J66" s="2957"/>
      <c r="K66" s="2957"/>
      <c r="L66" s="2958"/>
    </row>
    <row r="67" spans="1:22" ht="21" customHeight="1" thickBot="1">
      <c r="F67" s="499"/>
      <c r="H67" s="1176" t="s">
        <v>242</v>
      </c>
      <c r="I67" s="1176"/>
      <c r="J67" s="1176"/>
      <c r="K67" s="1176"/>
      <c r="L67" s="1176"/>
      <c r="M67" s="1176"/>
      <c r="N67" s="1176"/>
      <c r="O67" s="1176"/>
      <c r="P67" s="1176"/>
      <c r="Q67" s="1176"/>
      <c r="R67" s="1176"/>
      <c r="S67" s="1176"/>
      <c r="T67" s="1176"/>
      <c r="U67" s="1176"/>
      <c r="V67" s="1176"/>
    </row>
    <row r="68" spans="1:22" ht="12.75" customHeight="1" thickTop="1">
      <c r="F68" s="499"/>
      <c r="H68" s="1393" t="s">
        <v>627</v>
      </c>
      <c r="I68" s="940"/>
      <c r="J68" s="940"/>
      <c r="K68" s="940"/>
      <c r="L68" s="96"/>
    </row>
    <row r="69" spans="1:22" ht="12.75" customHeight="1">
      <c r="F69" s="499"/>
      <c r="H69" s="940"/>
      <c r="I69" s="940"/>
      <c r="J69" s="940"/>
      <c r="K69" s="940"/>
      <c r="L69" s="96"/>
    </row>
    <row r="70" spans="1:22" ht="12.75" customHeight="1">
      <c r="F70" s="499"/>
      <c r="H70" s="940"/>
      <c r="I70" s="940"/>
      <c r="J70" s="940"/>
      <c r="K70" s="940"/>
      <c r="L70" s="96"/>
    </row>
    <row r="71" spans="1:22" s="1405" customFormat="1" ht="12.75" customHeight="1" thickBot="1">
      <c r="A71" s="1403"/>
      <c r="B71" s="1403"/>
      <c r="C71" s="1404"/>
      <c r="D71" s="1404"/>
      <c r="E71" s="1404"/>
      <c r="F71" s="1404"/>
      <c r="G71" s="1403"/>
      <c r="H71" s="1405" t="s">
        <v>717</v>
      </c>
      <c r="M71" s="1406"/>
      <c r="N71" s="1406"/>
      <c r="O71" s="1406"/>
      <c r="P71" s="1406"/>
      <c r="V71" s="1407"/>
    </row>
    <row r="72" spans="1:22" ht="12.75" customHeight="1">
      <c r="H72" s="1408"/>
      <c r="P72" s="462"/>
      <c r="U72" s="464"/>
      <c r="V72" s="462"/>
    </row>
    <row r="73" spans="1:22" ht="12.75" hidden="1" customHeight="1" thickBot="1">
      <c r="H73" s="995" t="s">
        <v>1383</v>
      </c>
    </row>
    <row r="74" spans="1:22" ht="12.75" hidden="1" customHeight="1">
      <c r="H74" s="767" t="s">
        <v>718</v>
      </c>
      <c r="I74" s="768"/>
      <c r="J74" s="768"/>
      <c r="K74" s="769"/>
    </row>
    <row r="75" spans="1:22" ht="29.25" hidden="1" customHeight="1">
      <c r="H75" s="770" t="s">
        <v>273</v>
      </c>
      <c r="I75" s="380" t="s">
        <v>274</v>
      </c>
      <c r="J75" s="380" t="s">
        <v>1337</v>
      </c>
      <c r="K75" s="771" t="s">
        <v>1338</v>
      </c>
    </row>
    <row r="76" spans="1:22" ht="13.8" hidden="1">
      <c r="H76" s="772" t="s">
        <v>719</v>
      </c>
      <c r="I76" s="381" t="s">
        <v>719</v>
      </c>
      <c r="J76" s="382">
        <v>10.842807929192544</v>
      </c>
      <c r="K76" s="773">
        <v>15.18</v>
      </c>
      <c r="L76" s="972" t="s">
        <v>755</v>
      </c>
    </row>
    <row r="77" spans="1:22" ht="13.8" hidden="1">
      <c r="H77" s="774" t="s">
        <v>720</v>
      </c>
      <c r="I77" s="384" t="s">
        <v>720</v>
      </c>
      <c r="J77" s="385">
        <v>47.866995551282059</v>
      </c>
      <c r="K77" s="775">
        <v>15.18</v>
      </c>
      <c r="L77" s="972" t="s">
        <v>502</v>
      </c>
    </row>
    <row r="78" spans="1:22" ht="13.8" hidden="1">
      <c r="H78" s="776" t="s">
        <v>721</v>
      </c>
      <c r="I78" s="387" t="s">
        <v>721</v>
      </c>
      <c r="J78" s="388">
        <v>112.42572178653531</v>
      </c>
      <c r="K78" s="777">
        <v>15.18</v>
      </c>
      <c r="L78" s="972"/>
    </row>
    <row r="79" spans="1:22" ht="13.8" hidden="1">
      <c r="H79" s="778" t="s">
        <v>722</v>
      </c>
      <c r="I79" s="390" t="s">
        <v>722</v>
      </c>
      <c r="J79" s="391">
        <v>45.18124583177476</v>
      </c>
      <c r="K79" s="779">
        <v>15.18</v>
      </c>
      <c r="L79" s="972" t="s">
        <v>756</v>
      </c>
    </row>
    <row r="80" spans="1:22" ht="12.75" hidden="1" customHeight="1">
      <c r="H80" s="780" t="s">
        <v>723</v>
      </c>
      <c r="I80" s="393" t="s">
        <v>723</v>
      </c>
      <c r="J80" s="394">
        <v>24.841753090909091</v>
      </c>
      <c r="K80" s="781">
        <v>21.73469387755102</v>
      </c>
    </row>
    <row r="81" spans="8:11" ht="12.75" hidden="1" customHeight="1">
      <c r="H81" s="782" t="s">
        <v>724</v>
      </c>
      <c r="I81" s="395" t="s">
        <v>724</v>
      </c>
      <c r="J81" s="396">
        <v>2.859961208970168</v>
      </c>
      <c r="K81" s="783">
        <v>4.6742424242424248</v>
      </c>
    </row>
    <row r="82" spans="8:11" ht="12.75" hidden="1" customHeight="1">
      <c r="H82" s="782" t="s">
        <v>725</v>
      </c>
      <c r="I82" s="395" t="s">
        <v>725</v>
      </c>
      <c r="J82" s="396">
        <v>15.010049523809521</v>
      </c>
      <c r="K82" s="783">
        <v>4.6742424242424248</v>
      </c>
    </row>
    <row r="83" spans="8:11" ht="12.75" hidden="1" customHeight="1">
      <c r="H83" s="782" t="s">
        <v>726</v>
      </c>
      <c r="I83" s="395" t="s">
        <v>726</v>
      </c>
      <c r="J83" s="396">
        <v>35.698709719946727</v>
      </c>
      <c r="K83" s="783">
        <v>4.6742424242424248</v>
      </c>
    </row>
    <row r="84" spans="8:11" ht="12.75" hidden="1" customHeight="1">
      <c r="H84" s="782" t="s">
        <v>727</v>
      </c>
      <c r="I84" s="395" t="s">
        <v>727</v>
      </c>
      <c r="J84" s="396">
        <v>10.412841849480721</v>
      </c>
      <c r="K84" s="783">
        <v>4.6742424242424248</v>
      </c>
    </row>
    <row r="85" spans="8:11" ht="12.75" hidden="1" customHeight="1">
      <c r="H85" s="780" t="s">
        <v>728</v>
      </c>
      <c r="I85" s="393" t="s">
        <v>728</v>
      </c>
      <c r="J85" s="394">
        <v>10.819064490523967</v>
      </c>
      <c r="K85" s="781">
        <v>6.5377358490566042</v>
      </c>
    </row>
    <row r="86" spans="8:11" ht="12.75" hidden="1" customHeight="1">
      <c r="H86" s="772" t="s">
        <v>719</v>
      </c>
      <c r="I86" s="383" t="s">
        <v>729</v>
      </c>
      <c r="J86" s="382">
        <v>-1.6570903201259692</v>
      </c>
      <c r="K86" s="773">
        <v>15.18</v>
      </c>
    </row>
    <row r="87" spans="8:11" ht="12.75" hidden="1" customHeight="1">
      <c r="H87" s="774" t="s">
        <v>720</v>
      </c>
      <c r="I87" s="386" t="s">
        <v>730</v>
      </c>
      <c r="J87" s="385">
        <v>-7.3154422267303989</v>
      </c>
      <c r="K87" s="775">
        <v>15.18</v>
      </c>
    </row>
    <row r="88" spans="8:11" ht="12.75" hidden="1" customHeight="1">
      <c r="H88" s="784" t="s">
        <v>721</v>
      </c>
      <c r="I88" s="389" t="s">
        <v>731</v>
      </c>
      <c r="J88" s="388">
        <v>-17.181856998873958</v>
      </c>
      <c r="K88" s="777">
        <v>15.18</v>
      </c>
    </row>
    <row r="89" spans="8:11" ht="12.75" hidden="1" customHeight="1">
      <c r="H89" s="785" t="s">
        <v>722</v>
      </c>
      <c r="I89" s="392" t="s">
        <v>732</v>
      </c>
      <c r="J89" s="391">
        <v>-6.9049830641647469</v>
      </c>
      <c r="K89" s="779">
        <v>15.18</v>
      </c>
    </row>
    <row r="90" spans="8:11" ht="12.75" hidden="1" customHeight="1">
      <c r="H90" s="786" t="s">
        <v>723</v>
      </c>
      <c r="I90" s="393" t="s">
        <v>733</v>
      </c>
      <c r="J90" s="394">
        <v>-1.9754532192893981</v>
      </c>
      <c r="K90" s="781">
        <v>21.73469387755102</v>
      </c>
    </row>
    <row r="91" spans="8:11" ht="12.75" hidden="1" customHeight="1">
      <c r="H91" s="787" t="s">
        <v>724</v>
      </c>
      <c r="I91" s="395" t="s">
        <v>734</v>
      </c>
      <c r="J91" s="396">
        <v>-0.38388850742119568</v>
      </c>
      <c r="K91" s="783">
        <v>4.6742424242424248</v>
      </c>
    </row>
    <row r="92" spans="8:11" ht="12.75" hidden="1" customHeight="1">
      <c r="H92" s="787" t="s">
        <v>725</v>
      </c>
      <c r="I92" s="395" t="s">
        <v>735</v>
      </c>
      <c r="J92" s="396">
        <v>-2.0147775046530607</v>
      </c>
      <c r="K92" s="783">
        <v>4.6742424242424248</v>
      </c>
    </row>
    <row r="93" spans="8:11" ht="12.75" hidden="1" customHeight="1">
      <c r="H93" s="787" t="s">
        <v>726</v>
      </c>
      <c r="I93" s="395" t="s">
        <v>736</v>
      </c>
      <c r="J93" s="396">
        <v>-4.7917868075517056</v>
      </c>
      <c r="K93" s="783">
        <v>4.6742424242424248</v>
      </c>
    </row>
    <row r="94" spans="8:11" ht="12.75" hidden="1" customHeight="1">
      <c r="H94" s="787" t="s">
        <v>727</v>
      </c>
      <c r="I94" s="395" t="s">
        <v>737</v>
      </c>
      <c r="J94" s="396">
        <v>-1.3977008859674407</v>
      </c>
      <c r="K94" s="783">
        <v>4.6742424242424248</v>
      </c>
    </row>
    <row r="95" spans="8:11" ht="12.75" hidden="1" customHeight="1" thickBot="1">
      <c r="H95" s="788" t="s">
        <v>728</v>
      </c>
      <c r="I95" s="789" t="s">
        <v>738</v>
      </c>
      <c r="J95" s="790">
        <v>-0.81575746258550719</v>
      </c>
      <c r="K95" s="791">
        <v>6.5377358490566042</v>
      </c>
    </row>
    <row r="96" spans="8:11" ht="12.75" hidden="1" customHeight="1"/>
    <row r="97" spans="8:11" ht="12.75" hidden="1" customHeight="1">
      <c r="H97" s="1409" t="s">
        <v>741</v>
      </c>
      <c r="I97" s="398"/>
      <c r="J97" s="398"/>
      <c r="K97" s="398"/>
    </row>
    <row r="98" spans="8:11" ht="12.75" hidden="1" customHeight="1">
      <c r="H98" s="398"/>
      <c r="I98" s="399" t="s">
        <v>742</v>
      </c>
      <c r="J98" s="399" t="s">
        <v>743</v>
      </c>
      <c r="K98" s="399" t="s">
        <v>744</v>
      </c>
    </row>
    <row r="99" spans="8:11" ht="12.75" hidden="1" customHeight="1">
      <c r="H99" s="400" t="s">
        <v>745</v>
      </c>
      <c r="I99" s="401">
        <v>0.87832484436898695</v>
      </c>
      <c r="J99" s="402">
        <v>0.15282852292020371</v>
      </c>
      <c r="K99" s="403">
        <v>8.6471663882417612E-3</v>
      </c>
    </row>
    <row r="100" spans="8:11" ht="12.75" hidden="1" customHeight="1">
      <c r="H100" s="400" t="s">
        <v>746</v>
      </c>
      <c r="I100" s="404">
        <v>0.45702005730659023</v>
      </c>
      <c r="J100" s="405">
        <v>7.9521489971346698E-2</v>
      </c>
      <c r="K100" s="406">
        <v>4.4993927971296839E-3</v>
      </c>
    </row>
    <row r="101" spans="8:11" ht="12.75" hidden="1" customHeight="1">
      <c r="H101" s="407" t="s">
        <v>747</v>
      </c>
      <c r="I101" s="404">
        <v>0.77142857142857146</v>
      </c>
      <c r="J101" s="405">
        <v>0.13422857142857142</v>
      </c>
      <c r="K101" s="406">
        <v>7.5947654863149153E-3</v>
      </c>
    </row>
    <row r="102" spans="8:11" ht="12.75" hidden="1" customHeight="1">
      <c r="H102" s="407" t="s">
        <v>748</v>
      </c>
      <c r="I102" s="401">
        <v>0.43333333333333335</v>
      </c>
      <c r="J102" s="402">
        <v>7.5399999999999995E-2</v>
      </c>
      <c r="K102" s="403">
        <v>4.2661954274978847E-3</v>
      </c>
    </row>
    <row r="103" spans="8:11" ht="12.75" hidden="1" customHeight="1">
      <c r="H103" s="458"/>
      <c r="I103" s="458"/>
      <c r="J103" s="458"/>
      <c r="K103" s="458"/>
    </row>
    <row r="104" spans="8:11" ht="12.75" hidden="1" customHeight="1">
      <c r="H104" s="408" t="s">
        <v>749</v>
      </c>
      <c r="I104" s="398"/>
      <c r="J104" s="398"/>
      <c r="K104" s="398"/>
    </row>
    <row r="105" spans="8:11" ht="12.75" hidden="1" customHeight="1">
      <c r="H105" s="398"/>
      <c r="I105" s="409" t="s">
        <v>750</v>
      </c>
      <c r="J105" s="409" t="s">
        <v>751</v>
      </c>
      <c r="K105" s="409" t="s">
        <v>752</v>
      </c>
    </row>
    <row r="106" spans="8:11" ht="12.75" hidden="1" customHeight="1">
      <c r="H106" s="398"/>
      <c r="I106" s="410" t="s">
        <v>753</v>
      </c>
      <c r="J106" s="411">
        <v>0.17399999999999999</v>
      </c>
      <c r="K106" s="412">
        <v>9.8450663711489635E-3</v>
      </c>
    </row>
    <row r="107" spans="8:11" ht="12.75" hidden="1" customHeight="1">
      <c r="H107" s="413" t="s">
        <v>1381</v>
      </c>
    </row>
    <row r="108" spans="8:11" ht="12.75" hidden="1" customHeight="1"/>
    <row r="109" spans="8:11" ht="12.75" hidden="1" customHeight="1">
      <c r="H109" s="1151" t="s">
        <v>1384</v>
      </c>
    </row>
    <row r="110" spans="8:11" ht="12.75" hidden="1" customHeight="1">
      <c r="H110" s="972" t="s">
        <v>739</v>
      </c>
    </row>
    <row r="111" spans="8:11" ht="12.75" hidden="1" customHeight="1">
      <c r="H111" s="972" t="s">
        <v>1323</v>
      </c>
    </row>
    <row r="112" spans="8:11" ht="12.75" hidden="1" customHeight="1">
      <c r="H112" s="462" t="s">
        <v>1613</v>
      </c>
      <c r="I112" s="458"/>
      <c r="J112" s="458"/>
    </row>
    <row r="113" spans="1:22" ht="12.75" hidden="1" customHeight="1"/>
    <row r="114" spans="1:22" ht="12.75" hidden="1" customHeight="1"/>
    <row r="115" spans="1:22" s="931" customFormat="1" ht="51.75" hidden="1" customHeight="1">
      <c r="A115" s="928"/>
      <c r="B115" s="928"/>
      <c r="C115" s="929"/>
      <c r="D115" s="929"/>
      <c r="E115" s="929"/>
      <c r="F115" s="929"/>
      <c r="G115" s="928"/>
      <c r="I115" s="1394"/>
      <c r="J115" s="1394" t="s">
        <v>1378</v>
      </c>
      <c r="K115" s="1394" t="s">
        <v>1379</v>
      </c>
      <c r="L115" s="1394" t="s">
        <v>1377</v>
      </c>
      <c r="M115" s="1394" t="s">
        <v>1380</v>
      </c>
      <c r="N115" s="1395"/>
      <c r="O115" s="1395"/>
      <c r="P115" s="1395"/>
      <c r="V115" s="1078"/>
    </row>
    <row r="116" spans="1:22" ht="12.75" hidden="1" customHeight="1">
      <c r="I116" s="1038" t="s">
        <v>740</v>
      </c>
      <c r="J116" s="1228">
        <f>T122</f>
        <v>281.75377259216117</v>
      </c>
      <c r="K116" s="1396">
        <f>P139</f>
        <v>230.63779032951081</v>
      </c>
      <c r="L116" s="1396">
        <f>J116-K116</f>
        <v>51.115982262650363</v>
      </c>
      <c r="M116" s="1397">
        <f>L116-L116*$I$101*$J$106</f>
        <v>44.254756986366608</v>
      </c>
    </row>
    <row r="117" spans="1:22" ht="12.75" hidden="1" customHeight="1"/>
    <row r="118" spans="1:22" ht="12.75" hidden="1" customHeight="1"/>
    <row r="119" spans="1:22" ht="12.75" hidden="1" customHeight="1"/>
    <row r="120" spans="1:22" ht="12.75" customHeight="1" thickBot="1"/>
    <row r="121" spans="1:22" ht="83.25" customHeight="1" thickBot="1">
      <c r="G121" s="461"/>
      <c r="H121" s="1398"/>
      <c r="I121" s="1399"/>
      <c r="J121" s="1410" t="s">
        <v>1257</v>
      </c>
      <c r="K121" s="1410" t="s">
        <v>1258</v>
      </c>
      <c r="L121" s="1410" t="s">
        <v>1259</v>
      </c>
      <c r="M121" s="1410" t="s">
        <v>1260</v>
      </c>
      <c r="N121" s="1410" t="s">
        <v>1371</v>
      </c>
      <c r="O121" s="1410" t="s">
        <v>1372</v>
      </c>
      <c r="P121" s="1411" t="s">
        <v>1373</v>
      </c>
      <c r="Q121" s="1412" t="s">
        <v>1374</v>
      </c>
      <c r="R121" s="1413" t="s">
        <v>1261</v>
      </c>
      <c r="S121" s="1414" t="s">
        <v>298</v>
      </c>
      <c r="T121" s="462" t="s">
        <v>1071</v>
      </c>
    </row>
    <row r="122" spans="1:22" ht="12.75" customHeight="1">
      <c r="G122" s="461"/>
      <c r="H122" s="3054">
        <v>10</v>
      </c>
      <c r="I122" s="3056" t="s">
        <v>1264</v>
      </c>
      <c r="J122" s="1415" t="s">
        <v>1262</v>
      </c>
      <c r="K122" s="1416">
        <v>299.61880000000002</v>
      </c>
      <c r="L122" s="1417">
        <v>15.039363</v>
      </c>
      <c r="M122" s="1418">
        <v>-6.1995890000000001E-3</v>
      </c>
      <c r="N122" s="1419">
        <v>3452</v>
      </c>
      <c r="O122" s="1419">
        <v>3401.6960518860374</v>
      </c>
      <c r="P122" s="1420">
        <v>288.62062430062855</v>
      </c>
      <c r="Q122" s="1421">
        <v>0.10218762025990942</v>
      </c>
      <c r="R122" s="1422">
        <v>2015</v>
      </c>
      <c r="S122" s="1416" t="s">
        <v>740</v>
      </c>
      <c r="T122" s="462">
        <f>IFERROR(SUMPRODUCT(P122:P124,O122:O124)/SUM(O122:O124),0)</f>
        <v>281.75377259216117</v>
      </c>
      <c r="U122" s="463"/>
    </row>
    <row r="123" spans="1:22" ht="12.75" customHeight="1">
      <c r="G123" s="461"/>
      <c r="H123" s="3055"/>
      <c r="I123" s="3057"/>
      <c r="J123" s="1423" t="s">
        <v>1375</v>
      </c>
      <c r="K123" s="1424">
        <v>218.19589999999999</v>
      </c>
      <c r="L123" s="1425">
        <v>10.617182</v>
      </c>
      <c r="M123" s="1426">
        <v>0.1059392</v>
      </c>
      <c r="N123" s="1427">
        <v>873</v>
      </c>
      <c r="O123" s="1427">
        <v>923.30394811396297</v>
      </c>
      <c r="P123" s="1428">
        <v>256.45447392318442</v>
      </c>
      <c r="Q123" s="1429">
        <v>2.5842929457387288E-2</v>
      </c>
      <c r="R123" s="1430">
        <v>2015</v>
      </c>
      <c r="S123" s="1424" t="s">
        <v>740</v>
      </c>
    </row>
    <row r="124" spans="1:22" ht="12.75" customHeight="1">
      <c r="G124" s="461"/>
      <c r="H124" s="3055"/>
      <c r="I124" s="3057"/>
      <c r="J124" s="1423" t="s">
        <v>1376</v>
      </c>
      <c r="K124" s="1431" t="s">
        <v>1263</v>
      </c>
      <c r="L124" s="1432" t="s">
        <v>1263</v>
      </c>
      <c r="M124" s="1433" t="s">
        <v>1263</v>
      </c>
      <c r="N124" s="1434">
        <v>0</v>
      </c>
      <c r="O124" s="1434">
        <v>0</v>
      </c>
      <c r="P124" s="1435" t="s">
        <v>1263</v>
      </c>
      <c r="Q124" s="1429">
        <v>0</v>
      </c>
      <c r="R124" s="1436">
        <v>2015</v>
      </c>
      <c r="S124" s="1433" t="s">
        <v>740</v>
      </c>
    </row>
    <row r="125" spans="1:22" ht="12.75" customHeight="1">
      <c r="G125" s="461"/>
      <c r="H125" s="3048" t="s">
        <v>1265</v>
      </c>
      <c r="I125" s="3051" t="s">
        <v>1266</v>
      </c>
      <c r="J125" s="1437" t="s">
        <v>1262</v>
      </c>
      <c r="K125" s="1438" t="s">
        <v>1263</v>
      </c>
      <c r="L125" s="1439" t="s">
        <v>1263</v>
      </c>
      <c r="M125" s="1440" t="s">
        <v>1263</v>
      </c>
      <c r="N125" s="1441">
        <v>0</v>
      </c>
      <c r="O125" s="1441">
        <v>0</v>
      </c>
      <c r="P125" s="1442" t="s">
        <v>1263</v>
      </c>
      <c r="Q125" s="1443">
        <v>0</v>
      </c>
      <c r="R125" s="1444">
        <v>2015</v>
      </c>
      <c r="S125" s="1440" t="s">
        <v>740</v>
      </c>
      <c r="T125" s="462">
        <f>IFERROR(SUMPRODUCT(P125:P127,O125:O127)/SUM(O125:O127),0)</f>
        <v>0</v>
      </c>
    </row>
    <row r="126" spans="1:22" ht="12.75" customHeight="1">
      <c r="G126" s="461"/>
      <c r="H126" s="3049"/>
      <c r="I126" s="3052"/>
      <c r="J126" s="1437" t="s">
        <v>1375</v>
      </c>
      <c r="K126" s="1438" t="s">
        <v>1263</v>
      </c>
      <c r="L126" s="1439" t="s">
        <v>1263</v>
      </c>
      <c r="M126" s="1440" t="s">
        <v>1263</v>
      </c>
      <c r="N126" s="1441">
        <v>0</v>
      </c>
      <c r="O126" s="1441">
        <v>0</v>
      </c>
      <c r="P126" s="1442" t="s">
        <v>1263</v>
      </c>
      <c r="Q126" s="1443">
        <v>0</v>
      </c>
      <c r="R126" s="1444">
        <v>2015</v>
      </c>
      <c r="S126" s="1440" t="s">
        <v>740</v>
      </c>
    </row>
    <row r="127" spans="1:22" ht="12.75" customHeight="1">
      <c r="G127" s="461"/>
      <c r="H127" s="3050"/>
      <c r="I127" s="3053"/>
      <c r="J127" s="1437" t="s">
        <v>1376</v>
      </c>
      <c r="K127" s="1438" t="s">
        <v>1263</v>
      </c>
      <c r="L127" s="1439" t="s">
        <v>1263</v>
      </c>
      <c r="M127" s="1440" t="s">
        <v>1263</v>
      </c>
      <c r="N127" s="1441">
        <v>0</v>
      </c>
      <c r="O127" s="1441">
        <v>0</v>
      </c>
      <c r="P127" s="1442" t="s">
        <v>1263</v>
      </c>
      <c r="Q127" s="1443">
        <v>0</v>
      </c>
      <c r="R127" s="1444">
        <v>2015</v>
      </c>
      <c r="S127" s="1440" t="s">
        <v>740</v>
      </c>
    </row>
    <row r="128" spans="1:22" ht="12.75" customHeight="1">
      <c r="G128" s="461"/>
      <c r="H128" s="3055">
        <v>16</v>
      </c>
      <c r="I128" s="3057" t="s">
        <v>1267</v>
      </c>
      <c r="J128" s="1423" t="s">
        <v>1262</v>
      </c>
      <c r="K128" s="1424">
        <v>314</v>
      </c>
      <c r="L128" s="1425">
        <v>5.8</v>
      </c>
      <c r="M128" s="1426">
        <v>5.254501E-5</v>
      </c>
      <c r="N128" s="1427">
        <v>61</v>
      </c>
      <c r="O128" s="1427">
        <v>61</v>
      </c>
      <c r="P128" s="1428">
        <v>313.09179772387267</v>
      </c>
      <c r="Q128" s="1429">
        <v>1.8057487937006009E-3</v>
      </c>
      <c r="R128" s="1430">
        <v>2015</v>
      </c>
      <c r="S128" s="1424" t="s">
        <v>754</v>
      </c>
      <c r="T128" s="462">
        <f>IFERROR(SUMPRODUCT(P128:P130,O128:O130)/SUM(O128:O130),0)</f>
        <v>312.33357804305899</v>
      </c>
    </row>
    <row r="129" spans="7:20" ht="12.75" customHeight="1">
      <c r="G129" s="461"/>
      <c r="H129" s="3055"/>
      <c r="I129" s="3057"/>
      <c r="J129" s="1423" t="s">
        <v>1375</v>
      </c>
      <c r="K129" s="1431" t="s">
        <v>1263</v>
      </c>
      <c r="L129" s="1432" t="s">
        <v>1263</v>
      </c>
      <c r="M129" s="1433" t="s">
        <v>1263</v>
      </c>
      <c r="N129" s="1434">
        <v>0</v>
      </c>
      <c r="O129" s="1434">
        <v>0</v>
      </c>
      <c r="P129" s="1435" t="s">
        <v>1263</v>
      </c>
      <c r="Q129" s="1429">
        <v>0</v>
      </c>
      <c r="R129" s="1436">
        <v>2015</v>
      </c>
      <c r="S129" s="1433" t="s">
        <v>754</v>
      </c>
    </row>
    <row r="130" spans="7:20" ht="12.75" customHeight="1">
      <c r="G130" s="461"/>
      <c r="H130" s="3055"/>
      <c r="I130" s="3057"/>
      <c r="J130" s="1423" t="s">
        <v>1376</v>
      </c>
      <c r="K130" s="1431">
        <v>219</v>
      </c>
      <c r="L130" s="1432">
        <v>2.1</v>
      </c>
      <c r="M130" s="1433">
        <v>0.15019109999999999</v>
      </c>
      <c r="N130" s="1434">
        <v>1</v>
      </c>
      <c r="O130" s="1434">
        <v>0.99999999999999989</v>
      </c>
      <c r="P130" s="1435">
        <v>266.08217751342499</v>
      </c>
      <c r="Q130" s="1429">
        <v>2.9602439240993457E-5</v>
      </c>
      <c r="R130" s="1436">
        <v>2015</v>
      </c>
      <c r="S130" s="1433" t="s">
        <v>754</v>
      </c>
    </row>
    <row r="131" spans="7:20" ht="12.75" customHeight="1">
      <c r="G131" s="461"/>
      <c r="H131" s="3048">
        <v>17</v>
      </c>
      <c r="I131" s="3051" t="s">
        <v>1268</v>
      </c>
      <c r="J131" s="1445" t="s">
        <v>1262</v>
      </c>
      <c r="K131" s="1446" t="s">
        <v>1263</v>
      </c>
      <c r="L131" s="1447" t="s">
        <v>1263</v>
      </c>
      <c r="M131" s="1448" t="s">
        <v>1263</v>
      </c>
      <c r="N131" s="1449">
        <v>0</v>
      </c>
      <c r="O131" s="1449">
        <v>0</v>
      </c>
      <c r="P131" s="1450" t="s">
        <v>1263</v>
      </c>
      <c r="Q131" s="1451">
        <v>0</v>
      </c>
      <c r="R131" s="1444">
        <v>2015</v>
      </c>
      <c r="S131" s="1440" t="s">
        <v>754</v>
      </c>
      <c r="T131" s="462">
        <f>IFERROR(SUMPRODUCT(P131:P133,O131:O133)/SUM(O131:O133),0)</f>
        <v>0</v>
      </c>
    </row>
    <row r="132" spans="7:20" ht="12.75" customHeight="1">
      <c r="G132" s="461"/>
      <c r="H132" s="3049"/>
      <c r="I132" s="3052"/>
      <c r="J132" s="1445" t="s">
        <v>1375</v>
      </c>
      <c r="K132" s="1446" t="s">
        <v>1263</v>
      </c>
      <c r="L132" s="1447" t="s">
        <v>1263</v>
      </c>
      <c r="M132" s="1448" t="s">
        <v>1263</v>
      </c>
      <c r="N132" s="1449">
        <v>0</v>
      </c>
      <c r="O132" s="1449">
        <v>0</v>
      </c>
      <c r="P132" s="1450" t="s">
        <v>1263</v>
      </c>
      <c r="Q132" s="1451">
        <v>0</v>
      </c>
      <c r="R132" s="1444">
        <v>2015</v>
      </c>
      <c r="S132" s="1440" t="s">
        <v>754</v>
      </c>
    </row>
    <row r="133" spans="7:20" ht="12.75" customHeight="1">
      <c r="G133" s="461"/>
      <c r="H133" s="3050"/>
      <c r="I133" s="3053"/>
      <c r="J133" s="1445" t="s">
        <v>1376</v>
      </c>
      <c r="K133" s="1446" t="s">
        <v>1263</v>
      </c>
      <c r="L133" s="1447" t="s">
        <v>1263</v>
      </c>
      <c r="M133" s="1448" t="s">
        <v>1263</v>
      </c>
      <c r="N133" s="1449">
        <v>0</v>
      </c>
      <c r="O133" s="1449">
        <v>0</v>
      </c>
      <c r="P133" s="1450" t="s">
        <v>1263</v>
      </c>
      <c r="Q133" s="1451">
        <v>0</v>
      </c>
      <c r="R133" s="1444">
        <v>2015</v>
      </c>
      <c r="S133" s="1440" t="s">
        <v>754</v>
      </c>
    </row>
    <row r="134" spans="7:20" ht="12.75" customHeight="1">
      <c r="G134" s="461"/>
      <c r="H134" s="3055">
        <v>18</v>
      </c>
      <c r="I134" s="3057" t="s">
        <v>1269</v>
      </c>
      <c r="J134" s="1423" t="s">
        <v>1262</v>
      </c>
      <c r="K134" s="1424">
        <v>237.45650000000001</v>
      </c>
      <c r="L134" s="1425">
        <v>5.999231</v>
      </c>
      <c r="M134" s="1426">
        <v>-1.970007E-2</v>
      </c>
      <c r="N134" s="1427">
        <v>16511</v>
      </c>
      <c r="O134" s="1427">
        <v>16511</v>
      </c>
      <c r="P134" s="1428">
        <v>237.90565255458586</v>
      </c>
      <c r="Q134" s="1452">
        <v>0.48876587430804297</v>
      </c>
      <c r="R134" s="1430">
        <v>2015</v>
      </c>
      <c r="S134" s="1424" t="s">
        <v>754</v>
      </c>
      <c r="T134" s="462">
        <f>IFERROR(SUMPRODUCT(P134:P136,O134:O136)/SUM(O134:O136),0)</f>
        <v>233.30331839695097</v>
      </c>
    </row>
    <row r="135" spans="7:20" ht="12.75" customHeight="1">
      <c r="G135" s="461"/>
      <c r="H135" s="3055"/>
      <c r="I135" s="3057"/>
      <c r="J135" s="1423" t="s">
        <v>1375</v>
      </c>
      <c r="K135" s="1431" t="s">
        <v>1263</v>
      </c>
      <c r="L135" s="1432" t="s">
        <v>1263</v>
      </c>
      <c r="M135" s="1433" t="s">
        <v>1263</v>
      </c>
      <c r="N135" s="1427">
        <v>0</v>
      </c>
      <c r="O135" s="1427">
        <v>0</v>
      </c>
      <c r="P135" s="1428" t="s">
        <v>1263</v>
      </c>
      <c r="Q135" s="1429">
        <v>0</v>
      </c>
      <c r="R135" s="1430">
        <v>2015</v>
      </c>
      <c r="S135" s="1424" t="s">
        <v>754</v>
      </c>
    </row>
    <row r="136" spans="7:20" ht="12.75" customHeight="1" thickBot="1">
      <c r="G136" s="461"/>
      <c r="H136" s="3068"/>
      <c r="I136" s="3069"/>
      <c r="J136" s="1453" t="s">
        <v>1376</v>
      </c>
      <c r="K136" s="1454">
        <v>178.7253</v>
      </c>
      <c r="L136" s="1455">
        <v>5.6173330000000004</v>
      </c>
      <c r="M136" s="1456">
        <v>0.2171603</v>
      </c>
      <c r="N136" s="1457">
        <v>1500</v>
      </c>
      <c r="O136" s="1457">
        <v>1500</v>
      </c>
      <c r="P136" s="1458">
        <v>182.64389221247794</v>
      </c>
      <c r="Q136" s="1459">
        <v>4.4403658861490183E-2</v>
      </c>
      <c r="R136" s="1460">
        <v>2015</v>
      </c>
      <c r="S136" s="1461" t="s">
        <v>754</v>
      </c>
    </row>
    <row r="137" spans="7:20" ht="12.75" customHeight="1">
      <c r="G137" s="461"/>
      <c r="H137" s="3058">
        <v>10</v>
      </c>
      <c r="I137" s="3060" t="s">
        <v>1264</v>
      </c>
      <c r="J137" s="1462" t="s">
        <v>1262</v>
      </c>
      <c r="K137" s="1463">
        <v>294.83539999999999</v>
      </c>
      <c r="L137" s="1464">
        <v>14.657188</v>
      </c>
      <c r="M137" s="1465">
        <v>-6.0577540000000005E-4</v>
      </c>
      <c r="N137" s="1466">
        <v>9973</v>
      </c>
      <c r="O137" s="1466">
        <v>9973</v>
      </c>
      <c r="P137" s="1467">
        <v>291.48426182587571</v>
      </c>
      <c r="Q137" s="1468">
        <v>0.12448821649690434</v>
      </c>
      <c r="R137" s="1469">
        <v>2018</v>
      </c>
      <c r="S137" s="1463" t="s">
        <v>740</v>
      </c>
    </row>
    <row r="138" spans="7:20" ht="12.75" customHeight="1">
      <c r="G138" s="461"/>
      <c r="H138" s="3058"/>
      <c r="I138" s="3060"/>
      <c r="J138" s="1462" t="s">
        <v>1375</v>
      </c>
      <c r="K138" s="1463">
        <v>223.9</v>
      </c>
      <c r="L138" s="1464">
        <v>11.11</v>
      </c>
      <c r="M138" s="1465">
        <v>0.1057028</v>
      </c>
      <c r="N138" s="1466">
        <v>920</v>
      </c>
      <c r="O138" s="1466">
        <v>920</v>
      </c>
      <c r="P138" s="1467">
        <v>260.51574516521379</v>
      </c>
      <c r="Q138" s="1468">
        <v>1.1483922508488117E-2</v>
      </c>
      <c r="R138" s="1469">
        <v>2018</v>
      </c>
      <c r="S138" s="1463" t="s">
        <v>740</v>
      </c>
    </row>
    <row r="139" spans="7:20" ht="12.75" customHeight="1">
      <c r="G139" s="461"/>
      <c r="H139" s="3058"/>
      <c r="I139" s="3060"/>
      <c r="J139" s="1470" t="s">
        <v>1376</v>
      </c>
      <c r="K139" s="1471">
        <v>346</v>
      </c>
      <c r="L139" s="1472">
        <v>25.66</v>
      </c>
      <c r="M139" s="1473">
        <v>0.2082677</v>
      </c>
      <c r="N139" s="1474">
        <v>117</v>
      </c>
      <c r="O139" s="1474">
        <v>117.00000000000001</v>
      </c>
      <c r="P139" s="1475">
        <v>230.63779032951081</v>
      </c>
      <c r="Q139" s="1476">
        <v>1.4604553624925104E-3</v>
      </c>
      <c r="R139" s="1477">
        <v>2018</v>
      </c>
      <c r="S139" s="1473" t="s">
        <v>740</v>
      </c>
    </row>
    <row r="140" spans="7:20" ht="12.75" customHeight="1">
      <c r="G140" s="461"/>
      <c r="H140" s="3062" t="s">
        <v>1265</v>
      </c>
      <c r="I140" s="3065" t="s">
        <v>1266</v>
      </c>
      <c r="J140" s="1478" t="s">
        <v>1262</v>
      </c>
      <c r="K140" s="1479" t="s">
        <v>1263</v>
      </c>
      <c r="L140" s="1480" t="s">
        <v>1263</v>
      </c>
      <c r="M140" s="1481" t="s">
        <v>1263</v>
      </c>
      <c r="N140" s="1482">
        <v>0</v>
      </c>
      <c r="O140" s="1482">
        <v>0</v>
      </c>
      <c r="P140" s="1483" t="s">
        <v>1263</v>
      </c>
      <c r="Q140" s="1484">
        <v>0</v>
      </c>
      <c r="R140" s="1485">
        <v>2018</v>
      </c>
      <c r="S140" s="1481" t="s">
        <v>740</v>
      </c>
    </row>
    <row r="141" spans="7:20" ht="12.75" customHeight="1">
      <c r="G141" s="461"/>
      <c r="H141" s="3063"/>
      <c r="I141" s="3066"/>
      <c r="J141" s="1478" t="s">
        <v>1375</v>
      </c>
      <c r="K141" s="1479" t="s">
        <v>1263</v>
      </c>
      <c r="L141" s="1480" t="s">
        <v>1263</v>
      </c>
      <c r="M141" s="1481" t="s">
        <v>1263</v>
      </c>
      <c r="N141" s="1482">
        <v>0</v>
      </c>
      <c r="O141" s="1482">
        <v>0</v>
      </c>
      <c r="P141" s="1483" t="s">
        <v>1263</v>
      </c>
      <c r="Q141" s="1484">
        <v>0</v>
      </c>
      <c r="R141" s="1485">
        <v>2018</v>
      </c>
      <c r="S141" s="1481" t="s">
        <v>740</v>
      </c>
    </row>
    <row r="142" spans="7:20" ht="12.75" customHeight="1">
      <c r="G142" s="461"/>
      <c r="H142" s="3064"/>
      <c r="I142" s="3067"/>
      <c r="J142" s="1486" t="s">
        <v>1376</v>
      </c>
      <c r="K142" s="1471" t="s">
        <v>1263</v>
      </c>
      <c r="L142" s="1472" t="s">
        <v>1263</v>
      </c>
      <c r="M142" s="1473" t="s">
        <v>1263</v>
      </c>
      <c r="N142" s="1487">
        <v>0</v>
      </c>
      <c r="O142" s="1487">
        <v>0</v>
      </c>
      <c r="P142" s="1488" t="s">
        <v>1263</v>
      </c>
      <c r="Q142" s="1476">
        <v>0</v>
      </c>
      <c r="R142" s="1477">
        <v>2018</v>
      </c>
      <c r="S142" s="1473" t="s">
        <v>740</v>
      </c>
    </row>
    <row r="143" spans="7:20" ht="12.75" customHeight="1">
      <c r="G143" s="461"/>
      <c r="H143" s="3058">
        <v>16</v>
      </c>
      <c r="I143" s="3060" t="s">
        <v>1267</v>
      </c>
      <c r="J143" s="1462" t="s">
        <v>1262</v>
      </c>
      <c r="K143" s="1463">
        <v>303.9273</v>
      </c>
      <c r="L143" s="1464">
        <v>5.3421510000000003</v>
      </c>
      <c r="M143" s="1465">
        <v>1.017886E-2</v>
      </c>
      <c r="N143" s="1489">
        <v>344</v>
      </c>
      <c r="O143" s="1489">
        <v>344</v>
      </c>
      <c r="P143" s="1490">
        <v>308.00159225087452</v>
      </c>
      <c r="Q143" s="1468">
        <v>4.2939884162172962E-3</v>
      </c>
      <c r="R143" s="1469">
        <v>2018</v>
      </c>
      <c r="S143" s="1463" t="s">
        <v>754</v>
      </c>
    </row>
    <row r="144" spans="7:20" ht="12.75" customHeight="1">
      <c r="G144" s="461"/>
      <c r="H144" s="3058"/>
      <c r="I144" s="3060"/>
      <c r="J144" s="1462" t="s">
        <v>1375</v>
      </c>
      <c r="K144" s="1491">
        <v>280.84219999999999</v>
      </c>
      <c r="L144" s="1492">
        <v>5.7892219999999996</v>
      </c>
      <c r="M144" s="1493">
        <v>0.10518280000000001</v>
      </c>
      <c r="N144" s="1494">
        <v>1299</v>
      </c>
      <c r="O144" s="1494">
        <v>1299</v>
      </c>
      <c r="P144" s="1495">
        <v>278.43931720176153</v>
      </c>
      <c r="Q144" s="1468">
        <v>1.6214799281006591E-2</v>
      </c>
      <c r="R144" s="1496">
        <v>2018</v>
      </c>
      <c r="S144" s="1493" t="s">
        <v>754</v>
      </c>
    </row>
    <row r="145" spans="7:24" ht="12.75" customHeight="1">
      <c r="G145" s="461"/>
      <c r="H145" s="3058"/>
      <c r="I145" s="3060"/>
      <c r="J145" s="1470" t="s">
        <v>1376</v>
      </c>
      <c r="K145" s="1471" t="s">
        <v>1263</v>
      </c>
      <c r="L145" s="1472" t="s">
        <v>1263</v>
      </c>
      <c r="M145" s="1473" t="s">
        <v>1263</v>
      </c>
      <c r="N145" s="1487">
        <v>0</v>
      </c>
      <c r="O145" s="1487">
        <v>0</v>
      </c>
      <c r="P145" s="1488" t="s">
        <v>1263</v>
      </c>
      <c r="Q145" s="1476">
        <v>0</v>
      </c>
      <c r="R145" s="1477">
        <v>2018</v>
      </c>
      <c r="S145" s="1473" t="s">
        <v>754</v>
      </c>
    </row>
    <row r="146" spans="7:24" ht="12.75" customHeight="1">
      <c r="G146" s="461"/>
      <c r="H146" s="3062">
        <v>17</v>
      </c>
      <c r="I146" s="3065" t="s">
        <v>1268</v>
      </c>
      <c r="J146" s="1497" t="s">
        <v>1262</v>
      </c>
      <c r="K146" s="1498" t="s">
        <v>1263</v>
      </c>
      <c r="L146" s="1499" t="s">
        <v>1263</v>
      </c>
      <c r="M146" s="1500" t="s">
        <v>1263</v>
      </c>
      <c r="N146" s="1501">
        <v>0</v>
      </c>
      <c r="O146" s="1501">
        <v>0</v>
      </c>
      <c r="P146" s="1502" t="s">
        <v>1263</v>
      </c>
      <c r="Q146" s="1503">
        <v>0</v>
      </c>
      <c r="R146" s="1485">
        <v>2018</v>
      </c>
      <c r="S146" s="1481" t="s">
        <v>754</v>
      </c>
    </row>
    <row r="147" spans="7:24" ht="12.75" customHeight="1">
      <c r="G147" s="461"/>
      <c r="H147" s="3063"/>
      <c r="I147" s="3066"/>
      <c r="J147" s="1497" t="s">
        <v>1375</v>
      </c>
      <c r="K147" s="1498" t="s">
        <v>1263</v>
      </c>
      <c r="L147" s="1499" t="s">
        <v>1263</v>
      </c>
      <c r="M147" s="1500" t="s">
        <v>1263</v>
      </c>
      <c r="N147" s="1501">
        <v>0</v>
      </c>
      <c r="O147" s="1501">
        <v>0</v>
      </c>
      <c r="P147" s="1502" t="s">
        <v>1263</v>
      </c>
      <c r="Q147" s="1503">
        <v>0</v>
      </c>
      <c r="R147" s="1485">
        <v>2018</v>
      </c>
      <c r="S147" s="1481" t="s">
        <v>754</v>
      </c>
    </row>
    <row r="148" spans="7:24" ht="12.75" customHeight="1">
      <c r="G148" s="461"/>
      <c r="H148" s="3064"/>
      <c r="I148" s="3067"/>
      <c r="J148" s="1504" t="s">
        <v>1376</v>
      </c>
      <c r="K148" s="1505" t="s">
        <v>1263</v>
      </c>
      <c r="L148" s="1506" t="s">
        <v>1263</v>
      </c>
      <c r="M148" s="1507" t="s">
        <v>1263</v>
      </c>
      <c r="N148" s="1508">
        <v>0</v>
      </c>
      <c r="O148" s="1508">
        <v>0</v>
      </c>
      <c r="P148" s="1509" t="s">
        <v>1263</v>
      </c>
      <c r="Q148" s="1510">
        <v>0</v>
      </c>
      <c r="R148" s="1477">
        <v>2018</v>
      </c>
      <c r="S148" s="1473" t="s">
        <v>754</v>
      </c>
    </row>
    <row r="149" spans="7:24" ht="12.75" customHeight="1">
      <c r="G149" s="461"/>
      <c r="H149" s="3058">
        <v>18</v>
      </c>
      <c r="I149" s="3060" t="s">
        <v>1269</v>
      </c>
      <c r="J149" s="1462" t="s">
        <v>1262</v>
      </c>
      <c r="K149" s="1463">
        <v>233.86099999999999</v>
      </c>
      <c r="L149" s="1464">
        <v>6.0445729999999998</v>
      </c>
      <c r="M149" s="1465">
        <v>1.214019E-3</v>
      </c>
      <c r="N149" s="1489">
        <v>33091</v>
      </c>
      <c r="O149" s="1489">
        <v>33091</v>
      </c>
      <c r="P149" s="1490">
        <v>233.37910994427318</v>
      </c>
      <c r="Q149" s="1511">
        <v>0.41305921709606552</v>
      </c>
      <c r="R149" s="1469">
        <v>2018</v>
      </c>
      <c r="S149" s="1463" t="s">
        <v>754</v>
      </c>
    </row>
    <row r="150" spans="7:24" ht="12.75" customHeight="1">
      <c r="G150" s="461"/>
      <c r="H150" s="3058"/>
      <c r="I150" s="3060"/>
      <c r="J150" s="1462" t="s">
        <v>1375</v>
      </c>
      <c r="K150" s="1491" t="s">
        <v>1263</v>
      </c>
      <c r="L150" s="1492" t="s">
        <v>1263</v>
      </c>
      <c r="M150" s="1493" t="s">
        <v>1263</v>
      </c>
      <c r="N150" s="1489">
        <v>0</v>
      </c>
      <c r="O150" s="1489">
        <v>0</v>
      </c>
      <c r="P150" s="1490" t="s">
        <v>1263</v>
      </c>
      <c r="Q150" s="1468">
        <v>0</v>
      </c>
      <c r="R150" s="1469">
        <v>2018</v>
      </c>
      <c r="S150" s="1463" t="s">
        <v>754</v>
      </c>
    </row>
    <row r="151" spans="7:24" ht="12.75" customHeight="1" thickBot="1">
      <c r="G151" s="461"/>
      <c r="H151" s="3059"/>
      <c r="I151" s="3061"/>
      <c r="J151" s="1512" t="s">
        <v>1376</v>
      </c>
      <c r="K151" s="1513" t="s">
        <v>1263</v>
      </c>
      <c r="L151" s="1514" t="s">
        <v>1263</v>
      </c>
      <c r="M151" s="1515" t="s">
        <v>1263</v>
      </c>
      <c r="N151" s="1516">
        <v>0</v>
      </c>
      <c r="O151" s="1516">
        <v>0</v>
      </c>
      <c r="P151" s="1517" t="s">
        <v>1263</v>
      </c>
      <c r="Q151" s="1518">
        <v>0</v>
      </c>
      <c r="R151" s="1519">
        <v>2018</v>
      </c>
      <c r="S151" s="1513" t="s">
        <v>754</v>
      </c>
    </row>
    <row r="152" spans="7:24" ht="12.75" customHeight="1">
      <c r="G152" s="461"/>
      <c r="H152" s="461"/>
      <c r="I152" s="460"/>
      <c r="M152" s="462"/>
      <c r="N152" s="462"/>
      <c r="Q152" s="463"/>
      <c r="R152" s="463"/>
      <c r="V152" s="462"/>
      <c r="X152" s="464"/>
    </row>
    <row r="155" spans="7:24" ht="12.75" customHeight="1">
      <c r="H155" s="1400" t="s">
        <v>1851</v>
      </c>
    </row>
    <row r="156" spans="7:24" ht="12.75" customHeight="1">
      <c r="H156" s="413" t="s">
        <v>1868</v>
      </c>
    </row>
    <row r="159" spans="7:24" ht="12.75" customHeight="1">
      <c r="H159" s="1520" t="s">
        <v>718</v>
      </c>
      <c r="I159" s="1521"/>
      <c r="J159" s="1522"/>
    </row>
    <row r="160" spans="7:24" ht="12.75" customHeight="1">
      <c r="H160" s="380" t="s">
        <v>1809</v>
      </c>
      <c r="I160" s="380" t="s">
        <v>1810</v>
      </c>
      <c r="J160" s="380" t="s">
        <v>1811</v>
      </c>
      <c r="K160" s="1401" t="s">
        <v>1869</v>
      </c>
    </row>
    <row r="161" spans="8:11" ht="12.75" customHeight="1">
      <c r="H161" s="1557" t="s">
        <v>1852</v>
      </c>
      <c r="I161" s="1558" t="s">
        <v>1853</v>
      </c>
      <c r="J161" s="1559">
        <v>8.2943914545723025</v>
      </c>
      <c r="K161" s="1560" t="s">
        <v>601</v>
      </c>
    </row>
    <row r="162" spans="8:11" ht="12.75" customHeight="1">
      <c r="H162" s="1557" t="s">
        <v>1854</v>
      </c>
      <c r="I162" s="1558" t="s">
        <v>1853</v>
      </c>
      <c r="J162" s="1559">
        <v>52.401476999511218</v>
      </c>
      <c r="K162" s="1560" t="s">
        <v>603</v>
      </c>
    </row>
    <row r="163" spans="8:11" ht="12.75" customHeight="1">
      <c r="H163" s="1557" t="s">
        <v>1855</v>
      </c>
      <c r="I163" s="1558" t="s">
        <v>1853</v>
      </c>
      <c r="J163" s="1559">
        <v>24.719257782407283</v>
      </c>
      <c r="K163" s="1560" t="s">
        <v>95</v>
      </c>
    </row>
    <row r="164" spans="8:11" ht="12.75" customHeight="1">
      <c r="H164" s="1561" t="s">
        <v>1856</v>
      </c>
      <c r="I164" s="1562" t="s">
        <v>1853</v>
      </c>
      <c r="J164" s="1563">
        <v>1.583404719963273</v>
      </c>
      <c r="K164" s="1564"/>
    </row>
    <row r="165" spans="8:11" ht="12.75" customHeight="1">
      <c r="H165" s="1557" t="s">
        <v>1857</v>
      </c>
      <c r="I165" s="1558" t="s">
        <v>1853</v>
      </c>
      <c r="J165" s="1559">
        <v>19.30039024340153</v>
      </c>
      <c r="K165" s="1560" t="s">
        <v>713</v>
      </c>
    </row>
    <row r="166" spans="8:11" ht="12.75" customHeight="1">
      <c r="H166" s="1557" t="s">
        <v>1858</v>
      </c>
      <c r="I166" s="1558" t="s">
        <v>1853</v>
      </c>
      <c r="J166" s="1559">
        <v>27.632456661238621</v>
      </c>
      <c r="K166" s="1560" t="s">
        <v>715</v>
      </c>
    </row>
    <row r="167" spans="8:11" ht="12.75" customHeight="1">
      <c r="H167" s="1557" t="s">
        <v>1859</v>
      </c>
      <c r="I167" s="1558" t="s">
        <v>1853</v>
      </c>
      <c r="J167" s="1559">
        <v>11.409842318726362</v>
      </c>
      <c r="K167" s="1560" t="s">
        <v>711</v>
      </c>
    </row>
    <row r="168" spans="8:11" ht="12.75" customHeight="1">
      <c r="H168" s="1565" t="s">
        <v>1860</v>
      </c>
      <c r="I168" s="1566" t="s">
        <v>1853</v>
      </c>
      <c r="J168" s="1567">
        <v>68.47001630992655</v>
      </c>
      <c r="K168" s="1560" t="s">
        <v>602</v>
      </c>
    </row>
    <row r="169" spans="8:11" ht="12.75" customHeight="1">
      <c r="H169" s="1565" t="s">
        <v>1861</v>
      </c>
      <c r="I169" s="1566" t="s">
        <v>1853</v>
      </c>
      <c r="J169" s="1567">
        <v>145.83938352932194</v>
      </c>
      <c r="K169" s="1560" t="s">
        <v>604</v>
      </c>
    </row>
    <row r="170" spans="8:11" ht="12.75" customHeight="1">
      <c r="H170" s="1565" t="s">
        <v>1862</v>
      </c>
      <c r="I170" s="1566" t="s">
        <v>1853</v>
      </c>
      <c r="J170" s="1567">
        <v>30.647430568425975</v>
      </c>
      <c r="K170" s="1560" t="s">
        <v>96</v>
      </c>
    </row>
    <row r="171" spans="8:11" ht="12.75" customHeight="1">
      <c r="H171" s="1561" t="s">
        <v>1863</v>
      </c>
      <c r="I171" s="1562" t="s">
        <v>1853</v>
      </c>
      <c r="J171" s="1563">
        <v>43.798627505893911</v>
      </c>
      <c r="K171" s="1564"/>
    </row>
    <row r="172" spans="8:11" ht="12.75" customHeight="1">
      <c r="H172" s="1565" t="s">
        <v>1864</v>
      </c>
      <c r="I172" s="1566" t="s">
        <v>1853</v>
      </c>
      <c r="J172" s="1567">
        <v>71.943161857585864</v>
      </c>
      <c r="K172" s="1560" t="s">
        <v>714</v>
      </c>
    </row>
    <row r="173" spans="8:11" ht="12.75" customHeight="1">
      <c r="H173" s="1565" t="s">
        <v>1865</v>
      </c>
      <c r="I173" s="1566" t="s">
        <v>1853</v>
      </c>
      <c r="J173" s="1567">
        <v>57.498700923593418</v>
      </c>
      <c r="K173" s="1560" t="s">
        <v>716</v>
      </c>
    </row>
    <row r="174" spans="8:11" ht="12.75" customHeight="1">
      <c r="H174" s="1565" t="s">
        <v>1866</v>
      </c>
      <c r="I174" s="1566" t="s">
        <v>1853</v>
      </c>
      <c r="J174" s="1567">
        <v>35.333393115636092</v>
      </c>
      <c r="K174" s="1560" t="s">
        <v>712</v>
      </c>
    </row>
    <row r="175" spans="8:11" ht="12.75" customHeight="1">
      <c r="H175" s="1561" t="s">
        <v>1852</v>
      </c>
      <c r="I175" s="1562" t="s">
        <v>1867</v>
      </c>
      <c r="J175" s="1563">
        <v>-1.2366260444659001</v>
      </c>
      <c r="K175" s="1560" t="s">
        <v>601</v>
      </c>
    </row>
    <row r="176" spans="8:11" ht="12.75" customHeight="1">
      <c r="H176" s="1561" t="s">
        <v>1854</v>
      </c>
      <c r="I176" s="1562" t="s">
        <v>1867</v>
      </c>
      <c r="J176" s="1563">
        <v>-7.8126323770690469</v>
      </c>
      <c r="K176" s="1560" t="s">
        <v>603</v>
      </c>
    </row>
    <row r="177" spans="8:22" ht="12.75" customHeight="1">
      <c r="H177" s="1561" t="s">
        <v>1855</v>
      </c>
      <c r="I177" s="1562" t="s">
        <v>1867</v>
      </c>
      <c r="J177" s="1563">
        <v>-3.6854395094579591</v>
      </c>
      <c r="K177" s="1560" t="s">
        <v>95</v>
      </c>
    </row>
    <row r="178" spans="8:22" ht="12.75" customHeight="1">
      <c r="H178" s="1561" t="s">
        <v>1856</v>
      </c>
      <c r="I178" s="1562" t="s">
        <v>1867</v>
      </c>
      <c r="J178" s="1563">
        <v>-0.22820185565386003</v>
      </c>
      <c r="K178" s="1564"/>
    </row>
    <row r="179" spans="8:22" ht="12.75" customHeight="1">
      <c r="H179" s="1561" t="s">
        <v>1857</v>
      </c>
      <c r="I179" s="1562" t="s">
        <v>1867</v>
      </c>
      <c r="J179" s="1563">
        <v>-1.439684248865911</v>
      </c>
      <c r="K179" s="1560" t="s">
        <v>713</v>
      </c>
    </row>
    <row r="180" spans="8:22" ht="12.75" customHeight="1">
      <c r="H180" s="1561" t="s">
        <v>1858</v>
      </c>
      <c r="I180" s="1562" t="s">
        <v>1867</v>
      </c>
      <c r="J180" s="1563">
        <v>-2.0612024995844807</v>
      </c>
      <c r="K180" s="1560" t="s">
        <v>715</v>
      </c>
    </row>
    <row r="181" spans="8:22" ht="12.75" customHeight="1">
      <c r="H181" s="1568" t="s">
        <v>1859</v>
      </c>
      <c r="I181" s="1562" t="s">
        <v>1867</v>
      </c>
      <c r="J181" s="1563">
        <v>-0.84844073252995367</v>
      </c>
      <c r="K181" s="1560" t="s">
        <v>711</v>
      </c>
    </row>
    <row r="182" spans="8:22" ht="12.75" customHeight="1">
      <c r="H182" s="1568" t="s">
        <v>1860</v>
      </c>
      <c r="I182" s="1562" t="s">
        <v>1867</v>
      </c>
      <c r="J182" s="1563">
        <v>-10.208320393075324</v>
      </c>
      <c r="K182" s="1560" t="s">
        <v>602</v>
      </c>
    </row>
    <row r="183" spans="8:22" ht="12.75" customHeight="1">
      <c r="H183" s="1568" t="s">
        <v>1861</v>
      </c>
      <c r="I183" s="1562" t="s">
        <v>1867</v>
      </c>
      <c r="J183" s="1563">
        <v>-21.743461346015089</v>
      </c>
      <c r="K183" s="1560" t="s">
        <v>604</v>
      </c>
    </row>
    <row r="184" spans="8:22" ht="12.75" customHeight="1">
      <c r="H184" s="1568" t="s">
        <v>1862</v>
      </c>
      <c r="I184" s="1562" t="s">
        <v>1867</v>
      </c>
      <c r="J184" s="1563">
        <v>-4.5692816699631154</v>
      </c>
      <c r="K184" s="1560" t="s">
        <v>96</v>
      </c>
    </row>
    <row r="185" spans="8:22" ht="12.75" customHeight="1">
      <c r="H185" s="1568" t="s">
        <v>1863</v>
      </c>
      <c r="I185" s="1562" t="s">
        <v>1867</v>
      </c>
      <c r="J185" s="1563">
        <v>-6.31230155242244</v>
      </c>
      <c r="K185" s="1564"/>
    </row>
    <row r="186" spans="8:22" ht="12.75" customHeight="1">
      <c r="H186" s="1568" t="s">
        <v>1864</v>
      </c>
      <c r="I186" s="1562" t="s">
        <v>1867</v>
      </c>
      <c r="J186" s="1563">
        <v>-5.3664944404628194</v>
      </c>
      <c r="K186" s="1560" t="s">
        <v>714</v>
      </c>
    </row>
    <row r="187" spans="8:22" ht="12.75" customHeight="1">
      <c r="H187" s="1568" t="s">
        <v>1865</v>
      </c>
      <c r="I187" s="1562" t="s">
        <v>1867</v>
      </c>
      <c r="J187" s="1563">
        <v>-4.2890311027907995</v>
      </c>
      <c r="K187" s="1560" t="s">
        <v>716</v>
      </c>
    </row>
    <row r="188" spans="8:22" ht="12.75" customHeight="1">
      <c r="H188" s="1568" t="s">
        <v>1866</v>
      </c>
      <c r="I188" s="1562" t="s">
        <v>1867</v>
      </c>
      <c r="J188" s="1563">
        <v>-2.6274061551751116</v>
      </c>
      <c r="K188" s="1560" t="s">
        <v>712</v>
      </c>
    </row>
    <row r="191" spans="8:22" ht="12.75" customHeight="1" thickBot="1">
      <c r="H191" s="1402" t="s">
        <v>1982</v>
      </c>
    </row>
    <row r="192" spans="8:22" ht="12.75" customHeight="1" thickBot="1">
      <c r="H192" s="3078" t="s">
        <v>1256</v>
      </c>
      <c r="I192" s="3079"/>
      <c r="J192" s="1523" t="s">
        <v>1257</v>
      </c>
      <c r="K192" s="1523" t="s">
        <v>1258</v>
      </c>
      <c r="L192" s="1523" t="s">
        <v>1259</v>
      </c>
      <c r="M192" s="1523" t="s">
        <v>1260</v>
      </c>
      <c r="N192" s="1523" t="s">
        <v>1371</v>
      </c>
      <c r="O192" s="1523" t="s">
        <v>1372</v>
      </c>
      <c r="P192" s="1524" t="s">
        <v>1943</v>
      </c>
      <c r="Q192" s="1524" t="s">
        <v>1944</v>
      </c>
      <c r="R192" s="1524" t="s">
        <v>1373</v>
      </c>
      <c r="S192" s="1525" t="s">
        <v>1374</v>
      </c>
      <c r="T192" s="1526" t="s">
        <v>1261</v>
      </c>
      <c r="U192" s="1527" t="s">
        <v>298</v>
      </c>
      <c r="V192" s="1528" t="s">
        <v>1945</v>
      </c>
    </row>
    <row r="193" spans="8:22" ht="12.75" customHeight="1">
      <c r="H193" s="3080">
        <v>10</v>
      </c>
      <c r="I193" s="3081" t="s">
        <v>1264</v>
      </c>
      <c r="J193" s="1529" t="s">
        <v>1262</v>
      </c>
      <c r="K193" s="1530">
        <v>299.61880000000002</v>
      </c>
      <c r="L193" s="1530">
        <v>15.039363</v>
      </c>
      <c r="M193" s="1530">
        <v>-6.1995890000000001E-3</v>
      </c>
      <c r="N193" s="1531">
        <v>3452</v>
      </c>
      <c r="O193" s="1531">
        <v>3401.6960518860374</v>
      </c>
      <c r="P193" s="1530">
        <v>288.55497622509284</v>
      </c>
      <c r="Q193" s="1530">
        <v>288.62062430062855</v>
      </c>
      <c r="R193" s="1530">
        <v>288.62062430062855</v>
      </c>
      <c r="S193" s="1532">
        <v>0.10218762025990942</v>
      </c>
      <c r="T193" s="1436">
        <v>2015</v>
      </c>
      <c r="U193" s="1431" t="s">
        <v>740</v>
      </c>
      <c r="V193" s="1533">
        <v>0.7865193183551531</v>
      </c>
    </row>
    <row r="194" spans="8:22" ht="12.75" customHeight="1">
      <c r="H194" s="3080"/>
      <c r="I194" s="3081"/>
      <c r="J194" s="1529" t="s">
        <v>1375</v>
      </c>
      <c r="K194" s="1530">
        <v>218.19589999999999</v>
      </c>
      <c r="L194" s="1530">
        <v>10.617182</v>
      </c>
      <c r="M194" s="1530">
        <v>0.1059392</v>
      </c>
      <c r="N194" s="1531">
        <v>873</v>
      </c>
      <c r="O194" s="1531">
        <v>923.30394811396297</v>
      </c>
      <c r="P194" s="1530">
        <v>256.3961421850546</v>
      </c>
      <c r="Q194" s="1530">
        <v>256.45447392318442</v>
      </c>
      <c r="R194" s="1530">
        <v>256.45447392318442</v>
      </c>
      <c r="S194" s="1532">
        <v>2.5842929457387288E-2</v>
      </c>
      <c r="T194" s="1436">
        <v>2015</v>
      </c>
      <c r="U194" s="1431" t="s">
        <v>740</v>
      </c>
      <c r="V194" s="1533">
        <v>0.21348068164484693</v>
      </c>
    </row>
    <row r="195" spans="8:22" ht="12.75" customHeight="1">
      <c r="H195" s="3080"/>
      <c r="I195" s="3081"/>
      <c r="J195" s="1529" t="s">
        <v>1376</v>
      </c>
      <c r="K195" s="1530" t="s">
        <v>1263</v>
      </c>
      <c r="L195" s="1530" t="s">
        <v>1263</v>
      </c>
      <c r="M195" s="1530" t="s">
        <v>1263</v>
      </c>
      <c r="N195" s="1531">
        <v>0</v>
      </c>
      <c r="O195" s="1531">
        <v>0</v>
      </c>
      <c r="P195" s="1530" t="s">
        <v>1263</v>
      </c>
      <c r="Q195" s="1530" t="s">
        <v>1263</v>
      </c>
      <c r="R195" s="1530" t="s">
        <v>1263</v>
      </c>
      <c r="S195" s="1532">
        <v>0</v>
      </c>
      <c r="T195" s="1436">
        <v>2015</v>
      </c>
      <c r="U195" s="1433" t="s">
        <v>740</v>
      </c>
      <c r="V195" s="1533">
        <v>0</v>
      </c>
    </row>
    <row r="196" spans="8:22" ht="12.75" customHeight="1">
      <c r="H196" s="3082" t="s">
        <v>1265</v>
      </c>
      <c r="I196" s="3085" t="s">
        <v>1266</v>
      </c>
      <c r="J196" s="1437" t="s">
        <v>1262</v>
      </c>
      <c r="K196" s="1534" t="s">
        <v>1263</v>
      </c>
      <c r="L196" s="1534" t="s">
        <v>1263</v>
      </c>
      <c r="M196" s="1534" t="s">
        <v>1263</v>
      </c>
      <c r="N196" s="1535">
        <v>0</v>
      </c>
      <c r="O196" s="1535">
        <v>0</v>
      </c>
      <c r="P196" s="1534" t="s">
        <v>1263</v>
      </c>
      <c r="Q196" s="1534" t="s">
        <v>1263</v>
      </c>
      <c r="R196" s="1534" t="s">
        <v>1263</v>
      </c>
      <c r="S196" s="1536">
        <v>0</v>
      </c>
      <c r="T196" s="1444">
        <v>2015</v>
      </c>
      <c r="U196" s="1440" t="s">
        <v>740</v>
      </c>
      <c r="V196" s="1537">
        <v>0</v>
      </c>
    </row>
    <row r="197" spans="8:22" ht="12.75" customHeight="1">
      <c r="H197" s="3083"/>
      <c r="I197" s="3086"/>
      <c r="J197" s="1437" t="s">
        <v>1375</v>
      </c>
      <c r="K197" s="1534" t="s">
        <v>1263</v>
      </c>
      <c r="L197" s="1534" t="s">
        <v>1263</v>
      </c>
      <c r="M197" s="1534" t="s">
        <v>1263</v>
      </c>
      <c r="N197" s="1535">
        <v>0</v>
      </c>
      <c r="O197" s="1535">
        <v>0</v>
      </c>
      <c r="P197" s="1534" t="s">
        <v>1263</v>
      </c>
      <c r="Q197" s="1534" t="s">
        <v>1263</v>
      </c>
      <c r="R197" s="1534" t="s">
        <v>1263</v>
      </c>
      <c r="S197" s="1536">
        <v>0</v>
      </c>
      <c r="T197" s="1444">
        <v>2015</v>
      </c>
      <c r="U197" s="1440" t="s">
        <v>740</v>
      </c>
      <c r="V197" s="1537">
        <v>0</v>
      </c>
    </row>
    <row r="198" spans="8:22" ht="12.75" customHeight="1">
      <c r="H198" s="3084"/>
      <c r="I198" s="3087"/>
      <c r="J198" s="1437" t="s">
        <v>1376</v>
      </c>
      <c r="K198" s="1534" t="s">
        <v>1263</v>
      </c>
      <c r="L198" s="1534" t="s">
        <v>1263</v>
      </c>
      <c r="M198" s="1534" t="s">
        <v>1263</v>
      </c>
      <c r="N198" s="1535">
        <v>0</v>
      </c>
      <c r="O198" s="1535">
        <v>0</v>
      </c>
      <c r="P198" s="1534" t="s">
        <v>1263</v>
      </c>
      <c r="Q198" s="1534" t="s">
        <v>1263</v>
      </c>
      <c r="R198" s="1534" t="s">
        <v>1263</v>
      </c>
      <c r="S198" s="1536">
        <v>0</v>
      </c>
      <c r="T198" s="1444">
        <v>2015</v>
      </c>
      <c r="U198" s="1440" t="s">
        <v>740</v>
      </c>
      <c r="V198" s="1537">
        <v>0</v>
      </c>
    </row>
    <row r="199" spans="8:22" ht="12.75" customHeight="1">
      <c r="H199" s="3070">
        <v>10</v>
      </c>
      <c r="I199" s="3071" t="s">
        <v>1264</v>
      </c>
      <c r="J199" s="1538" t="s">
        <v>1262</v>
      </c>
      <c r="K199" s="1539">
        <v>294.83539999999999</v>
      </c>
      <c r="L199" s="1539">
        <v>14.657188</v>
      </c>
      <c r="M199" s="1539">
        <v>-6.0577540000000005E-4</v>
      </c>
      <c r="N199" s="1540">
        <v>9973</v>
      </c>
      <c r="O199" s="1540">
        <v>9973</v>
      </c>
      <c r="P199" s="1539">
        <v>286.95079871597682</v>
      </c>
      <c r="Q199" s="1539">
        <v>287.01608183101979</v>
      </c>
      <c r="R199" s="1539">
        <v>291.48426182587571</v>
      </c>
      <c r="S199" s="1541">
        <v>0.12448821649690434</v>
      </c>
      <c r="T199" s="1496">
        <v>2018</v>
      </c>
      <c r="U199" s="1491" t="s">
        <v>740</v>
      </c>
      <c r="V199" s="1542">
        <v>0.90581289736603088</v>
      </c>
    </row>
    <row r="200" spans="8:22" ht="12.75" customHeight="1">
      <c r="H200" s="3070"/>
      <c r="I200" s="3071"/>
      <c r="J200" s="1538" t="s">
        <v>1375</v>
      </c>
      <c r="K200" s="1539">
        <v>223.9</v>
      </c>
      <c r="L200" s="1539">
        <v>11.11</v>
      </c>
      <c r="M200" s="1539">
        <v>0.1057028</v>
      </c>
      <c r="N200" s="1540">
        <v>920</v>
      </c>
      <c r="O200" s="1540">
        <v>920</v>
      </c>
      <c r="P200" s="1539">
        <v>256.46393628587253</v>
      </c>
      <c r="Q200" s="1539">
        <v>256.52228344758754</v>
      </c>
      <c r="R200" s="1539">
        <v>260.51574516521379</v>
      </c>
      <c r="S200" s="1541">
        <v>1.1483922508488117E-2</v>
      </c>
      <c r="T200" s="1496">
        <v>2018</v>
      </c>
      <c r="U200" s="1491" t="s">
        <v>740</v>
      </c>
      <c r="V200" s="1542">
        <v>8.3560399636693913E-2</v>
      </c>
    </row>
    <row r="201" spans="8:22" ht="12.75" customHeight="1">
      <c r="H201" s="3070"/>
      <c r="I201" s="3071"/>
      <c r="J201" s="1538" t="s">
        <v>1376</v>
      </c>
      <c r="K201" s="1539">
        <v>346</v>
      </c>
      <c r="L201" s="1539">
        <v>25.66</v>
      </c>
      <c r="M201" s="1539">
        <v>0.2082677</v>
      </c>
      <c r="N201" s="1540">
        <v>117</v>
      </c>
      <c r="O201" s="1540">
        <v>117.00000000000001</v>
      </c>
      <c r="P201" s="1539">
        <v>227.05067414128916</v>
      </c>
      <c r="Q201" s="1539">
        <v>227.10232960050686</v>
      </c>
      <c r="R201" s="1539">
        <v>230.63779032951081</v>
      </c>
      <c r="S201" s="1541">
        <v>1.4604553624925104E-3</v>
      </c>
      <c r="T201" s="1496">
        <v>2018</v>
      </c>
      <c r="U201" s="1493" t="s">
        <v>740</v>
      </c>
      <c r="V201" s="1542">
        <v>1.0626702997275205E-2</v>
      </c>
    </row>
    <row r="202" spans="8:22" ht="12.75" customHeight="1">
      <c r="H202" s="3072" t="s">
        <v>1265</v>
      </c>
      <c r="I202" s="3075" t="s">
        <v>1266</v>
      </c>
      <c r="J202" s="1478" t="s">
        <v>1262</v>
      </c>
      <c r="K202" s="1543" t="s">
        <v>1263</v>
      </c>
      <c r="L202" s="1543" t="s">
        <v>1263</v>
      </c>
      <c r="M202" s="1543" t="s">
        <v>1263</v>
      </c>
      <c r="N202" s="1544">
        <v>0</v>
      </c>
      <c r="O202" s="1544">
        <v>0</v>
      </c>
      <c r="P202" s="1543" t="s">
        <v>1263</v>
      </c>
      <c r="Q202" s="1543" t="s">
        <v>1263</v>
      </c>
      <c r="R202" s="1543" t="s">
        <v>1263</v>
      </c>
      <c r="S202" s="1545">
        <v>0</v>
      </c>
      <c r="T202" s="1485">
        <v>2018</v>
      </c>
      <c r="U202" s="1481" t="s">
        <v>740</v>
      </c>
      <c r="V202" s="1546">
        <v>0</v>
      </c>
    </row>
    <row r="203" spans="8:22" ht="12.75" customHeight="1">
      <c r="H203" s="3073"/>
      <c r="I203" s="3076"/>
      <c r="J203" s="1478" t="s">
        <v>1375</v>
      </c>
      <c r="K203" s="1543" t="s">
        <v>1263</v>
      </c>
      <c r="L203" s="1543" t="s">
        <v>1263</v>
      </c>
      <c r="M203" s="1543" t="s">
        <v>1263</v>
      </c>
      <c r="N203" s="1544">
        <v>0</v>
      </c>
      <c r="O203" s="1544">
        <v>0</v>
      </c>
      <c r="P203" s="1543" t="s">
        <v>1263</v>
      </c>
      <c r="Q203" s="1543" t="s">
        <v>1263</v>
      </c>
      <c r="R203" s="1543" t="s">
        <v>1263</v>
      </c>
      <c r="S203" s="1545">
        <v>0</v>
      </c>
      <c r="T203" s="1485">
        <v>2018</v>
      </c>
      <c r="U203" s="1481" t="s">
        <v>740</v>
      </c>
      <c r="V203" s="1546">
        <v>0</v>
      </c>
    </row>
    <row r="204" spans="8:22" ht="12.75" customHeight="1" thickBot="1">
      <c r="H204" s="3074"/>
      <c r="I204" s="3077"/>
      <c r="J204" s="1547" t="s">
        <v>1376</v>
      </c>
      <c r="K204" s="1548" t="s">
        <v>1263</v>
      </c>
      <c r="L204" s="1548" t="s">
        <v>1263</v>
      </c>
      <c r="M204" s="1548" t="s">
        <v>1263</v>
      </c>
      <c r="N204" s="1549">
        <v>0</v>
      </c>
      <c r="O204" s="1549">
        <v>0</v>
      </c>
      <c r="P204" s="1548" t="s">
        <v>1263</v>
      </c>
      <c r="Q204" s="1548" t="s">
        <v>1263</v>
      </c>
      <c r="R204" s="1548" t="s">
        <v>1263</v>
      </c>
      <c r="S204" s="1550">
        <v>0</v>
      </c>
      <c r="T204" s="1551">
        <v>2018</v>
      </c>
      <c r="U204" s="1552" t="s">
        <v>740</v>
      </c>
      <c r="V204" s="1553">
        <v>0</v>
      </c>
    </row>
    <row r="205" spans="8:22" ht="12.75" customHeight="1">
      <c r="H205" s="458" t="s">
        <v>1946</v>
      </c>
      <c r="I205" s="458"/>
      <c r="J205" s="458"/>
      <c r="K205" s="458"/>
      <c r="L205" s="458"/>
      <c r="M205" s="458"/>
      <c r="N205" s="458"/>
      <c r="O205" s="458"/>
      <c r="P205" s="458"/>
      <c r="Q205" s="458"/>
      <c r="R205" s="458"/>
      <c r="S205" s="458"/>
      <c r="T205" s="458"/>
      <c r="U205" s="458"/>
      <c r="V205" s="458"/>
    </row>
    <row r="206" spans="8:22" ht="12.75" customHeight="1">
      <c r="H206" s="1554" t="s">
        <v>1947</v>
      </c>
      <c r="I206" s="458" t="s">
        <v>1948</v>
      </c>
      <c r="J206" s="1555"/>
      <c r="K206" s="458"/>
      <c r="L206" s="458"/>
      <c r="M206" s="458"/>
      <c r="N206" s="458"/>
      <c r="O206" s="458"/>
      <c r="P206" s="458"/>
      <c r="Q206" s="458"/>
      <c r="R206" s="458"/>
      <c r="S206" s="458"/>
      <c r="T206" s="458"/>
      <c r="U206" s="458"/>
      <c r="V206" s="458"/>
    </row>
    <row r="207" spans="8:22" ht="12.75" customHeight="1">
      <c r="H207" s="1554" t="s">
        <v>1949</v>
      </c>
      <c r="I207" s="458" t="s">
        <v>1950</v>
      </c>
      <c r="J207" s="458"/>
      <c r="K207" s="458"/>
      <c r="L207" s="458"/>
      <c r="M207" s="458"/>
      <c r="N207" s="458"/>
      <c r="O207" s="458"/>
      <c r="P207" s="458"/>
      <c r="Q207" s="458"/>
      <c r="R207" s="458"/>
      <c r="S207" s="458"/>
      <c r="T207" s="458" t="s">
        <v>15</v>
      </c>
      <c r="U207" s="458"/>
      <c r="V207" s="866">
        <f>SUMPRODUCT(R193:R198,V193:V198)</f>
        <v>281.75377259216111</v>
      </c>
    </row>
    <row r="208" spans="8:22" ht="12.75" customHeight="1">
      <c r="H208" s="1554" t="s">
        <v>1951</v>
      </c>
      <c r="I208" s="458" t="s">
        <v>1952</v>
      </c>
      <c r="J208" s="458"/>
      <c r="K208" s="458"/>
      <c r="L208" s="458"/>
      <c r="M208" s="458"/>
      <c r="N208" s="458"/>
      <c r="O208" s="458"/>
      <c r="P208" s="458"/>
      <c r="Q208" s="458"/>
      <c r="R208" s="458"/>
      <c r="S208" s="458"/>
      <c r="T208" s="458" t="s">
        <v>1953</v>
      </c>
      <c r="U208" s="458"/>
      <c r="V208" s="866">
        <f>R201</f>
        <v>230.63779032951081</v>
      </c>
    </row>
    <row r="209" spans="8:22" ht="12.75" customHeight="1">
      <c r="H209" s="1554" t="s">
        <v>1954</v>
      </c>
      <c r="I209" s="458" t="s">
        <v>1955</v>
      </c>
      <c r="J209" s="458"/>
      <c r="K209" s="458"/>
      <c r="L209" s="458"/>
      <c r="M209" s="458"/>
      <c r="N209" s="458"/>
      <c r="O209" s="458"/>
      <c r="P209" s="458"/>
      <c r="Q209" s="458"/>
      <c r="R209" s="458"/>
      <c r="S209" s="458"/>
      <c r="T209" s="458"/>
      <c r="U209" s="458"/>
      <c r="V209" s="867">
        <f>V207-V208</f>
        <v>51.115982262650306</v>
      </c>
    </row>
    <row r="210" spans="8:22" ht="12.75" customHeight="1">
      <c r="H210" s="1554" t="s">
        <v>1956</v>
      </c>
      <c r="I210" s="458" t="s">
        <v>1957</v>
      </c>
      <c r="J210" s="458"/>
      <c r="K210" s="458"/>
      <c r="L210" s="458"/>
      <c r="M210" s="458"/>
      <c r="N210" s="458"/>
      <c r="O210" s="458"/>
      <c r="P210" s="458"/>
      <c r="Q210" s="458"/>
      <c r="R210" s="458"/>
      <c r="S210" s="458"/>
      <c r="T210" s="458"/>
      <c r="U210" s="458"/>
      <c r="V210" s="458"/>
    </row>
    <row r="211" spans="8:22" ht="12.75" customHeight="1">
      <c r="H211" s="1554" t="s">
        <v>1958</v>
      </c>
      <c r="I211" s="458" t="s">
        <v>1959</v>
      </c>
      <c r="J211" s="458"/>
      <c r="K211" s="458"/>
      <c r="L211" s="458"/>
      <c r="M211" s="458"/>
      <c r="N211" s="458"/>
      <c r="O211" s="458"/>
      <c r="P211" s="458"/>
      <c r="Q211" s="458"/>
      <c r="R211" s="458"/>
      <c r="S211" s="458"/>
      <c r="T211" s="458"/>
      <c r="U211" s="458"/>
      <c r="V211" s="458"/>
    </row>
    <row r="212" spans="8:22" ht="12.75" customHeight="1">
      <c r="H212" s="1554" t="s">
        <v>1960</v>
      </c>
      <c r="I212" s="458" t="s">
        <v>1961</v>
      </c>
      <c r="J212" s="458"/>
      <c r="K212" s="458"/>
      <c r="L212" s="458"/>
      <c r="M212" s="458"/>
      <c r="N212" s="458"/>
      <c r="O212" s="458"/>
      <c r="P212" s="458"/>
      <c r="Q212" s="458"/>
      <c r="R212" s="458"/>
      <c r="S212" s="458"/>
      <c r="T212" s="458"/>
      <c r="U212" s="458"/>
      <c r="V212" s="458"/>
    </row>
    <row r="213" spans="8:22" ht="12.75" customHeight="1">
      <c r="H213" s="1554" t="s">
        <v>1962</v>
      </c>
      <c r="I213" s="458" t="s">
        <v>1963</v>
      </c>
      <c r="J213" s="458"/>
      <c r="K213" s="458"/>
      <c r="L213" s="458"/>
      <c r="M213" s="458"/>
      <c r="N213" s="458"/>
      <c r="O213" s="458"/>
      <c r="P213" s="458"/>
      <c r="Q213" s="458"/>
      <c r="R213" s="458"/>
      <c r="S213" s="458"/>
      <c r="T213" s="458"/>
      <c r="U213" s="458"/>
      <c r="V213" s="458"/>
    </row>
    <row r="214" spans="8:22" ht="12.75" customHeight="1">
      <c r="H214" s="1554" t="s">
        <v>1964</v>
      </c>
      <c r="I214" s="458" t="s">
        <v>1965</v>
      </c>
      <c r="J214" s="458"/>
      <c r="K214" s="458"/>
      <c r="L214" s="458"/>
      <c r="M214" s="458"/>
      <c r="N214" s="458"/>
      <c r="O214" s="458"/>
      <c r="P214" s="458"/>
      <c r="Q214" s="458"/>
      <c r="R214" s="458"/>
      <c r="S214" s="458"/>
      <c r="T214" s="458"/>
      <c r="U214" s="458"/>
      <c r="V214" s="458"/>
    </row>
    <row r="215" spans="8:22" ht="12.75" customHeight="1">
      <c r="H215" s="1554" t="s">
        <v>1966</v>
      </c>
      <c r="I215" s="458" t="s">
        <v>1967</v>
      </c>
      <c r="J215" s="458"/>
      <c r="K215" s="458"/>
      <c r="L215" s="458"/>
      <c r="M215" s="458"/>
      <c r="N215" s="458"/>
      <c r="O215" s="458"/>
      <c r="P215" s="458"/>
      <c r="Q215" s="458"/>
      <c r="R215" s="458"/>
      <c r="S215" s="458"/>
      <c r="T215" s="458"/>
      <c r="U215" s="458"/>
      <c r="V215" s="458"/>
    </row>
    <row r="216" spans="8:22" ht="12.75" customHeight="1">
      <c r="H216" s="1554" t="s">
        <v>1968</v>
      </c>
      <c r="I216" s="458" t="s">
        <v>1969</v>
      </c>
      <c r="J216" s="458"/>
      <c r="K216" s="458"/>
      <c r="L216" s="458"/>
      <c r="M216" s="458"/>
      <c r="N216" s="458"/>
      <c r="O216" s="458"/>
      <c r="P216" s="458"/>
      <c r="Q216" s="458"/>
      <c r="R216" s="458"/>
      <c r="S216" s="458"/>
      <c r="T216" s="458"/>
      <c r="U216" s="458"/>
      <c r="V216" s="458"/>
    </row>
    <row r="217" spans="8:22" ht="12.75" customHeight="1">
      <c r="H217" s="1554" t="s">
        <v>1970</v>
      </c>
      <c r="I217" s="458" t="s">
        <v>1971</v>
      </c>
      <c r="J217" s="458"/>
      <c r="K217" s="458"/>
      <c r="L217" s="458"/>
      <c r="M217" s="458"/>
      <c r="N217" s="458"/>
      <c r="O217" s="458"/>
      <c r="P217" s="458"/>
      <c r="Q217" s="458"/>
      <c r="R217" s="458"/>
      <c r="S217" s="458"/>
      <c r="T217" s="458"/>
      <c r="U217" s="458"/>
      <c r="V217" s="458"/>
    </row>
    <row r="218" spans="8:22" ht="12.75" customHeight="1">
      <c r="H218" s="1554" t="s">
        <v>1972</v>
      </c>
      <c r="I218" s="458" t="s">
        <v>1973</v>
      </c>
      <c r="J218" s="458"/>
      <c r="K218" s="458"/>
      <c r="L218" s="458"/>
      <c r="M218" s="458"/>
      <c r="N218" s="458"/>
      <c r="O218" s="458"/>
      <c r="P218" s="458"/>
      <c r="Q218" s="458"/>
      <c r="R218" s="458"/>
      <c r="S218" s="458"/>
      <c r="T218" s="458"/>
      <c r="U218" s="458"/>
      <c r="V218" s="458"/>
    </row>
    <row r="219" spans="8:22" ht="12.75" customHeight="1">
      <c r="H219" s="1554" t="s">
        <v>1974</v>
      </c>
      <c r="I219" s="458" t="s">
        <v>1975</v>
      </c>
      <c r="J219" s="458"/>
      <c r="K219" s="458"/>
      <c r="L219" s="458"/>
      <c r="M219" s="458"/>
      <c r="N219" s="458"/>
      <c r="O219" s="458"/>
      <c r="P219" s="458"/>
      <c r="Q219" s="458"/>
      <c r="R219" s="458"/>
      <c r="S219" s="458"/>
      <c r="T219" s="458"/>
      <c r="U219" s="458"/>
      <c r="V219" s="458"/>
    </row>
    <row r="220" spans="8:22" ht="12.75" customHeight="1">
      <c r="H220" s="1554" t="s">
        <v>1976</v>
      </c>
      <c r="I220" s="458" t="s">
        <v>1977</v>
      </c>
      <c r="J220" s="458"/>
      <c r="K220" s="458"/>
      <c r="L220" s="458"/>
      <c r="M220" s="458"/>
      <c r="N220" s="458"/>
      <c r="O220" s="458"/>
      <c r="P220" s="458"/>
      <c r="Q220" s="458"/>
      <c r="R220" s="458"/>
      <c r="S220" s="458"/>
      <c r="T220" s="458"/>
      <c r="U220" s="458"/>
      <c r="V220" s="458"/>
    </row>
    <row r="221" spans="8:22" ht="12.75" customHeight="1">
      <c r="H221" s="1554" t="s">
        <v>1978</v>
      </c>
      <c r="I221" s="458" t="s">
        <v>1979</v>
      </c>
      <c r="J221" s="458"/>
      <c r="K221" s="458"/>
      <c r="L221" s="458"/>
      <c r="M221" s="458"/>
      <c r="N221" s="458"/>
      <c r="O221" s="458"/>
      <c r="P221" s="458"/>
      <c r="Q221" s="458"/>
      <c r="R221" s="458"/>
      <c r="S221" s="458"/>
      <c r="T221" s="458"/>
      <c r="U221" s="458"/>
      <c r="V221" s="458"/>
    </row>
    <row r="222" spans="8:22" ht="12.75" customHeight="1">
      <c r="H222" s="1554" t="s">
        <v>1980</v>
      </c>
      <c r="I222" s="458" t="s">
        <v>1981</v>
      </c>
      <c r="J222" s="458"/>
      <c r="K222" s="458"/>
      <c r="L222" s="458"/>
      <c r="M222" s="458"/>
      <c r="N222" s="458"/>
      <c r="O222" s="458"/>
      <c r="P222" s="458"/>
      <c r="Q222" s="458"/>
      <c r="R222" s="458"/>
      <c r="S222" s="458"/>
      <c r="T222" s="458"/>
      <c r="U222" s="458"/>
      <c r="V222" s="458"/>
    </row>
    <row r="223" spans="8:22" ht="12.75" customHeight="1">
      <c r="H223" s="1402" t="s">
        <v>2353</v>
      </c>
    </row>
    <row r="224" spans="8:22" ht="36" customHeight="1">
      <c r="H224" s="2475" t="s">
        <v>2340</v>
      </c>
      <c r="I224" s="2475" t="s">
        <v>2341</v>
      </c>
      <c r="J224" s="2475" t="s">
        <v>2334</v>
      </c>
      <c r="K224" s="2475" t="s">
        <v>2345</v>
      </c>
      <c r="L224" s="2475" t="s">
        <v>2342</v>
      </c>
      <c r="M224" s="2476" t="s">
        <v>2343</v>
      </c>
      <c r="N224" s="2476" t="s">
        <v>2344</v>
      </c>
    </row>
    <row r="225" spans="8:14" ht="12.75" customHeight="1">
      <c r="H225" s="2463" t="s">
        <v>464</v>
      </c>
      <c r="I225" s="2463" t="s">
        <v>2347</v>
      </c>
      <c r="J225" s="2464">
        <v>41897</v>
      </c>
      <c r="K225" s="2479" t="s">
        <v>2348</v>
      </c>
      <c r="L225" s="2479" t="s">
        <v>158</v>
      </c>
      <c r="M225" s="2464">
        <v>41897</v>
      </c>
      <c r="N225" s="2463" t="s">
        <v>2349</v>
      </c>
    </row>
    <row r="226" spans="8:14" ht="12.75" customHeight="1">
      <c r="H226" s="2463" t="s">
        <v>464</v>
      </c>
      <c r="I226" s="2463" t="s">
        <v>1493</v>
      </c>
      <c r="J226" s="2464">
        <v>41897</v>
      </c>
      <c r="K226" s="2479" t="s">
        <v>2350</v>
      </c>
      <c r="L226" s="2479" t="s">
        <v>160</v>
      </c>
      <c r="M226" s="2464">
        <v>41897</v>
      </c>
      <c r="N226" s="2463" t="s">
        <v>2349</v>
      </c>
    </row>
    <row r="227" spans="8:14" ht="12.75" customHeight="1">
      <c r="H227" s="2463" t="s">
        <v>464</v>
      </c>
      <c r="I227" s="2463" t="s">
        <v>2332</v>
      </c>
      <c r="J227" s="2464">
        <v>41897</v>
      </c>
      <c r="K227" s="2479" t="s">
        <v>2351</v>
      </c>
      <c r="L227" s="2479" t="s">
        <v>160</v>
      </c>
      <c r="M227" s="2464">
        <v>41897</v>
      </c>
      <c r="N227" s="2463" t="s">
        <v>2349</v>
      </c>
    </row>
    <row r="228" spans="8:14" ht="12.75" customHeight="1">
      <c r="H228" s="2463" t="s">
        <v>2352</v>
      </c>
      <c r="I228" s="2463" t="s">
        <v>2347</v>
      </c>
      <c r="J228" s="2464">
        <v>41897</v>
      </c>
      <c r="K228" s="2479" t="s">
        <v>2348</v>
      </c>
      <c r="L228" s="2479" t="s">
        <v>158</v>
      </c>
      <c r="M228" s="2464">
        <v>41897</v>
      </c>
      <c r="N228" s="2463" t="s">
        <v>2349</v>
      </c>
    </row>
    <row r="229" spans="8:14" ht="12.75" customHeight="1">
      <c r="H229" s="2463" t="s">
        <v>2352</v>
      </c>
      <c r="I229" s="2463" t="s">
        <v>1493</v>
      </c>
      <c r="J229" s="2464">
        <v>41897</v>
      </c>
      <c r="K229" s="2479" t="s">
        <v>2350</v>
      </c>
      <c r="L229" s="2479" t="s">
        <v>160</v>
      </c>
      <c r="M229" s="2464">
        <v>41897</v>
      </c>
      <c r="N229" s="2463" t="s">
        <v>2349</v>
      </c>
    </row>
    <row r="230" spans="8:14" ht="12.75" customHeight="1">
      <c r="H230" s="2463" t="s">
        <v>2352</v>
      </c>
      <c r="I230" s="2463" t="s">
        <v>2332</v>
      </c>
      <c r="J230" s="2464">
        <v>41897</v>
      </c>
      <c r="K230" s="2479" t="s">
        <v>2351</v>
      </c>
      <c r="L230" s="2479" t="s">
        <v>160</v>
      </c>
      <c r="M230" s="2464">
        <v>41897</v>
      </c>
      <c r="N230" s="2463" t="s">
        <v>2349</v>
      </c>
    </row>
    <row r="231" spans="8:14" ht="12.75" customHeight="1">
      <c r="H231" s="2463" t="s">
        <v>466</v>
      </c>
      <c r="I231" s="2463" t="s">
        <v>2347</v>
      </c>
      <c r="J231" s="2464">
        <v>41897</v>
      </c>
      <c r="K231" s="2479" t="s">
        <v>2348</v>
      </c>
      <c r="L231" s="2479" t="s">
        <v>158</v>
      </c>
      <c r="M231" s="2464">
        <v>41897</v>
      </c>
      <c r="N231" s="2463" t="s">
        <v>2349</v>
      </c>
    </row>
    <row r="232" spans="8:14" ht="12.75" customHeight="1">
      <c r="H232" s="2463" t="s">
        <v>466</v>
      </c>
      <c r="I232" s="2463" t="s">
        <v>1493</v>
      </c>
      <c r="J232" s="2464">
        <v>41897</v>
      </c>
      <c r="K232" s="2479" t="s">
        <v>2350</v>
      </c>
      <c r="L232" s="2479" t="s">
        <v>160</v>
      </c>
      <c r="M232" s="2464">
        <v>41897</v>
      </c>
      <c r="N232" s="2463" t="s">
        <v>2349</v>
      </c>
    </row>
    <row r="233" spans="8:14" ht="12.75" customHeight="1">
      <c r="H233" s="2463" t="s">
        <v>466</v>
      </c>
      <c r="I233" s="2463" t="s">
        <v>2332</v>
      </c>
      <c r="J233" s="2464">
        <v>41897</v>
      </c>
      <c r="K233" s="2479" t="s">
        <v>2351</v>
      </c>
      <c r="L233" s="2479" t="s">
        <v>160</v>
      </c>
      <c r="M233" s="2464">
        <v>41897</v>
      </c>
      <c r="N233" s="2463" t="s">
        <v>2349</v>
      </c>
    </row>
    <row r="234" spans="8:14" ht="12.75" customHeight="1">
      <c r="L234" s="463"/>
    </row>
  </sheetData>
  <autoFilter ref="H5:V61">
    <filterColumn colId="4">
      <filters>
        <filter val="2020"/>
        <filter val="2021"/>
      </filters>
    </filterColumn>
  </autoFilter>
  <dataConsolidate/>
  <mergeCells count="37">
    <mergeCell ref="H199:H201"/>
    <mergeCell ref="I199:I201"/>
    <mergeCell ref="H202:H204"/>
    <mergeCell ref="I202:I204"/>
    <mergeCell ref="H192:I192"/>
    <mergeCell ref="H193:H195"/>
    <mergeCell ref="I193:I195"/>
    <mergeCell ref="H196:H198"/>
    <mergeCell ref="I196:I198"/>
    <mergeCell ref="H149:H151"/>
    <mergeCell ref="I149:I151"/>
    <mergeCell ref="I128:I130"/>
    <mergeCell ref="H143:H145"/>
    <mergeCell ref="I143:I145"/>
    <mergeCell ref="H146:H148"/>
    <mergeCell ref="I146:I148"/>
    <mergeCell ref="H140:H142"/>
    <mergeCell ref="I140:I142"/>
    <mergeCell ref="H134:H136"/>
    <mergeCell ref="I134:I136"/>
    <mergeCell ref="H137:H139"/>
    <mergeCell ref="I137:I139"/>
    <mergeCell ref="T4:V4"/>
    <mergeCell ref="H64:L64"/>
    <mergeCell ref="H66:L66"/>
    <mergeCell ref="H131:H133"/>
    <mergeCell ref="I131:I133"/>
    <mergeCell ref="H122:H124"/>
    <mergeCell ref="I122:I124"/>
    <mergeCell ref="H125:H127"/>
    <mergeCell ref="I125:I127"/>
    <mergeCell ref="H128:H130"/>
    <mergeCell ref="I2:L2"/>
    <mergeCell ref="A4:G4"/>
    <mergeCell ref="H4:L4"/>
    <mergeCell ref="M4:Q4"/>
    <mergeCell ref="R4:S4"/>
  </mergeCells>
  <dataValidations count="1">
    <dataValidation type="list" allowBlank="1" showInputMessage="1" showErrorMessage="1" sqref="S2">
      <formula1>Source_list</formula1>
    </dataValidation>
  </dataValidations>
  <hyperlinks>
    <hyperlink ref="H1" location="' Summary by Program 2020-21'!H1" display="Summary Page"/>
    <hyperlink ref="K5" location="Frig_Freezers!H223" display="Tier"/>
  </hyperlinks>
  <pageMargins left="0.7" right="0.7" top="0.75" bottom="0.75" header="0.3" footer="0.3"/>
  <pageSetup scale="2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83CA"/>
  </sheetPr>
  <dimension ref="A1:B19"/>
  <sheetViews>
    <sheetView showGridLines="0" workbookViewId="0">
      <selection activeCell="B39" sqref="B39"/>
    </sheetView>
  </sheetViews>
  <sheetFormatPr defaultRowHeight="14.4"/>
  <cols>
    <col min="1" max="1" width="34.6640625" customWidth="1"/>
    <col min="2" max="2" width="81.88671875" bestFit="1" customWidth="1"/>
  </cols>
  <sheetData>
    <row r="1" spans="1:2">
      <c r="A1" s="2622" t="s">
        <v>1387</v>
      </c>
      <c r="B1" s="2622"/>
    </row>
    <row r="2" spans="1:2" s="458" customFormat="1" ht="13.8"/>
    <row r="3" spans="1:2" s="458" customFormat="1" ht="13.8">
      <c r="A3" s="2623" t="s">
        <v>2282</v>
      </c>
      <c r="B3" s="420" t="s">
        <v>2475</v>
      </c>
    </row>
    <row r="4" spans="1:2" s="458" customFormat="1" ht="13.8">
      <c r="A4" s="2623" t="s">
        <v>2283</v>
      </c>
      <c r="B4" s="420" t="s">
        <v>2492</v>
      </c>
    </row>
    <row r="5" spans="1:2" s="458" customFormat="1" ht="13.8">
      <c r="A5" s="2643" t="s">
        <v>2326</v>
      </c>
      <c r="B5" s="420" t="s">
        <v>2493</v>
      </c>
    </row>
    <row r="6" spans="1:2" s="458" customFormat="1" ht="13.8">
      <c r="A6" s="2643" t="s">
        <v>2478</v>
      </c>
      <c r="B6" s="420" t="s">
        <v>2494</v>
      </c>
    </row>
    <row r="7" spans="1:2" s="458" customFormat="1" ht="13.8">
      <c r="A7" s="2643" t="s">
        <v>1394</v>
      </c>
      <c r="B7" s="420" t="s">
        <v>2496</v>
      </c>
    </row>
    <row r="8" spans="1:2" s="458" customFormat="1" ht="13.8">
      <c r="A8" s="2643" t="s">
        <v>2479</v>
      </c>
      <c r="B8" s="420" t="s">
        <v>2495</v>
      </c>
    </row>
    <row r="9" spans="1:2" s="458" customFormat="1" ht="13.8">
      <c r="A9" s="2673" t="s">
        <v>1388</v>
      </c>
      <c r="B9" s="2621" t="s">
        <v>1389</v>
      </c>
    </row>
    <row r="10" spans="1:2" s="458" customFormat="1" ht="13.8">
      <c r="A10" s="2674"/>
      <c r="B10" s="2620" t="s">
        <v>1390</v>
      </c>
    </row>
    <row r="11" spans="1:2" s="458" customFormat="1" ht="13.8">
      <c r="A11" s="2674"/>
      <c r="B11" s="2620" t="s">
        <v>1391</v>
      </c>
    </row>
    <row r="12" spans="1:2" s="458" customFormat="1" ht="13.8">
      <c r="A12" s="2674"/>
      <c r="B12" s="2620" t="s">
        <v>1392</v>
      </c>
    </row>
    <row r="13" spans="1:2" s="458" customFormat="1" ht="13.8">
      <c r="A13" s="2675"/>
      <c r="B13" s="2620" t="s">
        <v>1393</v>
      </c>
    </row>
    <row r="14" spans="1:2">
      <c r="A14" s="333"/>
      <c r="B14" s="333"/>
    </row>
    <row r="15" spans="1:2">
      <c r="A15" s="629"/>
      <c r="B15" s="340"/>
    </row>
    <row r="16" spans="1:2">
      <c r="A16" s="260"/>
      <c r="B16" s="260"/>
    </row>
    <row r="17" spans="1:2">
      <c r="A17" s="260"/>
      <c r="B17" s="260"/>
    </row>
    <row r="18" spans="1:2">
      <c r="A18" s="260"/>
      <c r="B18" s="260"/>
    </row>
    <row r="19" spans="1:2">
      <c r="A19" s="260"/>
      <c r="B19" s="260"/>
    </row>
  </sheetData>
  <mergeCells count="1">
    <mergeCell ref="A9:A1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filterMode="1">
    <tabColor rgb="FF0083CA"/>
    <pageSetUpPr fitToPage="1"/>
  </sheetPr>
  <dimension ref="A1:W62"/>
  <sheetViews>
    <sheetView topLeftCell="H1" workbookViewId="0">
      <selection activeCell="H1" sqref="H1"/>
    </sheetView>
  </sheetViews>
  <sheetFormatPr defaultColWidth="18.6640625" defaultRowHeight="12.75" customHeight="1" outlineLevelCol="1"/>
  <cols>
    <col min="1" max="1" width="11.109375" style="8" hidden="1" customWidth="1" outlineLevel="1"/>
    <col min="2" max="2" width="12.6640625" style="8" hidden="1" customWidth="1" outlineLevel="1"/>
    <col min="3" max="3" width="16.44140625" style="10" hidden="1" customWidth="1" outlineLevel="1"/>
    <col min="4" max="4" width="11.33203125" style="10" hidden="1" customWidth="1" outlineLevel="1"/>
    <col min="5" max="6" width="8.5546875" style="10" hidden="1" customWidth="1" outlineLevel="1"/>
    <col min="7" max="7" width="10" style="8" hidden="1" customWidth="1" outlineLevel="1"/>
    <col min="8" max="8" width="23.44140625" style="462" customWidth="1" collapsed="1"/>
    <col min="9" max="9" width="29.33203125" style="462" customWidth="1"/>
    <col min="10" max="10" width="27.44140625" style="462" customWidth="1"/>
    <col min="11" max="11" width="16.109375" style="462" customWidth="1"/>
    <col min="12" max="12" width="8" style="462" customWidth="1"/>
    <col min="13" max="13" width="14.88671875" style="463" customWidth="1"/>
    <col min="14" max="14" width="12.5546875" style="463" customWidth="1"/>
    <col min="15" max="15" width="11.44140625" style="463" customWidth="1"/>
    <col min="16" max="16" width="14.88671875" style="463" customWidth="1"/>
    <col min="17" max="17" width="9.6640625" style="462" customWidth="1"/>
    <col min="18" max="18" width="17.44140625" style="462" customWidth="1"/>
    <col min="19" max="19" width="22" style="462" customWidth="1"/>
    <col min="20" max="21" width="12.33203125" style="462" customWidth="1"/>
    <col min="22" max="22" width="12.33203125" style="464" customWidth="1"/>
    <col min="23" max="16384" width="18.6640625" style="462"/>
  </cols>
  <sheetData>
    <row r="1" spans="1:22" ht="12.75" customHeight="1">
      <c r="H1" s="239" t="s">
        <v>1067</v>
      </c>
    </row>
    <row r="2" spans="1:22" ht="36.75" customHeight="1">
      <c r="H2" s="1164" t="str">
        <f>I6&amp;":"</f>
        <v>Building Operator Certification Expansion:</v>
      </c>
      <c r="I2" s="2875" t="str">
        <f>INDEX(Programs!C:C,MATCH(BOC!I6,Programs!B:B,0))</f>
        <v>Achieve lasting improvement in the energy efficient and maintenance (O&amp;M) of commercial buildings by developing market demand for and increasing the supply of educated and credentialed building operators.</v>
      </c>
      <c r="J2" s="2875"/>
      <c r="K2" s="2875"/>
      <c r="L2" s="2875"/>
    </row>
    <row r="3" spans="1:22" ht="19.5" customHeight="1"/>
    <row r="4" spans="1:22" s="458" customFormat="1" ht="15.75" customHeight="1">
      <c r="A4" s="3019" t="s">
        <v>131</v>
      </c>
      <c r="B4" s="3020"/>
      <c r="C4" s="3020"/>
      <c r="D4" s="3020"/>
      <c r="E4" s="3020"/>
      <c r="F4" s="3020"/>
      <c r="G4" s="3021"/>
      <c r="H4" s="2879" t="s">
        <v>7</v>
      </c>
      <c r="I4" s="2880"/>
      <c r="J4" s="2880"/>
      <c r="K4" s="2880"/>
      <c r="L4" s="2959"/>
      <c r="M4" s="2881" t="s">
        <v>127</v>
      </c>
      <c r="N4" s="2882"/>
      <c r="O4" s="2882"/>
      <c r="P4" s="2882"/>
      <c r="Q4" s="2883"/>
      <c r="R4" s="2884" t="s">
        <v>129</v>
      </c>
      <c r="S4" s="2885"/>
      <c r="T4" s="2872" t="s">
        <v>130</v>
      </c>
      <c r="U4" s="2873"/>
      <c r="V4" s="2874"/>
    </row>
    <row r="5" spans="1:22" s="931" customFormat="1" ht="60" customHeight="1" thickBot="1">
      <c r="A5" s="107" t="s">
        <v>0</v>
      </c>
      <c r="B5" s="108" t="s">
        <v>11</v>
      </c>
      <c r="C5" s="109" t="s">
        <v>1</v>
      </c>
      <c r="D5" s="109" t="s">
        <v>2</v>
      </c>
      <c r="E5" s="109" t="s">
        <v>266</v>
      </c>
      <c r="F5" s="109" t="s">
        <v>306</v>
      </c>
      <c r="G5" s="110" t="s">
        <v>12</v>
      </c>
      <c r="H5" s="1112" t="s">
        <v>3</v>
      </c>
      <c r="I5" s="1112" t="s">
        <v>4</v>
      </c>
      <c r="J5" s="1112" t="s">
        <v>5</v>
      </c>
      <c r="K5" s="1112" t="s">
        <v>6</v>
      </c>
      <c r="L5" s="1112" t="s">
        <v>8</v>
      </c>
      <c r="M5" s="1113" t="s">
        <v>13</v>
      </c>
      <c r="N5" s="1112" t="s">
        <v>14</v>
      </c>
      <c r="O5" s="1112" t="s">
        <v>123</v>
      </c>
      <c r="P5" s="1112" t="s">
        <v>124</v>
      </c>
      <c r="Q5" s="1114" t="s">
        <v>16</v>
      </c>
      <c r="R5" s="1113" t="s">
        <v>870</v>
      </c>
      <c r="S5" s="1114" t="s">
        <v>125</v>
      </c>
      <c r="T5" s="1113" t="s">
        <v>126</v>
      </c>
      <c r="U5" s="1112" t="s">
        <v>18</v>
      </c>
      <c r="V5" s="1115" t="s">
        <v>17</v>
      </c>
    </row>
    <row r="6" spans="1:22" s="1" customFormat="1" ht="12.75" hidden="1" customHeight="1" thickTop="1">
      <c r="A6" s="498" t="s">
        <v>27</v>
      </c>
      <c r="B6" s="499" t="str">
        <f>LEFT(A6,10)</f>
        <v>COM_201201</v>
      </c>
      <c r="C6" s="499">
        <v>0</v>
      </c>
      <c r="D6" s="499">
        <v>0</v>
      </c>
      <c r="E6" s="499">
        <f>COUNTIFS($A:$A,A6,$L:$L,L6)</f>
        <v>1</v>
      </c>
      <c r="F6" s="499">
        <v>1</v>
      </c>
      <c r="G6" s="500" t="b">
        <v>1</v>
      </c>
      <c r="H6" s="599" t="str">
        <f>IF(LEFT(A6,3)="Res","Residential",IF(LEFT(A6,3)="Ind","industrial",IF(LEFT(A6,3)="Com","Commercial",IF(LEFT(A6,3)="AGR","Agriculture",""))))</f>
        <v>Commercial</v>
      </c>
      <c r="I6" s="550" t="s">
        <v>141</v>
      </c>
      <c r="J6" s="550" t="s">
        <v>428</v>
      </c>
      <c r="K6" s="550" t="s">
        <v>485</v>
      </c>
      <c r="L6" s="23">
        <v>2018</v>
      </c>
      <c r="M6" s="511">
        <v>169</v>
      </c>
      <c r="N6" s="512">
        <v>5.8230279300000003</v>
      </c>
      <c r="O6" s="512">
        <v>32.11</v>
      </c>
      <c r="P6" s="317" t="s">
        <v>192</v>
      </c>
      <c r="Q6" s="505">
        <v>0.13900000000000001</v>
      </c>
      <c r="R6" s="600">
        <f>U31</f>
        <v>39875.205810649946</v>
      </c>
      <c r="S6" s="70" t="s">
        <v>238</v>
      </c>
      <c r="T6" s="552">
        <f>(M6-O6)*Q6*R6/8760000</f>
        <v>8.6613453465223977E-2</v>
      </c>
      <c r="U6" s="553">
        <f>IFERROR((N6-O6/M6*N6)*Q6*R6/8760/1000,0)</f>
        <v>2.9843346665192577E-3</v>
      </c>
      <c r="V6" s="554">
        <f>T6-U6</f>
        <v>8.3629118798704716E-2</v>
      </c>
    </row>
    <row r="7" spans="1:22" s="1" customFormat="1" ht="12.75" hidden="1" customHeight="1" thickBot="1">
      <c r="A7" s="498" t="s">
        <v>27</v>
      </c>
      <c r="B7" s="499" t="str">
        <f>LEFT(A7,10)</f>
        <v>COM_201201</v>
      </c>
      <c r="C7" s="499">
        <v>0</v>
      </c>
      <c r="D7" s="499">
        <v>0</v>
      </c>
      <c r="E7" s="499">
        <f>COUNTIFS($A:$A,A7,$L:$L,L7)</f>
        <v>1</v>
      </c>
      <c r="F7" s="499">
        <v>1</v>
      </c>
      <c r="G7" s="500" t="b">
        <v>1</v>
      </c>
      <c r="H7" s="710" t="str">
        <f>IF(LEFT(A7,3)="Res","Residential",IF(LEFT(A7,3)="Ind","industrial",IF(LEFT(A7,3)="Com","Commercial",IF(LEFT(A7,3)="AGR","Agriculture",""))))</f>
        <v>Commercial</v>
      </c>
      <c r="I7" s="559" t="s">
        <v>141</v>
      </c>
      <c r="J7" s="559" t="s">
        <v>428</v>
      </c>
      <c r="K7" s="559" t="s">
        <v>485</v>
      </c>
      <c r="L7" s="277">
        <v>2019</v>
      </c>
      <c r="M7" s="560">
        <v>155</v>
      </c>
      <c r="N7" s="561">
        <v>40.239129560000002</v>
      </c>
      <c r="O7" s="561">
        <v>29.45</v>
      </c>
      <c r="P7" s="319" t="s">
        <v>192</v>
      </c>
      <c r="Q7" s="562">
        <v>0.13900000000000001</v>
      </c>
      <c r="R7" s="711">
        <f>U32</f>
        <v>38861.928401091543</v>
      </c>
      <c r="S7" s="696" t="s">
        <v>238</v>
      </c>
      <c r="T7" s="564">
        <f>(M7-O7)*Q7*R7/8760000</f>
        <v>7.7419748903564969E-2</v>
      </c>
      <c r="U7" s="565">
        <f t="shared" ref="U7" si="0">IFERROR((N7-O7/M7*N7)*Q7*R7/8760/1000,0)</f>
        <v>2.0098731010536892E-2</v>
      </c>
      <c r="V7" s="566">
        <f>T7-U7</f>
        <v>5.7321017893028077E-2</v>
      </c>
    </row>
    <row r="8" spans="1:22" ht="12.75" customHeight="1" thickTop="1">
      <c r="A8" s="498" t="s">
        <v>27</v>
      </c>
      <c r="B8" s="499" t="str">
        <f>LEFT(A8,10)</f>
        <v>COM_201201</v>
      </c>
      <c r="C8" s="499">
        <v>0</v>
      </c>
      <c r="D8" s="499">
        <v>0</v>
      </c>
      <c r="E8" s="499">
        <f>COUNTIFS($A:$A,A8,$L:$L,L8)</f>
        <v>1</v>
      </c>
      <c r="F8" s="499">
        <v>1</v>
      </c>
      <c r="G8" s="499" t="b">
        <v>1</v>
      </c>
      <c r="H8" s="793" t="str">
        <f>IF(LEFT(A8,3)="Res","Residential",IF(LEFT(A8,3)="Ind","industrial",IF(LEFT(A8,3)="Com","Commercial",IF(LEFT(A8,3)="AGR","Agriculture",""))))</f>
        <v>Commercial</v>
      </c>
      <c r="I8" s="716" t="s">
        <v>141</v>
      </c>
      <c r="J8" s="716" t="s">
        <v>428</v>
      </c>
      <c r="K8" s="716" t="s">
        <v>485</v>
      </c>
      <c r="L8" s="701">
        <v>2020</v>
      </c>
      <c r="M8" s="763">
        <v>165</v>
      </c>
      <c r="N8" s="764">
        <v>40.238643429999996</v>
      </c>
      <c r="O8" s="764">
        <v>31.35</v>
      </c>
      <c r="P8" s="765" t="s">
        <v>192</v>
      </c>
      <c r="Q8" s="719">
        <v>0.13900000000000001</v>
      </c>
      <c r="R8" s="720">
        <f>AVERAGE(U31:U32)</f>
        <v>39368.567105870745</v>
      </c>
      <c r="S8" s="2344" t="s">
        <v>238</v>
      </c>
      <c r="T8" s="721">
        <f>(M8-O8)*Q8*R8/8760000</f>
        <v>8.348900115573607E-2</v>
      </c>
      <c r="U8" s="722">
        <f>IFERROR((N8-O8/M8*N8)*Q8*R8/8760/1000,0)</f>
        <v>2.0360509986863763E-2</v>
      </c>
      <c r="V8" s="794">
        <f>T8-U8</f>
        <v>6.3128491168872314E-2</v>
      </c>
    </row>
    <row r="9" spans="1:22" ht="12.75" customHeight="1" thickBot="1">
      <c r="A9" s="498" t="s">
        <v>27</v>
      </c>
      <c r="B9" s="499" t="str">
        <f>LEFT(A9,10)</f>
        <v>COM_201201</v>
      </c>
      <c r="C9" s="499">
        <v>0</v>
      </c>
      <c r="D9" s="499">
        <v>0</v>
      </c>
      <c r="E9" s="499">
        <f>COUNTIFS($A:$A,A9,$L:$L,L9)</f>
        <v>1</v>
      </c>
      <c r="F9" s="499">
        <v>1</v>
      </c>
      <c r="G9" s="499" t="b">
        <v>1</v>
      </c>
      <c r="H9" s="809" t="str">
        <f>IF(LEFT(A9,3)="Res","Residential",IF(LEFT(A9,3)="Ind","industrial",IF(LEFT(A9,3)="Com","Commercial",IF(LEFT(A9,3)="AGR","Agriculture",""))))</f>
        <v>Commercial</v>
      </c>
      <c r="I9" s="734" t="s">
        <v>141</v>
      </c>
      <c r="J9" s="734" t="s">
        <v>428</v>
      </c>
      <c r="K9" s="734" t="s">
        <v>485</v>
      </c>
      <c r="L9" s="708">
        <v>2021</v>
      </c>
      <c r="M9" s="735">
        <v>165</v>
      </c>
      <c r="N9" s="736">
        <v>40.238643429999996</v>
      </c>
      <c r="O9" s="736">
        <v>31.35</v>
      </c>
      <c r="P9" s="810" t="s">
        <v>192</v>
      </c>
      <c r="Q9" s="737">
        <v>0.13900000000000001</v>
      </c>
      <c r="R9" s="738">
        <f>AVERAGE(U31:U32)</f>
        <v>39368.567105870745</v>
      </c>
      <c r="S9" s="758" t="s">
        <v>238</v>
      </c>
      <c r="T9" s="739">
        <f>(M9-O9)*Q9*R9/8760000</f>
        <v>8.348900115573607E-2</v>
      </c>
      <c r="U9" s="740">
        <f t="shared" ref="U9" si="1">IFERROR((N9-O9/M9*N9)*Q9*R9/8760/1000,0)</f>
        <v>2.0360509986863763E-2</v>
      </c>
      <c r="V9" s="811">
        <f>T9-U9</f>
        <v>6.3128491168872314E-2</v>
      </c>
    </row>
    <row r="11" spans="1:22" ht="12.75" customHeight="1">
      <c r="F11" s="9"/>
      <c r="H11" s="1393" t="s">
        <v>1355</v>
      </c>
      <c r="I11" s="940"/>
      <c r="J11" s="940"/>
      <c r="K11" s="940"/>
      <c r="L11" s="96"/>
    </row>
    <row r="12" spans="1:22" ht="51" customHeight="1">
      <c r="F12" s="9"/>
      <c r="H12" s="2956" t="s">
        <v>1616</v>
      </c>
      <c r="I12" s="2957"/>
      <c r="J12" s="2957"/>
      <c r="K12" s="2957"/>
      <c r="L12" s="2957"/>
      <c r="M12" s="2958"/>
    </row>
    <row r="15" spans="1:22" s="891" customFormat="1" ht="22.5" customHeight="1">
      <c r="A15" s="8"/>
      <c r="B15" s="8"/>
      <c r="C15" s="10"/>
      <c r="D15" s="10"/>
      <c r="E15" s="10"/>
      <c r="F15" s="10"/>
      <c r="G15" s="8"/>
      <c r="H15" s="891" t="s">
        <v>10</v>
      </c>
    </row>
    <row r="16" spans="1:22" ht="12.75" customHeight="1">
      <c r="M16" s="462"/>
      <c r="N16" s="462"/>
      <c r="O16" s="462"/>
      <c r="P16" s="462"/>
    </row>
    <row r="17" spans="8:23" ht="12.75" customHeight="1">
      <c r="H17" s="462" t="s">
        <v>193</v>
      </c>
      <c r="M17" s="462"/>
      <c r="N17" s="462"/>
      <c r="O17" s="462"/>
      <c r="P17" s="462"/>
    </row>
    <row r="18" spans="8:23" ht="12.75" customHeight="1">
      <c r="H18" s="462" t="s">
        <v>194</v>
      </c>
      <c r="M18" s="462"/>
      <c r="N18" s="462"/>
      <c r="O18" s="462"/>
      <c r="P18" s="462"/>
    </row>
    <row r="19" spans="8:23" ht="12.75" customHeight="1">
      <c r="H19" s="462" t="s">
        <v>195</v>
      </c>
      <c r="M19" s="462"/>
      <c r="N19" s="462"/>
      <c r="O19" s="462"/>
      <c r="P19" s="462"/>
    </row>
    <row r="20" spans="8:23" ht="12.75" customHeight="1" thickBot="1">
      <c r="K20" s="1936" t="s">
        <v>834</v>
      </c>
      <c r="L20" s="1936" t="s">
        <v>835</v>
      </c>
      <c r="M20" s="462"/>
      <c r="N20" s="462"/>
      <c r="O20" s="462"/>
      <c r="P20" s="462"/>
    </row>
    <row r="21" spans="8:23" ht="12.75" customHeight="1" thickTop="1" thickBot="1">
      <c r="H21" s="1937" t="s">
        <v>196</v>
      </c>
      <c r="K21" s="1938">
        <v>15.51</v>
      </c>
      <c r="L21" s="1938">
        <v>11.1</v>
      </c>
      <c r="M21" s="462" t="s">
        <v>197</v>
      </c>
      <c r="N21" s="462"/>
      <c r="O21" s="462"/>
      <c r="P21" s="462"/>
    </row>
    <row r="22" spans="8:23" ht="12.75" customHeight="1" thickTop="1" thickBot="1">
      <c r="H22" s="1937" t="s">
        <v>198</v>
      </c>
      <c r="K22" s="1939">
        <v>2.0299999999999999E-2</v>
      </c>
      <c r="L22" s="1940">
        <v>2.29E-2</v>
      </c>
      <c r="M22" s="462"/>
      <c r="N22" s="462"/>
      <c r="O22" s="462"/>
      <c r="P22" s="462"/>
    </row>
    <row r="23" spans="8:23" ht="12.75" customHeight="1" thickTop="1" thickBot="1">
      <c r="H23" s="1937" t="s">
        <v>199</v>
      </c>
      <c r="K23" s="1941">
        <v>432768</v>
      </c>
      <c r="L23" s="1941">
        <v>87931</v>
      </c>
      <c r="M23" s="462" t="s">
        <v>200</v>
      </c>
      <c r="N23" s="462"/>
      <c r="O23" s="462"/>
      <c r="P23" s="462"/>
    </row>
    <row r="24" spans="8:23" ht="12.75" customHeight="1" thickTop="1" thickBot="1">
      <c r="K24" s="1942">
        <f>K21*K22*K23</f>
        <v>136258.30310399999</v>
      </c>
      <c r="L24" s="1942">
        <v>22351.180889999996</v>
      </c>
      <c r="M24" s="462" t="s">
        <v>201</v>
      </c>
      <c r="N24" s="462"/>
      <c r="O24" s="462"/>
      <c r="P24" s="462"/>
    </row>
    <row r="25" spans="8:23" ht="12.75" customHeight="1" thickTop="1">
      <c r="M25" s="462"/>
      <c r="N25" s="462"/>
      <c r="O25" s="462"/>
      <c r="P25" s="462"/>
    </row>
    <row r="26" spans="8:23" ht="12.75" customHeight="1">
      <c r="M26" s="462"/>
      <c r="N26" s="462"/>
      <c r="O26" s="462"/>
      <c r="P26" s="462"/>
    </row>
    <row r="27" spans="8:23" ht="12.75" customHeight="1">
      <c r="H27" s="462" t="s">
        <v>202</v>
      </c>
      <c r="M27" s="462"/>
      <c r="N27" s="462"/>
      <c r="O27" s="462"/>
      <c r="P27" s="462"/>
    </row>
    <row r="28" spans="8:23" ht="12.75" customHeight="1" thickBot="1">
      <c r="K28" s="1936" t="s">
        <v>834</v>
      </c>
      <c r="L28" s="1936" t="s">
        <v>835</v>
      </c>
      <c r="M28" s="462"/>
      <c r="N28" s="462"/>
      <c r="O28" s="462"/>
      <c r="P28" s="462"/>
    </row>
    <row r="29" spans="8:23" ht="12.75" customHeight="1" thickTop="1" thickBot="1">
      <c r="H29" s="1937" t="s">
        <v>203</v>
      </c>
      <c r="K29" s="1943">
        <f>SUMPRODUCT(L42:L59,P42:P59)</f>
        <v>5.4904948067620065</v>
      </c>
      <c r="L29" s="1943">
        <f>SUMPRODUCT(L42:L59,P42:P59)</f>
        <v>5.4904948067620065</v>
      </c>
      <c r="M29" s="462" t="s">
        <v>197</v>
      </c>
      <c r="N29" s="462"/>
      <c r="O29" s="462"/>
      <c r="P29" s="462"/>
      <c r="S29" s="3088" t="s">
        <v>836</v>
      </c>
      <c r="T29" s="3088"/>
      <c r="U29" s="3089" t="s">
        <v>837</v>
      </c>
      <c r="V29" s="1944"/>
      <c r="W29" s="1078"/>
    </row>
    <row r="30" spans="8:23" ht="12.75" customHeight="1" thickTop="1" thickBot="1">
      <c r="H30" s="1937" t="s">
        <v>198</v>
      </c>
      <c r="K30" s="1945">
        <f>K22</f>
        <v>2.0299999999999999E-2</v>
      </c>
      <c r="L30" s="1945">
        <f>L22</f>
        <v>2.29E-2</v>
      </c>
      <c r="M30" s="462"/>
      <c r="N30" s="462"/>
      <c r="O30" s="462"/>
      <c r="P30" s="462"/>
      <c r="S30" s="1946" t="s">
        <v>834</v>
      </c>
      <c r="T30" s="1946" t="s">
        <v>835</v>
      </c>
      <c r="U30" s="3090"/>
      <c r="V30" s="1944"/>
      <c r="W30" s="1078"/>
    </row>
    <row r="31" spans="8:23" ht="12.75" customHeight="1" thickTop="1" thickBot="1">
      <c r="H31" s="1937" t="s">
        <v>199</v>
      </c>
      <c r="K31" s="1947">
        <f>K23</f>
        <v>432768</v>
      </c>
      <c r="L31" s="1947">
        <f>L23</f>
        <v>87931</v>
      </c>
      <c r="M31" s="462" t="s">
        <v>200</v>
      </c>
      <c r="N31" s="462"/>
      <c r="O31" s="462"/>
      <c r="P31" s="462"/>
      <c r="R31" s="456">
        <v>2018</v>
      </c>
      <c r="S31" s="969">
        <v>131</v>
      </c>
      <c r="T31" s="969">
        <v>38</v>
      </c>
      <c r="U31" s="1948">
        <f>SUMPRODUCT(K$32:L$32,S31:T31)/SUM(S31:T31)</f>
        <v>39875.205810649946</v>
      </c>
      <c r="V31" s="1944"/>
      <c r="W31" s="1078"/>
    </row>
    <row r="32" spans="8:23" ht="12.75" customHeight="1" thickTop="1" thickBot="1">
      <c r="K32" s="1949">
        <f>K29*K30*K31</f>
        <v>48235.042267615434</v>
      </c>
      <c r="L32" s="1949">
        <f>L29*L30*L31</f>
        <v>11055.769603742632</v>
      </c>
      <c r="M32" s="462" t="s">
        <v>201</v>
      </c>
      <c r="N32" s="462"/>
      <c r="O32" s="462"/>
      <c r="P32" s="462"/>
      <c r="R32" s="456">
        <v>2019</v>
      </c>
      <c r="S32" s="969">
        <v>115.92358604091456</v>
      </c>
      <c r="T32" s="969">
        <v>39.076413959085443</v>
      </c>
      <c r="U32" s="1948">
        <f>SUMPRODUCT(K$32:L$32,S32:T32)/SUM(S32:T32)</f>
        <v>38861.928401091543</v>
      </c>
      <c r="V32" s="462"/>
    </row>
    <row r="33" spans="8:16" ht="12.75" customHeight="1" thickTop="1">
      <c r="M33" s="462"/>
      <c r="N33" s="462"/>
      <c r="O33" s="462"/>
      <c r="P33" s="462"/>
    </row>
    <row r="34" spans="8:16" ht="12.75" customHeight="1">
      <c r="M34" s="462"/>
      <c r="N34" s="462"/>
      <c r="O34" s="462"/>
      <c r="P34" s="462"/>
    </row>
    <row r="35" spans="8:16" ht="12.75" customHeight="1">
      <c r="M35" s="462"/>
      <c r="N35" s="462"/>
      <c r="O35" s="462"/>
      <c r="P35" s="462"/>
    </row>
    <row r="36" spans="8:16" ht="12.75" customHeight="1" thickBot="1">
      <c r="M36" s="462"/>
      <c r="N36" s="462"/>
      <c r="O36" s="462"/>
      <c r="P36" s="462"/>
    </row>
    <row r="37" spans="8:16" ht="12.75" customHeight="1" thickTop="1" thickBot="1">
      <c r="H37" s="949" t="s">
        <v>204</v>
      </c>
      <c r="I37" s="949"/>
      <c r="J37" s="949"/>
      <c r="L37" s="949" t="s">
        <v>205</v>
      </c>
      <c r="M37" s="949"/>
      <c r="N37" s="949"/>
      <c r="O37" s="462"/>
      <c r="P37" s="462"/>
    </row>
    <row r="38" spans="8:16" ht="12.75" customHeight="1" thickTop="1">
      <c r="M38" s="462"/>
      <c r="N38" s="462"/>
      <c r="O38" s="462"/>
      <c r="P38" s="462"/>
    </row>
    <row r="39" spans="8:16" ht="12.75" customHeight="1">
      <c r="H39" s="1957" t="s">
        <v>206</v>
      </c>
      <c r="L39" s="1951"/>
      <c r="M39" s="462"/>
      <c r="N39" s="462"/>
      <c r="O39" s="462"/>
      <c r="P39" s="462"/>
    </row>
    <row r="40" spans="8:16" ht="12.75" customHeight="1">
      <c r="H40" s="1952"/>
      <c r="I40" s="1952" t="s">
        <v>207</v>
      </c>
      <c r="J40" s="1952" t="s">
        <v>208</v>
      </c>
      <c r="K40" s="1952" t="s">
        <v>209</v>
      </c>
      <c r="L40" s="1953" t="s">
        <v>210</v>
      </c>
      <c r="M40" s="1953"/>
      <c r="N40" s="1953"/>
      <c r="O40" s="1953"/>
      <c r="P40" s="1954"/>
    </row>
    <row r="41" spans="8:16" ht="12.75" customHeight="1">
      <c r="H41" s="1952" t="s">
        <v>211</v>
      </c>
      <c r="I41" s="1952" t="s">
        <v>212</v>
      </c>
      <c r="J41" s="1952" t="s">
        <v>213</v>
      </c>
      <c r="K41" s="1952" t="s">
        <v>214</v>
      </c>
      <c r="L41" s="1953" t="s">
        <v>215</v>
      </c>
      <c r="M41" s="1953" t="s">
        <v>216</v>
      </c>
      <c r="N41" s="1953" t="s">
        <v>217</v>
      </c>
      <c r="O41" s="1953" t="s">
        <v>218</v>
      </c>
      <c r="P41" s="1953" t="s">
        <v>219</v>
      </c>
    </row>
    <row r="42" spans="8:16" ht="12.75" customHeight="1">
      <c r="H42" s="1958" t="s">
        <v>220</v>
      </c>
      <c r="I42" s="1955">
        <v>7.08</v>
      </c>
      <c r="J42" s="1955">
        <v>5.18</v>
      </c>
      <c r="K42" s="1955">
        <v>6.08</v>
      </c>
      <c r="L42" s="1956">
        <v>0.15073291148870363</v>
      </c>
      <c r="M42" s="1956">
        <v>9.379008321141083E-2</v>
      </c>
      <c r="N42" s="1956">
        <v>0.80872784176745371</v>
      </c>
      <c r="O42" s="1956">
        <v>9.7482075021135345E-2</v>
      </c>
      <c r="P42" s="1604">
        <f>SUMPRODUCT(I42:K42,M42:O42)</f>
        <v>5.4459350256207015</v>
      </c>
    </row>
    <row r="43" spans="8:16" ht="12.75" customHeight="1">
      <c r="H43" s="1958" t="s">
        <v>221</v>
      </c>
      <c r="I43" s="1955">
        <v>6.08</v>
      </c>
      <c r="J43" s="1955">
        <v>4.18</v>
      </c>
      <c r="K43" s="1955">
        <v>5.08</v>
      </c>
      <c r="L43" s="1956">
        <v>0.12013270538231059</v>
      </c>
      <c r="M43" s="1956">
        <v>5.7141018201974592E-2</v>
      </c>
      <c r="N43" s="1956">
        <v>0.93108561158422598</v>
      </c>
      <c r="O43" s="1956">
        <v>1.1773370213799438E-2</v>
      </c>
      <c r="P43" s="1604">
        <f t="shared" ref="P43:P59" si="2">SUMPRODUCT(I43:K43,M43:O43)</f>
        <v>4.2991639677761713</v>
      </c>
    </row>
    <row r="44" spans="8:16" ht="12.75" customHeight="1">
      <c r="H44" s="1958" t="s">
        <v>222</v>
      </c>
      <c r="I44" s="1955">
        <v>5.2799999999999994</v>
      </c>
      <c r="J44" s="1955">
        <v>3.38</v>
      </c>
      <c r="K44" s="1955">
        <v>4.2799999999999994</v>
      </c>
      <c r="L44" s="1956">
        <v>3.1538695729415013E-2</v>
      </c>
      <c r="M44" s="1956">
        <v>6.3540893141458221E-2</v>
      </c>
      <c r="N44" s="1956">
        <v>0.65879042006554966</v>
      </c>
      <c r="O44" s="1956">
        <v>0.27766868679299217</v>
      </c>
      <c r="P44" s="1604">
        <f t="shared" si="2"/>
        <v>3.7506295150824638</v>
      </c>
    </row>
    <row r="45" spans="8:16" ht="12.75" customHeight="1">
      <c r="H45" s="1958" t="s">
        <v>223</v>
      </c>
      <c r="I45" s="1955">
        <v>6.08</v>
      </c>
      <c r="J45" s="1955">
        <v>4.18</v>
      </c>
      <c r="K45" s="1955">
        <v>5.08</v>
      </c>
      <c r="L45" s="1956">
        <v>2.6820893655991742E-2</v>
      </c>
      <c r="M45" s="1956">
        <v>0.52114684573848291</v>
      </c>
      <c r="N45" s="1956">
        <v>0.30364464955032466</v>
      </c>
      <c r="O45" s="1956">
        <v>0.17520850471119245</v>
      </c>
      <c r="P45" s="1604">
        <f t="shared" si="2"/>
        <v>5.3278666611431902</v>
      </c>
    </row>
    <row r="46" spans="8:16" ht="12.75" customHeight="1">
      <c r="H46" s="1958" t="s">
        <v>224</v>
      </c>
      <c r="I46" s="1955">
        <v>6.7</v>
      </c>
      <c r="J46" s="1955">
        <v>4.5999999999999996</v>
      </c>
      <c r="K46" s="1955">
        <v>5.6</v>
      </c>
      <c r="L46" s="1956">
        <v>1.0839638408159987E-2</v>
      </c>
      <c r="M46" s="1956">
        <v>0.64094486042254439</v>
      </c>
      <c r="N46" s="1956">
        <v>0.20980203614718312</v>
      </c>
      <c r="O46" s="1956">
        <v>0.14925310343027248</v>
      </c>
      <c r="P46" s="1604">
        <f t="shared" si="2"/>
        <v>6.0952373103176152</v>
      </c>
    </row>
    <row r="47" spans="8:16" ht="12.75" customHeight="1">
      <c r="H47" s="1958" t="s">
        <v>225</v>
      </c>
      <c r="I47" s="1955">
        <v>9.3000000000000007</v>
      </c>
      <c r="J47" s="1955">
        <v>6.4</v>
      </c>
      <c r="K47" s="1955">
        <v>7.8</v>
      </c>
      <c r="L47" s="1956">
        <v>4.0894012773033235E-2</v>
      </c>
      <c r="M47" s="1956">
        <v>0.56159710090996928</v>
      </c>
      <c r="N47" s="1956">
        <v>0.42422729730852854</v>
      </c>
      <c r="O47" s="1956">
        <v>1.4175601781502387E-2</v>
      </c>
      <c r="P47" s="1604">
        <f t="shared" si="2"/>
        <v>8.0484774351330159</v>
      </c>
    </row>
    <row r="48" spans="8:16" ht="12.75" customHeight="1">
      <c r="H48" s="1958" t="s">
        <v>226</v>
      </c>
      <c r="I48" s="1955">
        <v>9.6</v>
      </c>
      <c r="J48" s="1955">
        <v>6.6999999999999993</v>
      </c>
      <c r="K48" s="1955">
        <v>8.1</v>
      </c>
      <c r="L48" s="1956">
        <v>1.3016203517984767E-2</v>
      </c>
      <c r="M48" s="1956">
        <v>0.19952525247533903</v>
      </c>
      <c r="N48" s="1956">
        <v>0.44747439425166918</v>
      </c>
      <c r="O48" s="1956">
        <v>0.35300035327299167</v>
      </c>
      <c r="P48" s="1604">
        <f t="shared" si="2"/>
        <v>7.7728237267606701</v>
      </c>
    </row>
    <row r="49" spans="8:16" ht="12.75" customHeight="1">
      <c r="H49" s="1958" t="s">
        <v>227</v>
      </c>
      <c r="I49" s="1955">
        <v>6</v>
      </c>
      <c r="J49" s="1955">
        <v>3.0999999999999996</v>
      </c>
      <c r="K49" s="1955">
        <v>4.5</v>
      </c>
      <c r="L49" s="1956">
        <v>3.0886857559635036E-2</v>
      </c>
      <c r="M49" s="1956">
        <v>0.22286467137317267</v>
      </c>
      <c r="N49" s="1956">
        <v>0.53090550528653346</v>
      </c>
      <c r="O49" s="1956">
        <v>0.24622982334029381</v>
      </c>
      <c r="P49" s="1604">
        <f t="shared" si="2"/>
        <v>4.0910292996586115</v>
      </c>
    </row>
    <row r="50" spans="8:16" ht="12.75" customHeight="1">
      <c r="H50" s="1958" t="s">
        <v>228</v>
      </c>
      <c r="I50" s="1955">
        <v>9</v>
      </c>
      <c r="J50" s="1955">
        <v>5.0999999999999996</v>
      </c>
      <c r="K50" s="1955">
        <v>7</v>
      </c>
      <c r="L50" s="1956">
        <v>2.2325826170102026E-2</v>
      </c>
      <c r="M50" s="1956">
        <v>0.15885643507420852</v>
      </c>
      <c r="N50" s="1956">
        <v>0.73038501205930684</v>
      </c>
      <c r="O50" s="1956">
        <v>0.1107585528664846</v>
      </c>
      <c r="P50" s="1604">
        <f t="shared" si="2"/>
        <v>5.9299813472357332</v>
      </c>
    </row>
    <row r="51" spans="8:16" ht="12.75" customHeight="1">
      <c r="H51" s="1958" t="s">
        <v>229</v>
      </c>
      <c r="I51" s="1955">
        <v>3</v>
      </c>
      <c r="J51" s="1955">
        <v>1.1000000000000001</v>
      </c>
      <c r="K51" s="1955">
        <v>2</v>
      </c>
      <c r="L51" s="1956">
        <v>0.10087192274660353</v>
      </c>
      <c r="M51" s="1956">
        <v>0.52114684573848291</v>
      </c>
      <c r="N51" s="1956">
        <v>0.30364464955032466</v>
      </c>
      <c r="O51" s="1956">
        <v>0.17520850471119245</v>
      </c>
      <c r="P51" s="1604">
        <f t="shared" si="2"/>
        <v>2.247866661143191</v>
      </c>
    </row>
    <row r="52" spans="8:16" ht="12.75" customHeight="1">
      <c r="H52" s="1958" t="s">
        <v>230</v>
      </c>
      <c r="I52" s="1955">
        <v>12.5</v>
      </c>
      <c r="J52" s="1955">
        <v>7.6</v>
      </c>
      <c r="K52" s="1955">
        <v>10</v>
      </c>
      <c r="L52" s="1956">
        <v>6.1675003194375045E-3</v>
      </c>
      <c r="M52" s="1956">
        <v>1.5377816133020691E-2</v>
      </c>
      <c r="N52" s="1956">
        <v>0.88455863187555051</v>
      </c>
      <c r="O52" s="1956">
        <v>0.1000635519914288</v>
      </c>
      <c r="P52" s="1604">
        <f t="shared" si="2"/>
        <v>7.9155038238312301</v>
      </c>
    </row>
    <row r="53" spans="8:16" ht="12.75" customHeight="1">
      <c r="H53" s="1958" t="s">
        <v>231</v>
      </c>
      <c r="I53" s="1955">
        <v>14</v>
      </c>
      <c r="J53" s="1955">
        <v>10.1</v>
      </c>
      <c r="K53" s="1955">
        <v>12</v>
      </c>
      <c r="L53" s="1956">
        <v>2.5477723102065148E-3</v>
      </c>
      <c r="M53" s="1956">
        <v>0</v>
      </c>
      <c r="N53" s="1956">
        <v>0.99620809267302346</v>
      </c>
      <c r="O53" s="1956">
        <v>3.7919073269764856E-3</v>
      </c>
      <c r="P53" s="1604">
        <f t="shared" si="2"/>
        <v>10.107204623921254</v>
      </c>
    </row>
    <row r="54" spans="8:16" ht="12.75" customHeight="1">
      <c r="H54" s="1958" t="s">
        <v>232</v>
      </c>
      <c r="I54" s="1955">
        <v>14</v>
      </c>
      <c r="J54" s="1955">
        <v>10.1</v>
      </c>
      <c r="K54" s="1955">
        <v>12</v>
      </c>
      <c r="L54" s="1956">
        <v>1.1693580853842011E-2</v>
      </c>
      <c r="M54" s="1956">
        <v>5.5212362541074519E-2</v>
      </c>
      <c r="N54" s="1956">
        <v>0.88366906107173016</v>
      </c>
      <c r="O54" s="1956">
        <v>6.1118576387195395E-2</v>
      </c>
      <c r="P54" s="1604">
        <f t="shared" si="2"/>
        <v>10.431453509045863</v>
      </c>
    </row>
    <row r="55" spans="8:16" ht="12.75" customHeight="1">
      <c r="H55" s="1958" t="s">
        <v>233</v>
      </c>
      <c r="I55" s="1955">
        <v>9</v>
      </c>
      <c r="J55" s="1955">
        <v>5.0999999999999996</v>
      </c>
      <c r="K55" s="1955">
        <v>7</v>
      </c>
      <c r="L55" s="1956">
        <v>2.3957473342185561E-2</v>
      </c>
      <c r="M55" s="1956">
        <v>0.34342063041492848</v>
      </c>
      <c r="N55" s="1956">
        <v>0.53617368361870132</v>
      </c>
      <c r="O55" s="1956">
        <v>0.12040568596637012</v>
      </c>
      <c r="P55" s="1604">
        <f t="shared" si="2"/>
        <v>6.6681112619543228</v>
      </c>
    </row>
    <row r="56" spans="8:16" ht="12.75" customHeight="1">
      <c r="H56" s="1958" t="s">
        <v>234</v>
      </c>
      <c r="I56" s="1955">
        <v>15</v>
      </c>
      <c r="J56" s="1955">
        <v>9.1999999999999993</v>
      </c>
      <c r="K56" s="1955">
        <v>12</v>
      </c>
      <c r="L56" s="1956">
        <v>4.4965056377242296E-2</v>
      </c>
      <c r="M56" s="1956">
        <v>0.10311447532768504</v>
      </c>
      <c r="N56" s="1956">
        <v>0.74192623135844471</v>
      </c>
      <c r="O56" s="1956">
        <v>0.15495929331387026</v>
      </c>
      <c r="P56" s="1604">
        <f t="shared" si="2"/>
        <v>10.23194997817941</v>
      </c>
    </row>
    <row r="57" spans="8:16" ht="12.75" customHeight="1">
      <c r="H57" s="1958" t="s">
        <v>235</v>
      </c>
      <c r="I57" s="1955">
        <v>12.7</v>
      </c>
      <c r="J57" s="1955">
        <v>7.8000000000000007</v>
      </c>
      <c r="K57" s="1955">
        <v>10.199999999999999</v>
      </c>
      <c r="L57" s="1956">
        <v>5.827742495837801E-2</v>
      </c>
      <c r="M57" s="1956">
        <v>5.6083613809662864E-3</v>
      </c>
      <c r="N57" s="1956">
        <v>0.98575716289794368</v>
      </c>
      <c r="O57" s="1956">
        <v>8.6344757210899958E-3</v>
      </c>
      <c r="P57" s="1604">
        <f t="shared" si="2"/>
        <v>7.8482037124973507</v>
      </c>
    </row>
    <row r="58" spans="8:16" ht="12.75" customHeight="1">
      <c r="H58" s="1958" t="s">
        <v>236</v>
      </c>
      <c r="I58" s="1955">
        <v>8.5</v>
      </c>
      <c r="J58" s="1955">
        <v>4.5999999999999996</v>
      </c>
      <c r="K58" s="1955">
        <v>6.5</v>
      </c>
      <c r="L58" s="1956">
        <v>9.0984350406775827E-2</v>
      </c>
      <c r="M58" s="1956">
        <v>5.6083613809662864E-3</v>
      </c>
      <c r="N58" s="1956">
        <v>0.98575716289794368</v>
      </c>
      <c r="O58" s="1956">
        <v>8.6344757210899958E-3</v>
      </c>
      <c r="P58" s="1604">
        <f t="shared" si="2"/>
        <v>4.6382781132558399</v>
      </c>
    </row>
    <row r="59" spans="8:16" ht="12.75" customHeight="1">
      <c r="H59" s="1958" t="s">
        <v>237</v>
      </c>
      <c r="I59" s="1955">
        <v>8.5</v>
      </c>
      <c r="J59" s="1955">
        <v>4.5999999999999996</v>
      </c>
      <c r="K59" s="1955">
        <v>6.5</v>
      </c>
      <c r="L59" s="1956">
        <v>0.21334717399999265</v>
      </c>
      <c r="M59" s="1956">
        <v>0.24031041917780901</v>
      </c>
      <c r="N59" s="1956">
        <v>0.6783643954380898</v>
      </c>
      <c r="O59" s="1956">
        <v>8.1325185384101065E-2</v>
      </c>
      <c r="P59" s="1604">
        <f t="shared" si="2"/>
        <v>5.6917284870232461</v>
      </c>
    </row>
    <row r="60" spans="8:16" ht="12.75" customHeight="1">
      <c r="M60" s="462"/>
      <c r="N60" s="462"/>
      <c r="O60" s="462"/>
      <c r="P60" s="462"/>
    </row>
    <row r="61" spans="8:16" ht="12.75" customHeight="1">
      <c r="M61" s="462"/>
      <c r="N61" s="462"/>
      <c r="O61" s="462"/>
      <c r="P61" s="462"/>
    </row>
    <row r="62" spans="8:16" ht="12.75" customHeight="1">
      <c r="M62" s="462"/>
      <c r="N62" s="462"/>
      <c r="O62" s="462"/>
      <c r="P62" s="462"/>
    </row>
  </sheetData>
  <autoFilter ref="A5:W9">
    <filterColumn colId="11">
      <filters>
        <filter val="2020"/>
        <filter val="2021"/>
      </filters>
    </filterColumn>
  </autoFilter>
  <sortState ref="A4:L214">
    <sortCondition ref="I4:I214"/>
  </sortState>
  <dataConsolidate/>
  <mergeCells count="9">
    <mergeCell ref="S29:T29"/>
    <mergeCell ref="U29:U30"/>
    <mergeCell ref="T4:V4"/>
    <mergeCell ref="I2:L2"/>
    <mergeCell ref="A4:G4"/>
    <mergeCell ref="H4:L4"/>
    <mergeCell ref="M4:Q4"/>
    <mergeCell ref="R4:S4"/>
    <mergeCell ref="H12:M12"/>
  </mergeCells>
  <hyperlinks>
    <hyperlink ref="H1" location="' Summary by Program 2020-21'!H1" display="Summary Page"/>
  </hyperlinks>
  <pageMargins left="0.7" right="0.7" top="0.75" bottom="0.75" header="0.3" footer="0.3"/>
  <pageSetup scale="34"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filterMode="1">
    <tabColor rgb="FF0083CA"/>
    <pageSetUpPr fitToPage="1"/>
  </sheetPr>
  <dimension ref="A1:AA115"/>
  <sheetViews>
    <sheetView topLeftCell="H1" workbookViewId="0">
      <selection activeCell="H1" sqref="H1"/>
    </sheetView>
  </sheetViews>
  <sheetFormatPr defaultColWidth="18.6640625" defaultRowHeight="12.75" customHeight="1" outlineLevelCol="1"/>
  <cols>
    <col min="1" max="1" width="8.88671875" style="460" hidden="1" customWidth="1" outlineLevel="1"/>
    <col min="2" max="2" width="6" style="460" hidden="1" customWidth="1" outlineLevel="1"/>
    <col min="3" max="3" width="10" style="461" hidden="1" customWidth="1" outlineLevel="1"/>
    <col min="4" max="4" width="11.6640625" style="461" hidden="1" customWidth="1" outlineLevel="1"/>
    <col min="5" max="5" width="7" style="461" hidden="1" customWidth="1" outlineLevel="1"/>
    <col min="6" max="6" width="10.44140625" style="461" hidden="1" customWidth="1" outlineLevel="1"/>
    <col min="7" max="7" width="25" style="460" hidden="1" customWidth="1" outlineLevel="1"/>
    <col min="8" max="8" width="16.44140625" style="462" customWidth="1" collapsed="1"/>
    <col min="9" max="9" width="25.6640625" style="462" customWidth="1"/>
    <col min="10" max="10" width="32" style="462" customWidth="1"/>
    <col min="11" max="11" width="8.44140625" style="462" customWidth="1"/>
    <col min="12" max="12" width="8" style="462" customWidth="1"/>
    <col min="13" max="14" width="14.88671875" style="463" customWidth="1"/>
    <col min="15" max="15" width="10.5546875" style="463" customWidth="1"/>
    <col min="16" max="16" width="29.6640625" style="463" customWidth="1"/>
    <col min="17" max="17" width="8.88671875" style="462" customWidth="1"/>
    <col min="18" max="18" width="13.33203125" style="462" customWidth="1"/>
    <col min="19" max="19" width="14.88671875" style="462" customWidth="1"/>
    <col min="20" max="20" width="8.88671875" style="462" customWidth="1"/>
    <col min="21" max="21" width="10.5546875" style="462" customWidth="1"/>
    <col min="22" max="22" width="12.33203125" style="464" customWidth="1"/>
    <col min="23" max="16384" width="18.6640625" style="462"/>
  </cols>
  <sheetData>
    <row r="1" spans="1:22" ht="12.75" customHeight="1">
      <c r="H1" s="239" t="s">
        <v>1067</v>
      </c>
    </row>
    <row r="2" spans="1:22" ht="51.6" customHeight="1">
      <c r="H2" s="1579" t="str">
        <f>I7&amp;":"</f>
        <v>Luminaire Level Lighting Controls:</v>
      </c>
      <c r="I2" s="2875" t="str">
        <f>INDEX(Programs!C:C,MATCH(Com_Lighting!I7,Programs!B:B,0))</f>
        <v>The Luminaire Level Lighting Controls (LLLC) initiative works to bring clarity to the controls market by developing best practice specifications for LLLC, aiming to have the technology adopted as standard industry practice by the commercial office lighting market.</v>
      </c>
      <c r="J2" s="2875"/>
      <c r="K2" s="2875"/>
      <c r="L2" s="2875"/>
      <c r="U2" s="1959" t="s">
        <v>1936</v>
      </c>
    </row>
    <row r="3" spans="1:22" ht="42.6" customHeight="1">
      <c r="H3" s="1579" t="str">
        <f>I9&amp;":"</f>
        <v>Reduced Wattage Lamp Replacement:</v>
      </c>
      <c r="I3" s="2875" t="str">
        <f>INDEX(Programs!C:C,MATCH(Com_Lighting!I12,Programs!B:B,0))</f>
        <v>Develop an upstream platform with distributors and manufacturers that influences the stocking and sales practices of efficient lighting products that can be leveraged for lighting initiatives.</v>
      </c>
      <c r="J3" s="2875"/>
      <c r="K3" s="2875"/>
      <c r="L3" s="2875"/>
      <c r="Q3" s="458" t="s">
        <v>1152</v>
      </c>
      <c r="R3" s="925" t="s">
        <v>1870</v>
      </c>
      <c r="U3" s="1959" t="s">
        <v>1870</v>
      </c>
    </row>
    <row r="4" spans="1:22" ht="27" customHeight="1">
      <c r="H4" s="463"/>
      <c r="I4" s="463"/>
      <c r="J4" s="463"/>
      <c r="K4" s="463"/>
      <c r="L4" s="463"/>
    </row>
    <row r="5" spans="1:22" s="458" customFormat="1" ht="15.75" customHeight="1">
      <c r="A5" s="2876" t="s">
        <v>131</v>
      </c>
      <c r="B5" s="2877"/>
      <c r="C5" s="2877"/>
      <c r="D5" s="2877"/>
      <c r="E5" s="2877"/>
      <c r="F5" s="2877"/>
      <c r="G5" s="2878"/>
      <c r="H5" s="3037" t="s">
        <v>7</v>
      </c>
      <c r="I5" s="3038"/>
      <c r="J5" s="3038"/>
      <c r="K5" s="3038"/>
      <c r="L5" s="3091"/>
      <c r="M5" s="2881" t="s">
        <v>127</v>
      </c>
      <c r="N5" s="2882"/>
      <c r="O5" s="2882"/>
      <c r="P5" s="2882"/>
      <c r="Q5" s="2883"/>
      <c r="R5" s="2884" t="s">
        <v>129</v>
      </c>
      <c r="S5" s="2885"/>
      <c r="T5" s="2872" t="s">
        <v>130</v>
      </c>
      <c r="U5" s="2873"/>
      <c r="V5" s="2874"/>
    </row>
    <row r="6" spans="1:22" s="931" customFormat="1" ht="60" customHeight="1" thickBot="1">
      <c r="A6" s="927" t="s">
        <v>0</v>
      </c>
      <c r="B6" s="928" t="s">
        <v>11</v>
      </c>
      <c r="C6" s="929" t="s">
        <v>1</v>
      </c>
      <c r="D6" s="929" t="s">
        <v>2</v>
      </c>
      <c r="E6" s="929" t="s">
        <v>266</v>
      </c>
      <c r="F6" s="929" t="s">
        <v>306</v>
      </c>
      <c r="G6" s="930" t="s">
        <v>12</v>
      </c>
      <c r="H6" s="2014" t="s">
        <v>3</v>
      </c>
      <c r="I6" s="2014" t="s">
        <v>4</v>
      </c>
      <c r="J6" s="2014" t="s">
        <v>5</v>
      </c>
      <c r="K6" s="2014" t="s">
        <v>6</v>
      </c>
      <c r="L6" s="2014" t="s">
        <v>8</v>
      </c>
      <c r="M6" s="2015" t="s">
        <v>13</v>
      </c>
      <c r="N6" s="2014" t="s">
        <v>14</v>
      </c>
      <c r="O6" s="2014" t="s">
        <v>123</v>
      </c>
      <c r="P6" s="2014" t="s">
        <v>124</v>
      </c>
      <c r="Q6" s="2016" t="s">
        <v>16</v>
      </c>
      <c r="R6" s="2015" t="s">
        <v>870</v>
      </c>
      <c r="S6" s="2016" t="s">
        <v>125</v>
      </c>
      <c r="T6" s="2015" t="s">
        <v>126</v>
      </c>
      <c r="U6" s="2014" t="s">
        <v>18</v>
      </c>
      <c r="V6" s="2017" t="s">
        <v>17</v>
      </c>
    </row>
    <row r="7" spans="1:22" s="1052" customFormat="1" ht="14.4" hidden="1" thickTop="1">
      <c r="A7" s="2018" t="s">
        <v>29</v>
      </c>
      <c r="B7" s="2019" t="str">
        <f>LEFT(A7,10)</f>
        <v>COM_201401</v>
      </c>
      <c r="C7" s="2019">
        <v>0</v>
      </c>
      <c r="D7" s="2019">
        <v>0</v>
      </c>
      <c r="E7" s="2019">
        <f t="shared" ref="E7:E18" si="0">COUNTIFS($A:$A,A7,$L:$L,L7)</f>
        <v>1</v>
      </c>
      <c r="F7" s="2019">
        <v>1</v>
      </c>
      <c r="G7" s="2020" t="b">
        <v>1</v>
      </c>
      <c r="H7" s="2021" t="str">
        <f>IF(LEFT(A7,3)="Res","Residential",IF(LEFT(A7,3)="Ind","industrial",IF(LEFT(A7,3)="Com","Commercial",IF(LEFT(A7,3)="AGR","Agriculture",""))))</f>
        <v>Commercial</v>
      </c>
      <c r="I7" s="2022" t="s">
        <v>143</v>
      </c>
      <c r="J7" s="2022" t="s">
        <v>667</v>
      </c>
      <c r="K7" s="2022" t="s">
        <v>668</v>
      </c>
      <c r="L7" s="2023">
        <v>2018</v>
      </c>
      <c r="M7" s="2024">
        <v>0</v>
      </c>
      <c r="N7" s="852">
        <v>0</v>
      </c>
      <c r="O7" s="852">
        <v>0</v>
      </c>
      <c r="P7" s="2025" t="s">
        <v>1099</v>
      </c>
      <c r="Q7" s="854">
        <v>0</v>
      </c>
      <c r="R7" s="2026">
        <v>8760000</v>
      </c>
      <c r="S7" s="2027" t="s">
        <v>1100</v>
      </c>
      <c r="T7" s="2028">
        <f>(M7-O7)*Q7*R7/8760000</f>
        <v>0</v>
      </c>
      <c r="U7" s="2029">
        <f>IFERROR((N7-O7/M7*N7)*Q7*R7/8760/1000,0)</f>
        <v>0</v>
      </c>
      <c r="V7" s="2030">
        <f>T7-U7</f>
        <v>0</v>
      </c>
    </row>
    <row r="8" spans="1:22" s="1052" customFormat="1" ht="13.8" hidden="1">
      <c r="A8" s="2018" t="s">
        <v>29</v>
      </c>
      <c r="B8" s="2019" t="str">
        <f t="shared" ref="B8:B12" si="1">LEFT(A8,10)</f>
        <v>COM_201401</v>
      </c>
      <c r="C8" s="2019">
        <v>0</v>
      </c>
      <c r="D8" s="2019">
        <v>0</v>
      </c>
      <c r="E8" s="2019">
        <f t="shared" si="0"/>
        <v>1</v>
      </c>
      <c r="F8" s="2019">
        <v>1</v>
      </c>
      <c r="G8" s="2020" t="b">
        <v>1</v>
      </c>
      <c r="H8" s="2031" t="str">
        <f>IF(LEFT(A8,3)="Res","Residential",IF(LEFT(A8,3)="Ind","industrial",IF(LEFT(A8,3)="Com","Commercial",IF(LEFT(A8,3)="AGR","Agriculture",""))))</f>
        <v>Commercial</v>
      </c>
      <c r="I8" s="2032" t="s">
        <v>143</v>
      </c>
      <c r="J8" s="2032" t="s">
        <v>667</v>
      </c>
      <c r="K8" s="2032" t="s">
        <v>668</v>
      </c>
      <c r="L8" s="2033">
        <v>2019</v>
      </c>
      <c r="M8" s="2024">
        <v>2.535103E-2</v>
      </c>
      <c r="N8" s="852">
        <v>1.9013269999999999E-2</v>
      </c>
      <c r="O8" s="852">
        <v>0</v>
      </c>
      <c r="P8" s="2025" t="s">
        <v>1099</v>
      </c>
      <c r="Q8" s="854">
        <v>0.14199999999999999</v>
      </c>
      <c r="R8" s="2026">
        <v>8760000</v>
      </c>
      <c r="S8" s="831" t="s">
        <v>1100</v>
      </c>
      <c r="T8" s="2034">
        <f t="shared" ref="T8:T12" si="2">(M8-O8)*Q8*R8/8760000</f>
        <v>3.5998462599999997E-3</v>
      </c>
      <c r="U8" s="2035">
        <f t="shared" ref="U8" si="3">IFERROR((N8-O8/M8*N8)*Q8*R8/8760/1000,0)</f>
        <v>2.6998843399999996E-3</v>
      </c>
      <c r="V8" s="2036">
        <f t="shared" ref="V8" si="4">T8-U8</f>
        <v>8.9996192000000013E-4</v>
      </c>
    </row>
    <row r="9" spans="1:22" ht="12.75" hidden="1" customHeight="1">
      <c r="A9" s="460" t="s">
        <v>30</v>
      </c>
      <c r="B9" s="499" t="str">
        <f t="shared" si="1"/>
        <v>COM_201403</v>
      </c>
      <c r="C9" s="499">
        <v>0</v>
      </c>
      <c r="D9" s="499">
        <v>0</v>
      </c>
      <c r="E9" s="499">
        <f t="shared" si="0"/>
        <v>1</v>
      </c>
      <c r="F9" s="499">
        <v>1</v>
      </c>
      <c r="G9" s="500" t="b">
        <v>1</v>
      </c>
      <c r="H9" s="606" t="str">
        <f t="shared" ref="H9:H12" si="5">IF(LEFT(A9,3)="Res","Residential",IF(LEFT(A9,3)="Ind","industrial",IF(LEFT(A9,3)="Com","Commercial",IF(LEFT(A9,3)="AGR","Agriculture",""))))</f>
        <v>Commercial</v>
      </c>
      <c r="I9" s="607" t="s">
        <v>144</v>
      </c>
      <c r="J9" s="607" t="s">
        <v>473</v>
      </c>
      <c r="K9" s="607" t="s">
        <v>158</v>
      </c>
      <c r="L9" s="152">
        <v>2018</v>
      </c>
      <c r="M9" s="511">
        <v>818535.45147732005</v>
      </c>
      <c r="N9" s="512">
        <v>7132.1688665499996</v>
      </c>
      <c r="O9" s="512">
        <v>0</v>
      </c>
      <c r="P9" s="605" t="str">
        <f>IF($R$3="7th Plan",$H$37,$H$75)</f>
        <v>The current practice baseline is incorporated in the savings rate analysis</v>
      </c>
      <c r="Q9" s="505">
        <v>0.14199999999999999</v>
      </c>
      <c r="R9" s="611">
        <f>$N$46</f>
        <v>5.9157669339672196</v>
      </c>
      <c r="S9" s="153" t="str">
        <f>IF($R$3="7th Plan",$I$37,$I$75)</f>
        <v>RTF Analysis of Non-residential midstream lighting measures.</v>
      </c>
      <c r="T9" s="608">
        <f t="shared" si="2"/>
        <v>7.8493336079267478E-2</v>
      </c>
      <c r="U9" s="609">
        <f t="shared" ref="U9:U12" si="6">IFERROR((N9-O9/M9*N9)*Q9*R9/8760/1000,0)</f>
        <v>6.8393827879513534E-4</v>
      </c>
      <c r="V9" s="610">
        <f t="shared" ref="V9:V12" si="7">T9-U9</f>
        <v>7.7809397800472344E-2</v>
      </c>
    </row>
    <row r="10" spans="1:22" ht="12.75" hidden="1" customHeight="1">
      <c r="A10" s="460" t="s">
        <v>31</v>
      </c>
      <c r="B10" s="499" t="str">
        <f t="shared" si="1"/>
        <v>COM_201403</v>
      </c>
      <c r="C10" s="499">
        <v>0</v>
      </c>
      <c r="D10" s="499">
        <v>0</v>
      </c>
      <c r="E10" s="499">
        <f t="shared" si="0"/>
        <v>1</v>
      </c>
      <c r="F10" s="499">
        <v>1</v>
      </c>
      <c r="G10" s="500" t="b">
        <v>1</v>
      </c>
      <c r="H10" s="606" t="str">
        <f t="shared" si="5"/>
        <v>Commercial</v>
      </c>
      <c r="I10" s="607" t="s">
        <v>144</v>
      </c>
      <c r="J10" s="607" t="s">
        <v>471</v>
      </c>
      <c r="K10" s="607" t="s">
        <v>158</v>
      </c>
      <c r="L10" s="152">
        <v>2018</v>
      </c>
      <c r="M10" s="511">
        <v>44059.123143309997</v>
      </c>
      <c r="N10" s="512">
        <v>37.005521450000003</v>
      </c>
      <c r="O10" s="512">
        <v>0</v>
      </c>
      <c r="P10" s="605" t="str">
        <f>IF($R$3="7th Plan",$H$37,$H$75)</f>
        <v>The current practice baseline is incorporated in the savings rate analysis</v>
      </c>
      <c r="Q10" s="505">
        <v>0.14199999999999999</v>
      </c>
      <c r="R10" s="611">
        <f>$N$46</f>
        <v>5.9157669339672196</v>
      </c>
      <c r="S10" s="153" t="str">
        <f>IF($R$3="7th Plan",$I$37,$I$75)</f>
        <v>RTF Analysis of Non-residential midstream lighting measures.</v>
      </c>
      <c r="T10" s="608">
        <f t="shared" si="2"/>
        <v>4.2250430986268501E-3</v>
      </c>
      <c r="U10" s="609">
        <f t="shared" si="6"/>
        <v>3.548639007291519E-6</v>
      </c>
      <c r="V10" s="610">
        <f t="shared" si="7"/>
        <v>4.2214944596195587E-3</v>
      </c>
    </row>
    <row r="11" spans="1:22" ht="12.75" hidden="1" customHeight="1">
      <c r="A11" s="460" t="s">
        <v>30</v>
      </c>
      <c r="B11" s="499" t="str">
        <f t="shared" si="1"/>
        <v>COM_201403</v>
      </c>
      <c r="C11" s="499">
        <v>0</v>
      </c>
      <c r="D11" s="499">
        <v>0</v>
      </c>
      <c r="E11" s="499">
        <f t="shared" si="0"/>
        <v>1</v>
      </c>
      <c r="F11" s="499">
        <v>1</v>
      </c>
      <c r="G11" s="500" t="b">
        <v>1</v>
      </c>
      <c r="H11" s="606" t="str">
        <f t="shared" si="5"/>
        <v>Commercial</v>
      </c>
      <c r="I11" s="607" t="s">
        <v>144</v>
      </c>
      <c r="J11" s="607" t="s">
        <v>473</v>
      </c>
      <c r="K11" s="607" t="s">
        <v>158</v>
      </c>
      <c r="L11" s="152">
        <v>2019</v>
      </c>
      <c r="M11" s="511">
        <v>725017.61114315002</v>
      </c>
      <c r="N11" s="512">
        <v>7132.1688665499996</v>
      </c>
      <c r="O11" s="512">
        <v>0</v>
      </c>
      <c r="P11" s="605" t="str">
        <f>IF($R$3="7th Plan",$H$37,$H$75)</f>
        <v>The current practice baseline is incorporated in the savings rate analysis</v>
      </c>
      <c r="Q11" s="505">
        <v>0.14199999999999999</v>
      </c>
      <c r="R11" s="611">
        <f>$N$46</f>
        <v>5.9157669339672196</v>
      </c>
      <c r="S11" s="153" t="str">
        <f>IF($R$3="7th Plan",$I$37,$I$75)</f>
        <v>RTF Analysis of Non-residential midstream lighting measures.</v>
      </c>
      <c r="T11" s="608">
        <f t="shared" si="2"/>
        <v>6.9525456609283803E-2</v>
      </c>
      <c r="U11" s="609">
        <f t="shared" si="6"/>
        <v>6.8393827879513534E-4</v>
      </c>
      <c r="V11" s="610">
        <f t="shared" si="7"/>
        <v>6.8841518330488669E-2</v>
      </c>
    </row>
    <row r="12" spans="1:22" ht="12.75" hidden="1" customHeight="1" thickBot="1">
      <c r="A12" s="460" t="s">
        <v>31</v>
      </c>
      <c r="B12" s="499" t="str">
        <f t="shared" si="1"/>
        <v>COM_201403</v>
      </c>
      <c r="C12" s="499">
        <v>0</v>
      </c>
      <c r="D12" s="499">
        <v>0</v>
      </c>
      <c r="E12" s="499">
        <f t="shared" si="0"/>
        <v>1</v>
      </c>
      <c r="F12" s="499">
        <v>1</v>
      </c>
      <c r="G12" s="500" t="b">
        <v>1</v>
      </c>
      <c r="H12" s="812" t="str">
        <f t="shared" si="5"/>
        <v>Commercial</v>
      </c>
      <c r="I12" s="813" t="s">
        <v>144</v>
      </c>
      <c r="J12" s="813" t="s">
        <v>471</v>
      </c>
      <c r="K12" s="813" t="s">
        <v>158</v>
      </c>
      <c r="L12" s="814">
        <v>2019</v>
      </c>
      <c r="M12" s="560">
        <v>36240.181839210003</v>
      </c>
      <c r="N12" s="561">
        <v>37.005521450000003</v>
      </c>
      <c r="O12" s="561">
        <v>0</v>
      </c>
      <c r="P12" s="815" t="str">
        <f>IF($R$3="7th Plan",$H$37,$H$75)</f>
        <v>The current practice baseline is incorporated in the savings rate analysis</v>
      </c>
      <c r="Q12" s="562">
        <v>0.14199999999999999</v>
      </c>
      <c r="R12" s="816">
        <f>$N$46</f>
        <v>5.9157669339672196</v>
      </c>
      <c r="S12" s="817" t="str">
        <f>IF($R$3="7th Plan",$I$37,$I$75)</f>
        <v>RTF Analysis of Non-residential midstream lighting measures.</v>
      </c>
      <c r="T12" s="818">
        <f t="shared" si="2"/>
        <v>3.4752468784886776E-3</v>
      </c>
      <c r="U12" s="819">
        <f t="shared" si="6"/>
        <v>3.548639007291519E-6</v>
      </c>
      <c r="V12" s="820">
        <f t="shared" si="7"/>
        <v>3.4716982394813862E-3</v>
      </c>
    </row>
    <row r="13" spans="1:22" s="2051" customFormat="1" ht="14.4" thickTop="1">
      <c r="A13" s="2037" t="s">
        <v>29</v>
      </c>
      <c r="B13" s="2038" t="str">
        <f>LEFT(A13,10)</f>
        <v>COM_201401</v>
      </c>
      <c r="C13" s="2038">
        <v>0</v>
      </c>
      <c r="D13" s="2038">
        <v>0</v>
      </c>
      <c r="E13" s="2038">
        <f t="shared" si="0"/>
        <v>1</v>
      </c>
      <c r="F13" s="2038">
        <v>1</v>
      </c>
      <c r="G13" s="2039" t="b">
        <v>1</v>
      </c>
      <c r="H13" s="2040" t="str">
        <f>IF(LEFT(A13,3)="Res","Residential",IF(LEFT(A13,3)="Ind","industrial",IF(LEFT(A13,3)="Com","Commercial",IF(LEFT(A13,3)="AGR","Agriculture",""))))</f>
        <v>Commercial</v>
      </c>
      <c r="I13" s="2041" t="s">
        <v>143</v>
      </c>
      <c r="J13" s="2041" t="s">
        <v>667</v>
      </c>
      <c r="K13" s="2041" t="s">
        <v>668</v>
      </c>
      <c r="L13" s="2042">
        <v>2020</v>
      </c>
      <c r="M13" s="2043">
        <v>3.8787600000000002E-3</v>
      </c>
      <c r="N13" s="2044">
        <v>2.7151300000000001E-3</v>
      </c>
      <c r="O13" s="2044">
        <v>0</v>
      </c>
      <c r="P13" s="2045" t="s">
        <v>1099</v>
      </c>
      <c r="Q13" s="2046">
        <v>0.13985600000000001</v>
      </c>
      <c r="R13" s="2047">
        <v>8760000</v>
      </c>
      <c r="S13" s="830" t="s">
        <v>1100</v>
      </c>
      <c r="T13" s="2048">
        <f>(M13-O13)*Q13*R13/8760000</f>
        <v>5.4246785856000004E-4</v>
      </c>
      <c r="U13" s="2049">
        <f>IFERROR((N13-O13/M13*N13)*Q13*R13/8760/1000,0)</f>
        <v>3.7972722128000003E-4</v>
      </c>
      <c r="V13" s="2050">
        <f>T13-U13</f>
        <v>1.6274063728000001E-4</v>
      </c>
    </row>
    <row r="14" spans="1:22" s="1393" customFormat="1" ht="13.8">
      <c r="A14" s="2052" t="s">
        <v>29</v>
      </c>
      <c r="B14" s="2019" t="str">
        <f t="shared" ref="B14:B18" si="8">LEFT(A14,10)</f>
        <v>COM_201401</v>
      </c>
      <c r="C14" s="2019">
        <v>0</v>
      </c>
      <c r="D14" s="2019">
        <v>0</v>
      </c>
      <c r="E14" s="2019">
        <f t="shared" si="0"/>
        <v>1</v>
      </c>
      <c r="F14" s="2019">
        <v>1</v>
      </c>
      <c r="G14" s="2020" t="b">
        <v>1</v>
      </c>
      <c r="H14" s="2031" t="str">
        <f>IF(LEFT(A14,3)="Res","Residential",IF(LEFT(A14,3)="Ind","industrial",IF(LEFT(A14,3)="Com","Commercial",IF(LEFT(A14,3)="AGR","Agriculture",""))))</f>
        <v>Commercial</v>
      </c>
      <c r="I14" s="2032" t="s">
        <v>143</v>
      </c>
      <c r="J14" s="2032" t="s">
        <v>667</v>
      </c>
      <c r="K14" s="2032" t="s">
        <v>668</v>
      </c>
      <c r="L14" s="2033">
        <v>2021</v>
      </c>
      <c r="M14" s="2024">
        <v>0.56866972999999998</v>
      </c>
      <c r="N14" s="852">
        <v>0.39806881</v>
      </c>
      <c r="O14" s="852">
        <v>0</v>
      </c>
      <c r="P14" s="2025" t="s">
        <v>1099</v>
      </c>
      <c r="Q14" s="854">
        <v>0.13985600000000001</v>
      </c>
      <c r="R14" s="2026">
        <v>8760000</v>
      </c>
      <c r="S14" s="831" t="s">
        <v>1100</v>
      </c>
      <c r="T14" s="2034">
        <f t="shared" ref="T14:T18" si="9">(M14-O14)*Q14*R14/8760000</f>
        <v>7.9531873758880003E-2</v>
      </c>
      <c r="U14" s="2035">
        <f t="shared" ref="U14:U18" si="10">IFERROR((N14-O14/M14*N14)*Q14*R14/8760/1000,0)</f>
        <v>5.5672311491360003E-2</v>
      </c>
      <c r="V14" s="2036">
        <f t="shared" ref="V14:V18" si="11">T14-U14</f>
        <v>2.385956226752E-2</v>
      </c>
    </row>
    <row r="15" spans="1:22" s="482" customFormat="1" ht="12.75" customHeight="1">
      <c r="A15" s="726" t="s">
        <v>30</v>
      </c>
      <c r="B15" s="499" t="str">
        <f t="shared" si="8"/>
        <v>COM_201403</v>
      </c>
      <c r="C15" s="499">
        <v>0</v>
      </c>
      <c r="D15" s="499">
        <v>0</v>
      </c>
      <c r="E15" s="499">
        <f t="shared" si="0"/>
        <v>1</v>
      </c>
      <c r="F15" s="499">
        <v>1</v>
      </c>
      <c r="G15" s="500" t="b">
        <v>1</v>
      </c>
      <c r="H15" s="606" t="str">
        <f t="shared" ref="H15:H18" si="12">IF(LEFT(A15,3)="Res","Residential",IF(LEFT(A15,3)="Ind","industrial",IF(LEFT(A15,3)="Com","Commercial",IF(LEFT(A15,3)="AGR","Agriculture",""))))</f>
        <v>Commercial</v>
      </c>
      <c r="I15" s="607" t="s">
        <v>144</v>
      </c>
      <c r="J15" s="607" t="s">
        <v>473</v>
      </c>
      <c r="K15" s="607" t="s">
        <v>158</v>
      </c>
      <c r="L15" s="152">
        <v>2020</v>
      </c>
      <c r="M15" s="511">
        <v>596352.54153825005</v>
      </c>
      <c r="N15" s="512">
        <v>7132.1688665499996</v>
      </c>
      <c r="O15" s="512">
        <v>0</v>
      </c>
      <c r="P15" s="605" t="str">
        <f>IF($R$3="7th Plan",$H$37,$H$75)</f>
        <v>The current practice baseline is incorporated in the savings rate analysis</v>
      </c>
      <c r="Q15" s="505">
        <v>0.14199999999999999</v>
      </c>
      <c r="R15" s="611">
        <f>IF($R$3="7th Plan",$N$46,IF(LEFT(J15,18)="T8 Fluorescent 28W",$K$82,$K$81))</f>
        <v>6.5824512834158035</v>
      </c>
      <c r="S15" s="153" t="str">
        <f>IF($R$3="7th Plan",$I$37,$I$75)</f>
        <v>RTF Analysis of Non-residential midstream lighting measures.</v>
      </c>
      <c r="T15" s="608">
        <f t="shared" si="9"/>
        <v>6.3631911009494946E-2</v>
      </c>
      <c r="U15" s="609">
        <f t="shared" si="10"/>
        <v>7.6101551181515512E-4</v>
      </c>
      <c r="V15" s="610">
        <f t="shared" si="11"/>
        <v>6.2870895497679796E-2</v>
      </c>
    </row>
    <row r="16" spans="1:22" s="482" customFormat="1" ht="12.75" customHeight="1">
      <c r="A16" s="726" t="s">
        <v>31</v>
      </c>
      <c r="B16" s="499" t="str">
        <f t="shared" si="8"/>
        <v>COM_201403</v>
      </c>
      <c r="C16" s="499">
        <v>0</v>
      </c>
      <c r="D16" s="499">
        <v>0</v>
      </c>
      <c r="E16" s="499">
        <f t="shared" si="0"/>
        <v>1</v>
      </c>
      <c r="F16" s="499">
        <v>1</v>
      </c>
      <c r="G16" s="500" t="b">
        <v>1</v>
      </c>
      <c r="H16" s="606" t="str">
        <f t="shared" si="12"/>
        <v>Commercial</v>
      </c>
      <c r="I16" s="607" t="s">
        <v>144</v>
      </c>
      <c r="J16" s="607" t="s">
        <v>471</v>
      </c>
      <c r="K16" s="607" t="s">
        <v>158</v>
      </c>
      <c r="L16" s="152">
        <v>2020</v>
      </c>
      <c r="M16" s="511">
        <v>29808.82700428</v>
      </c>
      <c r="N16" s="512">
        <v>37.005521450000003</v>
      </c>
      <c r="O16" s="512">
        <v>0</v>
      </c>
      <c r="P16" s="605" t="str">
        <f>IF($R$3="7th Plan",$H$37,$H$75)</f>
        <v>The current practice baseline is incorporated in the savings rate analysis</v>
      </c>
      <c r="Q16" s="505">
        <v>0.14199999999999999</v>
      </c>
      <c r="R16" s="611">
        <f>IF($R$3="7th Plan",$N$46,IF(LEFT(J16,18)="T8 Fluorescent 28W",$K$82,$K$81))</f>
        <v>4.8861867783629416</v>
      </c>
      <c r="S16" s="153" t="str">
        <f>IF($R$3="7th Plan",$I$37,$I$75)</f>
        <v>RTF Analysis of Non-residential midstream lighting measures.</v>
      </c>
      <c r="T16" s="608">
        <f t="shared" si="9"/>
        <v>2.3610174071836301E-3</v>
      </c>
      <c r="U16" s="609">
        <f t="shared" si="10"/>
        <v>2.931033827423414E-6</v>
      </c>
      <c r="V16" s="610">
        <f t="shared" si="11"/>
        <v>2.3580863733562068E-3</v>
      </c>
    </row>
    <row r="17" spans="1:27" s="482" customFormat="1" ht="12.75" customHeight="1">
      <c r="A17" s="726" t="s">
        <v>30</v>
      </c>
      <c r="B17" s="499" t="str">
        <f t="shared" si="8"/>
        <v>COM_201403</v>
      </c>
      <c r="C17" s="499">
        <v>0</v>
      </c>
      <c r="D17" s="499">
        <v>0</v>
      </c>
      <c r="E17" s="499">
        <f t="shared" si="0"/>
        <v>1</v>
      </c>
      <c r="F17" s="499">
        <v>1</v>
      </c>
      <c r="G17" s="500" t="b">
        <v>1</v>
      </c>
      <c r="H17" s="606" t="str">
        <f t="shared" si="12"/>
        <v>Commercial</v>
      </c>
      <c r="I17" s="607" t="s">
        <v>144</v>
      </c>
      <c r="J17" s="607" t="s">
        <v>473</v>
      </c>
      <c r="K17" s="607" t="s">
        <v>158</v>
      </c>
      <c r="L17" s="152">
        <v>2021</v>
      </c>
      <c r="M17" s="511">
        <v>490520.98643286002</v>
      </c>
      <c r="N17" s="512">
        <v>7132.1688665499996</v>
      </c>
      <c r="O17" s="512">
        <v>0</v>
      </c>
      <c r="P17" s="605" t="str">
        <f>IF($R$3="7th Plan",$H$37,$H$75)</f>
        <v>The current practice baseline is incorporated in the savings rate analysis</v>
      </c>
      <c r="Q17" s="505">
        <v>0.14199999999999999</v>
      </c>
      <c r="R17" s="611">
        <f>IF($R$3="7th Plan",$N$46,IF(LEFT(J17,18)="T8 Fluorescent 28W",$K$82,$K$81))</f>
        <v>6.5824512834158035</v>
      </c>
      <c r="S17" s="153" t="str">
        <f>IF($R$3="7th Plan",$I$37,$I$75)</f>
        <v>RTF Analysis of Non-residential midstream lighting measures.</v>
      </c>
      <c r="T17" s="608">
        <f t="shared" si="9"/>
        <v>5.2339489786484686E-2</v>
      </c>
      <c r="U17" s="609">
        <f t="shared" si="10"/>
        <v>7.6101551181515512E-4</v>
      </c>
      <c r="V17" s="610">
        <f t="shared" si="11"/>
        <v>5.1578474274669529E-2</v>
      </c>
    </row>
    <row r="18" spans="1:27" s="496" customFormat="1" ht="12.75" customHeight="1" thickBot="1">
      <c r="A18" s="730" t="s">
        <v>31</v>
      </c>
      <c r="B18" s="731" t="str">
        <f t="shared" si="8"/>
        <v>COM_201403</v>
      </c>
      <c r="C18" s="731">
        <v>0</v>
      </c>
      <c r="D18" s="731">
        <v>0</v>
      </c>
      <c r="E18" s="731">
        <f t="shared" si="0"/>
        <v>1</v>
      </c>
      <c r="F18" s="731">
        <v>1</v>
      </c>
      <c r="G18" s="732" t="b">
        <v>1</v>
      </c>
      <c r="H18" s="821" t="str">
        <f t="shared" si="12"/>
        <v>Commercial</v>
      </c>
      <c r="I18" s="822" t="s">
        <v>144</v>
      </c>
      <c r="J18" s="822" t="s">
        <v>471</v>
      </c>
      <c r="K18" s="822" t="s">
        <v>158</v>
      </c>
      <c r="L18" s="823">
        <v>2021</v>
      </c>
      <c r="M18" s="735">
        <v>24518.810951709998</v>
      </c>
      <c r="N18" s="736">
        <v>37.005521450000003</v>
      </c>
      <c r="O18" s="736">
        <v>0</v>
      </c>
      <c r="P18" s="824" t="str">
        <f>IF($R$3="7th Plan",$H$37,$H$75)</f>
        <v>The current practice baseline is incorporated in the savings rate analysis</v>
      </c>
      <c r="Q18" s="737">
        <v>0.14199999999999999</v>
      </c>
      <c r="R18" s="825">
        <f>IF($R$3="7th Plan",$N$46,IF(LEFT(J18,18)="T8 Fluorescent 28W",$K$82,$K$81))</f>
        <v>4.8861867783629416</v>
      </c>
      <c r="S18" s="826" t="str">
        <f>IF($R$3="7th Plan",$I$37,$I$75)</f>
        <v>RTF Analysis of Non-residential midstream lighting measures.</v>
      </c>
      <c r="T18" s="827">
        <f t="shared" si="9"/>
        <v>1.9420200416514241E-3</v>
      </c>
      <c r="U18" s="828">
        <f t="shared" si="10"/>
        <v>2.931033827423414E-6</v>
      </c>
      <c r="V18" s="829">
        <f t="shared" si="11"/>
        <v>1.9390890078240007E-3</v>
      </c>
    </row>
    <row r="20" spans="1:27" customFormat="1" ht="14.4">
      <c r="A20" s="460"/>
      <c r="B20" s="460"/>
      <c r="C20" s="461"/>
      <c r="D20" s="461"/>
      <c r="E20" s="461"/>
      <c r="F20" s="461"/>
      <c r="G20" s="460"/>
      <c r="H20" s="539" t="s">
        <v>779</v>
      </c>
    </row>
    <row r="21" spans="1:27" ht="12.75" customHeight="1" thickBot="1">
      <c r="H21" s="458"/>
      <c r="I21" s="458"/>
      <c r="J21" s="458"/>
      <c r="K21" s="458"/>
      <c r="L21" s="458"/>
      <c r="M21" s="458"/>
      <c r="N21" s="458"/>
      <c r="O21" s="458"/>
      <c r="P21" s="458"/>
      <c r="Q21" s="458"/>
      <c r="R21" s="458"/>
      <c r="S21" s="458"/>
      <c r="T21" s="458"/>
      <c r="U21" s="458"/>
      <c r="V21" s="458"/>
      <c r="W21" s="458"/>
      <c r="X21" s="458"/>
      <c r="Y21" s="458"/>
      <c r="Z21" s="458"/>
      <c r="AA21" s="458"/>
    </row>
    <row r="22" spans="1:27" ht="12.75" customHeight="1" thickTop="1" thickBot="1">
      <c r="H22" s="458" t="s">
        <v>780</v>
      </c>
      <c r="I22" s="2858" t="s">
        <v>781</v>
      </c>
      <c r="J22" s="2859"/>
      <c r="K22" s="458"/>
      <c r="L22" s="458"/>
      <c r="M22" s="458"/>
      <c r="N22" s="458"/>
      <c r="O22" s="458"/>
      <c r="P22" s="458"/>
      <c r="Q22" s="458"/>
      <c r="R22" s="458"/>
      <c r="S22" s="458"/>
      <c r="T22" s="458"/>
      <c r="U22" s="458"/>
      <c r="V22" s="458"/>
      <c r="W22" s="458"/>
      <c r="X22" s="458"/>
      <c r="Y22" s="458"/>
      <c r="Z22" s="458"/>
      <c r="AA22" s="458"/>
    </row>
    <row r="23" spans="1:27" ht="12.75" customHeight="1" thickTop="1">
      <c r="H23" s="458"/>
      <c r="I23" s="458"/>
      <c r="J23" s="458"/>
      <c r="K23" s="458"/>
      <c r="L23" s="458"/>
      <c r="M23" s="458"/>
      <c r="N23" s="458"/>
      <c r="O23" s="458"/>
      <c r="P23" s="458"/>
      <c r="Q23" s="458"/>
      <c r="R23" s="458"/>
      <c r="S23" s="458"/>
      <c r="T23" s="458"/>
      <c r="U23" s="458"/>
      <c r="V23" s="458"/>
      <c r="W23" s="458"/>
      <c r="X23" s="458"/>
      <c r="Y23" s="458"/>
      <c r="Z23" s="458"/>
      <c r="AA23" s="458"/>
    </row>
    <row r="24" spans="1:27" ht="12.75" customHeight="1">
      <c r="H24" s="891" t="s">
        <v>1606</v>
      </c>
      <c r="I24" s="458"/>
      <c r="J24" s="458"/>
      <c r="K24" s="458"/>
      <c r="L24" s="458"/>
      <c r="M24" s="458"/>
      <c r="N24" s="458"/>
      <c r="O24" s="458"/>
      <c r="P24" s="458"/>
      <c r="Q24" s="458"/>
      <c r="R24" s="458"/>
      <c r="S24" s="458"/>
      <c r="T24" s="458"/>
      <c r="U24" s="458"/>
      <c r="V24" s="458"/>
      <c r="W24" s="458"/>
      <c r="X24" s="458"/>
      <c r="Y24" s="458"/>
      <c r="Z24" s="458"/>
      <c r="AA24" s="458"/>
    </row>
    <row r="25" spans="1:27" ht="12.75" customHeight="1">
      <c r="H25" s="458"/>
      <c r="I25" s="3097" t="s">
        <v>783</v>
      </c>
      <c r="J25" s="3097"/>
      <c r="K25" s="3097"/>
      <c r="L25" s="3097" t="s">
        <v>784</v>
      </c>
      <c r="M25" s="3097"/>
      <c r="N25" s="3097"/>
      <c r="O25" s="3097"/>
      <c r="P25" s="3098" t="s">
        <v>785</v>
      </c>
      <c r="Q25" s="3099"/>
      <c r="R25" s="1960" t="s">
        <v>229</v>
      </c>
      <c r="S25" s="3098" t="s">
        <v>648</v>
      </c>
      <c r="T25" s="3099"/>
      <c r="U25" s="1960" t="s">
        <v>232</v>
      </c>
      <c r="V25" s="1960" t="s">
        <v>233</v>
      </c>
      <c r="W25" s="3097" t="s">
        <v>786</v>
      </c>
      <c r="X25" s="3097"/>
      <c r="Y25" s="1960" t="s">
        <v>236</v>
      </c>
      <c r="Z25" s="1960" t="s">
        <v>237</v>
      </c>
      <c r="AA25" s="458"/>
    </row>
    <row r="26" spans="1:27" ht="12.75" customHeight="1">
      <c r="H26" s="458"/>
      <c r="I26" s="102" t="s">
        <v>220</v>
      </c>
      <c r="J26" s="102" t="s">
        <v>221</v>
      </c>
      <c r="K26" s="102" t="s">
        <v>222</v>
      </c>
      <c r="L26" s="102" t="s">
        <v>223</v>
      </c>
      <c r="M26" s="102" t="s">
        <v>224</v>
      </c>
      <c r="N26" s="102" t="s">
        <v>225</v>
      </c>
      <c r="O26" s="102" t="s">
        <v>226</v>
      </c>
      <c r="P26" s="102" t="s">
        <v>227</v>
      </c>
      <c r="Q26" s="102" t="s">
        <v>228</v>
      </c>
      <c r="R26" s="102" t="s">
        <v>229</v>
      </c>
      <c r="S26" s="102" t="s">
        <v>230</v>
      </c>
      <c r="T26" s="102" t="s">
        <v>231</v>
      </c>
      <c r="U26" s="102" t="s">
        <v>232</v>
      </c>
      <c r="V26" s="102" t="s">
        <v>233</v>
      </c>
      <c r="W26" s="102" t="s">
        <v>234</v>
      </c>
      <c r="X26" s="102" t="s">
        <v>235</v>
      </c>
      <c r="Y26" s="102" t="s">
        <v>236</v>
      </c>
      <c r="Z26" s="102" t="s">
        <v>237</v>
      </c>
      <c r="AA26" s="458"/>
    </row>
    <row r="27" spans="1:27" ht="12.75" customHeight="1">
      <c r="H27" s="612" t="s">
        <v>787</v>
      </c>
      <c r="I27" s="613">
        <v>1.6923599592371827</v>
      </c>
      <c r="J27" s="613">
        <v>1.2193452127795572</v>
      </c>
      <c r="K27" s="613">
        <v>1.1322491261524463</v>
      </c>
      <c r="L27" s="613">
        <v>2.9575701049219441</v>
      </c>
      <c r="M27" s="613">
        <v>1.7102497946739696</v>
      </c>
      <c r="N27" s="613">
        <v>1.8127042578553854</v>
      </c>
      <c r="O27" s="613">
        <v>1.3356768215776522</v>
      </c>
      <c r="P27" s="613">
        <v>1.0492576160819276</v>
      </c>
      <c r="Q27" s="613">
        <v>1.0492576160819276</v>
      </c>
      <c r="R27" s="613">
        <v>0.63055481403254066</v>
      </c>
      <c r="S27" s="613"/>
      <c r="T27" s="613"/>
      <c r="U27" s="613"/>
      <c r="V27" s="613"/>
      <c r="W27" s="613"/>
      <c r="X27" s="613"/>
      <c r="Y27" s="613"/>
      <c r="Z27" s="614">
        <v>1.3486096670129193</v>
      </c>
      <c r="AA27" s="458"/>
    </row>
    <row r="28" spans="1:27" ht="12.75" customHeight="1">
      <c r="H28" s="615" t="s">
        <v>788</v>
      </c>
      <c r="I28" s="616">
        <v>0.35</v>
      </c>
      <c r="J28" s="616">
        <v>0.35</v>
      </c>
      <c r="K28" s="616">
        <v>0.35</v>
      </c>
      <c r="L28" s="616">
        <v>0.35</v>
      </c>
      <c r="M28" s="616">
        <v>0.35</v>
      </c>
      <c r="N28" s="616">
        <v>0.35</v>
      </c>
      <c r="O28" s="616">
        <v>0.35</v>
      </c>
      <c r="P28" s="616">
        <v>0.35</v>
      </c>
      <c r="Q28" s="616">
        <v>0.35</v>
      </c>
      <c r="R28" s="616">
        <v>0.4</v>
      </c>
      <c r="S28" s="616"/>
      <c r="T28" s="616"/>
      <c r="U28" s="616"/>
      <c r="V28" s="616"/>
      <c r="W28" s="616"/>
      <c r="X28" s="616"/>
      <c r="Y28" s="616"/>
      <c r="Z28" s="617">
        <v>0.35</v>
      </c>
      <c r="AA28" s="458"/>
    </row>
    <row r="29" spans="1:27" ht="12.75" customHeight="1">
      <c r="H29" s="458"/>
      <c r="I29" s="458"/>
      <c r="J29" s="458"/>
      <c r="K29" s="458"/>
      <c r="L29" s="458"/>
      <c r="M29" s="458"/>
      <c r="N29" s="458"/>
      <c r="O29" s="458"/>
      <c r="P29" s="458"/>
      <c r="Q29" s="458"/>
      <c r="R29" s="458"/>
      <c r="S29" s="458"/>
      <c r="T29" s="458"/>
      <c r="U29" s="458"/>
      <c r="V29" s="458"/>
      <c r="W29" s="458"/>
      <c r="X29" s="458"/>
      <c r="Y29" s="458"/>
      <c r="Z29" s="458"/>
      <c r="AA29" s="458"/>
    </row>
    <row r="30" spans="1:27" ht="12.75" customHeight="1">
      <c r="M30" s="458"/>
      <c r="N30" s="458"/>
      <c r="O30" s="458"/>
      <c r="P30" s="458"/>
      <c r="Q30" s="458"/>
      <c r="R30" s="458"/>
      <c r="S30" s="458"/>
      <c r="T30" s="458"/>
      <c r="U30" s="458"/>
      <c r="V30" s="458"/>
      <c r="W30" s="458"/>
      <c r="X30" s="458"/>
      <c r="Y30" s="458"/>
      <c r="Z30" s="458"/>
      <c r="AA30" s="458"/>
    </row>
    <row r="31" spans="1:27" ht="12.75" hidden="1" customHeight="1">
      <c r="H31" s="646"/>
      <c r="I31" s="646"/>
      <c r="J31" s="646"/>
      <c r="K31" s="646"/>
      <c r="L31" s="646"/>
      <c r="M31" s="458"/>
      <c r="N31" s="458"/>
      <c r="O31" s="458"/>
      <c r="P31" s="458"/>
      <c r="Q31" s="458"/>
      <c r="R31" s="458"/>
      <c r="S31" s="458"/>
      <c r="T31" s="458"/>
      <c r="U31" s="458"/>
      <c r="V31" s="458"/>
      <c r="W31" s="458"/>
      <c r="X31" s="458"/>
      <c r="Y31" s="458"/>
      <c r="Z31" s="458"/>
      <c r="AA31" s="458"/>
    </row>
    <row r="32" spans="1:27" ht="12.75" hidden="1" customHeight="1">
      <c r="H32" s="646"/>
      <c r="I32" s="646"/>
      <c r="J32" s="646"/>
      <c r="K32" s="646"/>
      <c r="L32" s="646"/>
      <c r="M32" s="458"/>
      <c r="N32" s="458"/>
      <c r="O32" s="458"/>
      <c r="P32" s="458"/>
      <c r="Q32" s="458"/>
      <c r="R32" s="458"/>
      <c r="S32" s="458"/>
      <c r="T32" s="458"/>
      <c r="U32" s="458"/>
      <c r="V32" s="458"/>
      <c r="W32" s="458"/>
      <c r="X32" s="458"/>
      <c r="Y32" s="458"/>
      <c r="Z32" s="458"/>
      <c r="AA32" s="458"/>
    </row>
    <row r="33" spans="1:27" ht="12.75" hidden="1" customHeight="1">
      <c r="H33" s="646"/>
      <c r="I33" s="646"/>
      <c r="J33" s="646"/>
      <c r="K33" s="646"/>
      <c r="L33" s="646"/>
      <c r="M33" s="458"/>
      <c r="N33" s="458"/>
      <c r="O33" s="458"/>
      <c r="P33" s="458"/>
      <c r="Q33" s="458"/>
      <c r="R33" s="458"/>
      <c r="S33" s="458"/>
      <c r="T33" s="458"/>
      <c r="U33" s="458"/>
      <c r="V33" s="458"/>
      <c r="W33" s="458"/>
      <c r="X33" s="458"/>
      <c r="Y33" s="458"/>
      <c r="Z33" s="458"/>
      <c r="AA33" s="458"/>
    </row>
    <row r="34" spans="1:27" ht="12.75" customHeight="1">
      <c r="H34" s="458"/>
      <c r="I34" s="458"/>
      <c r="J34" s="458"/>
      <c r="K34" s="458"/>
      <c r="L34" s="458"/>
      <c r="M34" s="458"/>
      <c r="N34" s="458"/>
      <c r="O34" s="458"/>
      <c r="P34" s="458"/>
      <c r="Q34" s="458"/>
      <c r="R34" s="458"/>
      <c r="S34" s="458"/>
      <c r="T34" s="458"/>
      <c r="U34" s="458"/>
      <c r="V34" s="458"/>
      <c r="W34" s="458"/>
      <c r="X34" s="458"/>
      <c r="Y34" s="458"/>
      <c r="Z34" s="458"/>
      <c r="AA34" s="458"/>
    </row>
    <row r="35" spans="1:27" ht="12.75" customHeight="1">
      <c r="H35" s="458"/>
      <c r="I35" s="458"/>
      <c r="J35" s="458"/>
      <c r="K35" s="458"/>
      <c r="L35" s="458"/>
      <c r="M35" s="458"/>
      <c r="N35" s="458"/>
      <c r="O35" s="458"/>
      <c r="P35" s="458"/>
      <c r="Q35" s="458"/>
      <c r="R35" s="458"/>
      <c r="S35" s="458"/>
      <c r="T35" s="458"/>
      <c r="U35" s="458"/>
      <c r="V35" s="458"/>
      <c r="W35" s="458"/>
      <c r="X35" s="458"/>
      <c r="Y35" s="458"/>
      <c r="Z35" s="458"/>
      <c r="AA35" s="458"/>
    </row>
    <row r="36" spans="1:27" customFormat="1" ht="14.4">
      <c r="A36" s="460"/>
      <c r="B36" s="460"/>
      <c r="C36" s="461"/>
      <c r="D36" s="461"/>
      <c r="E36" s="461"/>
      <c r="F36" s="461"/>
      <c r="G36" s="460"/>
      <c r="H36" s="539" t="s">
        <v>789</v>
      </c>
    </row>
    <row r="37" spans="1:27" ht="12.75" customHeight="1" thickBot="1">
      <c r="H37" s="1961" t="s">
        <v>833</v>
      </c>
      <c r="I37" s="1962" t="s">
        <v>833</v>
      </c>
      <c r="J37" s="458"/>
      <c r="K37" s="458"/>
      <c r="L37" s="458"/>
      <c r="M37" s="458"/>
      <c r="N37" s="458"/>
      <c r="O37" s="458"/>
      <c r="P37" s="458"/>
      <c r="Q37" s="458"/>
      <c r="R37" s="458"/>
      <c r="S37" s="458"/>
      <c r="T37" s="458"/>
      <c r="U37" s="458"/>
      <c r="V37" s="458"/>
      <c r="W37" s="458"/>
      <c r="X37" s="458"/>
      <c r="Y37" s="458"/>
      <c r="Z37" s="458"/>
      <c r="AA37" s="458"/>
    </row>
    <row r="38" spans="1:27" ht="12.75" customHeight="1" thickTop="1" thickBot="1">
      <c r="H38" s="458" t="s">
        <v>780</v>
      </c>
      <c r="I38" s="2858" t="s">
        <v>790</v>
      </c>
      <c r="J38" s="2859"/>
      <c r="K38" s="458"/>
      <c r="L38" s="458"/>
      <c r="M38" s="458"/>
      <c r="N38" s="458"/>
      <c r="O38" s="458"/>
      <c r="P38" s="458"/>
      <c r="Q38" s="458"/>
      <c r="R38" s="458"/>
      <c r="S38" s="458"/>
      <c r="T38" s="458"/>
      <c r="U38" s="458"/>
      <c r="V38" s="458"/>
      <c r="W38" s="458"/>
      <c r="X38" s="458"/>
      <c r="Y38" s="458"/>
      <c r="Z38" s="458"/>
      <c r="AA38" s="458"/>
    </row>
    <row r="39" spans="1:27" ht="12.75" customHeight="1" thickTop="1" thickBot="1">
      <c r="H39" s="891" t="s">
        <v>1606</v>
      </c>
      <c r="I39" s="458"/>
      <c r="J39" s="458"/>
      <c r="K39" s="458"/>
      <c r="L39" s="458"/>
      <c r="M39" s="458"/>
      <c r="N39" s="458"/>
      <c r="O39" s="458"/>
      <c r="P39" s="458"/>
      <c r="Q39" s="458"/>
      <c r="R39" s="458"/>
      <c r="S39" s="458"/>
      <c r="T39" s="458"/>
      <c r="U39" s="458"/>
      <c r="V39" s="458"/>
      <c r="W39" s="458"/>
      <c r="X39" s="458"/>
      <c r="Y39" s="458"/>
      <c r="Z39" s="458"/>
      <c r="AA39" s="458"/>
    </row>
    <row r="40" spans="1:27" ht="12.75" customHeight="1">
      <c r="H40" s="458"/>
      <c r="I40" s="1963"/>
      <c r="J40" s="1964" t="s">
        <v>791</v>
      </c>
      <c r="K40" s="1965" t="s">
        <v>792</v>
      </c>
      <c r="L40" s="1966" t="s">
        <v>793</v>
      </c>
      <c r="M40" s="458"/>
      <c r="N40" s="458"/>
      <c r="O40" s="458"/>
      <c r="P40" s="458"/>
      <c r="Q40" s="458"/>
      <c r="R40" s="458"/>
      <c r="S40" s="458"/>
      <c r="T40" s="458"/>
      <c r="U40" s="458"/>
      <c r="V40" s="458"/>
      <c r="W40" s="458"/>
      <c r="X40" s="458"/>
      <c r="Y40" s="458"/>
      <c r="Z40" s="458"/>
      <c r="AA40" s="458"/>
    </row>
    <row r="41" spans="1:27" ht="12.75" customHeight="1" thickBot="1">
      <c r="H41" s="458"/>
      <c r="I41" s="1967" t="s">
        <v>794</v>
      </c>
      <c r="J41" s="1968">
        <f>R60/L60</f>
        <v>99.54</v>
      </c>
      <c r="K41" s="1968">
        <f>R61/L61</f>
        <v>89.46</v>
      </c>
      <c r="L41" s="1969">
        <f>R59/L59</f>
        <v>83.34</v>
      </c>
      <c r="M41" s="458"/>
      <c r="N41" s="458"/>
      <c r="O41" s="458"/>
      <c r="P41" s="458"/>
      <c r="Q41" s="458"/>
      <c r="R41" s="458"/>
      <c r="S41" s="458"/>
      <c r="T41" s="458"/>
      <c r="U41" s="458"/>
      <c r="V41" s="458"/>
      <c r="W41" s="458"/>
      <c r="X41" s="458"/>
      <c r="Y41" s="458"/>
      <c r="Z41" s="458"/>
      <c r="AA41" s="458"/>
    </row>
    <row r="42" spans="1:27" ht="12.75" customHeight="1" thickBot="1">
      <c r="H42" s="458"/>
      <c r="I42" s="458"/>
      <c r="J42" s="458"/>
      <c r="K42" s="458"/>
      <c r="L42" s="458"/>
      <c r="M42" s="458"/>
      <c r="N42" s="458"/>
      <c r="O42" s="458"/>
      <c r="P42" s="458"/>
      <c r="Q42" s="458"/>
      <c r="R42" s="458"/>
      <c r="S42" s="458"/>
      <c r="T42" s="458"/>
      <c r="U42" s="458"/>
      <c r="V42" s="458"/>
      <c r="W42" s="458"/>
      <c r="X42" s="458"/>
      <c r="Y42" s="458"/>
      <c r="Z42" s="458"/>
      <c r="AA42" s="458"/>
    </row>
    <row r="43" spans="1:27" ht="12.75" customHeight="1">
      <c r="H43" s="458"/>
      <c r="I43" s="1963" t="s">
        <v>795</v>
      </c>
      <c r="J43" s="1964" t="s">
        <v>791</v>
      </c>
      <c r="K43" s="1965" t="s">
        <v>792</v>
      </c>
      <c r="L43" s="1966" t="s">
        <v>793</v>
      </c>
      <c r="M43" s="458"/>
      <c r="N43" s="1970" t="s">
        <v>796</v>
      </c>
      <c r="O43" s="458"/>
      <c r="P43" s="458"/>
      <c r="Q43" s="458"/>
      <c r="R43" s="458"/>
      <c r="S43" s="458"/>
      <c r="T43" s="458"/>
      <c r="U43" s="458"/>
      <c r="V43" s="458"/>
      <c r="W43" s="458"/>
      <c r="X43" s="458"/>
      <c r="Y43" s="458"/>
      <c r="Z43" s="458"/>
      <c r="AA43" s="458"/>
    </row>
    <row r="44" spans="1:27" ht="12.75" customHeight="1">
      <c r="H44" s="458"/>
      <c r="I44" s="1971" t="s">
        <v>15</v>
      </c>
      <c r="J44" s="945">
        <f>T60</f>
        <v>0.8</v>
      </c>
      <c r="K44" s="945">
        <f>T61</f>
        <v>0.15</v>
      </c>
      <c r="L44" s="1972">
        <f>T59</f>
        <v>0.05</v>
      </c>
      <c r="M44" s="458"/>
      <c r="N44" s="1973">
        <f>SUMPRODUCT(J41:L41,J44:L44)*W59</f>
        <v>96.528873747301986</v>
      </c>
      <c r="O44" s="458"/>
      <c r="P44" s="458"/>
      <c r="Q44" s="458"/>
      <c r="R44" s="458"/>
      <c r="S44" s="458"/>
      <c r="T44" s="458"/>
      <c r="U44" s="458"/>
      <c r="V44" s="458"/>
      <c r="W44" s="458"/>
      <c r="X44" s="458"/>
      <c r="Y44" s="458"/>
      <c r="Z44" s="458"/>
      <c r="AA44" s="458"/>
    </row>
    <row r="45" spans="1:27" ht="12.75" customHeight="1" thickBot="1">
      <c r="H45" s="458"/>
      <c r="I45" s="1967" t="s">
        <v>797</v>
      </c>
      <c r="J45" s="1974">
        <v>0.3</v>
      </c>
      <c r="K45" s="1974">
        <v>0.5</v>
      </c>
      <c r="L45" s="1975">
        <v>0.2</v>
      </c>
      <c r="M45" s="458"/>
      <c r="N45" s="1976">
        <f>SUMPRODUCT(J41:L41,J45:L45)*W59</f>
        <v>90.613106813334767</v>
      </c>
      <c r="O45" s="458"/>
      <c r="P45" s="458"/>
      <c r="Q45" s="458"/>
      <c r="R45" s="458"/>
      <c r="S45" s="458"/>
      <c r="T45" s="458"/>
      <c r="U45" s="458"/>
      <c r="V45" s="458"/>
      <c r="W45" s="458"/>
      <c r="X45" s="458"/>
      <c r="Y45" s="458"/>
      <c r="Z45" s="458"/>
      <c r="AA45" s="458"/>
    </row>
    <row r="46" spans="1:27" ht="12.75" customHeight="1">
      <c r="H46" s="458"/>
      <c r="I46" s="458"/>
      <c r="J46" s="458"/>
      <c r="K46" s="458"/>
      <c r="L46" s="458"/>
      <c r="M46" s="103" t="s">
        <v>798</v>
      </c>
      <c r="N46" s="1977">
        <f>N44-N45</f>
        <v>5.9157669339672196</v>
      </c>
      <c r="O46" s="458"/>
      <c r="P46" s="458"/>
      <c r="Q46" s="458"/>
      <c r="R46" s="458"/>
      <c r="S46" s="458"/>
      <c r="T46" s="458"/>
      <c r="U46" s="458"/>
      <c r="V46" s="458"/>
      <c r="W46" s="458"/>
      <c r="X46" s="458"/>
      <c r="Y46" s="458"/>
      <c r="Z46" s="458"/>
      <c r="AA46" s="458"/>
    </row>
    <row r="47" spans="1:27" ht="12.75" customHeight="1">
      <c r="H47" s="458"/>
      <c r="I47" s="458"/>
      <c r="J47" s="458"/>
      <c r="K47" s="458"/>
      <c r="L47" s="458"/>
      <c r="M47" s="458"/>
      <c r="N47" s="458"/>
      <c r="O47" s="458"/>
      <c r="P47" s="458"/>
      <c r="Q47" s="458"/>
      <c r="R47" s="458"/>
      <c r="S47" s="458"/>
      <c r="T47" s="458"/>
      <c r="U47" s="458"/>
      <c r="V47" s="458"/>
      <c r="W47" s="458"/>
      <c r="X47" s="458"/>
      <c r="Y47" s="458"/>
      <c r="Z47" s="458"/>
      <c r="AA47" s="458"/>
    </row>
    <row r="48" spans="1:27" ht="12.75" customHeight="1">
      <c r="H48" s="458"/>
      <c r="I48" s="458"/>
      <c r="J48" s="458"/>
      <c r="K48" s="458"/>
      <c r="L48" s="458"/>
      <c r="M48" s="458"/>
      <c r="N48" s="458"/>
      <c r="O48" s="458"/>
      <c r="P48" s="458"/>
      <c r="Q48" s="458"/>
      <c r="R48" s="458"/>
      <c r="S48" s="458"/>
      <c r="T48" s="458"/>
      <c r="U48" s="458"/>
      <c r="V48" s="458"/>
      <c r="W48" s="458"/>
      <c r="X48" s="458"/>
      <c r="Y48" s="458"/>
      <c r="Z48" s="458"/>
      <c r="AA48" s="458"/>
    </row>
    <row r="49" spans="8:27" ht="12.75" customHeight="1">
      <c r="H49" s="462" t="s">
        <v>799</v>
      </c>
      <c r="M49" s="462"/>
      <c r="N49" s="462"/>
      <c r="O49" s="462"/>
      <c r="P49" s="462"/>
      <c r="V49" s="462"/>
      <c r="X49" s="458"/>
      <c r="Y49" s="458"/>
      <c r="Z49" s="458"/>
      <c r="AA49" s="458"/>
    </row>
    <row r="50" spans="8:27" ht="12.75" customHeight="1">
      <c r="M50" s="462"/>
      <c r="N50" s="462"/>
      <c r="O50" s="462"/>
      <c r="P50" s="462"/>
      <c r="V50" s="462"/>
      <c r="X50" s="458"/>
      <c r="Y50" s="458"/>
      <c r="Z50" s="458"/>
      <c r="AA50" s="458"/>
    </row>
    <row r="51" spans="8:27" ht="12.75" customHeight="1">
      <c r="H51" s="1978"/>
      <c r="I51" s="1979"/>
      <c r="J51" s="1980" t="s">
        <v>800</v>
      </c>
      <c r="K51" s="1981" t="s">
        <v>801</v>
      </c>
      <c r="M51" s="462"/>
      <c r="N51" s="462"/>
      <c r="O51" s="462"/>
      <c r="P51" s="462"/>
      <c r="V51" s="462"/>
      <c r="X51" s="458"/>
      <c r="Y51" s="458"/>
      <c r="Z51" s="458"/>
      <c r="AA51" s="458"/>
    </row>
    <row r="52" spans="8:27" ht="12.75" customHeight="1">
      <c r="H52" s="1982" t="s">
        <v>802</v>
      </c>
      <c r="I52" s="1983">
        <f>J52</f>
        <v>3600</v>
      </c>
      <c r="J52" s="1984">
        <v>3600</v>
      </c>
      <c r="K52" s="1985">
        <v>4058</v>
      </c>
      <c r="M52" s="462"/>
      <c r="N52" s="462"/>
      <c r="O52" s="462"/>
      <c r="P52" s="462"/>
      <c r="V52" s="462"/>
      <c r="X52" s="458"/>
      <c r="Y52" s="458"/>
      <c r="Z52" s="458"/>
      <c r="AA52" s="458"/>
    </row>
    <row r="53" spans="8:27" ht="12.75" customHeight="1">
      <c r="M53" s="462"/>
      <c r="N53" s="462"/>
      <c r="O53" s="462"/>
      <c r="P53" s="1986" t="s">
        <v>803</v>
      </c>
      <c r="Q53" s="1986"/>
      <c r="R53" s="1986"/>
      <c r="S53" s="1987"/>
      <c r="V53" s="462"/>
      <c r="X53" s="458"/>
      <c r="Y53" s="458"/>
      <c r="Z53" s="458"/>
      <c r="AA53" s="458"/>
    </row>
    <row r="54" spans="8:27" ht="12.75" customHeight="1">
      <c r="H54" s="1988" t="s">
        <v>804</v>
      </c>
      <c r="I54" s="1989"/>
      <c r="J54" s="1989"/>
      <c r="K54" s="1989"/>
      <c r="L54" s="1979" t="s">
        <v>805</v>
      </c>
      <c r="M54" s="1980" t="s">
        <v>806</v>
      </c>
      <c r="N54" s="1989"/>
      <c r="O54" s="1990"/>
      <c r="P54" s="1990"/>
      <c r="Q54" s="1991" t="s">
        <v>807</v>
      </c>
      <c r="R54" s="1991" t="s">
        <v>808</v>
      </c>
      <c r="S54" s="1990"/>
      <c r="T54" s="1992" t="s">
        <v>809</v>
      </c>
      <c r="U54" s="1993" t="s">
        <v>810</v>
      </c>
      <c r="V54" s="1994" t="s">
        <v>811</v>
      </c>
      <c r="W54" s="1995" t="s">
        <v>812</v>
      </c>
      <c r="X54" s="458"/>
      <c r="Y54" s="458"/>
      <c r="Z54" s="458"/>
      <c r="AA54" s="458"/>
    </row>
    <row r="55" spans="8:27" ht="12.75" customHeight="1">
      <c r="H55" s="1996" t="s">
        <v>813</v>
      </c>
      <c r="I55" s="727"/>
      <c r="J55" s="727"/>
      <c r="K55" s="727"/>
      <c r="L55" s="727"/>
      <c r="M55" s="727"/>
      <c r="N55" s="727"/>
      <c r="O55" s="727"/>
      <c r="P55" s="727"/>
      <c r="Q55" s="727"/>
      <c r="R55" s="727"/>
      <c r="S55" s="1997"/>
      <c r="T55" s="1998"/>
      <c r="U55" s="481"/>
      <c r="V55" s="462"/>
      <c r="W55" s="1999"/>
      <c r="X55" s="458"/>
      <c r="Y55" s="458"/>
      <c r="Z55" s="458"/>
      <c r="AA55" s="458"/>
    </row>
    <row r="56" spans="8:27" ht="12.75" customHeight="1">
      <c r="H56" s="1996" t="s">
        <v>814</v>
      </c>
      <c r="I56" s="727" t="s">
        <v>815</v>
      </c>
      <c r="J56" s="727" t="s">
        <v>816</v>
      </c>
      <c r="K56" s="2000" t="s">
        <v>817</v>
      </c>
      <c r="L56" s="2001" t="s">
        <v>818</v>
      </c>
      <c r="M56" s="727"/>
      <c r="N56" s="727"/>
      <c r="O56" s="727"/>
      <c r="P56" s="727"/>
      <c r="Q56" s="727"/>
      <c r="R56" s="727"/>
      <c r="S56" s="1997"/>
      <c r="T56" s="1998"/>
      <c r="U56" s="481"/>
      <c r="V56" s="462"/>
      <c r="W56" s="1999"/>
      <c r="X56" s="458"/>
      <c r="Y56" s="458"/>
      <c r="Z56" s="458"/>
      <c r="AA56" s="458"/>
    </row>
    <row r="57" spans="8:27" ht="12.75" customHeight="1">
      <c r="H57" s="1996" t="s">
        <v>819</v>
      </c>
      <c r="I57" s="727" t="s">
        <v>820</v>
      </c>
      <c r="J57" s="727">
        <v>32</v>
      </c>
      <c r="K57" s="727">
        <v>32.5</v>
      </c>
      <c r="L57" s="2002">
        <v>2</v>
      </c>
      <c r="M57" s="2002">
        <v>55.3</v>
      </c>
      <c r="N57" s="727" t="s">
        <v>821</v>
      </c>
      <c r="O57" s="727" t="s">
        <v>819</v>
      </c>
      <c r="P57" s="727" t="s">
        <v>822</v>
      </c>
      <c r="Q57" s="2003">
        <f>M57/L57</f>
        <v>27.65</v>
      </c>
      <c r="R57" s="727"/>
      <c r="S57" s="1997"/>
      <c r="T57" s="1998"/>
      <c r="U57" s="481"/>
      <c r="V57" s="462"/>
      <c r="W57" s="1999"/>
      <c r="X57" s="458"/>
      <c r="Y57" s="458"/>
      <c r="Z57" s="458"/>
      <c r="AA57" s="458"/>
    </row>
    <row r="58" spans="8:27" ht="12.75" customHeight="1">
      <c r="H58" s="1996" t="s">
        <v>823</v>
      </c>
      <c r="I58" s="727" t="s">
        <v>820</v>
      </c>
      <c r="J58" s="727">
        <v>32</v>
      </c>
      <c r="K58" s="727">
        <v>32.5</v>
      </c>
      <c r="L58" s="2002">
        <v>2</v>
      </c>
      <c r="M58" s="2002">
        <v>55.3</v>
      </c>
      <c r="N58" s="727"/>
      <c r="O58" s="727" t="s">
        <v>823</v>
      </c>
      <c r="P58" s="727" t="s">
        <v>822</v>
      </c>
      <c r="Q58" s="2003">
        <f>M58/L58</f>
        <v>27.65</v>
      </c>
      <c r="R58" s="2003">
        <f>Q58*I52*L58/1000</f>
        <v>199.08</v>
      </c>
      <c r="S58" s="2004" t="s">
        <v>824</v>
      </c>
      <c r="T58" s="1998"/>
      <c r="U58" s="481"/>
      <c r="V58" s="462"/>
      <c r="W58" s="1999"/>
      <c r="X58" s="458"/>
      <c r="Y58" s="458"/>
      <c r="Z58" s="458"/>
      <c r="AA58" s="458"/>
    </row>
    <row r="59" spans="8:27" ht="12.75" customHeight="1">
      <c r="H59" s="1996" t="s">
        <v>825</v>
      </c>
      <c r="I59" s="727" t="s">
        <v>820</v>
      </c>
      <c r="J59" s="727">
        <v>25</v>
      </c>
      <c r="K59" s="727">
        <v>26.6</v>
      </c>
      <c r="L59" s="2002">
        <v>2</v>
      </c>
      <c r="M59" s="2002">
        <v>46.3</v>
      </c>
      <c r="N59" s="727"/>
      <c r="O59" s="727" t="s">
        <v>825</v>
      </c>
      <c r="P59" s="727" t="s">
        <v>826</v>
      </c>
      <c r="Q59" s="2003">
        <f>M59/L59</f>
        <v>23.15</v>
      </c>
      <c r="R59" s="2003">
        <f>Q59*I52*L59/1000</f>
        <v>166.68</v>
      </c>
      <c r="S59" s="2004" t="s">
        <v>827</v>
      </c>
      <c r="T59" s="1998">
        <v>0.05</v>
      </c>
      <c r="U59" s="3092">
        <f>SUMPRODUCT(R59:R61,T59:T61)</f>
        <v>194.43600000000001</v>
      </c>
      <c r="V59" s="2005">
        <f>(U59-R59)/L59</f>
        <v>13.878</v>
      </c>
      <c r="W59" s="3095">
        <v>0.99291153641611618</v>
      </c>
      <c r="X59" s="458"/>
      <c r="Y59" s="458"/>
      <c r="Z59" s="458"/>
      <c r="AA59" s="458"/>
    </row>
    <row r="60" spans="8:27" ht="12.75" customHeight="1">
      <c r="H60" s="1996" t="s">
        <v>825</v>
      </c>
      <c r="I60" s="727" t="s">
        <v>820</v>
      </c>
      <c r="J60" s="727">
        <v>32</v>
      </c>
      <c r="K60" s="727">
        <v>32.5</v>
      </c>
      <c r="L60" s="2002">
        <v>2</v>
      </c>
      <c r="M60" s="2002">
        <v>55.3</v>
      </c>
      <c r="N60" s="727"/>
      <c r="O60" s="727" t="s">
        <v>825</v>
      </c>
      <c r="P60" s="727" t="s">
        <v>822</v>
      </c>
      <c r="Q60" s="2003">
        <f>M60/L60</f>
        <v>27.65</v>
      </c>
      <c r="R60" s="2003">
        <f>Q60*I52*L60/1000</f>
        <v>199.08</v>
      </c>
      <c r="S60" s="2004" t="s">
        <v>828</v>
      </c>
      <c r="T60" s="1998">
        <v>0.8</v>
      </c>
      <c r="U60" s="3093"/>
      <c r="V60" s="2006"/>
      <c r="W60" s="3095"/>
      <c r="X60" s="458"/>
      <c r="Y60" s="458"/>
      <c r="Z60" s="458"/>
      <c r="AA60" s="458"/>
    </row>
    <row r="61" spans="8:27" ht="12.75" customHeight="1">
      <c r="H61" s="1996" t="s">
        <v>825</v>
      </c>
      <c r="I61" s="727" t="s">
        <v>820</v>
      </c>
      <c r="J61" s="727">
        <v>28</v>
      </c>
      <c r="K61" s="727">
        <v>28.4</v>
      </c>
      <c r="L61" s="2002">
        <v>2</v>
      </c>
      <c r="M61" s="2002">
        <v>49.7</v>
      </c>
      <c r="N61" s="727"/>
      <c r="O61" s="727" t="s">
        <v>825</v>
      </c>
      <c r="P61" s="727" t="s">
        <v>829</v>
      </c>
      <c r="Q61" s="2003">
        <f>M61/L61</f>
        <v>24.85</v>
      </c>
      <c r="R61" s="2003">
        <f>Q61*I52*L61/1000</f>
        <v>178.92</v>
      </c>
      <c r="S61" s="2004" t="s">
        <v>830</v>
      </c>
      <c r="T61" s="1998">
        <v>0.15</v>
      </c>
      <c r="U61" s="3094"/>
      <c r="V61" s="2005">
        <f>(U59-R61)/L61</f>
        <v>7.7580000000000098</v>
      </c>
      <c r="W61" s="3095"/>
      <c r="X61" s="458"/>
      <c r="Y61" s="458"/>
      <c r="Z61" s="458"/>
      <c r="AA61" s="458"/>
    </row>
    <row r="62" spans="8:27" ht="12.75" customHeight="1">
      <c r="H62" s="1996"/>
      <c r="I62" s="727"/>
      <c r="J62" s="727"/>
      <c r="K62" s="727"/>
      <c r="L62" s="727"/>
      <c r="M62" s="727"/>
      <c r="N62" s="727"/>
      <c r="O62" s="727"/>
      <c r="P62" s="727"/>
      <c r="Q62" s="727"/>
      <c r="R62" s="727"/>
      <c r="S62" s="1997"/>
      <c r="T62" s="1998"/>
      <c r="U62" s="481"/>
      <c r="V62" s="2006"/>
      <c r="W62" s="3095"/>
      <c r="X62" s="458"/>
      <c r="Y62" s="458"/>
      <c r="Z62" s="458"/>
      <c r="AA62" s="458"/>
    </row>
    <row r="63" spans="8:27" ht="12.75" customHeight="1">
      <c r="H63" s="1996"/>
      <c r="I63" s="727"/>
      <c r="J63" s="727"/>
      <c r="K63" s="727"/>
      <c r="L63" s="727"/>
      <c r="M63" s="727"/>
      <c r="N63" s="727"/>
      <c r="O63" s="727"/>
      <c r="P63" s="727"/>
      <c r="Q63" s="727"/>
      <c r="R63" s="727"/>
      <c r="S63" s="1997"/>
      <c r="T63" s="1998"/>
      <c r="U63" s="481"/>
      <c r="V63" s="2006"/>
      <c r="W63" s="3095"/>
      <c r="X63" s="458"/>
      <c r="Y63" s="458"/>
      <c r="Z63" s="458"/>
      <c r="AA63" s="458"/>
    </row>
    <row r="64" spans="8:27" ht="12.75" customHeight="1">
      <c r="H64" s="1996" t="s">
        <v>831</v>
      </c>
      <c r="I64" s="727"/>
      <c r="J64" s="727"/>
      <c r="K64" s="727"/>
      <c r="L64" s="727"/>
      <c r="M64" s="727"/>
      <c r="N64" s="727"/>
      <c r="O64" s="727"/>
      <c r="P64" s="727"/>
      <c r="Q64" s="727"/>
      <c r="R64" s="727"/>
      <c r="S64" s="1997"/>
      <c r="T64" s="1998"/>
      <c r="U64" s="481"/>
      <c r="V64" s="2006"/>
      <c r="W64" s="3095"/>
      <c r="X64" s="458"/>
      <c r="Y64" s="458"/>
      <c r="Z64" s="458"/>
      <c r="AA64" s="458"/>
    </row>
    <row r="65" spans="8:27" ht="12.75" customHeight="1">
      <c r="H65" s="1996" t="s">
        <v>819</v>
      </c>
      <c r="I65" s="727" t="s">
        <v>820</v>
      </c>
      <c r="J65" s="727">
        <v>32</v>
      </c>
      <c r="K65" s="727">
        <v>32.5</v>
      </c>
      <c r="L65" s="727">
        <v>4</v>
      </c>
      <c r="M65" s="2003">
        <v>109</v>
      </c>
      <c r="N65" s="727" t="s">
        <v>832</v>
      </c>
      <c r="O65" s="727" t="s">
        <v>819</v>
      </c>
      <c r="P65" s="727" t="s">
        <v>822</v>
      </c>
      <c r="Q65" s="2003">
        <f>M65/L65</f>
        <v>27.25</v>
      </c>
      <c r="R65" s="727"/>
      <c r="S65" s="2004"/>
      <c r="T65" s="1998"/>
      <c r="U65" s="481"/>
      <c r="V65" s="2006"/>
      <c r="W65" s="3095"/>
      <c r="X65" s="458"/>
      <c r="Y65" s="458"/>
      <c r="Z65" s="458"/>
      <c r="AA65" s="458"/>
    </row>
    <row r="66" spans="8:27" ht="12.75" customHeight="1">
      <c r="H66" s="1996" t="s">
        <v>823</v>
      </c>
      <c r="I66" s="727" t="s">
        <v>820</v>
      </c>
      <c r="J66" s="727">
        <v>32</v>
      </c>
      <c r="K66" s="727">
        <v>32.5</v>
      </c>
      <c r="L66" s="727">
        <v>4</v>
      </c>
      <c r="M66" s="2003">
        <v>109</v>
      </c>
      <c r="N66" s="727"/>
      <c r="O66" s="727" t="s">
        <v>823</v>
      </c>
      <c r="P66" s="727" t="s">
        <v>822</v>
      </c>
      <c r="Q66" s="2003">
        <f>M66/L66</f>
        <v>27.25</v>
      </c>
      <c r="R66" s="2003">
        <f>Q66*I52*L66/1000</f>
        <v>392.4</v>
      </c>
      <c r="S66" s="2004" t="s">
        <v>824</v>
      </c>
      <c r="T66" s="1998"/>
      <c r="U66" s="481"/>
      <c r="V66" s="2006"/>
      <c r="W66" s="3095"/>
      <c r="X66" s="458"/>
      <c r="Y66" s="458"/>
      <c r="Z66" s="458"/>
      <c r="AA66" s="458"/>
    </row>
    <row r="67" spans="8:27" ht="12.75" customHeight="1">
      <c r="H67" s="1996" t="s">
        <v>825</v>
      </c>
      <c r="I67" s="727" t="s">
        <v>820</v>
      </c>
      <c r="J67" s="727">
        <v>25</v>
      </c>
      <c r="K67" s="727">
        <v>26.6</v>
      </c>
      <c r="L67" s="727">
        <v>4</v>
      </c>
      <c r="M67" s="2003">
        <v>91.2</v>
      </c>
      <c r="N67" s="727"/>
      <c r="O67" s="727" t="s">
        <v>825</v>
      </c>
      <c r="P67" s="727" t="s">
        <v>826</v>
      </c>
      <c r="Q67" s="2003">
        <f>M67/L67</f>
        <v>22.8</v>
      </c>
      <c r="R67" s="2003">
        <f>Q67*I52*L67/1000</f>
        <v>328.32</v>
      </c>
      <c r="S67" s="2004" t="s">
        <v>827</v>
      </c>
      <c r="T67" s="1998">
        <v>0.05</v>
      </c>
      <c r="U67" s="3092">
        <f>SUMPRODUCT(R67:R69,T67:T69)</f>
        <v>383.202</v>
      </c>
      <c r="V67" s="2005">
        <f>(U67-R67)/L67</f>
        <v>13.720500000000001</v>
      </c>
      <c r="W67" s="3095"/>
      <c r="X67" s="458"/>
      <c r="Y67" s="458"/>
      <c r="Z67" s="458"/>
      <c r="AA67" s="458"/>
    </row>
    <row r="68" spans="8:27" ht="12.75" customHeight="1">
      <c r="H68" s="1996" t="s">
        <v>825</v>
      </c>
      <c r="I68" s="727" t="s">
        <v>820</v>
      </c>
      <c r="J68" s="727">
        <v>32</v>
      </c>
      <c r="K68" s="727">
        <v>32.5</v>
      </c>
      <c r="L68" s="727">
        <v>4</v>
      </c>
      <c r="M68" s="2003">
        <v>109</v>
      </c>
      <c r="N68" s="727"/>
      <c r="O68" s="727" t="s">
        <v>825</v>
      </c>
      <c r="P68" s="727" t="s">
        <v>822</v>
      </c>
      <c r="Q68" s="2003">
        <f>M68/L68</f>
        <v>27.25</v>
      </c>
      <c r="R68" s="2003">
        <f>Q68*I52*L68/1000</f>
        <v>392.4</v>
      </c>
      <c r="S68" s="2004" t="s">
        <v>828</v>
      </c>
      <c r="T68" s="1998">
        <v>0.8</v>
      </c>
      <c r="U68" s="3093"/>
      <c r="V68" s="2006"/>
      <c r="W68" s="3095"/>
      <c r="X68" s="458"/>
      <c r="Y68" s="458"/>
      <c r="Z68" s="458"/>
      <c r="AA68" s="458"/>
    </row>
    <row r="69" spans="8:27" ht="12.75" customHeight="1">
      <c r="H69" s="1730" t="s">
        <v>825</v>
      </c>
      <c r="I69" s="616" t="s">
        <v>820</v>
      </c>
      <c r="J69" s="616">
        <v>28</v>
      </c>
      <c r="K69" s="616">
        <v>28.4</v>
      </c>
      <c r="L69" s="616">
        <v>4</v>
      </c>
      <c r="M69" s="2007">
        <v>97.9</v>
      </c>
      <c r="N69" s="616"/>
      <c r="O69" s="616" t="s">
        <v>825</v>
      </c>
      <c r="P69" s="616" t="s">
        <v>829</v>
      </c>
      <c r="Q69" s="2007">
        <f>M69/L69</f>
        <v>24.475000000000001</v>
      </c>
      <c r="R69" s="2007">
        <f>Q69*I52*L69/1000</f>
        <v>352.44</v>
      </c>
      <c r="S69" s="617" t="s">
        <v>830</v>
      </c>
      <c r="T69" s="2008">
        <v>0.15</v>
      </c>
      <c r="U69" s="3094"/>
      <c r="V69" s="2005">
        <f>(U67-R69)/L69</f>
        <v>7.6905000000000001</v>
      </c>
      <c r="W69" s="3096"/>
      <c r="X69" s="458"/>
      <c r="Y69" s="458"/>
      <c r="Z69" s="458"/>
      <c r="AA69" s="458"/>
    </row>
    <row r="70" spans="8:27" ht="12.75" customHeight="1">
      <c r="H70" s="458"/>
      <c r="I70" s="458"/>
      <c r="J70" s="458"/>
      <c r="K70" s="458"/>
      <c r="L70" s="458"/>
      <c r="M70" s="458"/>
      <c r="N70" s="458"/>
      <c r="O70" s="458"/>
      <c r="P70" s="458"/>
      <c r="Q70" s="458"/>
      <c r="R70" s="458"/>
      <c r="S70" s="458"/>
      <c r="T70" s="458"/>
      <c r="U70" s="458"/>
      <c r="V70" s="458"/>
      <c r="W70" s="458"/>
      <c r="X70" s="458"/>
      <c r="Y70" s="458"/>
      <c r="Z70" s="458"/>
      <c r="AA70" s="458"/>
    </row>
    <row r="71" spans="8:27" ht="12.75" customHeight="1">
      <c r="H71" s="458"/>
      <c r="I71" s="458"/>
      <c r="J71" s="458"/>
      <c r="K71" s="458"/>
      <c r="L71" s="458"/>
      <c r="M71" s="458"/>
      <c r="N71" s="458"/>
      <c r="O71" s="458"/>
      <c r="P71" s="458"/>
      <c r="Q71" s="458"/>
      <c r="R71" s="458"/>
      <c r="S71" s="458"/>
      <c r="T71" s="458"/>
      <c r="U71" s="458"/>
      <c r="V71" s="458"/>
      <c r="W71" s="458"/>
      <c r="X71" s="458"/>
      <c r="Y71" s="458"/>
      <c r="Z71" s="458"/>
      <c r="AA71" s="458"/>
    </row>
    <row r="72" spans="8:27" ht="12.75" customHeight="1" thickBot="1">
      <c r="H72" s="458"/>
      <c r="I72" s="458"/>
      <c r="J72" s="458"/>
      <c r="K72" s="458"/>
      <c r="L72" s="458"/>
      <c r="M72" s="458"/>
      <c r="N72" s="458"/>
      <c r="O72" s="458"/>
      <c r="P72" s="458"/>
      <c r="Q72" s="458"/>
      <c r="R72" s="458"/>
      <c r="S72" s="458"/>
      <c r="T72" s="458"/>
      <c r="U72" s="458"/>
      <c r="V72" s="458"/>
      <c r="W72" s="458"/>
      <c r="X72" s="458"/>
      <c r="Y72" s="458"/>
      <c r="Z72" s="458"/>
      <c r="AA72" s="458"/>
    </row>
    <row r="73" spans="8:27" ht="12.75" customHeight="1" thickTop="1" thickBot="1">
      <c r="H73" s="458" t="s">
        <v>780</v>
      </c>
      <c r="I73" s="2858" t="s">
        <v>1929</v>
      </c>
      <c r="J73" s="2859"/>
      <c r="K73" s="458"/>
      <c r="L73" s="458"/>
      <c r="M73" s="458"/>
      <c r="N73" s="458"/>
      <c r="O73" s="458"/>
      <c r="P73" s="458"/>
      <c r="Q73" s="458"/>
      <c r="R73" s="458"/>
      <c r="S73" s="458"/>
      <c r="T73" s="458"/>
      <c r="U73" s="458"/>
      <c r="V73" s="458"/>
      <c r="W73" s="458"/>
      <c r="X73" s="458"/>
      <c r="Y73" s="458"/>
      <c r="Z73" s="458"/>
      <c r="AA73" s="458"/>
    </row>
    <row r="74" spans="8:27" ht="12.75" customHeight="1" thickTop="1">
      <c r="H74" s="891" t="s">
        <v>1930</v>
      </c>
      <c r="I74" s="458"/>
      <c r="J74" s="458"/>
      <c r="K74" s="458"/>
      <c r="L74" s="458"/>
      <c r="M74" s="458"/>
      <c r="N74" s="458"/>
      <c r="O74" s="458"/>
      <c r="P74" s="458"/>
      <c r="Q74" s="458"/>
      <c r="R74" s="458"/>
      <c r="S74" s="458"/>
      <c r="T74" s="458"/>
      <c r="U74" s="458"/>
      <c r="V74" s="458"/>
      <c r="W74" s="458"/>
      <c r="X74" s="458"/>
      <c r="Y74" s="458"/>
      <c r="Z74" s="458"/>
      <c r="AA74" s="458"/>
    </row>
    <row r="75" spans="8:27" ht="12.75" customHeight="1">
      <c r="H75" s="1962" t="s">
        <v>1937</v>
      </c>
      <c r="I75" s="1962" t="s">
        <v>1938</v>
      </c>
      <c r="J75" s="458"/>
      <c r="K75" s="458"/>
      <c r="L75" s="458"/>
      <c r="M75" s="458"/>
      <c r="N75" s="458"/>
      <c r="O75" s="458"/>
      <c r="P75" s="458"/>
      <c r="Q75" s="458"/>
      <c r="R75" s="458"/>
      <c r="S75" s="458"/>
      <c r="T75" s="458"/>
      <c r="U75" s="458"/>
      <c r="V75" s="458"/>
      <c r="W75" s="458"/>
      <c r="X75" s="458"/>
      <c r="Y75" s="458"/>
      <c r="Z75" s="458"/>
      <c r="AA75" s="458"/>
    </row>
    <row r="76" spans="8:27" ht="12.75" customHeight="1">
      <c r="H76" s="2009" t="s">
        <v>1809</v>
      </c>
      <c r="I76" s="2010"/>
      <c r="J76" s="1574" t="s">
        <v>1810</v>
      </c>
      <c r="K76" s="1574" t="s">
        <v>1871</v>
      </c>
      <c r="L76" s="458"/>
      <c r="M76" s="458"/>
      <c r="N76" s="458"/>
      <c r="O76" s="458"/>
      <c r="P76" s="458"/>
      <c r="Q76" s="458"/>
      <c r="R76" s="458"/>
      <c r="S76" s="458"/>
      <c r="T76" s="458"/>
      <c r="U76" s="458"/>
      <c r="V76" s="458"/>
      <c r="W76" s="458"/>
      <c r="X76" s="458"/>
      <c r="Y76" s="458"/>
      <c r="Z76" s="458"/>
      <c r="AA76" s="458"/>
    </row>
    <row r="77" spans="8:27" ht="12.75" customHeight="1">
      <c r="H77" s="2011" t="s">
        <v>1931</v>
      </c>
      <c r="I77" s="2011"/>
      <c r="J77" s="2011" t="s">
        <v>1932</v>
      </c>
      <c r="K77" s="2012">
        <v>4.9353090510615774</v>
      </c>
      <c r="L77" s="458"/>
      <c r="M77" s="458"/>
      <c r="N77" s="458"/>
      <c r="O77" s="458"/>
      <c r="P77" s="458"/>
      <c r="Q77" s="458"/>
      <c r="R77" s="458"/>
      <c r="S77" s="458"/>
      <c r="T77" s="458"/>
      <c r="U77" s="458"/>
      <c r="V77" s="458"/>
      <c r="W77" s="458"/>
      <c r="X77" s="458"/>
      <c r="Y77" s="458"/>
      <c r="Z77" s="458"/>
      <c r="AA77" s="458"/>
    </row>
    <row r="78" spans="8:27" ht="12.75" customHeight="1">
      <c r="H78" s="2011" t="s">
        <v>1933</v>
      </c>
      <c r="I78" s="2011"/>
      <c r="J78" s="2011" t="s">
        <v>1932</v>
      </c>
      <c r="K78" s="2012">
        <v>6.6486266020510376</v>
      </c>
      <c r="L78" s="458"/>
      <c r="M78" s="458"/>
      <c r="N78" s="458"/>
      <c r="O78" s="458"/>
      <c r="P78" s="458"/>
      <c r="Q78" s="458"/>
      <c r="R78" s="458"/>
      <c r="S78" s="458"/>
      <c r="T78" s="458"/>
      <c r="U78" s="458"/>
      <c r="V78" s="458"/>
      <c r="W78" s="458"/>
      <c r="X78" s="458"/>
      <c r="Y78" s="458"/>
      <c r="Z78" s="458"/>
      <c r="AA78" s="458"/>
    </row>
    <row r="79" spans="8:27" ht="12.75" customHeight="1">
      <c r="H79" s="2011" t="s">
        <v>1931</v>
      </c>
      <c r="I79" s="2011"/>
      <c r="J79" s="2011" t="s">
        <v>1934</v>
      </c>
      <c r="K79" s="2012">
        <v>-4.9122272698635366E-2</v>
      </c>
      <c r="L79" s="458"/>
      <c r="M79" s="458"/>
      <c r="N79" s="458"/>
      <c r="O79" s="458"/>
      <c r="P79" s="458"/>
      <c r="Q79" s="458"/>
      <c r="R79" s="458"/>
      <c r="S79" s="458"/>
      <c r="T79" s="458"/>
      <c r="U79" s="458"/>
      <c r="V79" s="458"/>
      <c r="W79" s="458"/>
      <c r="X79" s="458"/>
      <c r="Y79" s="458"/>
      <c r="Z79" s="458"/>
      <c r="AA79" s="458"/>
    </row>
    <row r="80" spans="8:27" ht="12.75" customHeight="1">
      <c r="H80" s="2011" t="s">
        <v>1933</v>
      </c>
      <c r="I80" s="2011"/>
      <c r="J80" s="2011" t="s">
        <v>1934</v>
      </c>
      <c r="K80" s="2012">
        <v>-6.6175318635233654E-2</v>
      </c>
      <c r="L80" s="458"/>
      <c r="M80" s="458"/>
      <c r="N80" s="458"/>
      <c r="O80" s="458"/>
      <c r="P80" s="458"/>
      <c r="Q80" s="458"/>
      <c r="R80" s="458"/>
      <c r="S80" s="458"/>
      <c r="T80" s="458"/>
      <c r="U80" s="458"/>
      <c r="V80" s="458"/>
      <c r="W80" s="458"/>
      <c r="X80" s="458"/>
      <c r="Y80" s="458"/>
      <c r="Z80" s="458"/>
      <c r="AA80" s="458"/>
    </row>
    <row r="81" spans="8:27" ht="12.75" customHeight="1">
      <c r="H81" s="2011" t="s">
        <v>1931</v>
      </c>
      <c r="I81" s="2013"/>
      <c r="J81" s="2013" t="s">
        <v>1935</v>
      </c>
      <c r="K81" s="2012">
        <f>K77+K79</f>
        <v>4.8861867783629416</v>
      </c>
      <c r="L81" s="458"/>
      <c r="M81" s="458"/>
      <c r="N81" s="458"/>
      <c r="O81" s="458"/>
      <c r="P81" s="458"/>
      <c r="Q81" s="458"/>
      <c r="R81" s="458"/>
      <c r="S81" s="458"/>
      <c r="T81" s="458"/>
      <c r="U81" s="458"/>
      <c r="V81" s="458"/>
      <c r="W81" s="458"/>
      <c r="X81" s="458"/>
      <c r="Y81" s="458"/>
      <c r="Z81" s="458"/>
      <c r="AA81" s="458"/>
    </row>
    <row r="82" spans="8:27" ht="12.75" customHeight="1">
      <c r="H82" s="2011" t="s">
        <v>1933</v>
      </c>
      <c r="I82" s="2013"/>
      <c r="J82" s="2013" t="s">
        <v>1935</v>
      </c>
      <c r="K82" s="2012">
        <f>K78+K80</f>
        <v>6.5824512834158035</v>
      </c>
      <c r="L82" s="458"/>
      <c r="M82" s="458"/>
      <c r="N82" s="458"/>
      <c r="O82" s="458"/>
      <c r="P82" s="458"/>
      <c r="Q82" s="458"/>
      <c r="R82" s="458"/>
      <c r="S82" s="458"/>
      <c r="T82" s="458"/>
      <c r="U82" s="458"/>
      <c r="V82" s="458"/>
      <c r="W82" s="458"/>
      <c r="X82" s="458"/>
      <c r="Y82" s="458"/>
      <c r="Z82" s="458"/>
      <c r="AA82" s="458"/>
    </row>
    <row r="83" spans="8:27" ht="12.75" customHeight="1">
      <c r="H83" s="458"/>
      <c r="I83" s="458"/>
      <c r="J83" s="458"/>
      <c r="K83" s="458"/>
      <c r="L83" s="458"/>
      <c r="M83" s="458"/>
      <c r="N83" s="458"/>
      <c r="O83" s="458"/>
      <c r="P83" s="458"/>
      <c r="Q83" s="458"/>
      <c r="R83" s="458"/>
      <c r="S83" s="458"/>
      <c r="T83" s="458"/>
      <c r="U83" s="458"/>
      <c r="V83" s="458"/>
      <c r="W83" s="458"/>
      <c r="X83" s="458"/>
      <c r="Y83" s="458"/>
      <c r="Z83" s="458"/>
      <c r="AA83" s="458"/>
    </row>
    <row r="84" spans="8:27" ht="12.75" customHeight="1">
      <c r="H84" s="458"/>
      <c r="I84" s="458"/>
      <c r="J84" s="458"/>
      <c r="K84" s="458"/>
      <c r="L84" s="458"/>
      <c r="M84" s="458"/>
      <c r="N84" s="458"/>
      <c r="O84" s="458"/>
      <c r="P84" s="458"/>
      <c r="Q84" s="458"/>
      <c r="R84" s="458"/>
      <c r="S84" s="458"/>
      <c r="T84" s="458"/>
      <c r="U84" s="458"/>
      <c r="V84" s="458"/>
      <c r="W84" s="458"/>
      <c r="X84" s="458"/>
      <c r="Y84" s="458"/>
      <c r="Z84" s="458"/>
      <c r="AA84" s="458"/>
    </row>
    <row r="85" spans="8:27" ht="12.75" customHeight="1">
      <c r="H85" s="458"/>
      <c r="I85" s="458"/>
      <c r="J85" s="458"/>
      <c r="K85" s="458"/>
      <c r="L85" s="458"/>
      <c r="M85" s="458"/>
      <c r="N85" s="458"/>
      <c r="O85" s="458"/>
      <c r="P85" s="458"/>
      <c r="Q85" s="458"/>
      <c r="R85" s="458"/>
      <c r="S85" s="458"/>
      <c r="T85" s="458"/>
      <c r="U85" s="458"/>
      <c r="V85" s="458"/>
      <c r="W85" s="458"/>
      <c r="X85" s="458"/>
      <c r="Y85" s="458"/>
      <c r="Z85" s="458"/>
      <c r="AA85" s="458"/>
    </row>
    <row r="86" spans="8:27" ht="12.75" customHeight="1">
      <c r="H86" s="458"/>
      <c r="I86" s="458"/>
      <c r="J86" s="458"/>
      <c r="K86" s="458"/>
      <c r="L86" s="458"/>
      <c r="M86" s="458"/>
      <c r="N86" s="458"/>
      <c r="O86" s="458"/>
      <c r="P86" s="458"/>
      <c r="Q86" s="458"/>
      <c r="R86" s="458"/>
      <c r="S86" s="458"/>
      <c r="T86" s="458"/>
      <c r="U86" s="458"/>
      <c r="V86" s="458"/>
      <c r="W86" s="458"/>
      <c r="X86" s="458"/>
      <c r="Y86" s="458"/>
      <c r="Z86" s="458"/>
      <c r="AA86" s="458"/>
    </row>
    <row r="87" spans="8:27" ht="12.75" customHeight="1">
      <c r="H87" s="458"/>
      <c r="I87" s="458"/>
      <c r="J87" s="458"/>
      <c r="K87" s="458"/>
      <c r="L87" s="458"/>
      <c r="M87" s="458"/>
      <c r="N87" s="458"/>
      <c r="O87" s="458"/>
      <c r="P87" s="458"/>
      <c r="Q87" s="458"/>
      <c r="R87" s="458"/>
      <c r="S87" s="458"/>
      <c r="T87" s="458"/>
      <c r="U87" s="458"/>
      <c r="V87" s="458"/>
      <c r="W87" s="458"/>
      <c r="X87" s="458"/>
      <c r="Y87" s="458"/>
      <c r="Z87" s="458"/>
      <c r="AA87" s="458"/>
    </row>
    <row r="88" spans="8:27" ht="12.75" customHeight="1">
      <c r="H88" s="458"/>
      <c r="I88" s="458"/>
      <c r="J88" s="458"/>
      <c r="K88" s="458"/>
      <c r="L88" s="458"/>
      <c r="M88" s="458"/>
      <c r="N88" s="458"/>
      <c r="O88" s="458"/>
      <c r="P88" s="458"/>
      <c r="Q88" s="458"/>
      <c r="R88" s="458"/>
      <c r="S88" s="458"/>
      <c r="T88" s="458"/>
      <c r="U88" s="458"/>
      <c r="V88" s="458"/>
      <c r="W88" s="458"/>
      <c r="X88" s="458"/>
      <c r="Y88" s="458"/>
      <c r="Z88" s="458"/>
      <c r="AA88" s="458"/>
    </row>
    <row r="89" spans="8:27" ht="12.75" customHeight="1">
      <c r="H89" s="458"/>
      <c r="I89" s="458"/>
      <c r="J89" s="458"/>
      <c r="K89" s="458"/>
      <c r="L89" s="458"/>
      <c r="M89" s="458"/>
      <c r="N89" s="458"/>
      <c r="O89" s="458"/>
      <c r="P89" s="458"/>
      <c r="Q89" s="458"/>
      <c r="R89" s="458"/>
      <c r="S89" s="458"/>
      <c r="T89" s="458"/>
      <c r="U89" s="458"/>
      <c r="V89" s="458"/>
      <c r="W89" s="458"/>
      <c r="X89" s="458"/>
      <c r="Y89" s="458"/>
      <c r="Z89" s="458"/>
      <c r="AA89" s="458"/>
    </row>
    <row r="90" spans="8:27" ht="12.75" customHeight="1">
      <c r="H90" s="458"/>
      <c r="I90" s="458"/>
      <c r="J90" s="458"/>
      <c r="K90" s="458"/>
      <c r="L90" s="458"/>
      <c r="M90" s="458"/>
      <c r="N90" s="458"/>
      <c r="O90" s="458"/>
      <c r="P90" s="458"/>
      <c r="Q90" s="458"/>
      <c r="R90" s="458"/>
      <c r="S90" s="458"/>
      <c r="T90" s="458"/>
      <c r="U90" s="458"/>
      <c r="V90" s="458"/>
      <c r="W90" s="458"/>
      <c r="X90" s="458"/>
      <c r="Y90" s="458"/>
      <c r="Z90" s="458"/>
      <c r="AA90" s="458"/>
    </row>
    <row r="91" spans="8:27" ht="12.75" customHeight="1">
      <c r="H91" s="458"/>
      <c r="I91" s="458"/>
      <c r="J91" s="458"/>
      <c r="K91" s="458"/>
      <c r="L91" s="458"/>
      <c r="M91" s="458"/>
      <c r="N91" s="458"/>
      <c r="O91" s="458"/>
      <c r="P91" s="458"/>
      <c r="Q91" s="458"/>
      <c r="R91" s="458"/>
      <c r="S91" s="458"/>
      <c r="T91" s="458"/>
      <c r="U91" s="458"/>
      <c r="V91" s="458"/>
      <c r="W91" s="458"/>
      <c r="X91" s="458"/>
      <c r="Y91" s="458"/>
      <c r="Z91" s="458"/>
      <c r="AA91" s="458"/>
    </row>
    <row r="92" spans="8:27" ht="12.75" customHeight="1">
      <c r="H92" s="458"/>
      <c r="I92" s="458"/>
      <c r="J92" s="458"/>
      <c r="K92" s="458"/>
      <c r="L92" s="458"/>
      <c r="M92" s="458"/>
      <c r="N92" s="458"/>
      <c r="O92" s="458"/>
      <c r="P92" s="458"/>
      <c r="Q92" s="458"/>
      <c r="R92" s="458"/>
      <c r="S92" s="458"/>
      <c r="T92" s="458"/>
      <c r="U92" s="458"/>
      <c r="V92" s="458"/>
      <c r="W92" s="458"/>
      <c r="X92" s="458"/>
      <c r="Y92" s="458"/>
      <c r="Z92" s="458"/>
      <c r="AA92" s="458"/>
    </row>
    <row r="93" spans="8:27" ht="12.75" customHeight="1">
      <c r="H93" s="458"/>
      <c r="I93" s="458"/>
      <c r="J93" s="458"/>
      <c r="K93" s="458"/>
      <c r="L93" s="458"/>
      <c r="M93" s="458"/>
      <c r="N93" s="458"/>
      <c r="O93" s="458"/>
      <c r="P93" s="458"/>
      <c r="Q93" s="458"/>
      <c r="R93" s="458"/>
      <c r="S93" s="458"/>
      <c r="T93" s="458"/>
      <c r="U93" s="458"/>
      <c r="V93" s="458"/>
      <c r="W93" s="458"/>
      <c r="X93" s="458"/>
      <c r="Y93" s="458"/>
      <c r="Z93" s="458"/>
      <c r="AA93" s="458"/>
    </row>
    <row r="94" spans="8:27" ht="12.75" customHeight="1">
      <c r="H94" s="458"/>
      <c r="I94" s="458"/>
      <c r="J94" s="458"/>
      <c r="K94" s="458"/>
      <c r="L94" s="458"/>
      <c r="M94" s="458"/>
      <c r="N94" s="458"/>
      <c r="O94" s="458"/>
      <c r="P94" s="458"/>
      <c r="Q94" s="458"/>
      <c r="R94" s="458"/>
      <c r="S94" s="458"/>
      <c r="T94" s="458"/>
      <c r="U94" s="458"/>
      <c r="V94" s="458"/>
      <c r="W94" s="458"/>
      <c r="X94" s="458"/>
      <c r="Y94" s="458"/>
      <c r="Z94" s="458"/>
      <c r="AA94" s="458"/>
    </row>
    <row r="95" spans="8:27" ht="12.75" customHeight="1">
      <c r="H95" s="458"/>
      <c r="I95" s="458"/>
      <c r="J95" s="458"/>
      <c r="K95" s="458"/>
      <c r="L95" s="458"/>
      <c r="M95" s="458"/>
      <c r="N95" s="458"/>
      <c r="O95" s="458"/>
      <c r="P95" s="458"/>
      <c r="Q95" s="458"/>
      <c r="R95" s="458"/>
      <c r="S95" s="458"/>
      <c r="T95" s="458"/>
      <c r="U95" s="458"/>
      <c r="V95" s="458"/>
      <c r="W95" s="458"/>
      <c r="X95" s="458"/>
      <c r="Y95" s="458"/>
      <c r="Z95" s="458"/>
      <c r="AA95" s="458"/>
    </row>
    <row r="96" spans="8:27" ht="12.75" customHeight="1">
      <c r="H96" s="458"/>
      <c r="I96" s="458"/>
      <c r="J96" s="458"/>
      <c r="K96" s="458"/>
      <c r="L96" s="458"/>
      <c r="M96" s="458"/>
      <c r="N96" s="458"/>
      <c r="O96" s="458"/>
      <c r="P96" s="458"/>
      <c r="Q96" s="458"/>
      <c r="R96" s="458"/>
      <c r="S96" s="458"/>
      <c r="T96" s="458"/>
      <c r="U96" s="458"/>
      <c r="V96" s="458"/>
      <c r="W96" s="458"/>
      <c r="X96" s="458"/>
      <c r="Y96" s="458"/>
      <c r="Z96" s="458"/>
      <c r="AA96" s="458"/>
    </row>
    <row r="97" spans="8:27" ht="12.75" customHeight="1">
      <c r="H97" s="458"/>
      <c r="I97" s="458"/>
      <c r="J97" s="458"/>
      <c r="K97" s="458"/>
      <c r="L97" s="458"/>
      <c r="M97" s="458"/>
      <c r="N97" s="458"/>
      <c r="O97" s="458"/>
      <c r="P97" s="458"/>
      <c r="Q97" s="458"/>
      <c r="R97" s="458"/>
      <c r="S97" s="458"/>
      <c r="T97" s="458"/>
      <c r="U97" s="458"/>
      <c r="V97" s="458"/>
      <c r="W97" s="458"/>
      <c r="X97" s="458"/>
      <c r="Y97" s="458"/>
      <c r="Z97" s="458"/>
      <c r="AA97" s="458"/>
    </row>
    <row r="98" spans="8:27" ht="12.75" customHeight="1">
      <c r="H98" s="458"/>
      <c r="I98" s="458"/>
      <c r="J98" s="458"/>
      <c r="K98" s="458"/>
      <c r="L98" s="458"/>
      <c r="M98" s="458"/>
      <c r="N98" s="458"/>
      <c r="O98" s="458"/>
      <c r="P98" s="458"/>
      <c r="Q98" s="458"/>
      <c r="R98" s="458"/>
      <c r="S98" s="458"/>
      <c r="T98" s="458"/>
      <c r="U98" s="458"/>
      <c r="V98" s="458"/>
      <c r="W98" s="458"/>
      <c r="X98" s="458"/>
      <c r="Y98" s="458"/>
      <c r="Z98" s="458"/>
      <c r="AA98" s="458"/>
    </row>
    <row r="99" spans="8:27" ht="12.75" customHeight="1">
      <c r="H99" s="458"/>
      <c r="I99" s="458"/>
      <c r="J99" s="458"/>
      <c r="K99" s="458"/>
      <c r="L99" s="458"/>
      <c r="M99" s="458"/>
      <c r="N99" s="458"/>
      <c r="O99" s="458"/>
      <c r="P99" s="458"/>
      <c r="Q99" s="458"/>
      <c r="R99" s="458"/>
      <c r="S99" s="458"/>
      <c r="T99" s="458"/>
      <c r="U99" s="458"/>
      <c r="V99" s="458"/>
      <c r="W99" s="458"/>
      <c r="X99" s="458"/>
      <c r="Y99" s="458"/>
      <c r="Z99" s="458"/>
      <c r="AA99" s="458"/>
    </row>
    <row r="100" spans="8:27" ht="12.75" customHeight="1">
      <c r="H100" s="458"/>
      <c r="I100" s="458"/>
      <c r="J100" s="458"/>
      <c r="K100" s="458"/>
      <c r="L100" s="458"/>
      <c r="M100" s="458"/>
      <c r="N100" s="458"/>
      <c r="O100" s="458"/>
      <c r="P100" s="458"/>
      <c r="Q100" s="458"/>
      <c r="R100" s="458"/>
      <c r="S100" s="458"/>
      <c r="T100" s="458"/>
      <c r="U100" s="458"/>
      <c r="V100" s="458"/>
      <c r="W100" s="458"/>
      <c r="X100" s="458"/>
      <c r="Y100" s="458"/>
      <c r="Z100" s="458"/>
      <c r="AA100" s="458"/>
    </row>
    <row r="101" spans="8:27" ht="12.75" customHeight="1">
      <c r="H101" s="458"/>
      <c r="I101" s="458"/>
      <c r="J101" s="458"/>
      <c r="K101" s="458"/>
      <c r="L101" s="458"/>
      <c r="M101" s="458"/>
      <c r="N101" s="458"/>
      <c r="O101" s="458"/>
      <c r="P101" s="458"/>
      <c r="Q101" s="458"/>
      <c r="R101" s="458"/>
      <c r="S101" s="458"/>
      <c r="T101" s="458"/>
      <c r="U101" s="458"/>
      <c r="V101" s="458"/>
      <c r="W101" s="458"/>
      <c r="X101" s="458"/>
      <c r="Y101" s="458"/>
      <c r="Z101" s="458"/>
      <c r="AA101" s="458"/>
    </row>
    <row r="102" spans="8:27" ht="12.75" customHeight="1">
      <c r="H102" s="458"/>
      <c r="I102" s="458"/>
      <c r="J102" s="458"/>
      <c r="K102" s="458"/>
      <c r="L102" s="458"/>
      <c r="M102" s="458"/>
      <c r="N102" s="458"/>
      <c r="O102" s="458"/>
      <c r="P102" s="458"/>
      <c r="Q102" s="458"/>
      <c r="R102" s="458"/>
      <c r="S102" s="458"/>
      <c r="T102" s="458"/>
      <c r="U102" s="458"/>
      <c r="V102" s="458"/>
      <c r="W102" s="458"/>
      <c r="X102" s="458"/>
      <c r="Y102" s="458"/>
      <c r="Z102" s="458"/>
      <c r="AA102" s="458"/>
    </row>
    <row r="103" spans="8:27" ht="12.75" customHeight="1">
      <c r="H103" s="458"/>
      <c r="I103" s="458"/>
      <c r="J103" s="458"/>
      <c r="K103" s="458"/>
      <c r="L103" s="458"/>
      <c r="M103" s="458"/>
      <c r="N103" s="458"/>
      <c r="O103" s="458"/>
      <c r="P103" s="458"/>
      <c r="Q103" s="458"/>
      <c r="R103" s="458"/>
      <c r="S103" s="458"/>
      <c r="T103" s="458"/>
      <c r="U103" s="458"/>
      <c r="V103" s="458"/>
      <c r="W103" s="458"/>
      <c r="X103" s="458"/>
      <c r="Y103" s="458"/>
      <c r="Z103" s="458"/>
      <c r="AA103" s="458"/>
    </row>
    <row r="104" spans="8:27" ht="12.75" customHeight="1">
      <c r="H104" s="458"/>
      <c r="I104" s="458"/>
      <c r="J104" s="458"/>
      <c r="K104" s="458"/>
      <c r="L104" s="458"/>
      <c r="M104" s="458"/>
      <c r="N104" s="458"/>
      <c r="O104" s="458"/>
      <c r="P104" s="458"/>
      <c r="Q104" s="458"/>
      <c r="R104" s="458"/>
      <c r="S104" s="458"/>
      <c r="T104" s="458"/>
      <c r="U104" s="458"/>
      <c r="V104" s="458"/>
      <c r="W104" s="458"/>
      <c r="X104" s="458"/>
      <c r="Y104" s="458"/>
      <c r="Z104" s="458"/>
      <c r="AA104" s="458"/>
    </row>
    <row r="105" spans="8:27" ht="12.75" customHeight="1">
      <c r="H105" s="458"/>
      <c r="I105" s="458"/>
      <c r="J105" s="458"/>
      <c r="K105" s="458"/>
      <c r="L105" s="458"/>
      <c r="M105" s="458"/>
      <c r="N105" s="458"/>
      <c r="O105" s="458"/>
      <c r="P105" s="458"/>
      <c r="Q105" s="458"/>
      <c r="R105" s="458"/>
      <c r="S105" s="458"/>
      <c r="T105" s="458"/>
      <c r="U105" s="458"/>
      <c r="V105" s="458"/>
      <c r="W105" s="458"/>
      <c r="X105" s="458"/>
      <c r="Y105" s="458"/>
      <c r="Z105" s="458"/>
      <c r="AA105" s="458"/>
    </row>
    <row r="106" spans="8:27" ht="12.75" customHeight="1">
      <c r="H106" s="458"/>
      <c r="I106" s="458"/>
      <c r="J106" s="458"/>
      <c r="K106" s="458"/>
      <c r="L106" s="458"/>
      <c r="M106" s="458"/>
      <c r="N106" s="458"/>
      <c r="O106" s="458"/>
      <c r="P106" s="458"/>
      <c r="Q106" s="458"/>
      <c r="R106" s="458"/>
      <c r="S106" s="458"/>
      <c r="T106" s="458"/>
      <c r="U106" s="458"/>
      <c r="V106" s="458"/>
      <c r="W106" s="458"/>
      <c r="X106" s="458"/>
      <c r="Y106" s="458"/>
      <c r="Z106" s="458"/>
      <c r="AA106" s="458"/>
    </row>
    <row r="107" spans="8:27" ht="12.75" customHeight="1">
      <c r="H107" s="458"/>
      <c r="I107" s="458"/>
      <c r="J107" s="458"/>
      <c r="K107" s="458"/>
      <c r="L107" s="458"/>
      <c r="M107" s="458"/>
      <c r="N107" s="458"/>
      <c r="O107" s="458"/>
      <c r="P107" s="458"/>
      <c r="Q107" s="458"/>
      <c r="R107" s="458"/>
      <c r="S107" s="458"/>
      <c r="T107" s="458"/>
      <c r="U107" s="458"/>
      <c r="V107" s="458"/>
      <c r="W107" s="458"/>
      <c r="X107" s="458"/>
      <c r="Y107" s="458"/>
      <c r="Z107" s="458"/>
      <c r="AA107" s="458"/>
    </row>
    <row r="108" spans="8:27" ht="12.75" customHeight="1">
      <c r="H108" s="458"/>
      <c r="I108" s="458"/>
      <c r="J108" s="458"/>
      <c r="K108" s="458"/>
      <c r="L108" s="458"/>
      <c r="M108" s="458"/>
      <c r="N108" s="458"/>
      <c r="O108" s="458"/>
      <c r="P108" s="458"/>
      <c r="Q108" s="458"/>
      <c r="R108" s="458"/>
      <c r="S108" s="458"/>
      <c r="T108" s="458"/>
      <c r="U108" s="458"/>
      <c r="V108" s="458"/>
      <c r="W108" s="458"/>
      <c r="X108" s="458"/>
      <c r="Y108" s="458"/>
      <c r="Z108" s="458"/>
      <c r="AA108" s="458"/>
    </row>
    <row r="109" spans="8:27" ht="12.75" customHeight="1">
      <c r="H109" s="458"/>
      <c r="I109" s="458"/>
      <c r="J109" s="458"/>
      <c r="K109" s="458"/>
      <c r="L109" s="458"/>
      <c r="M109" s="458"/>
      <c r="N109" s="458"/>
      <c r="O109" s="458"/>
      <c r="P109" s="458"/>
      <c r="Q109" s="458"/>
      <c r="R109" s="458"/>
      <c r="S109" s="458"/>
      <c r="T109" s="458"/>
      <c r="U109" s="458"/>
      <c r="V109" s="458"/>
      <c r="W109" s="458"/>
      <c r="X109" s="458"/>
      <c r="Y109" s="458"/>
      <c r="Z109" s="458"/>
      <c r="AA109" s="458"/>
    </row>
    <row r="110" spans="8:27" ht="12.75" customHeight="1">
      <c r="H110" s="458"/>
      <c r="I110" s="458"/>
      <c r="J110" s="458"/>
      <c r="K110" s="458"/>
      <c r="L110" s="458"/>
      <c r="M110" s="458"/>
      <c r="N110" s="458"/>
      <c r="O110" s="458"/>
      <c r="P110" s="458"/>
      <c r="Q110" s="458"/>
      <c r="R110" s="458"/>
      <c r="S110" s="458"/>
      <c r="T110" s="458"/>
      <c r="U110" s="458"/>
      <c r="V110" s="458"/>
      <c r="W110" s="458"/>
      <c r="X110" s="458"/>
      <c r="Y110" s="458"/>
      <c r="Z110" s="458"/>
      <c r="AA110" s="458"/>
    </row>
    <row r="111" spans="8:27" ht="12.75" customHeight="1">
      <c r="H111" s="458"/>
      <c r="I111" s="458"/>
      <c r="J111" s="458"/>
      <c r="K111" s="458"/>
      <c r="L111" s="458"/>
      <c r="M111" s="458"/>
      <c r="N111" s="458"/>
      <c r="O111" s="458"/>
      <c r="P111" s="458"/>
      <c r="Q111" s="458"/>
      <c r="R111" s="458"/>
      <c r="S111" s="458"/>
      <c r="T111" s="458"/>
      <c r="U111" s="458"/>
      <c r="V111" s="458"/>
      <c r="W111" s="458"/>
      <c r="X111" s="458"/>
      <c r="Y111" s="458"/>
      <c r="Z111" s="458"/>
      <c r="AA111" s="458"/>
    </row>
    <row r="112" spans="8:27" ht="12.75" customHeight="1">
      <c r="H112" s="458"/>
      <c r="I112" s="458"/>
      <c r="J112" s="458"/>
      <c r="K112" s="458"/>
      <c r="L112" s="458"/>
      <c r="M112" s="458"/>
      <c r="N112" s="458"/>
      <c r="O112" s="458"/>
      <c r="P112" s="458"/>
      <c r="Q112" s="458"/>
      <c r="R112" s="458"/>
      <c r="S112" s="458"/>
      <c r="T112" s="458"/>
      <c r="U112" s="458"/>
      <c r="V112" s="458"/>
      <c r="W112" s="458"/>
      <c r="X112" s="458"/>
      <c r="Y112" s="458"/>
      <c r="Z112" s="458"/>
      <c r="AA112" s="458"/>
    </row>
    <row r="113" spans="8:27" ht="12.75" customHeight="1">
      <c r="H113" s="458"/>
      <c r="I113" s="458"/>
      <c r="J113" s="458"/>
      <c r="K113" s="458"/>
      <c r="L113" s="458"/>
      <c r="M113" s="458"/>
      <c r="N113" s="458"/>
      <c r="O113" s="458"/>
      <c r="P113" s="458"/>
      <c r="Q113" s="458"/>
      <c r="R113" s="458"/>
      <c r="S113" s="458"/>
      <c r="T113" s="458"/>
      <c r="U113" s="458"/>
      <c r="V113" s="458"/>
      <c r="W113" s="458"/>
      <c r="X113" s="458"/>
      <c r="Y113" s="458"/>
      <c r="Z113" s="458"/>
      <c r="AA113" s="458"/>
    </row>
    <row r="114" spans="8:27" ht="12.75" customHeight="1">
      <c r="H114" s="458"/>
      <c r="I114" s="458"/>
      <c r="J114" s="458"/>
      <c r="K114" s="458"/>
      <c r="L114" s="458"/>
      <c r="M114" s="458"/>
      <c r="N114" s="458"/>
      <c r="O114" s="458"/>
      <c r="P114" s="458"/>
      <c r="Q114" s="458"/>
      <c r="R114" s="458"/>
      <c r="S114" s="458"/>
      <c r="T114" s="458"/>
      <c r="U114" s="458"/>
      <c r="V114" s="458"/>
      <c r="W114" s="458"/>
      <c r="X114" s="458"/>
      <c r="Y114" s="458"/>
      <c r="Z114" s="458"/>
      <c r="AA114" s="458"/>
    </row>
    <row r="115" spans="8:27" ht="12.75" customHeight="1">
      <c r="H115" s="458"/>
      <c r="I115" s="458"/>
      <c r="J115" s="458"/>
      <c r="K115" s="458"/>
      <c r="L115" s="458"/>
      <c r="M115" s="458"/>
      <c r="N115" s="458"/>
      <c r="O115" s="458"/>
      <c r="P115" s="458"/>
      <c r="Q115" s="458"/>
      <c r="R115" s="458"/>
      <c r="S115" s="458"/>
      <c r="T115" s="458"/>
      <c r="U115" s="458"/>
      <c r="V115" s="458"/>
      <c r="W115" s="458"/>
      <c r="X115" s="458"/>
      <c r="Y115" s="458"/>
      <c r="Z115" s="458"/>
      <c r="AA115" s="458"/>
    </row>
  </sheetData>
  <autoFilter ref="A6:AA18">
    <filterColumn colId="11">
      <filters blank="1">
        <filter val="2020"/>
        <filter val="2021"/>
      </filters>
    </filterColumn>
  </autoFilter>
  <dataConsolidate/>
  <mergeCells count="18">
    <mergeCell ref="W59:W69"/>
    <mergeCell ref="U67:U69"/>
    <mergeCell ref="I25:K25"/>
    <mergeCell ref="L25:O25"/>
    <mergeCell ref="P25:Q25"/>
    <mergeCell ref="S25:T25"/>
    <mergeCell ref="W25:X25"/>
    <mergeCell ref="M5:Q5"/>
    <mergeCell ref="R5:S5"/>
    <mergeCell ref="U59:U61"/>
    <mergeCell ref="I22:J22"/>
    <mergeCell ref="I38:J38"/>
    <mergeCell ref="T5:V5"/>
    <mergeCell ref="I73:J73"/>
    <mergeCell ref="I3:L3"/>
    <mergeCell ref="I2:L2"/>
    <mergeCell ref="A5:G5"/>
    <mergeCell ref="H5:L5"/>
  </mergeCells>
  <conditionalFormatting sqref="K40:L40">
    <cfRule type="duplicateValues" dxfId="5" priority="2"/>
  </conditionalFormatting>
  <conditionalFormatting sqref="K43:L43">
    <cfRule type="duplicateValues" dxfId="4" priority="1"/>
  </conditionalFormatting>
  <dataValidations count="1">
    <dataValidation type="list" allowBlank="1" showInputMessage="1" showErrorMessage="1" sqref="R3">
      <formula1>$U$2:$U$3</formula1>
    </dataValidation>
  </dataValidations>
  <hyperlinks>
    <hyperlink ref="H1" location="' Summary by Program 2020-21'!H1" display="Summary Page"/>
  </hyperlinks>
  <pageMargins left="0.7" right="0.7" top="0.75" bottom="0.75" header="0.3" footer="0.3"/>
  <pageSetup scale="28"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filterMode="1">
    <tabColor rgb="FF0083CA"/>
    <pageSetUpPr fitToPage="1"/>
  </sheetPr>
  <dimension ref="A1:Y81"/>
  <sheetViews>
    <sheetView topLeftCell="H1" workbookViewId="0">
      <selection activeCell="H1" sqref="H1"/>
    </sheetView>
  </sheetViews>
  <sheetFormatPr defaultColWidth="18.6640625" defaultRowHeight="12.75" customHeight="1" outlineLevelCol="1"/>
  <cols>
    <col min="1" max="1" width="16.6640625" style="460" hidden="1" customWidth="1" outlineLevel="1"/>
    <col min="2" max="2" width="15.33203125" style="460" hidden="1" customWidth="1" outlineLevel="1"/>
    <col min="3" max="3" width="11.33203125" style="461" hidden="1" customWidth="1" outlineLevel="1"/>
    <col min="4" max="4" width="10" style="461" hidden="1" customWidth="1" outlineLevel="1"/>
    <col min="5" max="5" width="8.109375" style="461" hidden="1" customWidth="1" outlineLevel="1"/>
    <col min="6" max="6" width="7.44140625" style="461" hidden="1" customWidth="1" outlineLevel="1"/>
    <col min="7" max="7" width="8.109375" style="460" hidden="1" customWidth="1" outlineLevel="1"/>
    <col min="8" max="8" width="15.109375" style="462" customWidth="1" collapsed="1"/>
    <col min="9" max="9" width="29.33203125" style="462" customWidth="1"/>
    <col min="10" max="10" width="13.5546875" style="462" customWidth="1"/>
    <col min="11" max="11" width="16.109375" style="462" customWidth="1"/>
    <col min="12" max="12" width="8" style="462" customWidth="1"/>
    <col min="13" max="16" width="14.88671875" style="463" customWidth="1"/>
    <col min="17" max="17" width="14.33203125" style="462" customWidth="1"/>
    <col min="18" max="18" width="10.88671875" style="462" customWidth="1"/>
    <col min="19" max="19" width="13.5546875" style="462" customWidth="1"/>
    <col min="20" max="21" width="12.33203125" style="462" customWidth="1"/>
    <col min="22" max="22" width="12.33203125" style="464" customWidth="1"/>
    <col min="23" max="23" width="17" style="462" bestFit="1" customWidth="1"/>
    <col min="24" max="24" width="13.88671875" style="462" bestFit="1" customWidth="1"/>
    <col min="25" max="16384" width="18.6640625" style="462"/>
  </cols>
  <sheetData>
    <row r="1" spans="1:23" ht="12.75" customHeight="1">
      <c r="H1" s="239" t="s">
        <v>1067</v>
      </c>
    </row>
    <row r="2" spans="1:23" ht="62.25" customHeight="1">
      <c r="H2" s="1579" t="str">
        <f>I6&amp;":"</f>
        <v>Commissioning Buildings:</v>
      </c>
      <c r="I2" s="2875" t="str">
        <f>INDEX(Programs!C:C,MATCH(Commissioning!I6,Programs!B:B,0))</f>
        <v>NEEA helped make commissioning standard practice in public buildings in the Northwest by educating and building awareness of the value of commissioning, supporting the Building Commissioning Association and supporting projects like the commissioning certification.</v>
      </c>
      <c r="J2" s="2875"/>
      <c r="K2" s="2875"/>
      <c r="L2" s="2875"/>
    </row>
    <row r="3" spans="1:23" ht="12" customHeight="1"/>
    <row r="4" spans="1:23" s="458" customFormat="1" ht="15.75" customHeight="1">
      <c r="A4" s="2876" t="s">
        <v>131</v>
      </c>
      <c r="B4" s="2877"/>
      <c r="C4" s="2877"/>
      <c r="D4" s="2877"/>
      <c r="E4" s="2877"/>
      <c r="F4" s="2877"/>
      <c r="G4" s="2878"/>
      <c r="H4" s="3037" t="s">
        <v>7</v>
      </c>
      <c r="I4" s="3038"/>
      <c r="J4" s="3038"/>
      <c r="K4" s="3038"/>
      <c r="L4" s="3091"/>
      <c r="M4" s="2881" t="s">
        <v>127</v>
      </c>
      <c r="N4" s="2882"/>
      <c r="O4" s="2882"/>
      <c r="P4" s="2882"/>
      <c r="Q4" s="2883"/>
      <c r="R4" s="2884" t="s">
        <v>129</v>
      </c>
      <c r="S4" s="2885"/>
      <c r="T4" s="2872" t="s">
        <v>130</v>
      </c>
      <c r="U4" s="2873"/>
      <c r="V4" s="2874"/>
    </row>
    <row r="5" spans="1:23" s="931" customFormat="1" ht="34.5" customHeight="1" thickBot="1">
      <c r="A5" s="927" t="s">
        <v>0</v>
      </c>
      <c r="B5" s="928" t="s">
        <v>11</v>
      </c>
      <c r="C5" s="929" t="s">
        <v>1</v>
      </c>
      <c r="D5" s="929" t="s">
        <v>2</v>
      </c>
      <c r="E5" s="929" t="s">
        <v>266</v>
      </c>
      <c r="F5" s="929" t="s">
        <v>306</v>
      </c>
      <c r="G5" s="930" t="s">
        <v>12</v>
      </c>
      <c r="H5" s="1584" t="s">
        <v>3</v>
      </c>
      <c r="I5" s="1584" t="s">
        <v>4</v>
      </c>
      <c r="J5" s="1584" t="s">
        <v>5</v>
      </c>
      <c r="K5" s="1584" t="s">
        <v>6</v>
      </c>
      <c r="L5" s="1584" t="s">
        <v>8</v>
      </c>
      <c r="M5" s="1585" t="s">
        <v>13</v>
      </c>
      <c r="N5" s="1584" t="s">
        <v>14</v>
      </c>
      <c r="O5" s="1584" t="s">
        <v>123</v>
      </c>
      <c r="P5" s="1584" t="s">
        <v>124</v>
      </c>
      <c r="Q5" s="1586" t="s">
        <v>16</v>
      </c>
      <c r="R5" s="1585" t="s">
        <v>870</v>
      </c>
      <c r="S5" s="1586" t="s">
        <v>125</v>
      </c>
      <c r="T5" s="1585" t="s">
        <v>126</v>
      </c>
      <c r="U5" s="1584" t="s">
        <v>18</v>
      </c>
      <c r="V5" s="1587" t="s">
        <v>17</v>
      </c>
    </row>
    <row r="6" spans="1:23" ht="12.75" hidden="1" customHeight="1" thickTop="1">
      <c r="A6" s="498" t="s">
        <v>19</v>
      </c>
      <c r="B6" s="499" t="str">
        <f>LEFT(A6,10)</f>
        <v>COM_200002</v>
      </c>
      <c r="C6" s="499">
        <v>0</v>
      </c>
      <c r="D6" s="499">
        <v>0</v>
      </c>
      <c r="E6" s="499">
        <f t="shared" ref="E6:E13" si="0">COUNTIFS($A:$A,A6,$L:$L,L6)</f>
        <v>1</v>
      </c>
      <c r="F6" s="499">
        <v>1</v>
      </c>
      <c r="G6" s="500" t="b">
        <v>1</v>
      </c>
      <c r="H6" s="599" t="str">
        <f>IF(LEFT(A6,3)="Res","Residential",IF(LEFT(A6,3)="Ind","industrial",IF(LEFT(A6,3)="Com","Commercial",IF(LEFT(A6,3)="AGR","Agriculture",""))))</f>
        <v>Commercial</v>
      </c>
      <c r="I6" s="550" t="s">
        <v>137</v>
      </c>
      <c r="J6" s="550" t="s">
        <v>434</v>
      </c>
      <c r="K6" s="550" t="s">
        <v>485</v>
      </c>
      <c r="L6" s="23">
        <v>2018</v>
      </c>
      <c r="M6" s="511">
        <v>8721132</v>
      </c>
      <c r="N6" s="512">
        <v>4978506.0635767393</v>
      </c>
      <c r="O6" s="512">
        <v>1657015.08</v>
      </c>
      <c r="P6" s="317" t="s">
        <v>192</v>
      </c>
      <c r="Q6" s="505">
        <v>0.1037</v>
      </c>
      <c r="R6" s="601">
        <f t="shared" ref="R6:R13" si="1">VLOOKUP(J6,$L$32:$M$34,2,FALSE)</f>
        <v>0.43437652929726744</v>
      </c>
      <c r="S6" s="70" t="s">
        <v>238</v>
      </c>
      <c r="T6" s="602">
        <f>(M6-O6)*Q6*R6/8760000</f>
        <v>3.63244360056999E-2</v>
      </c>
      <c r="U6" s="553">
        <f>IFERROR((N6-O6/M6*N6)*Q6*R6/8760/1000,0)</f>
        <v>2.0736003641543575E-2</v>
      </c>
      <c r="V6" s="554">
        <f>T6-U6</f>
        <v>1.5588432364156326E-2</v>
      </c>
    </row>
    <row r="7" spans="1:23" ht="12.75" hidden="1" customHeight="1">
      <c r="A7" s="498" t="s">
        <v>20</v>
      </c>
      <c r="B7" s="499" t="str">
        <f t="shared" ref="B7:B9" si="2">LEFT(A7,10)</f>
        <v>COM_200002</v>
      </c>
      <c r="C7" s="499">
        <v>0</v>
      </c>
      <c r="D7" s="499">
        <v>0</v>
      </c>
      <c r="E7" s="499">
        <f t="shared" si="0"/>
        <v>1</v>
      </c>
      <c r="F7" s="499">
        <v>1</v>
      </c>
      <c r="G7" s="500" t="b">
        <v>1</v>
      </c>
      <c r="H7" s="501" t="str">
        <f>IF(LEFT(A7,3)="Res","Residential",IF(LEFT(A7,3)="Ind","industrial",IF(LEFT(A7,3)="Com","Commercial",IF(LEFT(A7,3)="AGR","Agriculture",""))))</f>
        <v>Commercial</v>
      </c>
      <c r="I7" s="502" t="s">
        <v>137</v>
      </c>
      <c r="J7" s="502" t="s">
        <v>462</v>
      </c>
      <c r="K7" s="502" t="s">
        <v>485</v>
      </c>
      <c r="L7" s="24">
        <v>2018</v>
      </c>
      <c r="M7" s="511">
        <v>13478065.95882356</v>
      </c>
      <c r="N7" s="512">
        <v>2885908.8315881998</v>
      </c>
      <c r="O7" s="512">
        <v>2560832.5321764699</v>
      </c>
      <c r="P7" s="318" t="s">
        <v>192</v>
      </c>
      <c r="Q7" s="505">
        <v>0.1037</v>
      </c>
      <c r="R7" s="603">
        <f t="shared" si="1"/>
        <v>0.41337028570257123</v>
      </c>
      <c r="S7" s="71" t="s">
        <v>238</v>
      </c>
      <c r="T7" s="604">
        <f>(M7-O7)*Q7*R7/8760000</f>
        <v>5.3422782157294457E-2</v>
      </c>
      <c r="U7" s="508">
        <f t="shared" ref="U7" si="3">IFERROR((N7-O7/M7*N7)*Q7*R7/8760/1000,0)</f>
        <v>1.1438828041557209E-2</v>
      </c>
      <c r="V7" s="509">
        <f t="shared" ref="V7" si="4">T7-U7</f>
        <v>4.198395411573725E-2</v>
      </c>
    </row>
    <row r="8" spans="1:23" ht="12.75" hidden="1" customHeight="1">
      <c r="A8" s="460" t="s">
        <v>19</v>
      </c>
      <c r="B8" s="499" t="str">
        <f t="shared" si="2"/>
        <v>COM_200002</v>
      </c>
      <c r="C8" s="499">
        <v>0</v>
      </c>
      <c r="D8" s="499">
        <v>0</v>
      </c>
      <c r="E8" s="499">
        <f t="shared" si="0"/>
        <v>1</v>
      </c>
      <c r="F8" s="499">
        <v>1</v>
      </c>
      <c r="G8" s="500" t="b">
        <v>1</v>
      </c>
      <c r="H8" s="501" t="str">
        <f t="shared" ref="H8:H9" si="5">IF(LEFT(A8,3)="Res","Residential",IF(LEFT(A8,3)="Ind","industrial",IF(LEFT(A8,3)="Com","Commercial",IF(LEFT(A8,3)="AGR","Agriculture",""))))</f>
        <v>Commercial</v>
      </c>
      <c r="I8" s="502" t="s">
        <v>137</v>
      </c>
      <c r="J8" s="502" t="s">
        <v>434</v>
      </c>
      <c r="K8" s="502" t="s">
        <v>485</v>
      </c>
      <c r="L8" s="24">
        <v>2019</v>
      </c>
      <c r="M8" s="511">
        <v>8721132</v>
      </c>
      <c r="N8" s="512">
        <v>4602222.3580678599</v>
      </c>
      <c r="O8" s="512">
        <v>1657015.08</v>
      </c>
      <c r="P8" s="318" t="s">
        <v>192</v>
      </c>
      <c r="Q8" s="505">
        <v>0.1037</v>
      </c>
      <c r="R8" s="603">
        <f t="shared" si="1"/>
        <v>0.43437652929726744</v>
      </c>
      <c r="S8" s="71" t="s">
        <v>238</v>
      </c>
      <c r="T8" s="604">
        <f t="shared" ref="T8:T9" si="6">(M8-O8)*Q8*R8/8760000</f>
        <v>3.63244360056999E-2</v>
      </c>
      <c r="U8" s="508">
        <f>IFERROR((N8-O8/M8*N8)*Q8*R8/8760/1000,0)</f>
        <v>1.9168742260710796E-2</v>
      </c>
      <c r="V8" s="509">
        <f t="shared" ref="V8:V9" si="7">T8-U8</f>
        <v>1.7155693744989105E-2</v>
      </c>
    </row>
    <row r="9" spans="1:23" ht="12.75" hidden="1" customHeight="1" thickBot="1">
      <c r="A9" s="460" t="s">
        <v>20</v>
      </c>
      <c r="B9" s="499" t="str">
        <f t="shared" si="2"/>
        <v>COM_200002</v>
      </c>
      <c r="C9" s="499">
        <v>0</v>
      </c>
      <c r="D9" s="499">
        <v>0</v>
      </c>
      <c r="E9" s="499">
        <f t="shared" si="0"/>
        <v>1</v>
      </c>
      <c r="F9" s="499">
        <v>1</v>
      </c>
      <c r="G9" s="500" t="b">
        <v>1</v>
      </c>
      <c r="H9" s="710" t="str">
        <f t="shared" si="5"/>
        <v>Commercial</v>
      </c>
      <c r="I9" s="559" t="s">
        <v>137</v>
      </c>
      <c r="J9" s="559" t="s">
        <v>462</v>
      </c>
      <c r="K9" s="559" t="s">
        <v>485</v>
      </c>
      <c r="L9" s="277">
        <v>2019</v>
      </c>
      <c r="M9" s="560">
        <v>13478065.95882356</v>
      </c>
      <c r="N9" s="561">
        <v>2885908.8315881998</v>
      </c>
      <c r="O9" s="561">
        <v>2560832.5321764699</v>
      </c>
      <c r="P9" s="319" t="s">
        <v>192</v>
      </c>
      <c r="Q9" s="562">
        <v>0.1037</v>
      </c>
      <c r="R9" s="835">
        <f t="shared" si="1"/>
        <v>0.41337028570257123</v>
      </c>
      <c r="S9" s="696" t="s">
        <v>238</v>
      </c>
      <c r="T9" s="836">
        <f t="shared" si="6"/>
        <v>5.3422782157294457E-2</v>
      </c>
      <c r="U9" s="565">
        <f t="shared" ref="U9" si="8">IFERROR((N9-O9/M9*N9)*Q9*R9/8760/1000,0)</f>
        <v>1.1438828041557209E-2</v>
      </c>
      <c r="V9" s="566">
        <f t="shared" si="7"/>
        <v>4.198395411573725E-2</v>
      </c>
    </row>
    <row r="10" spans="1:23" s="724" customFormat="1" ht="12.75" customHeight="1" thickTop="1">
      <c r="A10" s="712" t="s">
        <v>19</v>
      </c>
      <c r="B10" s="713" t="str">
        <f>LEFT(A10,10)</f>
        <v>COM_200002</v>
      </c>
      <c r="C10" s="713">
        <v>0</v>
      </c>
      <c r="D10" s="713">
        <v>0</v>
      </c>
      <c r="E10" s="713">
        <f t="shared" si="0"/>
        <v>1</v>
      </c>
      <c r="F10" s="713">
        <v>1</v>
      </c>
      <c r="G10" s="714" t="b">
        <v>1</v>
      </c>
      <c r="H10" s="715" t="str">
        <f>IF(LEFT(A10,3)="Res","Residential",IF(LEFT(A10,3)="Ind","industrial",IF(LEFT(A10,3)="Com","Commercial",IF(LEFT(A10,3)="AGR","Agriculture",""))))</f>
        <v>Commercial</v>
      </c>
      <c r="I10" s="716" t="s">
        <v>137</v>
      </c>
      <c r="J10" s="716" t="s">
        <v>434</v>
      </c>
      <c r="K10" s="716" t="s">
        <v>485</v>
      </c>
      <c r="L10" s="701">
        <v>2020</v>
      </c>
      <c r="M10" s="763">
        <v>8721132</v>
      </c>
      <c r="N10" s="764">
        <v>4201872.2238389496</v>
      </c>
      <c r="O10" s="764">
        <v>1512870.3259912401</v>
      </c>
      <c r="P10" s="765" t="s">
        <v>192</v>
      </c>
      <c r="Q10" s="719">
        <v>0.1037</v>
      </c>
      <c r="R10" s="837">
        <f t="shared" si="1"/>
        <v>0.43437652929726744</v>
      </c>
      <c r="S10" s="808" t="s">
        <v>238</v>
      </c>
      <c r="T10" s="838">
        <f>(M10-O10)*Q10*R10/8760000</f>
        <v>3.7065643569482491E-2</v>
      </c>
      <c r="U10" s="722">
        <f>IFERROR((N10-O10/M10*N10)*Q10*R10/8760/1000,0)</f>
        <v>1.7858358086235052E-2</v>
      </c>
      <c r="V10" s="723">
        <f>T10-U10</f>
        <v>1.920728548324744E-2</v>
      </c>
    </row>
    <row r="11" spans="1:23" s="482" customFormat="1" ht="12.75" customHeight="1">
      <c r="A11" s="726" t="s">
        <v>20</v>
      </c>
      <c r="B11" s="499" t="str">
        <f t="shared" ref="B11:B13" si="9">LEFT(A11,10)</f>
        <v>COM_200002</v>
      </c>
      <c r="C11" s="499">
        <v>0</v>
      </c>
      <c r="D11" s="499">
        <v>0</v>
      </c>
      <c r="E11" s="499">
        <f t="shared" si="0"/>
        <v>1</v>
      </c>
      <c r="F11" s="499">
        <v>1</v>
      </c>
      <c r="G11" s="500" t="b">
        <v>1</v>
      </c>
      <c r="H11" s="501" t="str">
        <f>IF(LEFT(A11,3)="Res","Residential",IF(LEFT(A11,3)="Ind","industrial",IF(LEFT(A11,3)="Com","Commercial",IF(LEFT(A11,3)="AGR","Agriculture",""))))</f>
        <v>Commercial</v>
      </c>
      <c r="I11" s="502" t="s">
        <v>137</v>
      </c>
      <c r="J11" s="502" t="s">
        <v>462</v>
      </c>
      <c r="K11" s="502" t="s">
        <v>485</v>
      </c>
      <c r="L11" s="24">
        <v>2020</v>
      </c>
      <c r="M11" s="511">
        <v>12305600.7678921</v>
      </c>
      <c r="N11" s="512">
        <v>2654952.8604597799</v>
      </c>
      <c r="O11" s="512">
        <v>2338064.14589949</v>
      </c>
      <c r="P11" s="318" t="s">
        <v>192</v>
      </c>
      <c r="Q11" s="505">
        <v>0.1037</v>
      </c>
      <c r="R11" s="603">
        <f t="shared" si="1"/>
        <v>0.41337028570257123</v>
      </c>
      <c r="S11" s="71" t="s">
        <v>238</v>
      </c>
      <c r="T11" s="604">
        <f>(M11-O11)*Q11*R11/8760000</f>
        <v>4.8775501703741238E-2</v>
      </c>
      <c r="U11" s="508">
        <f t="shared" ref="U11" si="10">IFERROR((N11-O11/M11*N11)*Q11*R11/8760/1000,0)</f>
        <v>1.0523391763740024E-2</v>
      </c>
      <c r="V11" s="509">
        <f t="shared" ref="V11:V13" si="11">T11-U11</f>
        <v>3.8252109940001215E-2</v>
      </c>
    </row>
    <row r="12" spans="1:23" s="482" customFormat="1" ht="12.75" customHeight="1">
      <c r="A12" s="726" t="s">
        <v>19</v>
      </c>
      <c r="B12" s="499" t="str">
        <f t="shared" si="9"/>
        <v>COM_200002</v>
      </c>
      <c r="C12" s="499">
        <v>0</v>
      </c>
      <c r="D12" s="499">
        <v>0</v>
      </c>
      <c r="E12" s="499">
        <f t="shared" si="0"/>
        <v>1</v>
      </c>
      <c r="F12" s="499">
        <v>1</v>
      </c>
      <c r="G12" s="500" t="b">
        <v>1</v>
      </c>
      <c r="H12" s="501" t="str">
        <f t="shared" ref="H12:H13" si="12">IF(LEFT(A12,3)="Res","Residential",IF(LEFT(A12,3)="Ind","industrial",IF(LEFT(A12,3)="Com","Commercial",IF(LEFT(A12,3)="AGR","Agriculture",""))))</f>
        <v>Commercial</v>
      </c>
      <c r="I12" s="502" t="s">
        <v>137</v>
      </c>
      <c r="J12" s="502" t="s">
        <v>434</v>
      </c>
      <c r="K12" s="502" t="s">
        <v>485</v>
      </c>
      <c r="L12" s="24">
        <v>2021</v>
      </c>
      <c r="M12" s="511">
        <v>7962475.3999538701</v>
      </c>
      <c r="N12" s="512">
        <v>4201872.2238389496</v>
      </c>
      <c r="O12" s="512">
        <v>1512870.3259912401</v>
      </c>
      <c r="P12" s="318" t="s">
        <v>192</v>
      </c>
      <c r="Q12" s="505">
        <v>0.1037</v>
      </c>
      <c r="R12" s="603">
        <f t="shared" si="1"/>
        <v>0.43437652929726744</v>
      </c>
      <c r="S12" s="71" t="s">
        <v>238</v>
      </c>
      <c r="T12" s="604">
        <f t="shared" ref="T12:T13" si="13">(M12-O12)*Q12*R12/8760000</f>
        <v>3.3164551128521375E-2</v>
      </c>
      <c r="U12" s="508">
        <f>IFERROR((N12-O12/M12*N12)*Q12*R12/8760/1000,0)</f>
        <v>1.7501241662087642E-2</v>
      </c>
      <c r="V12" s="509">
        <f t="shared" si="11"/>
        <v>1.5663309466433732E-2</v>
      </c>
    </row>
    <row r="13" spans="1:23" s="496" customFormat="1" ht="12.75" customHeight="1" thickBot="1">
      <c r="A13" s="730" t="s">
        <v>20</v>
      </c>
      <c r="B13" s="731" t="str">
        <f t="shared" si="9"/>
        <v>COM_200002</v>
      </c>
      <c r="C13" s="731">
        <v>0</v>
      </c>
      <c r="D13" s="731">
        <v>0</v>
      </c>
      <c r="E13" s="731">
        <f t="shared" si="0"/>
        <v>1</v>
      </c>
      <c r="F13" s="731">
        <v>1</v>
      </c>
      <c r="G13" s="732" t="b">
        <v>1</v>
      </c>
      <c r="H13" s="733" t="str">
        <f t="shared" si="12"/>
        <v>Commercial</v>
      </c>
      <c r="I13" s="734" t="s">
        <v>137</v>
      </c>
      <c r="J13" s="734" t="s">
        <v>462</v>
      </c>
      <c r="K13" s="734" t="s">
        <v>485</v>
      </c>
      <c r="L13" s="708">
        <v>2021</v>
      </c>
      <c r="M13" s="735">
        <v>12305600.7678921</v>
      </c>
      <c r="N13" s="736">
        <v>2654952.8604597799</v>
      </c>
      <c r="O13" s="736">
        <v>2338064.14589949</v>
      </c>
      <c r="P13" s="810" t="s">
        <v>192</v>
      </c>
      <c r="Q13" s="737">
        <v>0.1037</v>
      </c>
      <c r="R13" s="839">
        <f t="shared" si="1"/>
        <v>0.41337028570257123</v>
      </c>
      <c r="S13" s="709" t="s">
        <v>238</v>
      </c>
      <c r="T13" s="840">
        <f t="shared" si="13"/>
        <v>4.8775501703741238E-2</v>
      </c>
      <c r="U13" s="740">
        <f t="shared" ref="U13" si="14">IFERROR((N13-O13/M13*N13)*Q13*R13/8760/1000,0)</f>
        <v>1.0523391763740024E-2</v>
      </c>
      <c r="V13" s="741">
        <f t="shared" si="11"/>
        <v>3.8252109940001215E-2</v>
      </c>
    </row>
    <row r="14" spans="1:23" ht="12.75" customHeight="1">
      <c r="B14" s="499"/>
      <c r="C14" s="499"/>
      <c r="D14" s="499"/>
      <c r="E14" s="499"/>
      <c r="F14" s="499"/>
      <c r="G14" s="499"/>
      <c r="H14" s="458"/>
      <c r="I14" s="458"/>
      <c r="J14" s="458"/>
      <c r="K14" s="458"/>
      <c r="L14" s="458"/>
      <c r="M14" s="458"/>
      <c r="N14" s="458"/>
      <c r="O14" s="458"/>
      <c r="P14" s="458"/>
      <c r="Q14" s="458"/>
      <c r="R14" s="458"/>
      <c r="S14" s="458"/>
      <c r="T14" s="458"/>
      <c r="U14" s="458"/>
      <c r="V14" s="458"/>
      <c r="W14" s="458"/>
    </row>
    <row r="15" spans="1:23" ht="12.75" customHeight="1">
      <c r="A15" s="460" t="s">
        <v>1405</v>
      </c>
      <c r="F15" s="499"/>
      <c r="H15" s="939" t="s">
        <v>1355</v>
      </c>
      <c r="I15" s="940"/>
      <c r="J15" s="940"/>
      <c r="K15" s="940"/>
      <c r="L15" s="96"/>
    </row>
    <row r="16" spans="1:23" ht="139.5" customHeight="1">
      <c r="A16" s="460" t="s">
        <v>1407</v>
      </c>
      <c r="F16" s="499"/>
      <c r="H16" s="2956" t="s">
        <v>1617</v>
      </c>
      <c r="I16" s="2957"/>
      <c r="J16" s="2957"/>
      <c r="K16" s="2957"/>
      <c r="L16" s="2957"/>
      <c r="M16" s="2958"/>
    </row>
    <row r="17" spans="1:25" ht="12.75" customHeight="1">
      <c r="B17" s="499"/>
      <c r="C17" s="499"/>
      <c r="D17" s="499"/>
      <c r="E17" s="499"/>
      <c r="F17" s="499"/>
      <c r="G17" s="499"/>
      <c r="H17" s="458"/>
      <c r="I17" s="458"/>
      <c r="J17" s="458"/>
      <c r="K17" s="458"/>
      <c r="L17" s="458"/>
      <c r="M17" s="458"/>
      <c r="N17" s="458"/>
      <c r="O17" s="458"/>
      <c r="P17" s="458"/>
      <c r="Q17" s="458"/>
      <c r="R17" s="458"/>
      <c r="S17" s="458"/>
      <c r="T17" s="458"/>
      <c r="U17" s="458"/>
      <c r="V17" s="458"/>
      <c r="W17" s="458"/>
    </row>
    <row r="18" spans="1:25" customFormat="1" ht="22.5" customHeight="1">
      <c r="A18" s="460"/>
      <c r="B18" s="460"/>
      <c r="C18" s="461"/>
      <c r="D18" s="461"/>
      <c r="E18" s="461"/>
      <c r="F18" s="461"/>
      <c r="G18" s="460"/>
      <c r="H18" s="891" t="s">
        <v>10</v>
      </c>
    </row>
    <row r="19" spans="1:25" ht="12.75" customHeight="1">
      <c r="M19" s="462"/>
      <c r="N19" s="462"/>
      <c r="O19" s="462"/>
      <c r="P19" s="462"/>
      <c r="V19" s="462"/>
    </row>
    <row r="20" spans="1:25" ht="12.75" customHeight="1">
      <c r="H20" s="462" t="s">
        <v>193</v>
      </c>
      <c r="M20" s="462"/>
      <c r="N20" s="462"/>
      <c r="O20" s="462"/>
      <c r="P20" s="462"/>
      <c r="V20" s="462"/>
    </row>
    <row r="21" spans="1:25" ht="12.75" customHeight="1">
      <c r="H21" s="462" t="s">
        <v>239</v>
      </c>
      <c r="M21" s="462"/>
      <c r="N21" s="462"/>
      <c r="O21" s="462"/>
      <c r="P21" s="462"/>
      <c r="V21" s="462"/>
    </row>
    <row r="22" spans="1:25" ht="12.75" customHeight="1">
      <c r="H22" s="462" t="s">
        <v>240</v>
      </c>
      <c r="M22" s="462"/>
      <c r="N22" s="462"/>
      <c r="O22" s="462"/>
      <c r="P22" s="462"/>
      <c r="V22" s="462"/>
    </row>
    <row r="23" spans="1:25" ht="12.75" customHeight="1">
      <c r="H23" s="462" t="s">
        <v>241</v>
      </c>
      <c r="M23" s="462"/>
      <c r="N23" s="462"/>
      <c r="O23" s="462"/>
      <c r="P23" s="462"/>
      <c r="V23" s="462"/>
    </row>
    <row r="24" spans="1:25" ht="12.75" customHeight="1">
      <c r="M24" s="462"/>
      <c r="N24" s="462"/>
      <c r="O24" s="462"/>
      <c r="P24" s="462"/>
      <c r="V24" s="462"/>
    </row>
    <row r="25" spans="1:25" ht="12.75" customHeight="1">
      <c r="H25" s="462" t="s">
        <v>1555</v>
      </c>
      <c r="M25" s="462"/>
      <c r="N25" s="462"/>
      <c r="O25" s="462"/>
      <c r="P25" s="462"/>
      <c r="R25" s="463"/>
      <c r="S25" s="463"/>
      <c r="T25" s="463"/>
      <c r="U25" s="463"/>
      <c r="V25" s="462"/>
    </row>
    <row r="26" spans="1:25" ht="28.2" thickBot="1">
      <c r="H26" s="466" t="s">
        <v>242</v>
      </c>
      <c r="J26" s="466" t="s">
        <v>243</v>
      </c>
      <c r="M26" s="3013" t="s">
        <v>1569</v>
      </c>
      <c r="N26" s="3013"/>
      <c r="O26" s="3013" t="s">
        <v>244</v>
      </c>
      <c r="P26" s="3013"/>
      <c r="Q26" s="465" t="s">
        <v>1570</v>
      </c>
      <c r="S26" s="465" t="s">
        <v>1571</v>
      </c>
      <c r="T26" s="466"/>
      <c r="U26" s="465" t="s">
        <v>1572</v>
      </c>
      <c r="V26" s="462"/>
      <c r="W26" s="465" t="s">
        <v>1573</v>
      </c>
    </row>
    <row r="27" spans="1:25" ht="12.75" customHeight="1" thickTop="1" thickBot="1">
      <c r="H27" s="462" t="s">
        <v>245</v>
      </c>
      <c r="I27" s="462" t="s">
        <v>434</v>
      </c>
      <c r="J27" s="2153">
        <f>SUMPRODUCT(U41:U58,Y41:Y58)</f>
        <v>0.43923958454096046</v>
      </c>
      <c r="K27" s="462" t="s">
        <v>197</v>
      </c>
      <c r="M27" s="2154">
        <f>J27*W27</f>
        <v>0.42797994179603638</v>
      </c>
      <c r="N27" s="462" t="s">
        <v>197</v>
      </c>
      <c r="O27" s="2155">
        <v>0.55000000000000004</v>
      </c>
      <c r="P27" s="462" t="s">
        <v>197</v>
      </c>
      <c r="Q27" s="2155">
        <v>0.48</v>
      </c>
      <c r="R27" s="462" t="s">
        <v>197</v>
      </c>
      <c r="S27" s="1939">
        <v>0.20141313461016452</v>
      </c>
      <c r="U27" s="2155">
        <f>Q27*S27+O27*(1-S27)</f>
        <v>0.53590108057728858</v>
      </c>
      <c r="V27" s="462" t="s">
        <v>197</v>
      </c>
      <c r="W27" s="2156">
        <f>U27/O27</f>
        <v>0.97436560104961556</v>
      </c>
    </row>
    <row r="28" spans="1:25" ht="12.75" customHeight="1" thickTop="1" thickBot="1">
      <c r="H28" s="462" t="s">
        <v>246</v>
      </c>
      <c r="I28" s="462" t="s">
        <v>434</v>
      </c>
      <c r="J28" s="2153">
        <f>J27</f>
        <v>0.43923958454096046</v>
      </c>
      <c r="K28" s="462" t="s">
        <v>197</v>
      </c>
      <c r="M28" s="2154">
        <f>J28*W28</f>
        <v>0.43764783104729227</v>
      </c>
      <c r="N28" s="462" t="s">
        <v>197</v>
      </c>
      <c r="O28" s="2155">
        <v>0.55000000000000004</v>
      </c>
      <c r="P28" s="462" t="s">
        <v>197</v>
      </c>
      <c r="Q28" s="2155">
        <v>0.48</v>
      </c>
      <c r="R28" s="462" t="s">
        <v>197</v>
      </c>
      <c r="S28" s="1939">
        <v>2.8473377703826963E-2</v>
      </c>
      <c r="U28" s="2155">
        <f>Q28*S28+O28*(1-S28)</f>
        <v>0.54800686356073214</v>
      </c>
      <c r="V28" s="462" t="s">
        <v>197</v>
      </c>
      <c r="W28" s="2156">
        <f>U28/O28</f>
        <v>0.99637611556496741</v>
      </c>
    </row>
    <row r="29" spans="1:25" ht="12.75" customHeight="1" thickTop="1" thickBot="1">
      <c r="H29" s="462" t="s">
        <v>247</v>
      </c>
      <c r="I29" s="462" t="s">
        <v>462</v>
      </c>
      <c r="J29" s="2153">
        <f>SUMPRODUCT(U63:U80,Y63:Y80)</f>
        <v>0.49414453260858049</v>
      </c>
      <c r="K29" s="462" t="s">
        <v>197</v>
      </c>
      <c r="M29" s="2154">
        <f>J29*W29</f>
        <v>0.41337028570257123</v>
      </c>
      <c r="N29" s="462" t="s">
        <v>197</v>
      </c>
      <c r="O29" s="2155">
        <v>1.7</v>
      </c>
      <c r="P29" s="462" t="s">
        <v>197</v>
      </c>
      <c r="Q29" s="2155">
        <v>0.59</v>
      </c>
      <c r="R29" s="462" t="s">
        <v>197</v>
      </c>
      <c r="S29" s="1939">
        <v>0.25034842623718295</v>
      </c>
      <c r="U29" s="2155">
        <f>Q29*S29+O29*(1-S29)</f>
        <v>1.422113246876727</v>
      </c>
      <c r="V29" s="462" t="s">
        <v>197</v>
      </c>
      <c r="W29" s="2156">
        <f>U29/O29</f>
        <v>0.83653720404513354</v>
      </c>
    </row>
    <row r="30" spans="1:25" ht="12.75" customHeight="1" thickTop="1">
      <c r="M30" s="462"/>
      <c r="N30" s="462"/>
      <c r="O30" s="1177"/>
      <c r="P30" s="462"/>
      <c r="Q30" s="1177"/>
      <c r="S30" s="2157"/>
      <c r="U30" s="1177"/>
      <c r="V30" s="462"/>
      <c r="W30" s="2158"/>
      <c r="Y30" s="2159"/>
    </row>
    <row r="31" spans="1:25" ht="12.75" customHeight="1" thickBot="1">
      <c r="J31" s="466" t="s">
        <v>1648</v>
      </c>
      <c r="M31" s="466" t="s">
        <v>1649</v>
      </c>
      <c r="N31" s="462"/>
      <c r="O31" s="1177"/>
      <c r="P31" s="462"/>
      <c r="Q31" s="1177"/>
      <c r="S31" s="2157"/>
      <c r="U31" s="1177"/>
      <c r="V31" s="462"/>
      <c r="W31" s="2158"/>
      <c r="Y31" s="2159"/>
    </row>
    <row r="32" spans="1:25" ht="12.75" customHeight="1" thickTop="1" thickBot="1">
      <c r="H32" s="462" t="s">
        <v>245</v>
      </c>
      <c r="I32" s="462" t="s">
        <v>434</v>
      </c>
      <c r="J32" s="2160">
        <v>2950949.6470588236</v>
      </c>
      <c r="L32" s="3102" t="s">
        <v>434</v>
      </c>
      <c r="M32" s="3100">
        <f>SUMPRODUCT(M27:M28,J32:J33)/SUM(J32:J33)</f>
        <v>0.43437652929726744</v>
      </c>
      <c r="N32" s="462"/>
      <c r="O32" s="1177"/>
      <c r="P32" s="462"/>
      <c r="Q32" s="1177"/>
      <c r="S32" s="2157"/>
      <c r="U32" s="1177"/>
      <c r="V32" s="462"/>
      <c r="W32" s="2158"/>
      <c r="Y32" s="2159"/>
    </row>
    <row r="33" spans="8:25" ht="12.75" customHeight="1" thickTop="1" thickBot="1">
      <c r="H33" s="462" t="s">
        <v>246</v>
      </c>
      <c r="I33" s="462" t="s">
        <v>434</v>
      </c>
      <c r="J33" s="2160">
        <v>5770182.3529411769</v>
      </c>
      <c r="L33" s="3102"/>
      <c r="M33" s="3101"/>
      <c r="N33" s="462"/>
      <c r="O33" s="1177"/>
      <c r="P33" s="462"/>
      <c r="Q33" s="1177"/>
      <c r="S33" s="2157"/>
      <c r="U33" s="1177"/>
      <c r="V33" s="462"/>
      <c r="W33" s="2158"/>
      <c r="Y33" s="2159"/>
    </row>
    <row r="34" spans="8:25" ht="12.75" customHeight="1" thickTop="1" thickBot="1">
      <c r="H34" s="462" t="s">
        <v>247</v>
      </c>
      <c r="I34" s="462" t="s">
        <v>462</v>
      </c>
      <c r="J34" s="2160">
        <v>13478065.958823528</v>
      </c>
      <c r="L34" s="1680" t="s">
        <v>462</v>
      </c>
      <c r="M34" s="2161">
        <f>M29</f>
        <v>0.41337028570257123</v>
      </c>
      <c r="N34" s="462"/>
      <c r="O34" s="1177"/>
      <c r="P34" s="462"/>
      <c r="Q34" s="1177"/>
      <c r="S34" s="2157"/>
      <c r="U34" s="1177"/>
      <c r="V34" s="462"/>
      <c r="W34" s="2158"/>
      <c r="Y34" s="2159"/>
    </row>
    <row r="35" spans="8:25" ht="12.75" customHeight="1" thickTop="1" thickBot="1">
      <c r="M35" s="462"/>
      <c r="N35" s="462"/>
      <c r="O35" s="462"/>
      <c r="P35" s="462"/>
      <c r="R35" s="463"/>
      <c r="S35" s="463"/>
      <c r="T35" s="463"/>
      <c r="U35" s="463"/>
      <c r="V35" s="462"/>
    </row>
    <row r="36" spans="8:25" ht="12.75" customHeight="1" thickTop="1" thickBot="1">
      <c r="H36" s="949" t="s">
        <v>204</v>
      </c>
      <c r="I36" s="949"/>
      <c r="M36" s="462"/>
      <c r="N36" s="462"/>
      <c r="O36" s="462"/>
      <c r="P36" s="462"/>
      <c r="R36" s="463"/>
      <c r="S36" s="463"/>
      <c r="T36" s="463"/>
      <c r="U36" s="463"/>
      <c r="V36" s="462"/>
    </row>
    <row r="37" spans="8:25" ht="12.75" customHeight="1" thickTop="1">
      <c r="M37" s="462"/>
      <c r="N37" s="462"/>
      <c r="O37" s="462"/>
      <c r="P37" s="462"/>
      <c r="R37" s="463"/>
      <c r="S37" s="463"/>
      <c r="T37" s="463"/>
      <c r="U37" s="463"/>
      <c r="V37" s="462"/>
    </row>
    <row r="38" spans="8:25" ht="12.75" customHeight="1">
      <c r="H38" s="1950" t="s">
        <v>206</v>
      </c>
      <c r="L38" s="1951" t="s">
        <v>248</v>
      </c>
      <c r="M38" s="462"/>
      <c r="N38" s="462"/>
      <c r="O38" s="462"/>
      <c r="P38" s="462"/>
      <c r="U38" s="466" t="s">
        <v>205</v>
      </c>
      <c r="V38" s="462"/>
    </row>
    <row r="39" spans="8:25" ht="12.75" customHeight="1">
      <c r="H39" s="1952"/>
      <c r="I39" s="1952" t="s">
        <v>207</v>
      </c>
      <c r="J39" s="1952" t="s">
        <v>208</v>
      </c>
      <c r="K39" s="1952" t="s">
        <v>209</v>
      </c>
      <c r="L39" s="1952"/>
      <c r="M39" s="1952" t="s">
        <v>249</v>
      </c>
      <c r="N39" s="1952" t="s">
        <v>250</v>
      </c>
      <c r="O39" s="1952" t="s">
        <v>251</v>
      </c>
      <c r="P39" s="1952" t="s">
        <v>252</v>
      </c>
      <c r="Q39" s="1952" t="s">
        <v>253</v>
      </c>
      <c r="R39" s="1952" t="s">
        <v>254</v>
      </c>
      <c r="S39" s="1952" t="s">
        <v>255</v>
      </c>
      <c r="T39" s="1952"/>
      <c r="U39" s="1953" t="s">
        <v>210</v>
      </c>
      <c r="V39" s="1953"/>
      <c r="W39" s="1953"/>
      <c r="X39" s="1953"/>
      <c r="Y39" s="1954"/>
    </row>
    <row r="40" spans="8:25" ht="12.75" customHeight="1" thickBot="1">
      <c r="H40" s="1952" t="s">
        <v>211</v>
      </c>
      <c r="I40" s="1952" t="s">
        <v>212</v>
      </c>
      <c r="J40" s="1952" t="s">
        <v>213</v>
      </c>
      <c r="K40" s="1952" t="s">
        <v>214</v>
      </c>
      <c r="L40" s="1952" t="s">
        <v>256</v>
      </c>
      <c r="M40" s="1952" t="s">
        <v>257</v>
      </c>
      <c r="N40" s="1952" t="s">
        <v>258</v>
      </c>
      <c r="O40" s="1952" t="s">
        <v>259</v>
      </c>
      <c r="P40" s="1952" t="s">
        <v>260</v>
      </c>
      <c r="Q40" s="1952" t="s">
        <v>261</v>
      </c>
      <c r="R40" s="2162" t="s">
        <v>262</v>
      </c>
      <c r="S40" s="1952" t="s">
        <v>255</v>
      </c>
      <c r="T40" s="1952" t="s">
        <v>263</v>
      </c>
      <c r="U40" s="1953" t="s">
        <v>215</v>
      </c>
      <c r="V40" s="1953" t="s">
        <v>216</v>
      </c>
      <c r="W40" s="1953" t="s">
        <v>217</v>
      </c>
      <c r="X40" s="1953" t="s">
        <v>218</v>
      </c>
      <c r="Y40" s="1953" t="s">
        <v>264</v>
      </c>
    </row>
    <row r="41" spans="8:25" ht="12.75" customHeight="1" thickTop="1" thickBot="1">
      <c r="H41" s="105" t="s">
        <v>220</v>
      </c>
      <c r="I41" s="1955">
        <v>7.08</v>
      </c>
      <c r="J41" s="1955">
        <v>5.18</v>
      </c>
      <c r="K41" s="1955">
        <v>6.08</v>
      </c>
      <c r="L41" s="1945">
        <v>0.08</v>
      </c>
      <c r="M41" s="2163">
        <f>$L41*I41</f>
        <v>0.56640000000000001</v>
      </c>
      <c r="N41" s="2163">
        <f t="shared" ref="N41:O41" si="15">$L41*J41</f>
        <v>0.41439999999999999</v>
      </c>
      <c r="O41" s="2163">
        <f t="shared" si="15"/>
        <v>0.4864</v>
      </c>
      <c r="P41" s="1955">
        <v>2</v>
      </c>
      <c r="Q41" s="1955">
        <v>0.27</v>
      </c>
      <c r="R41" s="2164">
        <f>Q41*T41</f>
        <v>3.9750000000000001E-2</v>
      </c>
      <c r="S41" s="1955">
        <v>0.25096153846153846</v>
      </c>
      <c r="T41" s="1956">
        <v>0.14722222222222223</v>
      </c>
      <c r="U41" s="1956">
        <v>0.15073291148870363</v>
      </c>
      <c r="V41" s="1956">
        <v>9.379008321141083E-2</v>
      </c>
      <c r="W41" s="1956">
        <v>0.80872784176745371</v>
      </c>
      <c r="X41" s="1956">
        <v>9.7482075021135345E-2</v>
      </c>
      <c r="Y41" s="1604">
        <f>SUMPRODUCT(M41:O41,V41:X41)</f>
        <v>0.43567480204965614</v>
      </c>
    </row>
    <row r="42" spans="8:25" ht="12.75" customHeight="1" thickTop="1" thickBot="1">
      <c r="H42" s="105" t="s">
        <v>221</v>
      </c>
      <c r="I42" s="1955">
        <v>6.08</v>
      </c>
      <c r="J42" s="1955">
        <v>4.18</v>
      </c>
      <c r="K42" s="1955">
        <v>5.08</v>
      </c>
      <c r="L42" s="1945">
        <f>L41</f>
        <v>0.08</v>
      </c>
      <c r="M42" s="2163">
        <f t="shared" ref="M42:M58" si="16">$L42*I42</f>
        <v>0.4864</v>
      </c>
      <c r="N42" s="2163">
        <f t="shared" ref="N42:N58" si="17">$L42*J42</f>
        <v>0.33439999999999998</v>
      </c>
      <c r="O42" s="2163">
        <f t="shared" ref="O42:O58" si="18">$L42*K42</f>
        <v>0.40640000000000004</v>
      </c>
      <c r="P42" s="1955">
        <v>2</v>
      </c>
      <c r="Q42" s="1955">
        <v>0.27</v>
      </c>
      <c r="R42" s="2164">
        <f t="shared" ref="R42:R58" si="19">Q42*T42</f>
        <v>3.9750000000000001E-2</v>
      </c>
      <c r="S42" s="1955">
        <v>0.25096153846153846</v>
      </c>
      <c r="T42" s="1956">
        <v>0.14722222222222223</v>
      </c>
      <c r="U42" s="1956">
        <v>0.12013270538231059</v>
      </c>
      <c r="V42" s="1956">
        <v>5.7141018201974592E-2</v>
      </c>
      <c r="W42" s="1956">
        <v>0.93108561158422598</v>
      </c>
      <c r="X42" s="1956">
        <v>1.1773370213799438E-2</v>
      </c>
      <c r="Y42" s="1604">
        <f t="shared" ref="Y42:Y58" si="20">SUMPRODUCT(M42:O42,V42:X42)</f>
        <v>0.34393311742209365</v>
      </c>
    </row>
    <row r="43" spans="8:25" ht="12.75" customHeight="1" thickTop="1" thickBot="1">
      <c r="H43" s="105" t="s">
        <v>222</v>
      </c>
      <c r="I43" s="1955">
        <v>5.2799999999999994</v>
      </c>
      <c r="J43" s="1955">
        <v>3.38</v>
      </c>
      <c r="K43" s="1955">
        <v>4.2799999999999994</v>
      </c>
      <c r="L43" s="1945">
        <f t="shared" ref="L43:L58" si="21">L42</f>
        <v>0.08</v>
      </c>
      <c r="M43" s="2163">
        <f t="shared" si="16"/>
        <v>0.42239999999999994</v>
      </c>
      <c r="N43" s="2163">
        <f t="shared" si="17"/>
        <v>0.27039999999999997</v>
      </c>
      <c r="O43" s="2163">
        <f t="shared" si="18"/>
        <v>0.34239999999999998</v>
      </c>
      <c r="P43" s="1955">
        <v>2</v>
      </c>
      <c r="Q43" s="1955">
        <v>0.27</v>
      </c>
      <c r="R43" s="2164">
        <f t="shared" si="19"/>
        <v>3.9750000000000001E-2</v>
      </c>
      <c r="S43" s="1955">
        <v>0.55769230769230771</v>
      </c>
      <c r="T43" s="1956">
        <v>0.14722222222222223</v>
      </c>
      <c r="U43" s="1956">
        <v>3.1538695729415013E-2</v>
      </c>
      <c r="V43" s="1956">
        <v>6.3540893141458221E-2</v>
      </c>
      <c r="W43" s="1956">
        <v>0.65879042006554966</v>
      </c>
      <c r="X43" s="1956">
        <v>0.27766868679299217</v>
      </c>
      <c r="Y43" s="1604">
        <f t="shared" si="20"/>
        <v>0.30005036120659706</v>
      </c>
    </row>
    <row r="44" spans="8:25" ht="12.75" customHeight="1" thickTop="1" thickBot="1">
      <c r="H44" s="105" t="s">
        <v>223</v>
      </c>
      <c r="I44" s="1955">
        <v>6.08</v>
      </c>
      <c r="J44" s="1955">
        <v>4.18</v>
      </c>
      <c r="K44" s="1955">
        <v>5.08</v>
      </c>
      <c r="L44" s="1945">
        <f t="shared" si="21"/>
        <v>0.08</v>
      </c>
      <c r="M44" s="2163">
        <f t="shared" si="16"/>
        <v>0.4864</v>
      </c>
      <c r="N44" s="2163">
        <f t="shared" si="17"/>
        <v>0.33439999999999998</v>
      </c>
      <c r="O44" s="2163">
        <f t="shared" si="18"/>
        <v>0.40640000000000004</v>
      </c>
      <c r="P44" s="1955">
        <v>2</v>
      </c>
      <c r="Q44" s="1955">
        <v>0.28999999999999998</v>
      </c>
      <c r="R44" s="2164">
        <f t="shared" si="19"/>
        <v>4.2694444444444445E-2</v>
      </c>
      <c r="S44" s="1955">
        <v>0.25096153846153846</v>
      </c>
      <c r="T44" s="1956">
        <v>0.14722222222222223</v>
      </c>
      <c r="U44" s="1956">
        <v>2.6820893655991742E-2</v>
      </c>
      <c r="V44" s="1956">
        <v>0.52114684573848291</v>
      </c>
      <c r="W44" s="1956">
        <v>0.30364464955032466</v>
      </c>
      <c r="X44" s="1956">
        <v>0.17520850471119245</v>
      </c>
      <c r="Y44" s="1604">
        <f t="shared" si="20"/>
        <v>0.42622933289145526</v>
      </c>
    </row>
    <row r="45" spans="8:25" ht="12.75" customHeight="1" thickTop="1" thickBot="1">
      <c r="H45" s="105" t="s">
        <v>224</v>
      </c>
      <c r="I45" s="1955">
        <v>6.7</v>
      </c>
      <c r="J45" s="1955">
        <v>4.5999999999999996</v>
      </c>
      <c r="K45" s="1955">
        <v>5.6</v>
      </c>
      <c r="L45" s="1945">
        <f t="shared" si="21"/>
        <v>0.08</v>
      </c>
      <c r="M45" s="2163">
        <f t="shared" si="16"/>
        <v>0.53600000000000003</v>
      </c>
      <c r="N45" s="2163">
        <f t="shared" si="17"/>
        <v>0.36799999999999999</v>
      </c>
      <c r="O45" s="2163">
        <f t="shared" si="18"/>
        <v>0.44799999999999995</v>
      </c>
      <c r="P45" s="1955">
        <v>2.2000000000000002</v>
      </c>
      <c r="Q45" s="1955">
        <v>0.28999999999999998</v>
      </c>
      <c r="R45" s="2164">
        <f t="shared" si="19"/>
        <v>4.2694444444444445E-2</v>
      </c>
      <c r="S45" s="1955">
        <v>0.55769230769230771</v>
      </c>
      <c r="T45" s="1956">
        <v>0.14722222222222223</v>
      </c>
      <c r="U45" s="1956">
        <v>1.0839638408159987E-2</v>
      </c>
      <c r="V45" s="1956">
        <v>0.64094486042254439</v>
      </c>
      <c r="W45" s="1956">
        <v>0.20980203614718312</v>
      </c>
      <c r="X45" s="1956">
        <v>0.14925310343027248</v>
      </c>
      <c r="Y45" s="1604">
        <f t="shared" si="20"/>
        <v>0.48761898482540922</v>
      </c>
    </row>
    <row r="46" spans="8:25" ht="12.75" customHeight="1" thickTop="1" thickBot="1">
      <c r="H46" s="105" t="s">
        <v>225</v>
      </c>
      <c r="I46" s="1955">
        <v>9.3000000000000007</v>
      </c>
      <c r="J46" s="1955">
        <v>6.4</v>
      </c>
      <c r="K46" s="1955">
        <v>7.8</v>
      </c>
      <c r="L46" s="1945">
        <f t="shared" si="21"/>
        <v>0.08</v>
      </c>
      <c r="M46" s="2163">
        <f t="shared" si="16"/>
        <v>0.74400000000000011</v>
      </c>
      <c r="N46" s="2163">
        <f t="shared" si="17"/>
        <v>0.51200000000000001</v>
      </c>
      <c r="O46" s="2163">
        <f t="shared" si="18"/>
        <v>0.624</v>
      </c>
      <c r="P46" s="1955">
        <v>3</v>
      </c>
      <c r="Q46" s="1955">
        <v>0.28999999999999998</v>
      </c>
      <c r="R46" s="2164">
        <f t="shared" si="19"/>
        <v>4.2694444444444445E-2</v>
      </c>
      <c r="S46" s="1955">
        <v>0.55769230769230771</v>
      </c>
      <c r="T46" s="1956">
        <v>0.14722222222222223</v>
      </c>
      <c r="U46" s="1956">
        <v>4.0894012773033235E-2</v>
      </c>
      <c r="V46" s="1956">
        <v>0.56159710090996928</v>
      </c>
      <c r="W46" s="1956">
        <v>0.42422729730852854</v>
      </c>
      <c r="X46" s="1956">
        <v>1.4175601781502387E-2</v>
      </c>
      <c r="Y46" s="1604">
        <f t="shared" si="20"/>
        <v>0.64387819481064135</v>
      </c>
    </row>
    <row r="47" spans="8:25" ht="12.75" customHeight="1" thickTop="1" thickBot="1">
      <c r="H47" s="105" t="s">
        <v>226</v>
      </c>
      <c r="I47" s="1955">
        <v>9.6</v>
      </c>
      <c r="J47" s="1955">
        <v>6.6999999999999993</v>
      </c>
      <c r="K47" s="1955">
        <v>8.1</v>
      </c>
      <c r="L47" s="1945">
        <f t="shared" si="21"/>
        <v>0.08</v>
      </c>
      <c r="M47" s="2163">
        <f t="shared" si="16"/>
        <v>0.76800000000000002</v>
      </c>
      <c r="N47" s="2163">
        <f t="shared" si="17"/>
        <v>0.53599999999999992</v>
      </c>
      <c r="O47" s="2163">
        <f t="shared" si="18"/>
        <v>0.64800000000000002</v>
      </c>
      <c r="P47" s="1955">
        <v>3</v>
      </c>
      <c r="Q47" s="1955">
        <v>0.28999999999999998</v>
      </c>
      <c r="R47" s="2164">
        <f t="shared" si="19"/>
        <v>4.2694444444444445E-2</v>
      </c>
      <c r="S47" s="1955">
        <v>0.25096153846153846</v>
      </c>
      <c r="T47" s="1956">
        <v>0.14722222222222223</v>
      </c>
      <c r="U47" s="1956">
        <v>1.3016203517984767E-2</v>
      </c>
      <c r="V47" s="1956">
        <v>0.19952525247533903</v>
      </c>
      <c r="W47" s="1956">
        <v>0.44747439425166918</v>
      </c>
      <c r="X47" s="1956">
        <v>0.35300035327299167</v>
      </c>
      <c r="Y47" s="1604">
        <f t="shared" si="20"/>
        <v>0.62182589814085365</v>
      </c>
    </row>
    <row r="48" spans="8:25" ht="12.75" customHeight="1" thickTop="1" thickBot="1">
      <c r="H48" s="105" t="s">
        <v>227</v>
      </c>
      <c r="I48" s="1955">
        <v>6</v>
      </c>
      <c r="J48" s="1955">
        <v>3.0999999999999996</v>
      </c>
      <c r="K48" s="1955">
        <v>4.5</v>
      </c>
      <c r="L48" s="1945">
        <f t="shared" si="21"/>
        <v>0.08</v>
      </c>
      <c r="M48" s="2163">
        <f t="shared" si="16"/>
        <v>0.48</v>
      </c>
      <c r="N48" s="2163">
        <f t="shared" si="17"/>
        <v>0.24799999999999997</v>
      </c>
      <c r="O48" s="2163">
        <f t="shared" si="18"/>
        <v>0.36</v>
      </c>
      <c r="P48" s="1955">
        <v>3</v>
      </c>
      <c r="Q48" s="1955">
        <v>0.28999999999999998</v>
      </c>
      <c r="R48" s="2164">
        <f t="shared" si="19"/>
        <v>4.2694444444444445E-2</v>
      </c>
      <c r="S48" s="1955">
        <v>0.27884615384615385</v>
      </c>
      <c r="T48" s="1956">
        <v>0.14722222222222223</v>
      </c>
      <c r="U48" s="1956">
        <v>3.0886857559635036E-2</v>
      </c>
      <c r="V48" s="1956">
        <v>0.22286467137317267</v>
      </c>
      <c r="W48" s="1956">
        <v>0.53090550528653346</v>
      </c>
      <c r="X48" s="1956">
        <v>0.24622982334029381</v>
      </c>
      <c r="Y48" s="1604">
        <f t="shared" si="20"/>
        <v>0.3272823439726889</v>
      </c>
    </row>
    <row r="49" spans="8:25" ht="12.75" customHeight="1" thickTop="1" thickBot="1">
      <c r="H49" s="105" t="s">
        <v>228</v>
      </c>
      <c r="I49" s="1955">
        <v>9</v>
      </c>
      <c r="J49" s="1955">
        <v>5.0999999999999996</v>
      </c>
      <c r="K49" s="1955">
        <v>7</v>
      </c>
      <c r="L49" s="1945">
        <f t="shared" si="21"/>
        <v>0.08</v>
      </c>
      <c r="M49" s="2163">
        <f t="shared" si="16"/>
        <v>0.72</v>
      </c>
      <c r="N49" s="2163">
        <f t="shared" si="17"/>
        <v>0.40799999999999997</v>
      </c>
      <c r="O49" s="2163">
        <f t="shared" si="18"/>
        <v>0.56000000000000005</v>
      </c>
      <c r="P49" s="1955">
        <v>4</v>
      </c>
      <c r="Q49" s="1955">
        <v>0.28999999999999998</v>
      </c>
      <c r="R49" s="2164">
        <f t="shared" si="19"/>
        <v>4.2694444444444445E-2</v>
      </c>
      <c r="S49" s="1955">
        <v>0.27884615384615385</v>
      </c>
      <c r="T49" s="1956">
        <v>0.14722222222222223</v>
      </c>
      <c r="U49" s="1956">
        <v>2.2325826170102026E-2</v>
      </c>
      <c r="V49" s="1956">
        <v>0.15885643507420852</v>
      </c>
      <c r="W49" s="1956">
        <v>0.73038501205930684</v>
      </c>
      <c r="X49" s="1956">
        <v>0.1107585528664846</v>
      </c>
      <c r="Y49" s="1604">
        <f t="shared" si="20"/>
        <v>0.47439850777885867</v>
      </c>
    </row>
    <row r="50" spans="8:25" ht="12.75" customHeight="1" thickTop="1" thickBot="1">
      <c r="H50" s="105" t="s">
        <v>229</v>
      </c>
      <c r="I50" s="1955">
        <v>3</v>
      </c>
      <c r="J50" s="1955">
        <v>1.1000000000000001</v>
      </c>
      <c r="K50" s="1955">
        <v>2</v>
      </c>
      <c r="L50" s="1945">
        <f t="shared" si="21"/>
        <v>0.08</v>
      </c>
      <c r="M50" s="2163">
        <f t="shared" si="16"/>
        <v>0.24</v>
      </c>
      <c r="N50" s="2163">
        <f t="shared" si="17"/>
        <v>8.8000000000000009E-2</v>
      </c>
      <c r="O50" s="2163">
        <f t="shared" si="18"/>
        <v>0.16</v>
      </c>
      <c r="P50" s="1955">
        <v>2</v>
      </c>
      <c r="Q50" s="1955">
        <v>0.17</v>
      </c>
      <c r="R50" s="2164">
        <f t="shared" si="19"/>
        <v>2.5027777777777781E-2</v>
      </c>
      <c r="S50" s="1955">
        <v>0.11153846153846154</v>
      </c>
      <c r="T50" s="1956">
        <v>0.14722222222222223</v>
      </c>
      <c r="U50" s="1956">
        <v>0.10087192274660353</v>
      </c>
      <c r="V50" s="1956">
        <v>0.52114684573848291</v>
      </c>
      <c r="W50" s="1956">
        <v>0.30364464955032466</v>
      </c>
      <c r="X50" s="1956">
        <v>0.17520850471119245</v>
      </c>
      <c r="Y50" s="1604">
        <f t="shared" si="20"/>
        <v>0.17982933289145528</v>
      </c>
    </row>
    <row r="51" spans="8:25" ht="12.75" customHeight="1" thickTop="1" thickBot="1">
      <c r="H51" s="105" t="s">
        <v>230</v>
      </c>
      <c r="I51" s="1955">
        <v>12.5</v>
      </c>
      <c r="J51" s="1955">
        <v>7.6</v>
      </c>
      <c r="K51" s="1955">
        <v>10</v>
      </c>
      <c r="L51" s="1945">
        <f t="shared" si="21"/>
        <v>0.08</v>
      </c>
      <c r="M51" s="2163">
        <f t="shared" si="16"/>
        <v>1</v>
      </c>
      <c r="N51" s="2163">
        <f t="shared" si="17"/>
        <v>0.60799999999999998</v>
      </c>
      <c r="O51" s="2163">
        <f t="shared" si="18"/>
        <v>0.8</v>
      </c>
      <c r="P51" s="1955">
        <v>5</v>
      </c>
      <c r="Q51" s="1955">
        <v>0.5</v>
      </c>
      <c r="R51" s="2164">
        <f t="shared" si="19"/>
        <v>7.3611111111111113E-2</v>
      </c>
      <c r="S51" s="1955">
        <v>0.33461538461538459</v>
      </c>
      <c r="T51" s="1956">
        <v>0.14722222222222223</v>
      </c>
      <c r="U51" s="1956">
        <v>6.1675003194375045E-3</v>
      </c>
      <c r="V51" s="1956">
        <v>1.5377816133020691E-2</v>
      </c>
      <c r="W51" s="1956">
        <v>0.88455863187555051</v>
      </c>
      <c r="X51" s="1956">
        <v>0.1000635519914288</v>
      </c>
      <c r="Y51" s="1604">
        <f t="shared" si="20"/>
        <v>0.63324030590649838</v>
      </c>
    </row>
    <row r="52" spans="8:25" ht="12.75" customHeight="1" thickTop="1" thickBot="1">
      <c r="H52" s="105" t="s">
        <v>231</v>
      </c>
      <c r="I52" s="1955">
        <v>14</v>
      </c>
      <c r="J52" s="1955">
        <v>10.1</v>
      </c>
      <c r="K52" s="1955">
        <v>12</v>
      </c>
      <c r="L52" s="1945">
        <f t="shared" si="21"/>
        <v>0.08</v>
      </c>
      <c r="M52" s="2163">
        <f t="shared" si="16"/>
        <v>1.1200000000000001</v>
      </c>
      <c r="N52" s="2163">
        <f t="shared" si="17"/>
        <v>0.80799999999999994</v>
      </c>
      <c r="O52" s="2163">
        <f t="shared" si="18"/>
        <v>0.96</v>
      </c>
      <c r="P52" s="1955">
        <v>4</v>
      </c>
      <c r="Q52" s="1955">
        <v>0.5</v>
      </c>
      <c r="R52" s="2164">
        <f t="shared" si="19"/>
        <v>7.3611111111111113E-2</v>
      </c>
      <c r="S52" s="1955">
        <v>0.55769230769230771</v>
      </c>
      <c r="T52" s="1956">
        <v>0.14722222222222223</v>
      </c>
      <c r="U52" s="1956">
        <v>2.5477723102065148E-3</v>
      </c>
      <c r="V52" s="1956">
        <v>0</v>
      </c>
      <c r="W52" s="1956">
        <v>0.99620809267302346</v>
      </c>
      <c r="X52" s="1956">
        <v>3.7919073269764856E-3</v>
      </c>
      <c r="Y52" s="1604">
        <f t="shared" si="20"/>
        <v>0.8085763699137003</v>
      </c>
    </row>
    <row r="53" spans="8:25" ht="12.75" customHeight="1" thickTop="1" thickBot="1">
      <c r="H53" s="105" t="s">
        <v>232</v>
      </c>
      <c r="I53" s="1955">
        <v>14</v>
      </c>
      <c r="J53" s="1955">
        <v>10.1</v>
      </c>
      <c r="K53" s="1955">
        <v>12</v>
      </c>
      <c r="L53" s="1945">
        <f t="shared" si="21"/>
        <v>0.08</v>
      </c>
      <c r="M53" s="2163">
        <f t="shared" si="16"/>
        <v>1.1200000000000001</v>
      </c>
      <c r="N53" s="2163">
        <f t="shared" si="17"/>
        <v>0.80799999999999994</v>
      </c>
      <c r="O53" s="2163">
        <f t="shared" si="18"/>
        <v>0.96</v>
      </c>
      <c r="P53" s="1955">
        <v>4</v>
      </c>
      <c r="Q53" s="1955">
        <v>0.5</v>
      </c>
      <c r="R53" s="2164">
        <f t="shared" si="19"/>
        <v>7.3611111111111113E-2</v>
      </c>
      <c r="S53" s="1955">
        <v>0.55769230769230771</v>
      </c>
      <c r="T53" s="1956">
        <v>0.14722222222222223</v>
      </c>
      <c r="U53" s="1956">
        <v>1.1693580853842011E-2</v>
      </c>
      <c r="V53" s="1956">
        <v>5.5212362541074519E-2</v>
      </c>
      <c r="W53" s="1956">
        <v>0.88366906107173016</v>
      </c>
      <c r="X53" s="1956">
        <v>6.1118576387195395E-2</v>
      </c>
      <c r="Y53" s="1604">
        <f t="shared" si="20"/>
        <v>0.83451628072366901</v>
      </c>
    </row>
    <row r="54" spans="8:25" ht="12.75" customHeight="1" thickTop="1" thickBot="1">
      <c r="H54" s="105" t="s">
        <v>233</v>
      </c>
      <c r="I54" s="1955">
        <v>9</v>
      </c>
      <c r="J54" s="1955">
        <v>5.0999999999999996</v>
      </c>
      <c r="K54" s="1955">
        <v>7</v>
      </c>
      <c r="L54" s="1945">
        <f t="shared" si="21"/>
        <v>0.08</v>
      </c>
      <c r="M54" s="2163">
        <f t="shared" si="16"/>
        <v>0.72</v>
      </c>
      <c r="N54" s="2163">
        <f t="shared" si="17"/>
        <v>0.40799999999999997</v>
      </c>
      <c r="O54" s="2163">
        <f t="shared" si="18"/>
        <v>0.56000000000000005</v>
      </c>
      <c r="P54" s="1955">
        <v>4</v>
      </c>
      <c r="Q54" s="1955">
        <v>0.3</v>
      </c>
      <c r="R54" s="2164">
        <f t="shared" si="19"/>
        <v>4.4166666666666667E-2</v>
      </c>
      <c r="S54" s="1955">
        <v>0.25096153846153846</v>
      </c>
      <c r="T54" s="1956">
        <v>0.14722222222222223</v>
      </c>
      <c r="U54" s="1956">
        <v>2.3957473342185561E-2</v>
      </c>
      <c r="V54" s="1956">
        <v>0.34342063041492848</v>
      </c>
      <c r="W54" s="1956">
        <v>0.53617368361870132</v>
      </c>
      <c r="X54" s="1956">
        <v>0.12040568596637012</v>
      </c>
      <c r="Y54" s="1604">
        <f t="shared" si="20"/>
        <v>0.53344890095634589</v>
      </c>
    </row>
    <row r="55" spans="8:25" ht="12.75" customHeight="1" thickTop="1" thickBot="1">
      <c r="H55" s="105" t="s">
        <v>234</v>
      </c>
      <c r="I55" s="1955">
        <v>15</v>
      </c>
      <c r="J55" s="1955">
        <v>9.1999999999999993</v>
      </c>
      <c r="K55" s="1955">
        <v>12</v>
      </c>
      <c r="L55" s="1945">
        <f t="shared" si="21"/>
        <v>0.08</v>
      </c>
      <c r="M55" s="2163">
        <f t="shared" si="16"/>
        <v>1.2</v>
      </c>
      <c r="N55" s="2163">
        <f t="shared" si="17"/>
        <v>0.73599999999999999</v>
      </c>
      <c r="O55" s="2163">
        <f t="shared" si="18"/>
        <v>0.96</v>
      </c>
      <c r="P55" s="1955">
        <v>6</v>
      </c>
      <c r="Q55" s="1955">
        <v>0.5</v>
      </c>
      <c r="R55" s="2164">
        <f t="shared" si="19"/>
        <v>7.3611111111111113E-2</v>
      </c>
      <c r="S55" s="1955">
        <v>0.27884615384615385</v>
      </c>
      <c r="T55" s="1956">
        <v>0.14722222222222223</v>
      </c>
      <c r="U55" s="1956">
        <v>4.4965056377242296E-2</v>
      </c>
      <c r="V55" s="1956">
        <v>0.10311447532768504</v>
      </c>
      <c r="W55" s="1956">
        <v>0.74192623135844471</v>
      </c>
      <c r="X55" s="1956">
        <v>0.15495929331387026</v>
      </c>
      <c r="Y55" s="1604">
        <f t="shared" si="20"/>
        <v>0.81855599825435288</v>
      </c>
    </row>
    <row r="56" spans="8:25" ht="12.75" customHeight="1" thickTop="1" thickBot="1">
      <c r="H56" s="105" t="s">
        <v>235</v>
      </c>
      <c r="I56" s="1955">
        <v>12.7</v>
      </c>
      <c r="J56" s="1955">
        <v>7.8000000000000007</v>
      </c>
      <c r="K56" s="1955">
        <v>10.199999999999999</v>
      </c>
      <c r="L56" s="1945">
        <f t="shared" si="21"/>
        <v>0.08</v>
      </c>
      <c r="M56" s="2163">
        <f t="shared" si="16"/>
        <v>1.016</v>
      </c>
      <c r="N56" s="2163">
        <f t="shared" si="17"/>
        <v>0.62400000000000011</v>
      </c>
      <c r="O56" s="2163">
        <f t="shared" si="18"/>
        <v>0.81599999999999995</v>
      </c>
      <c r="P56" s="1955">
        <v>5</v>
      </c>
      <c r="Q56" s="1955">
        <v>0.5</v>
      </c>
      <c r="R56" s="2164">
        <f t="shared" si="19"/>
        <v>7.3611111111111113E-2</v>
      </c>
      <c r="S56" s="1955">
        <v>0.27884615384615385</v>
      </c>
      <c r="T56" s="1956">
        <v>0.14722222222222223</v>
      </c>
      <c r="U56" s="1956">
        <v>5.827742495837801E-2</v>
      </c>
      <c r="V56" s="1956">
        <v>5.6083613809662864E-3</v>
      </c>
      <c r="W56" s="1956">
        <v>0.98575716289794368</v>
      </c>
      <c r="X56" s="1956">
        <v>8.6344757210899958E-3</v>
      </c>
      <c r="Y56" s="1604">
        <f t="shared" si="20"/>
        <v>0.62785629699978818</v>
      </c>
    </row>
    <row r="57" spans="8:25" ht="12.75" customHeight="1" thickTop="1" thickBot="1">
      <c r="H57" s="105" t="s">
        <v>236</v>
      </c>
      <c r="I57" s="1955">
        <v>8.5</v>
      </c>
      <c r="J57" s="1955">
        <v>4.5999999999999996</v>
      </c>
      <c r="K57" s="1955">
        <v>6.5</v>
      </c>
      <c r="L57" s="1945">
        <f t="shared" si="21"/>
        <v>0.08</v>
      </c>
      <c r="M57" s="2163">
        <f t="shared" si="16"/>
        <v>0.68</v>
      </c>
      <c r="N57" s="2163">
        <f t="shared" si="17"/>
        <v>0.36799999999999999</v>
      </c>
      <c r="O57" s="2163">
        <f t="shared" si="18"/>
        <v>0.52</v>
      </c>
      <c r="P57" s="1955">
        <v>4</v>
      </c>
      <c r="Q57" s="1955">
        <v>0.4</v>
      </c>
      <c r="R57" s="2164">
        <f t="shared" si="19"/>
        <v>5.8888888888888893E-2</v>
      </c>
      <c r="S57" s="1955">
        <v>0.25096153846153846</v>
      </c>
      <c r="T57" s="1956">
        <v>0.14722222222222223</v>
      </c>
      <c r="U57" s="1956">
        <v>9.0984350406775827E-2</v>
      </c>
      <c r="V57" s="1956">
        <v>5.6083613809662864E-3</v>
      </c>
      <c r="W57" s="1956">
        <v>0.98575716289794368</v>
      </c>
      <c r="X57" s="1956">
        <v>8.6344757210899958E-3</v>
      </c>
      <c r="Y57" s="1604">
        <f t="shared" si="20"/>
        <v>0.37106224906046709</v>
      </c>
    </row>
    <row r="58" spans="8:25" ht="12.75" customHeight="1" thickTop="1" thickBot="1">
      <c r="H58" s="105" t="s">
        <v>237</v>
      </c>
      <c r="I58" s="1955">
        <v>8.5</v>
      </c>
      <c r="J58" s="1955">
        <v>4.5999999999999996</v>
      </c>
      <c r="K58" s="1955">
        <v>6.5</v>
      </c>
      <c r="L58" s="1945">
        <f t="shared" si="21"/>
        <v>0.08</v>
      </c>
      <c r="M58" s="2163">
        <f t="shared" si="16"/>
        <v>0.68</v>
      </c>
      <c r="N58" s="2163">
        <f t="shared" si="17"/>
        <v>0.36799999999999999</v>
      </c>
      <c r="O58" s="2163">
        <f t="shared" si="18"/>
        <v>0.52</v>
      </c>
      <c r="P58" s="1955">
        <v>4</v>
      </c>
      <c r="Q58" s="1955">
        <v>0.6</v>
      </c>
      <c r="R58" s="2164">
        <f t="shared" si="19"/>
        <v>8.8333333333333333E-2</v>
      </c>
      <c r="S58" s="1955">
        <v>0.25096153846153846</v>
      </c>
      <c r="T58" s="1956">
        <v>0.14722222222222223</v>
      </c>
      <c r="U58" s="1956">
        <v>0.21334717399999265</v>
      </c>
      <c r="V58" s="1956">
        <v>0.24031041917780901</v>
      </c>
      <c r="W58" s="1956">
        <v>0.6783643954380898</v>
      </c>
      <c r="X58" s="1956">
        <v>8.1325185384101065E-2</v>
      </c>
      <c r="Y58" s="1604">
        <f t="shared" si="20"/>
        <v>0.45533827896185974</v>
      </c>
    </row>
    <row r="59" spans="8:25" ht="12.75" customHeight="1" thickTop="1">
      <c r="M59" s="462"/>
      <c r="N59" s="462"/>
      <c r="O59" s="462"/>
      <c r="P59" s="462"/>
      <c r="V59" s="462"/>
    </row>
    <row r="60" spans="8:25" ht="12.75" customHeight="1">
      <c r="L60" s="1951" t="s">
        <v>265</v>
      </c>
      <c r="M60" s="462"/>
      <c r="N60" s="462"/>
      <c r="O60" s="462"/>
      <c r="P60" s="462"/>
      <c r="U60" s="466" t="s">
        <v>205</v>
      </c>
      <c r="V60" s="462"/>
    </row>
    <row r="61" spans="8:25" ht="12.75" customHeight="1">
      <c r="H61" s="1952"/>
      <c r="I61" s="1952" t="s">
        <v>207</v>
      </c>
      <c r="J61" s="1952" t="s">
        <v>208</v>
      </c>
      <c r="K61" s="1952" t="s">
        <v>209</v>
      </c>
      <c r="L61" s="1952"/>
      <c r="M61" s="1952" t="s">
        <v>249</v>
      </c>
      <c r="N61" s="1952" t="s">
        <v>250</v>
      </c>
      <c r="O61" s="1952" t="s">
        <v>251</v>
      </c>
      <c r="P61" s="1952" t="s">
        <v>252</v>
      </c>
      <c r="Q61" s="1952" t="s">
        <v>253</v>
      </c>
      <c r="R61" s="1952" t="s">
        <v>254</v>
      </c>
      <c r="S61" s="1952" t="s">
        <v>255</v>
      </c>
      <c r="T61" s="1952"/>
      <c r="U61" s="1953" t="s">
        <v>210</v>
      </c>
      <c r="V61" s="1953"/>
      <c r="W61" s="1953"/>
      <c r="X61" s="1953"/>
      <c r="Y61" s="1953"/>
    </row>
    <row r="62" spans="8:25" ht="12.75" customHeight="1" thickBot="1">
      <c r="H62" s="1952" t="s">
        <v>211</v>
      </c>
      <c r="I62" s="1952" t="s">
        <v>212</v>
      </c>
      <c r="J62" s="1952" t="s">
        <v>213</v>
      </c>
      <c r="K62" s="1952" t="s">
        <v>214</v>
      </c>
      <c r="L62" s="1952" t="s">
        <v>256</v>
      </c>
      <c r="M62" s="1952" t="s">
        <v>257</v>
      </c>
      <c r="N62" s="1952" t="s">
        <v>258</v>
      </c>
      <c r="O62" s="1952" t="s">
        <v>259</v>
      </c>
      <c r="P62" s="1952" t="s">
        <v>260</v>
      </c>
      <c r="Q62" s="1952" t="s">
        <v>261</v>
      </c>
      <c r="R62" s="2162" t="s">
        <v>262</v>
      </c>
      <c r="S62" s="1952" t="s">
        <v>255</v>
      </c>
      <c r="T62" s="1952" t="s">
        <v>263</v>
      </c>
      <c r="U62" s="1953" t="s">
        <v>215</v>
      </c>
      <c r="V62" s="1953" t="s">
        <v>216</v>
      </c>
      <c r="W62" s="1953" t="s">
        <v>217</v>
      </c>
      <c r="X62" s="1953" t="s">
        <v>218</v>
      </c>
      <c r="Y62" s="1953" t="s">
        <v>264</v>
      </c>
    </row>
    <row r="63" spans="8:25" ht="12.75" customHeight="1" thickTop="1" thickBot="1">
      <c r="H63" s="105" t="s">
        <v>220</v>
      </c>
      <c r="I63" s="1955">
        <v>7.08</v>
      </c>
      <c r="J63" s="1955">
        <v>5.18</v>
      </c>
      <c r="K63" s="1955">
        <v>6.08</v>
      </c>
      <c r="L63" s="1945">
        <v>0.09</v>
      </c>
      <c r="M63" s="2163">
        <f>I63*$L63</f>
        <v>0.63719999999999999</v>
      </c>
      <c r="N63" s="2163">
        <f t="shared" ref="N63:O63" si="22">J63*$L63</f>
        <v>0.46619999999999995</v>
      </c>
      <c r="O63" s="2163">
        <f t="shared" si="22"/>
        <v>0.54720000000000002</v>
      </c>
      <c r="P63" s="1955">
        <v>2</v>
      </c>
      <c r="Q63" s="1955">
        <v>0.27</v>
      </c>
      <c r="R63" s="2164">
        <f>Q63*T63</f>
        <v>3.9750000000000001E-2</v>
      </c>
      <c r="S63" s="1955">
        <v>0.25096153846153846</v>
      </c>
      <c r="T63" s="1956">
        <v>0.14722222222222223</v>
      </c>
      <c r="U63" s="1956">
        <v>0.15073291148870363</v>
      </c>
      <c r="V63" s="1956">
        <v>9.379008321141083E-2</v>
      </c>
      <c r="W63" s="1956">
        <v>0.80872784176745371</v>
      </c>
      <c r="X63" s="1956">
        <v>9.7482075021135345E-2</v>
      </c>
      <c r="Y63" s="1604">
        <f>SUMPRODUCT(M63:O63,V63:X63)</f>
        <v>0.49013415230586316</v>
      </c>
    </row>
    <row r="64" spans="8:25" ht="12.75" customHeight="1" thickTop="1" thickBot="1">
      <c r="H64" s="105" t="s">
        <v>221</v>
      </c>
      <c r="I64" s="1955">
        <v>6.08</v>
      </c>
      <c r="J64" s="1955">
        <v>4.18</v>
      </c>
      <c r="K64" s="1955">
        <v>5.08</v>
      </c>
      <c r="L64" s="1945">
        <f>L63</f>
        <v>0.09</v>
      </c>
      <c r="M64" s="2163">
        <f t="shared" ref="M64:M80" si="23">I64*$L64</f>
        <v>0.54720000000000002</v>
      </c>
      <c r="N64" s="2163">
        <f t="shared" ref="N64:N80" si="24">J64*$L64</f>
        <v>0.37619999999999998</v>
      </c>
      <c r="O64" s="2163">
        <f t="shared" ref="O64:O80" si="25">K64*$L64</f>
        <v>0.4572</v>
      </c>
      <c r="P64" s="1955">
        <v>2</v>
      </c>
      <c r="Q64" s="1955">
        <v>0.27</v>
      </c>
      <c r="R64" s="2164">
        <f t="shared" ref="R64:R80" si="26">Q64*T64</f>
        <v>3.9750000000000001E-2</v>
      </c>
      <c r="S64" s="1955">
        <v>0.25096153846153846</v>
      </c>
      <c r="T64" s="1956">
        <v>0.14722222222222223</v>
      </c>
      <c r="U64" s="1956">
        <v>0.12013270538231059</v>
      </c>
      <c r="V64" s="1956">
        <v>5.7141018201974592E-2</v>
      </c>
      <c r="W64" s="1956">
        <v>0.93108561158422598</v>
      </c>
      <c r="X64" s="1956">
        <v>1.1773370213799438E-2</v>
      </c>
      <c r="Y64" s="1604">
        <f t="shared" ref="Y64:Y80" si="27">SUMPRODUCT(M64:O64,V64:X64)</f>
        <v>0.38692475709985535</v>
      </c>
    </row>
    <row r="65" spans="8:25" ht="12.75" customHeight="1" thickTop="1" thickBot="1">
      <c r="H65" s="105" t="s">
        <v>222</v>
      </c>
      <c r="I65" s="1955">
        <v>5.2799999999999994</v>
      </c>
      <c r="J65" s="1955">
        <v>3.38</v>
      </c>
      <c r="K65" s="1955">
        <v>4.2799999999999994</v>
      </c>
      <c r="L65" s="1945">
        <f t="shared" ref="L65:L80" si="28">L64</f>
        <v>0.09</v>
      </c>
      <c r="M65" s="2163">
        <f t="shared" si="23"/>
        <v>0.4751999999999999</v>
      </c>
      <c r="N65" s="2163">
        <f t="shared" si="24"/>
        <v>0.30419999999999997</v>
      </c>
      <c r="O65" s="2163">
        <f t="shared" si="25"/>
        <v>0.38519999999999993</v>
      </c>
      <c r="P65" s="1955">
        <v>2</v>
      </c>
      <c r="Q65" s="1955">
        <v>0.27</v>
      </c>
      <c r="R65" s="2164">
        <f t="shared" si="26"/>
        <v>3.9750000000000001E-2</v>
      </c>
      <c r="S65" s="1955">
        <v>0.55769230769230771</v>
      </c>
      <c r="T65" s="1956">
        <v>0.14722222222222223</v>
      </c>
      <c r="U65" s="1956">
        <v>3.1538695729415013E-2</v>
      </c>
      <c r="V65" s="1956">
        <v>6.3540893141458221E-2</v>
      </c>
      <c r="W65" s="1956">
        <v>0.65879042006554966</v>
      </c>
      <c r="X65" s="1956">
        <v>0.27766868679299217</v>
      </c>
      <c r="Y65" s="1604">
        <f t="shared" si="27"/>
        <v>0.33755665635742171</v>
      </c>
    </row>
    <row r="66" spans="8:25" ht="12.75" customHeight="1" thickTop="1" thickBot="1">
      <c r="H66" s="105" t="s">
        <v>223</v>
      </c>
      <c r="I66" s="1955">
        <v>6.08</v>
      </c>
      <c r="J66" s="1955">
        <v>4.18</v>
      </c>
      <c r="K66" s="1955">
        <v>5.08</v>
      </c>
      <c r="L66" s="1945">
        <f t="shared" si="28"/>
        <v>0.09</v>
      </c>
      <c r="M66" s="2163">
        <f t="shared" si="23"/>
        <v>0.54720000000000002</v>
      </c>
      <c r="N66" s="2163">
        <f t="shared" si="24"/>
        <v>0.37619999999999998</v>
      </c>
      <c r="O66" s="2163">
        <f t="shared" si="25"/>
        <v>0.4572</v>
      </c>
      <c r="P66" s="1955">
        <v>2</v>
      </c>
      <c r="Q66" s="1955">
        <v>0.28999999999999998</v>
      </c>
      <c r="R66" s="2164">
        <f t="shared" si="26"/>
        <v>4.2694444444444445E-2</v>
      </c>
      <c r="S66" s="1955">
        <v>0.25096153846153846</v>
      </c>
      <c r="T66" s="1956">
        <v>0.14722222222222223</v>
      </c>
      <c r="U66" s="1956">
        <v>2.6820893655991742E-2</v>
      </c>
      <c r="V66" s="1956">
        <v>0.52114684573848291</v>
      </c>
      <c r="W66" s="1956">
        <v>0.30364464955032466</v>
      </c>
      <c r="X66" s="1956">
        <v>0.17520850471119245</v>
      </c>
      <c r="Y66" s="1604">
        <f t="shared" si="27"/>
        <v>0.47950799950288714</v>
      </c>
    </row>
    <row r="67" spans="8:25" ht="12.75" customHeight="1" thickTop="1" thickBot="1">
      <c r="H67" s="105" t="s">
        <v>224</v>
      </c>
      <c r="I67" s="1955">
        <v>6.7</v>
      </c>
      <c r="J67" s="1955">
        <v>4.5999999999999996</v>
      </c>
      <c r="K67" s="1955">
        <v>5.6</v>
      </c>
      <c r="L67" s="1945">
        <f t="shared" si="28"/>
        <v>0.09</v>
      </c>
      <c r="M67" s="2163">
        <f t="shared" si="23"/>
        <v>0.60299999999999998</v>
      </c>
      <c r="N67" s="2163">
        <f t="shared" si="24"/>
        <v>0.41399999999999998</v>
      </c>
      <c r="O67" s="2163">
        <f t="shared" si="25"/>
        <v>0.504</v>
      </c>
      <c r="P67" s="1955">
        <v>2.2000000000000002</v>
      </c>
      <c r="Q67" s="1955">
        <v>0.28999999999999998</v>
      </c>
      <c r="R67" s="2164">
        <f t="shared" si="26"/>
        <v>4.2694444444444445E-2</v>
      </c>
      <c r="S67" s="1955">
        <v>0.55769230769230771</v>
      </c>
      <c r="T67" s="1956">
        <v>0.14722222222222223</v>
      </c>
      <c r="U67" s="1956">
        <v>1.0839638408159987E-2</v>
      </c>
      <c r="V67" s="1956">
        <v>0.64094486042254439</v>
      </c>
      <c r="W67" s="1956">
        <v>0.20980203614718312</v>
      </c>
      <c r="X67" s="1956">
        <v>0.14925310343027248</v>
      </c>
      <c r="Y67" s="1604">
        <f t="shared" si="27"/>
        <v>0.54857135792858536</v>
      </c>
    </row>
    <row r="68" spans="8:25" ht="12.75" customHeight="1" thickTop="1" thickBot="1">
      <c r="H68" s="105" t="s">
        <v>225</v>
      </c>
      <c r="I68" s="1955">
        <v>9.3000000000000007</v>
      </c>
      <c r="J68" s="1955">
        <v>6.4</v>
      </c>
      <c r="K68" s="1955">
        <v>7.8</v>
      </c>
      <c r="L68" s="1945">
        <f t="shared" si="28"/>
        <v>0.09</v>
      </c>
      <c r="M68" s="2163">
        <f t="shared" si="23"/>
        <v>0.83700000000000008</v>
      </c>
      <c r="N68" s="2163">
        <f t="shared" si="24"/>
        <v>0.57599999999999996</v>
      </c>
      <c r="O68" s="2163">
        <f t="shared" si="25"/>
        <v>0.70199999999999996</v>
      </c>
      <c r="P68" s="1955">
        <v>3</v>
      </c>
      <c r="Q68" s="1955">
        <v>0.28999999999999998</v>
      </c>
      <c r="R68" s="2164">
        <f t="shared" si="26"/>
        <v>4.2694444444444445E-2</v>
      </c>
      <c r="S68" s="1955">
        <v>0.55769230769230771</v>
      </c>
      <c r="T68" s="1956">
        <v>0.14722222222222223</v>
      </c>
      <c r="U68" s="1956">
        <v>4.0894012773033235E-2</v>
      </c>
      <c r="V68" s="1956">
        <v>0.56159710090996928</v>
      </c>
      <c r="W68" s="1956">
        <v>0.42422729730852854</v>
      </c>
      <c r="X68" s="1956">
        <v>1.4175601781502387E-2</v>
      </c>
      <c r="Y68" s="1604">
        <f t="shared" si="27"/>
        <v>0.7243629691619714</v>
      </c>
    </row>
    <row r="69" spans="8:25" ht="12.75" customHeight="1" thickTop="1" thickBot="1">
      <c r="H69" s="105" t="s">
        <v>226</v>
      </c>
      <c r="I69" s="1955">
        <v>9.6</v>
      </c>
      <c r="J69" s="1955">
        <v>6.6999999999999993</v>
      </c>
      <c r="K69" s="1955">
        <v>8.1</v>
      </c>
      <c r="L69" s="1945">
        <f t="shared" si="28"/>
        <v>0.09</v>
      </c>
      <c r="M69" s="2163">
        <f t="shared" si="23"/>
        <v>0.86399999999999999</v>
      </c>
      <c r="N69" s="2163">
        <f t="shared" si="24"/>
        <v>0.60299999999999987</v>
      </c>
      <c r="O69" s="2163">
        <f t="shared" si="25"/>
        <v>0.72899999999999998</v>
      </c>
      <c r="P69" s="1955">
        <v>3</v>
      </c>
      <c r="Q69" s="1955">
        <v>0.28999999999999998</v>
      </c>
      <c r="R69" s="2164">
        <f t="shared" si="26"/>
        <v>4.2694444444444445E-2</v>
      </c>
      <c r="S69" s="1955">
        <v>0.25096153846153846</v>
      </c>
      <c r="T69" s="1956">
        <v>0.14722222222222223</v>
      </c>
      <c r="U69" s="1956">
        <v>1.3016203517984767E-2</v>
      </c>
      <c r="V69" s="1956">
        <v>0.19952525247533903</v>
      </c>
      <c r="W69" s="1956">
        <v>0.44747439425166918</v>
      </c>
      <c r="X69" s="1956">
        <v>0.35300035327299167</v>
      </c>
      <c r="Y69" s="1604">
        <f t="shared" si="27"/>
        <v>0.69955413540846034</v>
      </c>
    </row>
    <row r="70" spans="8:25" ht="12.75" customHeight="1" thickTop="1" thickBot="1">
      <c r="H70" s="105" t="s">
        <v>227</v>
      </c>
      <c r="I70" s="1955">
        <v>6</v>
      </c>
      <c r="J70" s="1955">
        <v>3.0999999999999996</v>
      </c>
      <c r="K70" s="1955">
        <v>4.5</v>
      </c>
      <c r="L70" s="1945">
        <f t="shared" si="28"/>
        <v>0.09</v>
      </c>
      <c r="M70" s="2163">
        <f t="shared" si="23"/>
        <v>0.54</v>
      </c>
      <c r="N70" s="2163">
        <f t="shared" si="24"/>
        <v>0.27899999999999997</v>
      </c>
      <c r="O70" s="2163">
        <f t="shared" si="25"/>
        <v>0.40499999999999997</v>
      </c>
      <c r="P70" s="1955">
        <v>3</v>
      </c>
      <c r="Q70" s="1955">
        <v>0.28999999999999998</v>
      </c>
      <c r="R70" s="2164">
        <f t="shared" si="26"/>
        <v>4.2694444444444445E-2</v>
      </c>
      <c r="S70" s="1955">
        <v>0.27884615384615385</v>
      </c>
      <c r="T70" s="1956">
        <v>0.14722222222222223</v>
      </c>
      <c r="U70" s="1956">
        <v>3.0886857559635036E-2</v>
      </c>
      <c r="V70" s="1956">
        <v>0.22286467137317267</v>
      </c>
      <c r="W70" s="1956">
        <v>0.53090550528653346</v>
      </c>
      <c r="X70" s="1956">
        <v>0.24622982334029381</v>
      </c>
      <c r="Y70" s="1604">
        <f t="shared" si="27"/>
        <v>0.36819263696927501</v>
      </c>
    </row>
    <row r="71" spans="8:25" ht="12.75" customHeight="1" thickTop="1" thickBot="1">
      <c r="H71" s="105" t="s">
        <v>228</v>
      </c>
      <c r="I71" s="1955">
        <v>9</v>
      </c>
      <c r="J71" s="1955">
        <v>5.0999999999999996</v>
      </c>
      <c r="K71" s="1955">
        <v>7</v>
      </c>
      <c r="L71" s="1945">
        <f t="shared" si="28"/>
        <v>0.09</v>
      </c>
      <c r="M71" s="2163">
        <f t="shared" si="23"/>
        <v>0.80999999999999994</v>
      </c>
      <c r="N71" s="2163">
        <f t="shared" si="24"/>
        <v>0.45899999999999996</v>
      </c>
      <c r="O71" s="2163">
        <f t="shared" si="25"/>
        <v>0.63</v>
      </c>
      <c r="P71" s="1955">
        <v>4</v>
      </c>
      <c r="Q71" s="1955">
        <v>0.28999999999999998</v>
      </c>
      <c r="R71" s="2164">
        <f t="shared" si="26"/>
        <v>4.2694444444444445E-2</v>
      </c>
      <c r="S71" s="1955">
        <v>0.27884615384615385</v>
      </c>
      <c r="T71" s="1956">
        <v>0.14722222222222223</v>
      </c>
      <c r="U71" s="1956">
        <v>2.2325826170102026E-2</v>
      </c>
      <c r="V71" s="1956">
        <v>0.15885643507420852</v>
      </c>
      <c r="W71" s="1956">
        <v>0.73038501205930684</v>
      </c>
      <c r="X71" s="1956">
        <v>0.1107585528664846</v>
      </c>
      <c r="Y71" s="1604">
        <f t="shared" si="27"/>
        <v>0.53369832125121597</v>
      </c>
    </row>
    <row r="72" spans="8:25" ht="12.75" customHeight="1" thickTop="1" thickBot="1">
      <c r="H72" s="105" t="s">
        <v>229</v>
      </c>
      <c r="I72" s="1955">
        <v>3</v>
      </c>
      <c r="J72" s="1955">
        <v>1.1000000000000001</v>
      </c>
      <c r="K72" s="1955">
        <v>2</v>
      </c>
      <c r="L72" s="1945">
        <f t="shared" si="28"/>
        <v>0.09</v>
      </c>
      <c r="M72" s="2163">
        <f t="shared" si="23"/>
        <v>0.27</v>
      </c>
      <c r="N72" s="2163">
        <f t="shared" si="24"/>
        <v>9.9000000000000005E-2</v>
      </c>
      <c r="O72" s="2163">
        <f t="shared" si="25"/>
        <v>0.18</v>
      </c>
      <c r="P72" s="1955">
        <v>2</v>
      </c>
      <c r="Q72" s="1955">
        <v>0.17</v>
      </c>
      <c r="R72" s="2164">
        <f t="shared" si="26"/>
        <v>2.5027777777777781E-2</v>
      </c>
      <c r="S72" s="1955">
        <v>0.11153846153846154</v>
      </c>
      <c r="T72" s="1956">
        <v>0.14722222222222223</v>
      </c>
      <c r="U72" s="1956">
        <v>0.10087192274660353</v>
      </c>
      <c r="V72" s="1956">
        <v>0.52114684573848291</v>
      </c>
      <c r="W72" s="1956">
        <v>0.30364464955032466</v>
      </c>
      <c r="X72" s="1956">
        <v>0.17520850471119245</v>
      </c>
      <c r="Y72" s="1604">
        <f t="shared" si="27"/>
        <v>0.20230799950288719</v>
      </c>
    </row>
    <row r="73" spans="8:25" ht="12.75" customHeight="1" thickTop="1" thickBot="1">
      <c r="H73" s="105" t="s">
        <v>230</v>
      </c>
      <c r="I73" s="1955">
        <v>12.5</v>
      </c>
      <c r="J73" s="1955">
        <v>7.6</v>
      </c>
      <c r="K73" s="1955">
        <v>10</v>
      </c>
      <c r="L73" s="1945">
        <f t="shared" si="28"/>
        <v>0.09</v>
      </c>
      <c r="M73" s="2163">
        <f t="shared" si="23"/>
        <v>1.125</v>
      </c>
      <c r="N73" s="2163">
        <f t="shared" si="24"/>
        <v>0.68399999999999994</v>
      </c>
      <c r="O73" s="2163">
        <f t="shared" si="25"/>
        <v>0.89999999999999991</v>
      </c>
      <c r="P73" s="1955">
        <v>5</v>
      </c>
      <c r="Q73" s="1955">
        <v>0.5</v>
      </c>
      <c r="R73" s="2164">
        <f t="shared" si="26"/>
        <v>7.3611111111111113E-2</v>
      </c>
      <c r="S73" s="1955">
        <v>0.33461538461538459</v>
      </c>
      <c r="T73" s="1956">
        <v>0.14722222222222223</v>
      </c>
      <c r="U73" s="1956">
        <v>6.1675003194375045E-3</v>
      </c>
      <c r="V73" s="1956">
        <v>1.5377816133020691E-2</v>
      </c>
      <c r="W73" s="1956">
        <v>0.88455863187555051</v>
      </c>
      <c r="X73" s="1956">
        <v>0.1000635519914288</v>
      </c>
      <c r="Y73" s="1604">
        <f t="shared" si="27"/>
        <v>0.71239534414481076</v>
      </c>
    </row>
    <row r="74" spans="8:25" ht="12.75" customHeight="1" thickTop="1" thickBot="1">
      <c r="H74" s="105" t="s">
        <v>231</v>
      </c>
      <c r="I74" s="1955">
        <v>14</v>
      </c>
      <c r="J74" s="1955">
        <v>10.1</v>
      </c>
      <c r="K74" s="1955">
        <v>12</v>
      </c>
      <c r="L74" s="1945">
        <f t="shared" si="28"/>
        <v>0.09</v>
      </c>
      <c r="M74" s="2163">
        <f t="shared" si="23"/>
        <v>1.26</v>
      </c>
      <c r="N74" s="2163">
        <f t="shared" si="24"/>
        <v>0.90899999999999992</v>
      </c>
      <c r="O74" s="2163">
        <f t="shared" si="25"/>
        <v>1.08</v>
      </c>
      <c r="P74" s="1955">
        <v>4</v>
      </c>
      <c r="Q74" s="1955">
        <v>0.5</v>
      </c>
      <c r="R74" s="2164">
        <f t="shared" si="26"/>
        <v>7.3611111111111113E-2</v>
      </c>
      <c r="S74" s="1955">
        <v>0.55769230769230771</v>
      </c>
      <c r="T74" s="1956">
        <v>0.14722222222222223</v>
      </c>
      <c r="U74" s="1956">
        <v>2.5477723102065148E-3</v>
      </c>
      <c r="V74" s="1956">
        <v>0</v>
      </c>
      <c r="W74" s="1956">
        <v>0.99620809267302346</v>
      </c>
      <c r="X74" s="1956">
        <v>3.7919073269764856E-3</v>
      </c>
      <c r="Y74" s="1604">
        <f t="shared" si="27"/>
        <v>0.90964841615291292</v>
      </c>
    </row>
    <row r="75" spans="8:25" ht="12.75" customHeight="1" thickTop="1" thickBot="1">
      <c r="H75" s="105" t="s">
        <v>232</v>
      </c>
      <c r="I75" s="1955">
        <v>14</v>
      </c>
      <c r="J75" s="1955">
        <v>10.1</v>
      </c>
      <c r="K75" s="1955">
        <v>12</v>
      </c>
      <c r="L75" s="1945">
        <f t="shared" si="28"/>
        <v>0.09</v>
      </c>
      <c r="M75" s="2163">
        <f t="shared" si="23"/>
        <v>1.26</v>
      </c>
      <c r="N75" s="2163">
        <f t="shared" si="24"/>
        <v>0.90899999999999992</v>
      </c>
      <c r="O75" s="2163">
        <f t="shared" si="25"/>
        <v>1.08</v>
      </c>
      <c r="P75" s="1955">
        <v>4</v>
      </c>
      <c r="Q75" s="1955">
        <v>0.5</v>
      </c>
      <c r="R75" s="2164">
        <f t="shared" si="26"/>
        <v>7.3611111111111113E-2</v>
      </c>
      <c r="S75" s="1955">
        <v>0.55769230769230771</v>
      </c>
      <c r="T75" s="1956">
        <v>0.14722222222222223</v>
      </c>
      <c r="U75" s="1956">
        <v>1.1693580853842011E-2</v>
      </c>
      <c r="V75" s="1956">
        <v>5.5212362541074519E-2</v>
      </c>
      <c r="W75" s="1956">
        <v>0.88366906107173016</v>
      </c>
      <c r="X75" s="1956">
        <v>6.1118576387195395E-2</v>
      </c>
      <c r="Y75" s="1604">
        <f t="shared" si="27"/>
        <v>0.93883081581412753</v>
      </c>
    </row>
    <row r="76" spans="8:25" ht="12.75" customHeight="1" thickTop="1" thickBot="1">
      <c r="H76" s="105" t="s">
        <v>233</v>
      </c>
      <c r="I76" s="1955">
        <v>9</v>
      </c>
      <c r="J76" s="1955">
        <v>5.0999999999999996</v>
      </c>
      <c r="K76" s="1955">
        <v>7</v>
      </c>
      <c r="L76" s="1945">
        <f t="shared" si="28"/>
        <v>0.09</v>
      </c>
      <c r="M76" s="2163">
        <f t="shared" si="23"/>
        <v>0.80999999999999994</v>
      </c>
      <c r="N76" s="2163">
        <f t="shared" si="24"/>
        <v>0.45899999999999996</v>
      </c>
      <c r="O76" s="2163">
        <f t="shared" si="25"/>
        <v>0.63</v>
      </c>
      <c r="P76" s="1955">
        <v>4</v>
      </c>
      <c r="Q76" s="1955">
        <v>0.3</v>
      </c>
      <c r="R76" s="2164">
        <f t="shared" si="26"/>
        <v>4.4166666666666667E-2</v>
      </c>
      <c r="S76" s="1955">
        <v>0.25096153846153846</v>
      </c>
      <c r="T76" s="1956">
        <v>0.14722222222222223</v>
      </c>
      <c r="U76" s="1956">
        <v>2.3957473342185561E-2</v>
      </c>
      <c r="V76" s="1956">
        <v>0.34342063041492848</v>
      </c>
      <c r="W76" s="1956">
        <v>0.53617368361870132</v>
      </c>
      <c r="X76" s="1956">
        <v>0.12040568596637012</v>
      </c>
      <c r="Y76" s="1604">
        <f t="shared" si="27"/>
        <v>0.60013001357588913</v>
      </c>
    </row>
    <row r="77" spans="8:25" ht="12.75" customHeight="1" thickTop="1" thickBot="1">
      <c r="H77" s="105" t="s">
        <v>234</v>
      </c>
      <c r="I77" s="1955">
        <v>15</v>
      </c>
      <c r="J77" s="1955">
        <v>9.1999999999999993</v>
      </c>
      <c r="K77" s="1955">
        <v>12</v>
      </c>
      <c r="L77" s="1945">
        <f t="shared" si="28"/>
        <v>0.09</v>
      </c>
      <c r="M77" s="2163">
        <f t="shared" si="23"/>
        <v>1.3499999999999999</v>
      </c>
      <c r="N77" s="2163">
        <f t="shared" si="24"/>
        <v>0.82799999999999996</v>
      </c>
      <c r="O77" s="2163">
        <f t="shared" si="25"/>
        <v>1.08</v>
      </c>
      <c r="P77" s="1955">
        <v>6</v>
      </c>
      <c r="Q77" s="1955">
        <v>0.5</v>
      </c>
      <c r="R77" s="2164">
        <f t="shared" si="26"/>
        <v>7.3611111111111113E-2</v>
      </c>
      <c r="S77" s="1955">
        <v>0.27884615384615385</v>
      </c>
      <c r="T77" s="1956">
        <v>0.14722222222222223</v>
      </c>
      <c r="U77" s="1956">
        <v>4.4965056377242296E-2</v>
      </c>
      <c r="V77" s="1956">
        <v>0.10311447532768504</v>
      </c>
      <c r="W77" s="1956">
        <v>0.74192623135844471</v>
      </c>
      <c r="X77" s="1956">
        <v>0.15495929331387026</v>
      </c>
      <c r="Y77" s="1604">
        <f t="shared" si="27"/>
        <v>0.92087549803614688</v>
      </c>
    </row>
    <row r="78" spans="8:25" ht="12.75" customHeight="1" thickTop="1" thickBot="1">
      <c r="H78" s="105" t="s">
        <v>235</v>
      </c>
      <c r="I78" s="1955">
        <v>12.7</v>
      </c>
      <c r="J78" s="1955">
        <v>7.8000000000000007</v>
      </c>
      <c r="K78" s="1955">
        <v>10.199999999999999</v>
      </c>
      <c r="L78" s="1945">
        <f t="shared" si="28"/>
        <v>0.09</v>
      </c>
      <c r="M78" s="2163">
        <f t="shared" si="23"/>
        <v>1.1429999999999998</v>
      </c>
      <c r="N78" s="2163">
        <f t="shared" si="24"/>
        <v>0.70200000000000007</v>
      </c>
      <c r="O78" s="2163">
        <f t="shared" si="25"/>
        <v>0.91799999999999993</v>
      </c>
      <c r="P78" s="1955">
        <v>5</v>
      </c>
      <c r="Q78" s="1955">
        <v>0.5</v>
      </c>
      <c r="R78" s="2164">
        <f t="shared" si="26"/>
        <v>7.3611111111111113E-2</v>
      </c>
      <c r="S78" s="1955">
        <v>0.27884615384615385</v>
      </c>
      <c r="T78" s="1956">
        <v>0.14722222222222223</v>
      </c>
      <c r="U78" s="1956">
        <v>5.827742495837801E-2</v>
      </c>
      <c r="V78" s="1956">
        <v>5.6083613809662864E-3</v>
      </c>
      <c r="W78" s="1956">
        <v>0.98575716289794368</v>
      </c>
      <c r="X78" s="1956">
        <v>8.6344757210899958E-3</v>
      </c>
      <c r="Y78" s="1604">
        <f t="shared" si="27"/>
        <v>0.70633833412476166</v>
      </c>
    </row>
    <row r="79" spans="8:25" ht="12.75" customHeight="1" thickTop="1" thickBot="1">
      <c r="H79" s="105" t="s">
        <v>236</v>
      </c>
      <c r="I79" s="1955">
        <v>8.5</v>
      </c>
      <c r="J79" s="1955">
        <v>4.5999999999999996</v>
      </c>
      <c r="K79" s="1955">
        <v>6.5</v>
      </c>
      <c r="L79" s="1945">
        <f t="shared" si="28"/>
        <v>0.09</v>
      </c>
      <c r="M79" s="2163">
        <f t="shared" si="23"/>
        <v>0.76500000000000001</v>
      </c>
      <c r="N79" s="2163">
        <f t="shared" si="24"/>
        <v>0.41399999999999998</v>
      </c>
      <c r="O79" s="2163">
        <f t="shared" si="25"/>
        <v>0.58499999999999996</v>
      </c>
      <c r="P79" s="1955">
        <v>4</v>
      </c>
      <c r="Q79" s="1955">
        <v>0.4</v>
      </c>
      <c r="R79" s="2164">
        <f t="shared" si="26"/>
        <v>5.8888888888888893E-2</v>
      </c>
      <c r="S79" s="1955">
        <v>0.25096153846153846</v>
      </c>
      <c r="T79" s="1956">
        <v>0.14722222222222223</v>
      </c>
      <c r="U79" s="1956">
        <v>9.0984350406775827E-2</v>
      </c>
      <c r="V79" s="1956">
        <v>5.6083613809662864E-3</v>
      </c>
      <c r="W79" s="1956">
        <v>0.98575716289794368</v>
      </c>
      <c r="X79" s="1956">
        <v>8.6344757210899958E-3</v>
      </c>
      <c r="Y79" s="1604">
        <f t="shared" si="27"/>
        <v>0.41744503019302553</v>
      </c>
    </row>
    <row r="80" spans="8:25" ht="12.75" customHeight="1" thickTop="1" thickBot="1">
      <c r="H80" s="105" t="s">
        <v>237</v>
      </c>
      <c r="I80" s="1955">
        <v>8.5</v>
      </c>
      <c r="J80" s="1955">
        <v>4.5999999999999996</v>
      </c>
      <c r="K80" s="1955">
        <v>6.5</v>
      </c>
      <c r="L80" s="1945">
        <f t="shared" si="28"/>
        <v>0.09</v>
      </c>
      <c r="M80" s="2163">
        <f t="shared" si="23"/>
        <v>0.76500000000000001</v>
      </c>
      <c r="N80" s="2163">
        <f t="shared" si="24"/>
        <v>0.41399999999999998</v>
      </c>
      <c r="O80" s="2163">
        <f t="shared" si="25"/>
        <v>0.58499999999999996</v>
      </c>
      <c r="P80" s="1955">
        <v>4</v>
      </c>
      <c r="Q80" s="1955">
        <v>0.6</v>
      </c>
      <c r="R80" s="2164">
        <f t="shared" si="26"/>
        <v>8.8333333333333333E-2</v>
      </c>
      <c r="S80" s="1955">
        <v>0.25096153846153846</v>
      </c>
      <c r="T80" s="1956">
        <v>0.14722222222222223</v>
      </c>
      <c r="U80" s="1956">
        <v>0.21334717399999265</v>
      </c>
      <c r="V80" s="1956">
        <v>0.24031041917780901</v>
      </c>
      <c r="W80" s="1956">
        <v>0.6783643954380898</v>
      </c>
      <c r="X80" s="1956">
        <v>8.1325185384101065E-2</v>
      </c>
      <c r="Y80" s="1604">
        <f t="shared" si="27"/>
        <v>0.51225556383209225</v>
      </c>
    </row>
    <row r="81" spans="13:22" ht="12.75" customHeight="1" thickTop="1">
      <c r="M81" s="462"/>
      <c r="N81" s="462"/>
      <c r="O81" s="462"/>
      <c r="P81" s="462"/>
      <c r="V81" s="462"/>
    </row>
  </sheetData>
  <autoFilter ref="A5:Y13">
    <filterColumn colId="11">
      <filters>
        <filter val="2020"/>
        <filter val="2021"/>
      </filters>
    </filterColumn>
  </autoFilter>
  <dataConsolidate/>
  <mergeCells count="11">
    <mergeCell ref="M26:N26"/>
    <mergeCell ref="O26:P26"/>
    <mergeCell ref="H16:M16"/>
    <mergeCell ref="M32:M33"/>
    <mergeCell ref="L32:L33"/>
    <mergeCell ref="T4:V4"/>
    <mergeCell ref="I2:L2"/>
    <mergeCell ref="A4:G4"/>
    <mergeCell ref="H4:L4"/>
    <mergeCell ref="M4:Q4"/>
    <mergeCell ref="R4:S4"/>
  </mergeCells>
  <hyperlinks>
    <hyperlink ref="H1" location="' Summary by Program 2020-21'!H1" display="Summary Page"/>
  </hyperlinks>
  <pageMargins left="0.7" right="0.7" top="0.75" bottom="0.75" header="0.3" footer="0.3"/>
  <pageSetup scale="33"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filterMode="1">
    <tabColor rgb="FF0083CA"/>
    <pageSetUpPr fitToPage="1"/>
  </sheetPr>
  <dimension ref="A1:X63"/>
  <sheetViews>
    <sheetView showGridLines="0" topLeftCell="H1" workbookViewId="0">
      <selection activeCell="H1" sqref="H1"/>
    </sheetView>
  </sheetViews>
  <sheetFormatPr defaultColWidth="18.6640625" defaultRowHeight="12.75" customHeight="1" outlineLevelCol="1"/>
  <cols>
    <col min="1" max="1" width="21.109375" style="460" hidden="1" customWidth="1" outlineLevel="1"/>
    <col min="2" max="2" width="12.109375" style="460" hidden="1" customWidth="1" outlineLevel="1"/>
    <col min="3" max="4" width="9.88671875" style="461" hidden="1" customWidth="1" outlineLevel="1"/>
    <col min="5" max="5" width="10.5546875" style="461" hidden="1" customWidth="1" outlineLevel="1"/>
    <col min="6" max="6" width="12.6640625" style="461" hidden="1" customWidth="1" outlineLevel="1"/>
    <col min="7" max="7" width="11" style="460" hidden="1" customWidth="1" outlineLevel="1"/>
    <col min="8" max="8" width="14.33203125" style="462" customWidth="1" collapsed="1"/>
    <col min="9" max="9" width="29.33203125" style="462" customWidth="1"/>
    <col min="10" max="10" width="27.44140625" style="462" customWidth="1"/>
    <col min="11" max="11" width="18" style="462" customWidth="1"/>
    <col min="12" max="12" width="14.33203125" style="462" customWidth="1"/>
    <col min="13" max="16" width="12.109375" style="463" customWidth="1"/>
    <col min="17" max="17" width="12.109375" style="462" customWidth="1"/>
    <col min="18" max="18" width="11.88671875" style="462" customWidth="1"/>
    <col min="19" max="19" width="13.88671875" style="462" customWidth="1"/>
    <col min="20" max="21" width="12.33203125" style="462" customWidth="1"/>
    <col min="22" max="22" width="12.33203125" style="464" customWidth="1"/>
    <col min="23" max="16384" width="18.6640625" style="462"/>
  </cols>
  <sheetData>
    <row r="1" spans="1:24" ht="12.75" customHeight="1">
      <c r="H1" s="239" t="s">
        <v>1067</v>
      </c>
    </row>
    <row r="2" spans="1:24" ht="36.75" customHeight="1">
      <c r="H2" s="1579" t="str">
        <f>I6&amp;":"</f>
        <v>Desktop Power Supplies:</v>
      </c>
      <c r="I2" s="2875" t="str">
        <f>INDEX(Programs!C:C,MATCH(I7,Programs!B:B,0))</f>
        <v>NEEA engaged with computer manufacturers to expedite the adoption of highly efficient power supplies while also developing and advocating for a standard thereby dramatically improving the energy efficiency of commercial desktops.</v>
      </c>
      <c r="J2" s="2875"/>
      <c r="K2" s="2875"/>
      <c r="L2" s="2875"/>
    </row>
    <row r="3" spans="1:24" ht="11.4" customHeight="1">
      <c r="H3" s="926"/>
    </row>
    <row r="4" spans="1:24" s="458" customFormat="1" ht="15.75" customHeight="1">
      <c r="A4" s="2876" t="s">
        <v>131</v>
      </c>
      <c r="B4" s="2877"/>
      <c r="C4" s="2877"/>
      <c r="D4" s="2877"/>
      <c r="E4" s="2877"/>
      <c r="F4" s="2877"/>
      <c r="G4" s="2878"/>
      <c r="H4" s="3110" t="s">
        <v>7</v>
      </c>
      <c r="I4" s="3111"/>
      <c r="J4" s="3111"/>
      <c r="K4" s="3111"/>
      <c r="L4" s="3111"/>
      <c r="M4" s="2881" t="s">
        <v>127</v>
      </c>
      <c r="N4" s="2882"/>
      <c r="O4" s="2882"/>
      <c r="P4" s="2882"/>
      <c r="Q4" s="2882"/>
      <c r="R4" s="2883"/>
      <c r="S4" s="2489" t="s">
        <v>129</v>
      </c>
      <c r="T4" s="2490"/>
      <c r="U4" s="2486" t="s">
        <v>130</v>
      </c>
      <c r="V4" s="2487"/>
      <c r="W4" s="2488"/>
    </row>
    <row r="5" spans="1:24" s="931" customFormat="1" ht="60" customHeight="1" thickBot="1">
      <c r="A5" s="927" t="s">
        <v>0</v>
      </c>
      <c r="B5" s="928" t="s">
        <v>11</v>
      </c>
      <c r="C5" s="929" t="s">
        <v>1</v>
      </c>
      <c r="D5" s="929" t="s">
        <v>2</v>
      </c>
      <c r="E5" s="929" t="s">
        <v>266</v>
      </c>
      <c r="F5" s="929" t="s">
        <v>306</v>
      </c>
      <c r="G5" s="930" t="s">
        <v>12</v>
      </c>
      <c r="H5" s="1584" t="s">
        <v>3</v>
      </c>
      <c r="I5" s="1584" t="s">
        <v>4</v>
      </c>
      <c r="J5" s="1584" t="s">
        <v>5</v>
      </c>
      <c r="K5" s="1584" t="s">
        <v>6</v>
      </c>
      <c r="L5" s="1584" t="s">
        <v>8</v>
      </c>
      <c r="M5" s="1585" t="s">
        <v>13</v>
      </c>
      <c r="N5" s="1584" t="s">
        <v>14</v>
      </c>
      <c r="O5" s="1112" t="s">
        <v>933</v>
      </c>
      <c r="P5" s="1584" t="s">
        <v>123</v>
      </c>
      <c r="Q5" s="1584" t="s">
        <v>124</v>
      </c>
      <c r="R5" s="1586" t="s">
        <v>16</v>
      </c>
      <c r="S5" s="1585" t="s">
        <v>870</v>
      </c>
      <c r="T5" s="1586" t="s">
        <v>125</v>
      </c>
      <c r="U5" s="1585" t="s">
        <v>126</v>
      </c>
      <c r="V5" s="1584" t="s">
        <v>18</v>
      </c>
      <c r="W5" s="1671" t="s">
        <v>17</v>
      </c>
      <c r="X5" s="2165" t="s">
        <v>1923</v>
      </c>
    </row>
    <row r="6" spans="1:24" ht="12.75" hidden="1" customHeight="1" thickTop="1">
      <c r="A6" s="498" t="s">
        <v>71</v>
      </c>
      <c r="B6" s="499" t="str">
        <f t="shared" ref="B6:B7" si="0">LEFT(A6,10)</f>
        <v>COM_200701</v>
      </c>
      <c r="C6" s="499">
        <v>0</v>
      </c>
      <c r="D6" s="499">
        <v>0</v>
      </c>
      <c r="E6" s="499">
        <f t="shared" ref="E6:E12" si="1">COUNTIFS($A:$A,A6,$L:$L,L6)</f>
        <v>1</v>
      </c>
      <c r="F6" s="499">
        <v>2</v>
      </c>
      <c r="G6" s="500" t="b">
        <v>1</v>
      </c>
      <c r="H6" s="501" t="str">
        <f t="shared" ref="H6:H7" si="2">IF(LEFT(A6,3)="Res","Residential",IF(LEFT(A6,3)="Ind","industrial",IF(LEFT(A6,3)="Com","Commercial",IF(LEFT(A6,3)="AGR","Agriculture",""))))</f>
        <v>Commercial</v>
      </c>
      <c r="I6" s="502" t="s">
        <v>139</v>
      </c>
      <c r="J6" s="502" t="s">
        <v>643</v>
      </c>
      <c r="K6" s="502" t="s">
        <v>1176</v>
      </c>
      <c r="L6" s="24">
        <v>2018</v>
      </c>
      <c r="M6" s="511">
        <f>X6</f>
        <v>437077.25790000003</v>
      </c>
      <c r="N6" s="512">
        <v>0</v>
      </c>
      <c r="O6" s="512">
        <v>0</v>
      </c>
      <c r="P6" s="512">
        <v>0</v>
      </c>
      <c r="Q6" s="318" t="s">
        <v>1849</v>
      </c>
      <c r="R6" s="505">
        <v>0.13800000000000001</v>
      </c>
      <c r="S6" s="531">
        <f>K44</f>
        <v>30.87885098400001</v>
      </c>
      <c r="T6" s="111" t="s">
        <v>1550</v>
      </c>
      <c r="U6" s="590">
        <f>(M6-O6-P6)*R6*S6/8760000</f>
        <v>0.21261520606120357</v>
      </c>
      <c r="V6" s="508">
        <f t="shared" ref="V6:V12" si="3">IFERROR((N6-P6/M6*N6)*R6*S6/8760/1000,0)</f>
        <v>0</v>
      </c>
      <c r="W6" s="509">
        <f t="shared" ref="W6:W12" si="4">U6-V6</f>
        <v>0.21261520606120357</v>
      </c>
      <c r="X6" s="863">
        <v>437077.25790000003</v>
      </c>
    </row>
    <row r="7" spans="1:24" ht="12.75" hidden="1" customHeight="1">
      <c r="A7" s="498" t="s">
        <v>71</v>
      </c>
      <c r="B7" s="499" t="str">
        <f t="shared" si="0"/>
        <v>COM_200701</v>
      </c>
      <c r="C7" s="499">
        <v>0</v>
      </c>
      <c r="D7" s="499">
        <v>0</v>
      </c>
      <c r="E7" s="499">
        <f t="shared" si="1"/>
        <v>1</v>
      </c>
      <c r="F7" s="499">
        <v>2</v>
      </c>
      <c r="G7" s="500" t="b">
        <v>1</v>
      </c>
      <c r="H7" s="501" t="str">
        <f t="shared" si="2"/>
        <v>Commercial</v>
      </c>
      <c r="I7" s="502" t="s">
        <v>139</v>
      </c>
      <c r="J7" s="502" t="s">
        <v>643</v>
      </c>
      <c r="K7" s="502" t="s">
        <v>1176</v>
      </c>
      <c r="L7" s="24">
        <v>2019</v>
      </c>
      <c r="M7" s="511">
        <f>X7*0.8</f>
        <v>325377.29331029602</v>
      </c>
      <c r="N7" s="512">
        <v>0</v>
      </c>
      <c r="O7" s="512">
        <v>0</v>
      </c>
      <c r="P7" s="512">
        <v>0</v>
      </c>
      <c r="Q7" s="318" t="s">
        <v>1849</v>
      </c>
      <c r="R7" s="505">
        <v>0.13800000000000001</v>
      </c>
      <c r="S7" s="531">
        <f>$K$44</f>
        <v>30.87885098400001</v>
      </c>
      <c r="T7" s="111" t="s">
        <v>1550</v>
      </c>
      <c r="U7" s="590">
        <f>(M7-O7-P7)*R7*S7/8760000</f>
        <v>0.15827902050358603</v>
      </c>
      <c r="V7" s="508">
        <f t="shared" si="3"/>
        <v>0</v>
      </c>
      <c r="W7" s="509">
        <f t="shared" si="4"/>
        <v>0.15827902050358603</v>
      </c>
      <c r="X7" s="863">
        <v>406721.61663787003</v>
      </c>
    </row>
    <row r="8" spans="1:24" ht="12.75" customHeight="1" thickTop="1">
      <c r="A8" s="498" t="s">
        <v>71</v>
      </c>
      <c r="B8" s="499" t="str">
        <f>LEFT(A8,10)</f>
        <v>COM_200701</v>
      </c>
      <c r="C8" s="499">
        <v>0</v>
      </c>
      <c r="D8" s="499">
        <v>0</v>
      </c>
      <c r="E8" s="499">
        <f t="shared" si="1"/>
        <v>1</v>
      </c>
      <c r="F8" s="499">
        <v>1</v>
      </c>
      <c r="G8" s="500" t="b">
        <v>1</v>
      </c>
      <c r="H8" s="501" t="str">
        <f>IF(LEFT(A8,3)="Res","Residential",IF(LEFT(A8,3)="Ind","industrial",IF(LEFT(A8,3)="Com","Commercial",IF(LEFT(A8,3)="AGR","Agriculture",""))))</f>
        <v>Commercial</v>
      </c>
      <c r="I8" s="502" t="s">
        <v>139</v>
      </c>
      <c r="J8" s="502" t="s">
        <v>643</v>
      </c>
      <c r="K8" s="502" t="s">
        <v>1176</v>
      </c>
      <c r="L8" s="24">
        <v>2020</v>
      </c>
      <c r="M8" s="511">
        <f>X8*0.8</f>
        <v>298573.36517666403</v>
      </c>
      <c r="N8" s="512">
        <v>0</v>
      </c>
      <c r="O8" s="512">
        <v>0</v>
      </c>
      <c r="P8" s="512">
        <v>0</v>
      </c>
      <c r="Q8" s="318" t="s">
        <v>1849</v>
      </c>
      <c r="R8" s="505">
        <v>0.13800000000000001</v>
      </c>
      <c r="S8" s="531">
        <f>$K$44</f>
        <v>30.87885098400001</v>
      </c>
      <c r="T8" s="111" t="s">
        <v>1550</v>
      </c>
      <c r="U8" s="590">
        <f>(M8-O8-P8)*R8*S8/8760000</f>
        <v>0.14524031258553249</v>
      </c>
      <c r="V8" s="508">
        <f t="shared" si="3"/>
        <v>0</v>
      </c>
      <c r="W8" s="509">
        <f t="shared" si="4"/>
        <v>0.14524031258553249</v>
      </c>
      <c r="X8" s="863">
        <v>373216.70647083002</v>
      </c>
    </row>
    <row r="9" spans="1:24" ht="12.75" customHeight="1">
      <c r="A9" s="498" t="s">
        <v>71</v>
      </c>
      <c r="B9" s="499" t="str">
        <f t="shared" ref="B9" si="5">LEFT(A9,10)</f>
        <v>COM_200701</v>
      </c>
      <c r="C9" s="499">
        <v>0</v>
      </c>
      <c r="D9" s="499">
        <v>0</v>
      </c>
      <c r="E9" s="499">
        <f t="shared" si="1"/>
        <v>1</v>
      </c>
      <c r="F9" s="499">
        <v>1</v>
      </c>
      <c r="G9" s="500" t="b">
        <v>1</v>
      </c>
      <c r="H9" s="710" t="str">
        <f t="shared" ref="H9" si="6">IF(LEFT(A9,3)="Res","Residential",IF(LEFT(A9,3)="Ind","industrial",IF(LEFT(A9,3)="Com","Commercial",IF(LEFT(A9,3)="AGR","Agriculture",""))))</f>
        <v>Commercial</v>
      </c>
      <c r="I9" s="559" t="s">
        <v>139</v>
      </c>
      <c r="J9" s="559" t="s">
        <v>643</v>
      </c>
      <c r="K9" s="559" t="s">
        <v>1176</v>
      </c>
      <c r="L9" s="277">
        <v>2021</v>
      </c>
      <c r="M9" s="560">
        <f>X9</f>
        <v>344884.06772901001</v>
      </c>
      <c r="N9" s="561">
        <v>0</v>
      </c>
      <c r="O9" s="561">
        <v>464278.76530000003</v>
      </c>
      <c r="P9" s="561">
        <v>0</v>
      </c>
      <c r="Q9" s="319" t="s">
        <v>1849</v>
      </c>
      <c r="R9" s="562">
        <v>0.13800000000000001</v>
      </c>
      <c r="S9" s="841">
        <f>IF(O9&gt;M9,0,$K$44)</f>
        <v>0</v>
      </c>
      <c r="T9" s="744" t="s">
        <v>1550</v>
      </c>
      <c r="U9" s="1169">
        <f t="shared" ref="U9:U12" si="7">(M9-O9-P9)*R9*S9/8760000</f>
        <v>0</v>
      </c>
      <c r="V9" s="565">
        <f t="shared" si="3"/>
        <v>0</v>
      </c>
      <c r="W9" s="566">
        <f t="shared" si="4"/>
        <v>0</v>
      </c>
      <c r="X9" s="863">
        <v>344884.06772901001</v>
      </c>
    </row>
    <row r="10" spans="1:24" ht="12.75" hidden="1" customHeight="1">
      <c r="A10" s="498" t="s">
        <v>1845</v>
      </c>
      <c r="B10" s="499" t="str">
        <f>LEFT(A10,10)</f>
        <v>COM_200701</v>
      </c>
      <c r="C10" s="499">
        <v>0</v>
      </c>
      <c r="D10" s="499">
        <v>0</v>
      </c>
      <c r="E10" s="499">
        <f t="shared" si="1"/>
        <v>1</v>
      </c>
      <c r="F10" s="499">
        <v>2</v>
      </c>
      <c r="G10" s="499" t="b">
        <v>1</v>
      </c>
      <c r="H10" s="793" t="str">
        <f>IF(LEFT(A10,3)="Res","Residential",IF(LEFT(A10,3)="Ind","industrial",IF(LEFT(A10,3)="Com","Commercial",IF(LEFT(A10,3)="AGR","Agriculture",""))))</f>
        <v>Commercial</v>
      </c>
      <c r="I10" s="716" t="s">
        <v>139</v>
      </c>
      <c r="J10" s="716" t="s">
        <v>643</v>
      </c>
      <c r="K10" s="716" t="s">
        <v>1848</v>
      </c>
      <c r="L10" s="701">
        <v>2019</v>
      </c>
      <c r="M10" s="763">
        <f>X7-M7</f>
        <v>81344.323327574006</v>
      </c>
      <c r="N10" s="764">
        <v>0</v>
      </c>
      <c r="O10" s="764">
        <v>0</v>
      </c>
      <c r="P10" s="764">
        <v>0</v>
      </c>
      <c r="Q10" s="765" t="s">
        <v>1849</v>
      </c>
      <c r="R10" s="864">
        <f>$R$6</f>
        <v>0.13800000000000001</v>
      </c>
      <c r="S10" s="842">
        <f>$J$61</f>
        <v>58.005892711679365</v>
      </c>
      <c r="T10" s="751" t="s">
        <v>1928</v>
      </c>
      <c r="U10" s="1171">
        <f t="shared" si="7"/>
        <v>7.4331748019040106E-2</v>
      </c>
      <c r="V10" s="722">
        <f t="shared" si="3"/>
        <v>0</v>
      </c>
      <c r="W10" s="723">
        <f t="shared" si="4"/>
        <v>7.4331748019040106E-2</v>
      </c>
    </row>
    <row r="11" spans="1:24" ht="12.75" customHeight="1">
      <c r="A11" s="498" t="s">
        <v>1845</v>
      </c>
      <c r="B11" s="499" t="str">
        <f t="shared" ref="B11" si="8">LEFT(A11,10)</f>
        <v>COM_200701</v>
      </c>
      <c r="C11" s="499">
        <v>0</v>
      </c>
      <c r="D11" s="499">
        <v>0</v>
      </c>
      <c r="E11" s="499">
        <f t="shared" si="1"/>
        <v>1</v>
      </c>
      <c r="F11" s="499">
        <v>1</v>
      </c>
      <c r="G11" s="499" t="b">
        <v>1</v>
      </c>
      <c r="H11" s="795" t="str">
        <f t="shared" ref="H11" si="9">IF(LEFT(A11,3)="Res","Residential",IF(LEFT(A11,3)="Ind","industrial",IF(LEFT(A11,3)="Com","Commercial",IF(LEFT(A11,3)="AGR","Agriculture",""))))</f>
        <v>Commercial</v>
      </c>
      <c r="I11" s="502" t="s">
        <v>139</v>
      </c>
      <c r="J11" s="502" t="s">
        <v>643</v>
      </c>
      <c r="K11" s="502" t="s">
        <v>1848</v>
      </c>
      <c r="L11" s="24">
        <v>2020</v>
      </c>
      <c r="M11" s="511">
        <f>X8-M8</f>
        <v>74643.341294165992</v>
      </c>
      <c r="N11" s="512">
        <v>0</v>
      </c>
      <c r="O11" s="512">
        <v>0</v>
      </c>
      <c r="P11" s="512">
        <v>0</v>
      </c>
      <c r="Q11" s="318" t="s">
        <v>1849</v>
      </c>
      <c r="R11" s="505">
        <f>$R$6</f>
        <v>0.13800000000000001</v>
      </c>
      <c r="S11" s="531">
        <f>$J$61</f>
        <v>58.005892711679365</v>
      </c>
      <c r="T11" s="111" t="s">
        <v>1928</v>
      </c>
      <c r="U11" s="590">
        <f>(M11-O11-P11)*R11*S11/8760000</f>
        <v>6.8208447859770649E-2</v>
      </c>
      <c r="V11" s="508">
        <f t="shared" si="3"/>
        <v>0</v>
      </c>
      <c r="W11" s="509">
        <f t="shared" si="4"/>
        <v>6.8208447859770649E-2</v>
      </c>
    </row>
    <row r="12" spans="1:24" ht="12.75" customHeight="1" thickBot="1">
      <c r="A12" s="498" t="s">
        <v>1845</v>
      </c>
      <c r="B12" s="499" t="str">
        <f t="shared" ref="B12" si="10">LEFT(A12,10)</f>
        <v>COM_200701</v>
      </c>
      <c r="C12" s="499">
        <v>0</v>
      </c>
      <c r="D12" s="499">
        <v>0</v>
      </c>
      <c r="E12" s="499">
        <f t="shared" si="1"/>
        <v>1</v>
      </c>
      <c r="F12" s="499">
        <v>1</v>
      </c>
      <c r="G12" s="499" t="b">
        <v>1</v>
      </c>
      <c r="H12" s="809" t="str">
        <f t="shared" ref="H12" si="11">IF(LEFT(A12,3)="Res","Residential",IF(LEFT(A12,3)="Ind","industrial",IF(LEFT(A12,3)="Com","Commercial",IF(LEFT(A12,3)="AGR","Agriculture",""))))</f>
        <v>Commercial</v>
      </c>
      <c r="I12" s="734" t="s">
        <v>139</v>
      </c>
      <c r="J12" s="734" t="s">
        <v>643</v>
      </c>
      <c r="K12" s="734" t="s">
        <v>1848</v>
      </c>
      <c r="L12" s="708">
        <v>2021</v>
      </c>
      <c r="M12" s="735">
        <v>0</v>
      </c>
      <c r="N12" s="736">
        <v>0</v>
      </c>
      <c r="O12" s="736">
        <v>0</v>
      </c>
      <c r="P12" s="736">
        <v>0</v>
      </c>
      <c r="Q12" s="810" t="s">
        <v>1849</v>
      </c>
      <c r="R12" s="737">
        <f>$R$6</f>
        <v>0.13800000000000001</v>
      </c>
      <c r="S12" s="843">
        <f>$J$61</f>
        <v>58.005892711679365</v>
      </c>
      <c r="T12" s="758" t="s">
        <v>1928</v>
      </c>
      <c r="U12" s="1174">
        <f t="shared" si="7"/>
        <v>0</v>
      </c>
      <c r="V12" s="740">
        <f t="shared" si="3"/>
        <v>0</v>
      </c>
      <c r="W12" s="741">
        <f t="shared" si="4"/>
        <v>0</v>
      </c>
    </row>
    <row r="13" spans="1:24" ht="14.4" customHeight="1">
      <c r="H13" s="1577"/>
      <c r="I13" s="1577"/>
      <c r="J13" s="1577"/>
      <c r="K13" s="1577"/>
      <c r="L13" s="1577"/>
    </row>
    <row r="14" spans="1:24" ht="27.75" customHeight="1">
      <c r="H14" s="3112" t="s">
        <v>1385</v>
      </c>
      <c r="I14" s="3112"/>
      <c r="J14" s="3112"/>
      <c r="K14" s="3112"/>
      <c r="L14" s="3112"/>
    </row>
    <row r="15" spans="1:24" ht="12.75" customHeight="1">
      <c r="H15" s="3112"/>
      <c r="I15" s="3112"/>
      <c r="J15" s="3112"/>
      <c r="K15" s="3112"/>
      <c r="L15" s="3112"/>
    </row>
    <row r="16" spans="1:24" ht="12.75" customHeight="1">
      <c r="H16" s="3112"/>
      <c r="I16" s="3112"/>
      <c r="J16" s="3112"/>
      <c r="K16" s="3112"/>
      <c r="L16" s="3112"/>
    </row>
    <row r="19" spans="8:22" ht="12.75" customHeight="1">
      <c r="H19" s="3103" t="s">
        <v>1535</v>
      </c>
      <c r="I19" s="3103"/>
      <c r="N19" s="458"/>
      <c r="O19" s="458"/>
      <c r="P19" s="458"/>
    </row>
    <row r="20" spans="8:22" ht="18.600000000000001" customHeight="1">
      <c r="H20" s="421" t="s">
        <v>1527</v>
      </c>
      <c r="I20" s="421"/>
      <c r="J20" s="421"/>
      <c r="K20" s="421"/>
      <c r="L20" s="421"/>
      <c r="M20" s="1116"/>
      <c r="N20" s="458"/>
      <c r="O20" s="458"/>
      <c r="P20" s="458"/>
    </row>
    <row r="21" spans="8:22" ht="72" customHeight="1">
      <c r="H21" s="3108" t="s">
        <v>1522</v>
      </c>
      <c r="I21" s="3108"/>
      <c r="J21" s="3108"/>
      <c r="K21" s="3108"/>
      <c r="L21" s="3108"/>
      <c r="M21" s="2166"/>
    </row>
    <row r="22" spans="8:22" ht="13.95" customHeight="1" thickBot="1">
      <c r="H22" s="1575"/>
      <c r="I22" s="1575"/>
      <c r="J22" s="1575"/>
      <c r="K22" s="1575"/>
      <c r="L22" s="1575"/>
      <c r="M22" s="1575"/>
    </row>
    <row r="23" spans="8:22" ht="39" customHeight="1">
      <c r="I23" s="3104" t="s">
        <v>1610</v>
      </c>
      <c r="J23" s="3105"/>
      <c r="K23" s="1591"/>
      <c r="L23" s="1591"/>
      <c r="M23" s="1575"/>
    </row>
    <row r="24" spans="8:22" ht="15" customHeight="1">
      <c r="I24" s="3106" t="s">
        <v>1525</v>
      </c>
      <c r="J24" s="3107"/>
      <c r="K24" s="423"/>
      <c r="L24" s="463"/>
      <c r="M24" s="462"/>
      <c r="R24" s="464"/>
      <c r="V24" s="462"/>
    </row>
    <row r="25" spans="8:22" ht="18.75" customHeight="1">
      <c r="I25" s="540" t="s">
        <v>1524</v>
      </c>
      <c r="J25" s="541">
        <v>78512333.333333328</v>
      </c>
      <c r="K25" s="423"/>
      <c r="L25" s="463"/>
      <c r="M25" s="462"/>
      <c r="R25" s="464"/>
      <c r="V25" s="462"/>
    </row>
    <row r="26" spans="8:22" ht="16.5" customHeight="1">
      <c r="I26" s="540" t="s">
        <v>1117</v>
      </c>
      <c r="J26" s="541">
        <v>370966.66666666663</v>
      </c>
      <c r="K26" s="423"/>
      <c r="L26" s="463"/>
      <c r="M26" s="462"/>
      <c r="R26" s="464"/>
      <c r="V26" s="462"/>
    </row>
    <row r="27" spans="8:22" ht="12.75" customHeight="1">
      <c r="I27" s="540" t="s">
        <v>1111</v>
      </c>
      <c r="J27" s="541">
        <v>242408.33333333337</v>
      </c>
      <c r="K27" s="423"/>
      <c r="L27" s="463"/>
      <c r="M27" s="462"/>
      <c r="R27" s="464"/>
      <c r="V27" s="462"/>
    </row>
    <row r="28" spans="8:22" ht="12.75" customHeight="1">
      <c r="I28" s="540" t="s">
        <v>1114</v>
      </c>
      <c r="J28" s="541">
        <v>973550</v>
      </c>
      <c r="K28" s="423"/>
      <c r="L28" s="463"/>
      <c r="M28" s="462"/>
      <c r="R28" s="464"/>
      <c r="V28" s="462"/>
    </row>
    <row r="29" spans="8:22" ht="12.75" customHeight="1">
      <c r="I29" s="540" t="s">
        <v>1121</v>
      </c>
      <c r="J29" s="541">
        <v>1809716.6666666667</v>
      </c>
      <c r="K29" s="423"/>
      <c r="L29" s="463"/>
      <c r="M29" s="462"/>
      <c r="R29" s="464"/>
      <c r="V29" s="462"/>
    </row>
    <row r="30" spans="8:22" ht="34.5" customHeight="1" thickBot="1">
      <c r="I30" s="542" t="s">
        <v>1528</v>
      </c>
      <c r="J30" s="543">
        <f>SUM(J26:J29)/J25</f>
        <v>4.3262523510106697E-2</v>
      </c>
      <c r="K30" s="463"/>
      <c r="L30" s="463"/>
      <c r="S30" s="464"/>
      <c r="V30" s="462"/>
    </row>
    <row r="31" spans="8:22" ht="18.75" customHeight="1">
      <c r="H31" s="257"/>
      <c r="I31" s="422"/>
      <c r="K31" s="463"/>
      <c r="L31" s="463"/>
      <c r="S31" s="464"/>
      <c r="V31" s="462"/>
    </row>
    <row r="33" spans="8:17" ht="14.4" customHeight="1">
      <c r="H33" s="3103" t="s">
        <v>1519</v>
      </c>
      <c r="I33" s="3103"/>
      <c r="J33" s="482"/>
      <c r="K33" s="482"/>
      <c r="L33" s="482"/>
      <c r="M33" s="482"/>
      <c r="N33" s="482"/>
    </row>
    <row r="34" spans="8:17" ht="27" customHeight="1">
      <c r="H34" s="3108" t="s">
        <v>1924</v>
      </c>
      <c r="I34" s="3108"/>
      <c r="J34" s="3108"/>
      <c r="K34" s="3108"/>
      <c r="L34" s="3108"/>
      <c r="M34" s="482"/>
      <c r="N34" s="482"/>
    </row>
    <row r="35" spans="8:17" ht="27" customHeight="1">
      <c r="H35" s="3108"/>
      <c r="I35" s="3108"/>
      <c r="J35" s="3108"/>
      <c r="K35" s="3108"/>
      <c r="L35" s="3108"/>
      <c r="M35" s="482"/>
      <c r="N35" s="482"/>
    </row>
    <row r="36" spans="8:17" ht="12.75" customHeight="1" thickBot="1">
      <c r="K36" s="482"/>
      <c r="L36" s="482"/>
      <c r="M36" s="482"/>
      <c r="N36" s="482"/>
    </row>
    <row r="37" spans="8:17" ht="15" customHeight="1">
      <c r="I37" s="544" t="s">
        <v>1520</v>
      </c>
      <c r="J37" s="545" t="s">
        <v>159</v>
      </c>
      <c r="K37" s="546" t="s">
        <v>1521</v>
      </c>
      <c r="L37" s="482"/>
      <c r="M37" s="482"/>
      <c r="N37" s="482"/>
    </row>
    <row r="38" spans="8:17" ht="12.75" customHeight="1" thickBot="1">
      <c r="I38" s="2167">
        <v>284.99012268800004</v>
      </c>
      <c r="J38" s="2168">
        <v>161.474718752</v>
      </c>
      <c r="K38" s="2169">
        <f>I38-J38</f>
        <v>123.51540393600004</v>
      </c>
      <c r="L38" s="482"/>
      <c r="M38" s="482"/>
      <c r="N38" s="482"/>
    </row>
    <row r="39" spans="8:17" ht="12.75" customHeight="1">
      <c r="H39" s="482"/>
      <c r="I39" s="482"/>
      <c r="J39" s="482"/>
      <c r="K39" s="482"/>
      <c r="L39" s="482"/>
      <c r="M39" s="482"/>
      <c r="N39" s="482"/>
      <c r="Q39" s="463"/>
    </row>
    <row r="40" spans="8:17" ht="16.95" customHeight="1">
      <c r="H40" s="3108" t="s">
        <v>1526</v>
      </c>
      <c r="I40" s="3108"/>
      <c r="J40" s="3108"/>
      <c r="K40" s="3108"/>
      <c r="L40" s="3108"/>
      <c r="M40" s="3109"/>
      <c r="N40" s="3109"/>
      <c r="O40" s="3109"/>
      <c r="P40" s="3109"/>
    </row>
    <row r="41" spans="8:17" ht="16.95" customHeight="1">
      <c r="H41" s="3108"/>
      <c r="I41" s="3108"/>
      <c r="J41" s="3108"/>
      <c r="K41" s="3108"/>
      <c r="L41" s="3108"/>
      <c r="M41" s="3109"/>
      <c r="N41" s="3109"/>
      <c r="O41" s="3109"/>
      <c r="P41" s="3109"/>
    </row>
    <row r="42" spans="8:17" ht="12.75" customHeight="1" thickBot="1"/>
    <row r="43" spans="8:17" ht="15" customHeight="1">
      <c r="I43" s="544" t="s">
        <v>1521</v>
      </c>
      <c r="J43" s="545" t="s">
        <v>15</v>
      </c>
      <c r="K43" s="546" t="s">
        <v>1523</v>
      </c>
      <c r="O43" s="462"/>
      <c r="P43" s="462"/>
    </row>
    <row r="44" spans="8:17" ht="12.75" customHeight="1" thickBot="1">
      <c r="I44" s="2167">
        <f>K38</f>
        <v>123.51540393600004</v>
      </c>
      <c r="J44" s="2170">
        <v>0.75</v>
      </c>
      <c r="K44" s="2171">
        <f>I44*(1-J44)</f>
        <v>30.87885098400001</v>
      </c>
      <c r="O44" s="462"/>
      <c r="P44" s="462"/>
    </row>
    <row r="45" spans="8:17" ht="12.75" customHeight="1">
      <c r="H45" s="482"/>
      <c r="I45" s="482"/>
      <c r="J45" s="482"/>
      <c r="K45" s="482"/>
      <c r="L45" s="482"/>
      <c r="M45" s="2001"/>
      <c r="N45" s="2001"/>
      <c r="O45" s="462"/>
      <c r="P45" s="462"/>
    </row>
    <row r="46" spans="8:17" ht="13.8">
      <c r="M46" s="2001"/>
      <c r="N46" s="2001"/>
      <c r="O46" s="462"/>
      <c r="P46" s="462"/>
    </row>
    <row r="47" spans="8:17" ht="13.8">
      <c r="M47" s="2001"/>
      <c r="N47" s="2001"/>
      <c r="O47" s="462"/>
      <c r="P47" s="462"/>
    </row>
    <row r="48" spans="8:17" ht="73.2" customHeight="1">
      <c r="H48" s="3108" t="s">
        <v>2427</v>
      </c>
      <c r="I48" s="3108"/>
      <c r="J48" s="3108"/>
      <c r="K48" s="3108"/>
      <c r="L48" s="3108"/>
      <c r="M48" s="2001"/>
      <c r="N48" s="2001"/>
      <c r="O48" s="462"/>
      <c r="P48" s="462"/>
    </row>
    <row r="49" spans="8:17" ht="73.2" customHeight="1">
      <c r="H49" s="3108"/>
      <c r="I49" s="3108"/>
      <c r="J49" s="3108"/>
      <c r="K49" s="3108"/>
      <c r="L49" s="3108"/>
      <c r="M49" s="2001"/>
      <c r="N49" s="2001"/>
      <c r="O49" s="462"/>
      <c r="P49" s="462"/>
    </row>
    <row r="50" spans="8:17" ht="12.75" customHeight="1">
      <c r="H50" s="482"/>
      <c r="I50" s="482"/>
      <c r="J50" s="482"/>
      <c r="K50" s="482"/>
      <c r="L50" s="482"/>
      <c r="M50" s="2001"/>
      <c r="N50" s="2001"/>
      <c r="O50" s="462"/>
      <c r="P50" s="462"/>
    </row>
    <row r="51" spans="8:17" ht="12.75" customHeight="1" thickBot="1">
      <c r="H51" s="482"/>
      <c r="I51" s="463"/>
      <c r="J51" s="463"/>
      <c r="K51" s="463"/>
      <c r="M51" s="2001"/>
      <c r="N51" s="2001"/>
      <c r="O51" s="482"/>
      <c r="P51" s="482"/>
      <c r="Q51" s="482"/>
    </row>
    <row r="52" spans="8:17" ht="32.25" customHeight="1">
      <c r="H52" s="482"/>
      <c r="I52" s="544" t="s">
        <v>6</v>
      </c>
      <c r="J52" s="545" t="s">
        <v>1925</v>
      </c>
      <c r="K52" s="546" t="s">
        <v>2400</v>
      </c>
      <c r="M52" s="2001"/>
      <c r="O52" s="482"/>
      <c r="P52" s="482"/>
      <c r="Q52" s="482"/>
    </row>
    <row r="53" spans="8:17" ht="12.75" customHeight="1">
      <c r="H53" s="482"/>
      <c r="I53" s="2172" t="s">
        <v>15</v>
      </c>
      <c r="J53" s="2535">
        <v>381.14937503405747</v>
      </c>
      <c r="K53" s="2537">
        <v>5.3749999999999992E-2</v>
      </c>
      <c r="L53" s="926"/>
      <c r="M53" s="2533"/>
      <c r="O53" s="482"/>
      <c r="P53" s="482"/>
      <c r="Q53" s="482"/>
    </row>
    <row r="54" spans="8:17" ht="12.75" customHeight="1">
      <c r="H54" s="482"/>
      <c r="I54" s="2172" t="s">
        <v>644</v>
      </c>
      <c r="J54" s="2535">
        <v>297.94065803717012</v>
      </c>
      <c r="K54" s="2537">
        <v>0</v>
      </c>
      <c r="L54" s="926"/>
      <c r="M54" s="2533"/>
      <c r="O54" s="482"/>
      <c r="P54" s="482"/>
      <c r="Q54" s="482"/>
    </row>
    <row r="55" spans="8:17" ht="12.75" customHeight="1">
      <c r="H55" s="482"/>
      <c r="I55" s="2172" t="s">
        <v>2401</v>
      </c>
      <c r="J55" s="2535">
        <v>269.64400868075808</v>
      </c>
      <c r="K55" s="2537">
        <v>0.19625000000000001</v>
      </c>
      <c r="L55" s="926"/>
      <c r="M55" s="2533"/>
      <c r="O55" s="482"/>
      <c r="P55" s="482"/>
      <c r="Q55" s="482"/>
    </row>
    <row r="56" spans="8:17" ht="12.75" customHeight="1">
      <c r="I56" s="2172" t="s">
        <v>1927</v>
      </c>
      <c r="J56" s="2535">
        <v>137.93530279999999</v>
      </c>
      <c r="K56" s="2538">
        <v>0.75</v>
      </c>
      <c r="M56" s="483"/>
    </row>
    <row r="57" spans="8:17" ht="12.75" customHeight="1" thickBot="1">
      <c r="I57" s="2173" t="s">
        <v>1492</v>
      </c>
      <c r="J57" s="2536">
        <v>118.85</v>
      </c>
      <c r="K57" s="2534">
        <v>0</v>
      </c>
    </row>
    <row r="58" spans="8:17" ht="12.75" customHeight="1" thickBot="1">
      <c r="N58" s="1569"/>
    </row>
    <row r="59" spans="8:17" ht="12.75" customHeight="1" thickBot="1">
      <c r="I59" s="2174" t="s">
        <v>1071</v>
      </c>
      <c r="J59" s="2175">
        <f>SUMPRODUCT(J53:J56,K53:K56)</f>
        <v>176.85589271167936</v>
      </c>
      <c r="K59" s="2375"/>
    </row>
    <row r="60" spans="8:17" ht="12.75" customHeight="1" thickBot="1">
      <c r="K60" s="482"/>
    </row>
    <row r="61" spans="8:17" ht="12.75" customHeight="1">
      <c r="I61" s="2176" t="s">
        <v>1926</v>
      </c>
      <c r="J61" s="2177">
        <f>J59-J57</f>
        <v>58.005892711679365</v>
      </c>
      <c r="K61" s="482"/>
    </row>
    <row r="62" spans="8:17" ht="12.75" customHeight="1" thickBot="1">
      <c r="I62" s="2173" t="s">
        <v>2004</v>
      </c>
      <c r="J62" s="2178">
        <f>J59-J56</f>
        <v>38.920589911679372</v>
      </c>
      <c r="K62" s="482"/>
    </row>
    <row r="63" spans="8:17" ht="12.75" customHeight="1">
      <c r="J63" s="932"/>
    </row>
  </sheetData>
  <autoFilter ref="A5:X12">
    <filterColumn colId="11">
      <filters>
        <filter val="2020"/>
        <filter val="2021"/>
      </filters>
    </filterColumn>
  </autoFilter>
  <dataConsolidate/>
  <mergeCells count="15">
    <mergeCell ref="M41:P41"/>
    <mergeCell ref="H40:L41"/>
    <mergeCell ref="H34:L35"/>
    <mergeCell ref="A4:G4"/>
    <mergeCell ref="H4:L4"/>
    <mergeCell ref="H14:L16"/>
    <mergeCell ref="M4:R4"/>
    <mergeCell ref="H21:L21"/>
    <mergeCell ref="H19:I19"/>
    <mergeCell ref="M40:P40"/>
    <mergeCell ref="I2:L2"/>
    <mergeCell ref="H33:I33"/>
    <mergeCell ref="I23:J23"/>
    <mergeCell ref="I24:J24"/>
    <mergeCell ref="H48:L49"/>
  </mergeCells>
  <hyperlinks>
    <hyperlink ref="H1" location="' Summary by Program 2020-21'!H1" display="Summary Page"/>
  </hyperlinks>
  <pageMargins left="0.7" right="0.7" top="0.75" bottom="0.75" header="0.3" footer="0.3"/>
  <pageSetup scale="34" orientation="portrait" r:id="rId1"/>
  <ignoredErrors>
    <ignoredError sqref="J59" formulaRange="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filterMode="1">
    <tabColor rgb="FF0083CA"/>
    <pageSetUpPr fitToPage="1"/>
  </sheetPr>
  <dimension ref="A1:W81"/>
  <sheetViews>
    <sheetView showGridLines="0" topLeftCell="H1" workbookViewId="0">
      <selection activeCell="H1" sqref="H1"/>
    </sheetView>
  </sheetViews>
  <sheetFormatPr defaultColWidth="18.6640625" defaultRowHeight="12.75" customHeight="1" outlineLevelCol="1"/>
  <cols>
    <col min="1" max="1" width="9.109375" style="460" hidden="1" customWidth="1" outlineLevel="1"/>
    <col min="2" max="2" width="10.44140625" style="460" hidden="1" customWidth="1" outlineLevel="1"/>
    <col min="3" max="3" width="10.5546875" style="461" hidden="1" customWidth="1" outlineLevel="1"/>
    <col min="4" max="4" width="16.5546875" style="461" hidden="1" customWidth="1" outlineLevel="1"/>
    <col min="5" max="5" width="14.5546875" style="461" hidden="1" customWidth="1" outlineLevel="1"/>
    <col min="6" max="6" width="12.6640625" style="461" hidden="1" customWidth="1" outlineLevel="1"/>
    <col min="7" max="7" width="10.6640625" style="460" hidden="1" customWidth="1" outlineLevel="1"/>
    <col min="8" max="8" width="18" style="462" customWidth="1" collapsed="1"/>
    <col min="9" max="9" width="29.33203125" style="462" customWidth="1"/>
    <col min="10" max="10" width="27.44140625" style="462" customWidth="1"/>
    <col min="11" max="11" width="18" style="462" customWidth="1"/>
    <col min="12" max="12" width="9.44140625" style="462" customWidth="1"/>
    <col min="13" max="16" width="12.109375" style="463" customWidth="1"/>
    <col min="17" max="17" width="12.109375" style="462" customWidth="1"/>
    <col min="18" max="18" width="11.88671875" style="462" customWidth="1"/>
    <col min="19" max="19" width="13.88671875" style="462" customWidth="1"/>
    <col min="20" max="21" width="12.33203125" style="462" customWidth="1"/>
    <col min="22" max="22" width="12.33203125" style="464" customWidth="1"/>
    <col min="23" max="16384" width="18.6640625" style="462"/>
  </cols>
  <sheetData>
    <row r="1" spans="1:23" ht="12.75" customHeight="1">
      <c r="H1" s="239" t="s">
        <v>1067</v>
      </c>
    </row>
    <row r="2" spans="1:23" ht="59.25" customHeight="1">
      <c r="H2" s="1579" t="s">
        <v>1517</v>
      </c>
      <c r="I2" s="2875" t="str">
        <f>INDEX(Programs!C:C,MATCH(I7,Programs!B:B,0))</f>
        <v>This is a placefholder for Other Energy Star products associated with Desktop Power supplies. This will be tracking desktops and laptops influenced by NEEA, but not directly tied to 80+ efforts.</v>
      </c>
      <c r="J2" s="2875"/>
      <c r="K2" s="2875"/>
      <c r="L2" s="2875"/>
    </row>
    <row r="3" spans="1:23" ht="36.75" customHeight="1">
      <c r="H3" s="926"/>
    </row>
    <row r="4" spans="1:23" s="458" customFormat="1" ht="15.75" customHeight="1">
      <c r="A4" s="2876" t="s">
        <v>131</v>
      </c>
      <c r="B4" s="2877"/>
      <c r="C4" s="2877"/>
      <c r="D4" s="2877"/>
      <c r="E4" s="2877"/>
      <c r="F4" s="2877"/>
      <c r="G4" s="2878"/>
      <c r="H4" s="3037" t="s">
        <v>7</v>
      </c>
      <c r="I4" s="3038"/>
      <c r="J4" s="3038"/>
      <c r="K4" s="3038"/>
      <c r="L4" s="3091"/>
      <c r="M4" s="3119" t="s">
        <v>127</v>
      </c>
      <c r="N4" s="3120"/>
      <c r="O4" s="3120"/>
      <c r="P4" s="3120"/>
      <c r="Q4" s="3120"/>
      <c r="R4" s="3121"/>
      <c r="S4" s="2484" t="s">
        <v>129</v>
      </c>
      <c r="T4" s="2485"/>
      <c r="U4" s="2481" t="s">
        <v>130</v>
      </c>
      <c r="V4" s="2482"/>
      <c r="W4" s="2483"/>
    </row>
    <row r="5" spans="1:23" s="931" customFormat="1" ht="60" customHeight="1" thickBot="1">
      <c r="A5" s="927" t="s">
        <v>0</v>
      </c>
      <c r="B5" s="928" t="s">
        <v>11</v>
      </c>
      <c r="C5" s="929" t="s">
        <v>1</v>
      </c>
      <c r="D5" s="929" t="s">
        <v>2</v>
      </c>
      <c r="E5" s="929" t="s">
        <v>266</v>
      </c>
      <c r="F5" s="929" t="s">
        <v>306</v>
      </c>
      <c r="G5" s="930" t="s">
        <v>12</v>
      </c>
      <c r="H5" s="1584" t="s">
        <v>3</v>
      </c>
      <c r="I5" s="1584" t="s">
        <v>4</v>
      </c>
      <c r="J5" s="1584" t="s">
        <v>5</v>
      </c>
      <c r="K5" s="1584" t="s">
        <v>6</v>
      </c>
      <c r="L5" s="1584" t="s">
        <v>8</v>
      </c>
      <c r="M5" s="1585" t="s">
        <v>13</v>
      </c>
      <c r="N5" s="1584" t="s">
        <v>14</v>
      </c>
      <c r="O5" s="1112" t="s">
        <v>933</v>
      </c>
      <c r="P5" s="1584" t="s">
        <v>123</v>
      </c>
      <c r="Q5" s="1584" t="s">
        <v>124</v>
      </c>
      <c r="R5" s="1586" t="s">
        <v>16</v>
      </c>
      <c r="S5" s="1585" t="s">
        <v>870</v>
      </c>
      <c r="T5" s="1586" t="s">
        <v>125</v>
      </c>
      <c r="U5" s="1585" t="s">
        <v>126</v>
      </c>
      <c r="V5" s="1584" t="s">
        <v>18</v>
      </c>
      <c r="W5" s="1587" t="s">
        <v>17</v>
      </c>
    </row>
    <row r="6" spans="1:23" ht="12.75" hidden="1" customHeight="1" thickTop="1">
      <c r="A6" s="498" t="s">
        <v>1454</v>
      </c>
      <c r="B6" s="499" t="str">
        <f t="shared" ref="B6:B7" si="0">LEFT(A6,10)</f>
        <v>OTH_201601</v>
      </c>
      <c r="C6" s="499">
        <v>0</v>
      </c>
      <c r="D6" s="499">
        <v>0</v>
      </c>
      <c r="E6" s="499">
        <f t="shared" ref="E6:E17" si="1">COUNTIFS($A:$A,A6,$L:$L,L6)</f>
        <v>1</v>
      </c>
      <c r="F6" s="499">
        <v>2</v>
      </c>
      <c r="G6" s="500" t="b">
        <v>1</v>
      </c>
      <c r="H6" s="502" t="str">
        <f>IF(LEFT(A6,3)="Res","Residential",IF(LEFT(A6,3)="Ind","Industrial",IF(LEFT(A6,3)="Com","Commercial",IF(LEFT(A6,3)="AGR","Agriculture",IF(LEFT(A6,13)="OTH_201601_P1","Commercial",IF(LEFT(A6,13)="OTH_201601_P2","Residential",IF(LEFT(A6,13)="OTH_201601_P3","Residential","")))))))</f>
        <v>Commercial</v>
      </c>
      <c r="I6" s="502" t="s">
        <v>1399</v>
      </c>
      <c r="J6" s="502" t="s">
        <v>1455</v>
      </c>
      <c r="K6" s="502" t="s">
        <v>1176</v>
      </c>
      <c r="L6" s="24">
        <v>2019</v>
      </c>
      <c r="M6" s="511">
        <v>1260020.66526386</v>
      </c>
      <c r="N6" s="512">
        <v>0</v>
      </c>
      <c r="O6" s="561">
        <v>0</v>
      </c>
      <c r="P6" s="512">
        <v>0</v>
      </c>
      <c r="Q6" s="318" t="s">
        <v>1551</v>
      </c>
      <c r="R6" s="505">
        <v>0.13800000000000001</v>
      </c>
      <c r="S6" s="601">
        <f>$K$79</f>
        <v>3.6858213897599987</v>
      </c>
      <c r="T6" s="71" t="s">
        <v>1550</v>
      </c>
      <c r="U6" s="507">
        <f t="shared" ref="U6:U11" si="2">(M6-P6)*R6*S6/8760000</f>
        <v>7.316222996581552E-2</v>
      </c>
      <c r="V6" s="508">
        <f t="shared" ref="V6:V12" si="3">IFERROR((N6-P6/M6*N6)*R6*S6/8760/1000,0)</f>
        <v>0</v>
      </c>
      <c r="W6" s="509">
        <f t="shared" ref="W6:W7" si="4">U6-V6</f>
        <v>7.316222996581552E-2</v>
      </c>
    </row>
    <row r="7" spans="1:23" ht="12.75" hidden="1" customHeight="1">
      <c r="A7" s="498" t="s">
        <v>1454</v>
      </c>
      <c r="B7" s="499" t="str">
        <f t="shared" si="0"/>
        <v>OTH_201601</v>
      </c>
      <c r="C7" s="499">
        <v>0</v>
      </c>
      <c r="D7" s="499">
        <v>0</v>
      </c>
      <c r="E7" s="499">
        <f t="shared" si="1"/>
        <v>1</v>
      </c>
      <c r="F7" s="499">
        <v>2</v>
      </c>
      <c r="G7" s="500" t="b">
        <v>1</v>
      </c>
      <c r="H7" s="502" t="str">
        <f t="shared" ref="H7:H11" si="5">IF(LEFT(A7,3)="Res","Residential",IF(LEFT(A7,3)="Ind","Industrial",IF(LEFT(A7,3)="Com","Commercial",IF(LEFT(A7,3)="AGR","Agriculture",IF(LEFT(A7,13)="OTH_201601_P1","Commercial",IF(LEFT(A7,13)="OTH_201601_P2","Residential",IF(LEFT(A7,13)="OTH_201601_P3","Residential","")))))))</f>
        <v>Commercial</v>
      </c>
      <c r="I7" s="502" t="s">
        <v>1399</v>
      </c>
      <c r="J7" s="502" t="s">
        <v>1455</v>
      </c>
      <c r="K7" s="502" t="s">
        <v>1176</v>
      </c>
      <c r="L7" s="24">
        <v>2018</v>
      </c>
      <c r="M7" s="511">
        <v>1195654.2879000001</v>
      </c>
      <c r="N7" s="512">
        <v>0</v>
      </c>
      <c r="O7" s="561">
        <v>0</v>
      </c>
      <c r="P7" s="512">
        <v>0</v>
      </c>
      <c r="Q7" s="318" t="s">
        <v>1551</v>
      </c>
      <c r="R7" s="505">
        <v>0.13800000000000001</v>
      </c>
      <c r="S7" s="603">
        <f>$K$79</f>
        <v>3.6858213897599987</v>
      </c>
      <c r="T7" s="71" t="s">
        <v>1550</v>
      </c>
      <c r="U7" s="507">
        <f t="shared" si="2"/>
        <v>6.9424840705001267E-2</v>
      </c>
      <c r="V7" s="508">
        <f t="shared" si="3"/>
        <v>0</v>
      </c>
      <c r="W7" s="509">
        <f t="shared" si="4"/>
        <v>6.9424840705001267E-2</v>
      </c>
    </row>
    <row r="8" spans="1:23" ht="12.75" hidden="1" customHeight="1">
      <c r="A8" s="498" t="s">
        <v>1518</v>
      </c>
      <c r="B8" s="499" t="str">
        <f t="shared" ref="B8:B9" si="6">LEFT(A8,10)</f>
        <v>OTH_201601</v>
      </c>
      <c r="C8" s="499">
        <v>0</v>
      </c>
      <c r="D8" s="499">
        <v>0</v>
      </c>
      <c r="E8" s="499">
        <f t="shared" si="1"/>
        <v>1</v>
      </c>
      <c r="F8" s="499">
        <v>2</v>
      </c>
      <c r="G8" s="500" t="b">
        <v>1</v>
      </c>
      <c r="H8" s="502" t="str">
        <f t="shared" si="5"/>
        <v>Residential</v>
      </c>
      <c r="I8" s="502" t="s">
        <v>1399</v>
      </c>
      <c r="J8" s="502" t="s">
        <v>1608</v>
      </c>
      <c r="K8" s="502" t="s">
        <v>1176</v>
      </c>
      <c r="L8" s="24">
        <v>2019</v>
      </c>
      <c r="M8" s="511">
        <v>78742.280621740007</v>
      </c>
      <c r="N8" s="512">
        <v>0</v>
      </c>
      <c r="O8" s="561">
        <v>0</v>
      </c>
      <c r="P8" s="512">
        <v>0</v>
      </c>
      <c r="Q8" s="318" t="s">
        <v>1552</v>
      </c>
      <c r="R8" s="505">
        <v>0.13800000000000001</v>
      </c>
      <c r="S8" s="603">
        <f>$K$80</f>
        <v>47.681234319245519</v>
      </c>
      <c r="T8" s="71" t="s">
        <v>1554</v>
      </c>
      <c r="U8" s="507">
        <f t="shared" si="2"/>
        <v>5.9146691823705709E-2</v>
      </c>
      <c r="V8" s="508">
        <f t="shared" si="3"/>
        <v>0</v>
      </c>
      <c r="W8" s="509">
        <f t="shared" ref="W8:W9" si="7">U8-V8</f>
        <v>5.9146691823705709E-2</v>
      </c>
    </row>
    <row r="9" spans="1:23" ht="12.75" hidden="1" customHeight="1">
      <c r="A9" s="498" t="s">
        <v>1518</v>
      </c>
      <c r="B9" s="499" t="str">
        <f t="shared" si="6"/>
        <v>OTH_201601</v>
      </c>
      <c r="C9" s="499">
        <v>0</v>
      </c>
      <c r="D9" s="499">
        <v>0</v>
      </c>
      <c r="E9" s="499">
        <f t="shared" si="1"/>
        <v>1</v>
      </c>
      <c r="F9" s="499">
        <v>2</v>
      </c>
      <c r="G9" s="500" t="b">
        <v>1</v>
      </c>
      <c r="H9" s="502" t="str">
        <f t="shared" si="5"/>
        <v>Residential</v>
      </c>
      <c r="I9" s="502" t="s">
        <v>1399</v>
      </c>
      <c r="J9" s="502" t="s">
        <v>1608</v>
      </c>
      <c r="K9" s="502" t="s">
        <v>1176</v>
      </c>
      <c r="L9" s="24">
        <v>2018</v>
      </c>
      <c r="M9" s="511">
        <v>87818.843101609993</v>
      </c>
      <c r="N9" s="512">
        <v>0</v>
      </c>
      <c r="O9" s="561">
        <v>0</v>
      </c>
      <c r="P9" s="512">
        <v>0</v>
      </c>
      <c r="Q9" s="318" t="s">
        <v>1552</v>
      </c>
      <c r="R9" s="505">
        <v>0.13800000000000001</v>
      </c>
      <c r="S9" s="603">
        <f>$K$80</f>
        <v>47.681234319245519</v>
      </c>
      <c r="T9" s="71" t="s">
        <v>1554</v>
      </c>
      <c r="U9" s="507">
        <f t="shared" si="2"/>
        <v>6.5964485765874839E-2</v>
      </c>
      <c r="V9" s="508">
        <f t="shared" si="3"/>
        <v>0</v>
      </c>
      <c r="W9" s="509">
        <f t="shared" si="7"/>
        <v>6.5964485765874839E-2</v>
      </c>
    </row>
    <row r="10" spans="1:23" ht="12.75" hidden="1" customHeight="1">
      <c r="A10" s="498" t="s">
        <v>1456</v>
      </c>
      <c r="B10" s="499" t="str">
        <f t="shared" ref="B10:B15" si="8">LEFT(A10,10)</f>
        <v>OTH_201601</v>
      </c>
      <c r="C10" s="499">
        <v>0</v>
      </c>
      <c r="D10" s="499">
        <v>0</v>
      </c>
      <c r="E10" s="499">
        <f t="shared" si="1"/>
        <v>1</v>
      </c>
      <c r="F10" s="499">
        <v>2</v>
      </c>
      <c r="G10" s="500" t="b">
        <v>1</v>
      </c>
      <c r="H10" s="502" t="str">
        <f t="shared" si="5"/>
        <v>Residential</v>
      </c>
      <c r="I10" s="502" t="s">
        <v>1399</v>
      </c>
      <c r="J10" s="502" t="s">
        <v>1457</v>
      </c>
      <c r="K10" s="502" t="s">
        <v>1176</v>
      </c>
      <c r="L10" s="24">
        <v>2019</v>
      </c>
      <c r="M10" s="511">
        <v>900874.35325374</v>
      </c>
      <c r="N10" s="512">
        <v>0</v>
      </c>
      <c r="O10" s="561">
        <v>0</v>
      </c>
      <c r="P10" s="512">
        <v>0</v>
      </c>
      <c r="Q10" s="318" t="s">
        <v>1553</v>
      </c>
      <c r="R10" s="505">
        <v>0.13800000000000001</v>
      </c>
      <c r="S10" s="603">
        <f>$K$81</f>
        <v>4.7763039519126247</v>
      </c>
      <c r="T10" s="71" t="s">
        <v>1554</v>
      </c>
      <c r="U10" s="507">
        <f t="shared" si="2"/>
        <v>6.7784619091314433E-2</v>
      </c>
      <c r="V10" s="508">
        <f t="shared" si="3"/>
        <v>0</v>
      </c>
      <c r="W10" s="509">
        <f>U10-V10</f>
        <v>6.7784619091314433E-2</v>
      </c>
    </row>
    <row r="11" spans="1:23" ht="12.75" hidden="1" customHeight="1" thickBot="1">
      <c r="A11" s="498" t="s">
        <v>1456</v>
      </c>
      <c r="B11" s="499" t="str">
        <f t="shared" si="8"/>
        <v>OTH_201601</v>
      </c>
      <c r="C11" s="499">
        <v>0</v>
      </c>
      <c r="D11" s="499">
        <v>0</v>
      </c>
      <c r="E11" s="499">
        <f t="shared" si="1"/>
        <v>1</v>
      </c>
      <c r="F11" s="499">
        <v>2</v>
      </c>
      <c r="G11" s="500" t="b">
        <v>1</v>
      </c>
      <c r="H11" s="559" t="str">
        <f t="shared" si="5"/>
        <v>Residential</v>
      </c>
      <c r="I11" s="559" t="s">
        <v>1399</v>
      </c>
      <c r="J11" s="559" t="s">
        <v>1457</v>
      </c>
      <c r="K11" s="559" t="s">
        <v>1176</v>
      </c>
      <c r="L11" s="277">
        <v>2018</v>
      </c>
      <c r="M11" s="560">
        <v>910717.07597401994</v>
      </c>
      <c r="N11" s="561">
        <v>0</v>
      </c>
      <c r="O11" s="561">
        <v>0</v>
      </c>
      <c r="P11" s="561">
        <v>0</v>
      </c>
      <c r="Q11" s="319" t="s">
        <v>1553</v>
      </c>
      <c r="R11" s="562">
        <v>0.13800000000000001</v>
      </c>
      <c r="S11" s="835">
        <f>$K$81</f>
        <v>4.7763039519126247</v>
      </c>
      <c r="T11" s="696" t="s">
        <v>1554</v>
      </c>
      <c r="U11" s="564">
        <f t="shared" si="2"/>
        <v>6.852521649871747E-2</v>
      </c>
      <c r="V11" s="565">
        <f t="shared" si="3"/>
        <v>0</v>
      </c>
      <c r="W11" s="566">
        <f t="shared" ref="W11:W12" si="9">U11-V11</f>
        <v>6.852521649871747E-2</v>
      </c>
    </row>
    <row r="12" spans="1:23" s="724" customFormat="1" ht="12.75" customHeight="1" thickTop="1">
      <c r="A12" s="712" t="s">
        <v>1454</v>
      </c>
      <c r="B12" s="713" t="str">
        <f t="shared" si="8"/>
        <v>OTH_201601</v>
      </c>
      <c r="C12" s="713">
        <v>0</v>
      </c>
      <c r="D12" s="713">
        <v>0</v>
      </c>
      <c r="E12" s="713">
        <f t="shared" si="1"/>
        <v>1</v>
      </c>
      <c r="F12" s="713">
        <v>2</v>
      </c>
      <c r="G12" s="714" t="b">
        <v>1</v>
      </c>
      <c r="H12" s="716" t="str">
        <f>IF(LEFT(A12,3)="Res","Residential",IF(LEFT(A12,3)="Ind","Industrial",IF(LEFT(A12,3)="Com","Commercial",IF(LEFT(A12,3)="AGR","Agriculture",IF(LEFT(A12,13)="OTH_201601_P1","Commercial",IF(LEFT(A12,13)="OTH_201601_P2","Residential",IF(LEFT(A12,13)="OTH_201601_P3","Residential","")))))))</f>
        <v>Commercial</v>
      </c>
      <c r="I12" s="716" t="s">
        <v>1399</v>
      </c>
      <c r="J12" s="716" t="s">
        <v>1455</v>
      </c>
      <c r="K12" s="716" t="s">
        <v>1176</v>
      </c>
      <c r="L12" s="701">
        <v>2021</v>
      </c>
      <c r="M12" s="763">
        <v>1429282.2840865799</v>
      </c>
      <c r="N12" s="764">
        <v>0</v>
      </c>
      <c r="O12" s="561">
        <v>1084186.1316</v>
      </c>
      <c r="P12" s="764">
        <v>0</v>
      </c>
      <c r="Q12" s="765" t="s">
        <v>1551</v>
      </c>
      <c r="R12" s="719">
        <v>0.13800000000000001</v>
      </c>
      <c r="S12" s="837">
        <f>$K$79</f>
        <v>3.6858213897599987</v>
      </c>
      <c r="T12" s="705" t="s">
        <v>1550</v>
      </c>
      <c r="U12" s="1169">
        <f t="shared" ref="U12" si="10">(M12-O12-P12)*R12*S12/8760000</f>
        <v>2.0037769827571945E-2</v>
      </c>
      <c r="V12" s="565">
        <f t="shared" si="3"/>
        <v>0</v>
      </c>
      <c r="W12" s="566">
        <f t="shared" si="9"/>
        <v>2.0037769827571945E-2</v>
      </c>
    </row>
    <row r="13" spans="1:23" s="482" customFormat="1" ht="12.75" customHeight="1">
      <c r="A13" s="726" t="s">
        <v>1454</v>
      </c>
      <c r="B13" s="499" t="str">
        <f t="shared" si="8"/>
        <v>OTH_201601</v>
      </c>
      <c r="C13" s="499">
        <v>0</v>
      </c>
      <c r="D13" s="499">
        <v>0</v>
      </c>
      <c r="E13" s="499">
        <f t="shared" si="1"/>
        <v>1</v>
      </c>
      <c r="F13" s="499">
        <v>2</v>
      </c>
      <c r="G13" s="500" t="b">
        <v>1</v>
      </c>
      <c r="H13" s="502" t="str">
        <f t="shared" ref="H13:H17" si="11">IF(LEFT(A13,3)="Res","Residential",IF(LEFT(A13,3)="Ind","Industrial",IF(LEFT(A13,3)="Com","Commercial",IF(LEFT(A13,3)="AGR","Agriculture",IF(LEFT(A13,13)="OTH_201601_P1","Commercial",IF(LEFT(A13,13)="OTH_201601_P2","Residential",IF(LEFT(A13,13)="OTH_201601_P3","Residential","")))))))</f>
        <v>Commercial</v>
      </c>
      <c r="I13" s="502" t="s">
        <v>1399</v>
      </c>
      <c r="J13" s="502" t="s">
        <v>1455</v>
      </c>
      <c r="K13" s="502" t="s">
        <v>1176</v>
      </c>
      <c r="L13" s="24">
        <v>2020</v>
      </c>
      <c r="M13" s="511">
        <v>1346707.7322743</v>
      </c>
      <c r="N13" s="512">
        <v>0</v>
      </c>
      <c r="O13" s="561">
        <v>1050017.2392</v>
      </c>
      <c r="P13" s="512">
        <v>0</v>
      </c>
      <c r="Q13" s="318" t="s">
        <v>1551</v>
      </c>
      <c r="R13" s="505">
        <v>0.13800000000000001</v>
      </c>
      <c r="S13" s="603">
        <f>$K$79</f>
        <v>3.6858213897599987</v>
      </c>
      <c r="T13" s="71" t="s">
        <v>1550</v>
      </c>
      <c r="U13" s="1169">
        <f t="shared" ref="U13:U17" si="12">(M13-O13-P13)*R13*S13/8760000</f>
        <v>1.7227128634773287E-2</v>
      </c>
      <c r="V13" s="565">
        <f t="shared" ref="V13:V17" si="13">IFERROR((N13-P13/M13*N13)*R13*S13/8760/1000,0)</f>
        <v>0</v>
      </c>
      <c r="W13" s="566">
        <f t="shared" ref="W13:W17" si="14">U13-V13</f>
        <v>1.7227128634773287E-2</v>
      </c>
    </row>
    <row r="14" spans="1:23" s="482" customFormat="1" ht="12.75" customHeight="1">
      <c r="A14" s="726" t="s">
        <v>1518</v>
      </c>
      <c r="B14" s="499" t="str">
        <f t="shared" si="8"/>
        <v>OTH_201601</v>
      </c>
      <c r="C14" s="499">
        <v>0</v>
      </c>
      <c r="D14" s="499">
        <v>0</v>
      </c>
      <c r="E14" s="499">
        <f t="shared" si="1"/>
        <v>1</v>
      </c>
      <c r="F14" s="499">
        <v>2</v>
      </c>
      <c r="G14" s="500" t="b">
        <v>1</v>
      </c>
      <c r="H14" s="502" t="str">
        <f t="shared" si="11"/>
        <v>Residential</v>
      </c>
      <c r="I14" s="502" t="s">
        <v>1399</v>
      </c>
      <c r="J14" s="502" t="s">
        <v>1608</v>
      </c>
      <c r="K14" s="502" t="s">
        <v>1176</v>
      </c>
      <c r="L14" s="24">
        <v>2021</v>
      </c>
      <c r="M14" s="511">
        <v>63484.330531749998</v>
      </c>
      <c r="N14" s="512">
        <v>0</v>
      </c>
      <c r="O14" s="561">
        <v>92102.827996280001</v>
      </c>
      <c r="P14" s="512">
        <v>0</v>
      </c>
      <c r="Q14" s="318" t="s">
        <v>1552</v>
      </c>
      <c r="R14" s="505">
        <v>0.13800000000000001</v>
      </c>
      <c r="S14" s="603">
        <f>IF(O14&gt;M14,0,$K$80)</f>
        <v>0</v>
      </c>
      <c r="T14" s="71" t="s">
        <v>1554</v>
      </c>
      <c r="U14" s="1169">
        <f t="shared" si="12"/>
        <v>0</v>
      </c>
      <c r="V14" s="565">
        <f t="shared" si="13"/>
        <v>0</v>
      </c>
      <c r="W14" s="566">
        <f t="shared" si="14"/>
        <v>0</v>
      </c>
    </row>
    <row r="15" spans="1:23" s="482" customFormat="1" ht="12.75" customHeight="1">
      <c r="A15" s="726" t="s">
        <v>1518</v>
      </c>
      <c r="B15" s="499" t="str">
        <f t="shared" si="8"/>
        <v>OTH_201601</v>
      </c>
      <c r="C15" s="499">
        <v>0</v>
      </c>
      <c r="D15" s="499">
        <v>0</v>
      </c>
      <c r="E15" s="499">
        <f t="shared" si="1"/>
        <v>1</v>
      </c>
      <c r="F15" s="499">
        <v>2</v>
      </c>
      <c r="G15" s="500" t="b">
        <v>1</v>
      </c>
      <c r="H15" s="502" t="str">
        <f t="shared" si="11"/>
        <v>Residential</v>
      </c>
      <c r="I15" s="502" t="s">
        <v>1399</v>
      </c>
      <c r="J15" s="502" t="s">
        <v>1608</v>
      </c>
      <c r="K15" s="502" t="s">
        <v>1176</v>
      </c>
      <c r="L15" s="24">
        <v>2020</v>
      </c>
      <c r="M15" s="511">
        <v>70735.941782929993</v>
      </c>
      <c r="N15" s="512">
        <v>0</v>
      </c>
      <c r="O15" s="561">
        <v>0</v>
      </c>
      <c r="P15" s="512">
        <v>0</v>
      </c>
      <c r="Q15" s="318" t="s">
        <v>1552</v>
      </c>
      <c r="R15" s="505">
        <v>0.13800000000000001</v>
      </c>
      <c r="S15" s="603">
        <f>IF(O15&gt;M15,0,$K$80)</f>
        <v>47.681234319245519</v>
      </c>
      <c r="T15" s="71" t="s">
        <v>1554</v>
      </c>
      <c r="U15" s="1169">
        <f t="shared" si="12"/>
        <v>5.3132788591589784E-2</v>
      </c>
      <c r="V15" s="565">
        <f t="shared" si="13"/>
        <v>0</v>
      </c>
      <c r="W15" s="566">
        <f t="shared" si="14"/>
        <v>5.3132788591589784E-2</v>
      </c>
    </row>
    <row r="16" spans="1:23" s="482" customFormat="1" ht="12.75" customHeight="1">
      <c r="A16" s="726" t="s">
        <v>1456</v>
      </c>
      <c r="B16" s="499" t="str">
        <f t="shared" ref="B16:B17" si="15">LEFT(A16,10)</f>
        <v>OTH_201601</v>
      </c>
      <c r="C16" s="499">
        <v>0</v>
      </c>
      <c r="D16" s="499">
        <v>0</v>
      </c>
      <c r="E16" s="499">
        <f t="shared" si="1"/>
        <v>1</v>
      </c>
      <c r="F16" s="499">
        <v>2</v>
      </c>
      <c r="G16" s="500" t="b">
        <v>1</v>
      </c>
      <c r="H16" s="502" t="str">
        <f t="shared" si="11"/>
        <v>Residential</v>
      </c>
      <c r="I16" s="502" t="s">
        <v>1399</v>
      </c>
      <c r="J16" s="502" t="s">
        <v>1457</v>
      </c>
      <c r="K16" s="502" t="s">
        <v>1176</v>
      </c>
      <c r="L16" s="24">
        <v>2021</v>
      </c>
      <c r="M16" s="511">
        <v>892360.15976436995</v>
      </c>
      <c r="N16" s="512">
        <v>0</v>
      </c>
      <c r="O16" s="561">
        <v>901873.31005894998</v>
      </c>
      <c r="P16" s="512">
        <v>0</v>
      </c>
      <c r="Q16" s="318" t="s">
        <v>1553</v>
      </c>
      <c r="R16" s="505">
        <v>0.13800000000000001</v>
      </c>
      <c r="S16" s="603">
        <f>IF(O16&gt;M16,0,$K$80)</f>
        <v>0</v>
      </c>
      <c r="T16" s="71" t="s">
        <v>1554</v>
      </c>
      <c r="U16" s="1169">
        <f t="shared" si="12"/>
        <v>0</v>
      </c>
      <c r="V16" s="565">
        <f t="shared" si="13"/>
        <v>0</v>
      </c>
      <c r="W16" s="566">
        <f t="shared" si="14"/>
        <v>0</v>
      </c>
    </row>
    <row r="17" spans="1:23" s="496" customFormat="1" ht="12.75" customHeight="1" thickBot="1">
      <c r="A17" s="730" t="s">
        <v>1456</v>
      </c>
      <c r="B17" s="731" t="str">
        <f t="shared" si="15"/>
        <v>OTH_201601</v>
      </c>
      <c r="C17" s="731">
        <v>0</v>
      </c>
      <c r="D17" s="731">
        <v>0</v>
      </c>
      <c r="E17" s="731">
        <f t="shared" si="1"/>
        <v>1</v>
      </c>
      <c r="F17" s="731">
        <v>2</v>
      </c>
      <c r="G17" s="732" t="b">
        <v>1</v>
      </c>
      <c r="H17" s="734" t="str">
        <f t="shared" si="11"/>
        <v>Residential</v>
      </c>
      <c r="I17" s="734" t="s">
        <v>1399</v>
      </c>
      <c r="J17" s="734" t="s">
        <v>1457</v>
      </c>
      <c r="K17" s="734" t="s">
        <v>1176</v>
      </c>
      <c r="L17" s="708">
        <v>2020</v>
      </c>
      <c r="M17" s="735">
        <v>898432.67066288996</v>
      </c>
      <c r="N17" s="736">
        <v>0</v>
      </c>
      <c r="O17" s="736">
        <v>933805.24126455002</v>
      </c>
      <c r="P17" s="736">
        <v>0</v>
      </c>
      <c r="Q17" s="810" t="s">
        <v>1553</v>
      </c>
      <c r="R17" s="737">
        <v>0.13800000000000001</v>
      </c>
      <c r="S17" s="839">
        <f>IF(O17&gt;M17,0,$K$80)</f>
        <v>0</v>
      </c>
      <c r="T17" s="709" t="s">
        <v>1554</v>
      </c>
      <c r="U17" s="1174">
        <f t="shared" si="12"/>
        <v>0</v>
      </c>
      <c r="V17" s="740">
        <f t="shared" si="13"/>
        <v>0</v>
      </c>
      <c r="W17" s="741">
        <f t="shared" si="14"/>
        <v>0</v>
      </c>
    </row>
    <row r="20" spans="1:23" ht="12.75" customHeight="1">
      <c r="H20" s="3112" t="s">
        <v>1385</v>
      </c>
      <c r="I20" s="3112"/>
      <c r="J20" s="3112"/>
      <c r="K20" s="3112"/>
      <c r="L20" s="3112"/>
    </row>
    <row r="21" spans="1:23" ht="12.75" customHeight="1">
      <c r="H21" s="3112"/>
      <c r="I21" s="3112"/>
      <c r="J21" s="3112"/>
      <c r="K21" s="3112"/>
      <c r="L21" s="3112"/>
    </row>
    <row r="22" spans="1:23" ht="12.75" customHeight="1">
      <c r="H22" s="3112"/>
      <c r="I22" s="3112"/>
      <c r="J22" s="3112"/>
      <c r="K22" s="3112"/>
      <c r="L22" s="3112"/>
    </row>
    <row r="23" spans="1:23" ht="12.75" customHeight="1">
      <c r="H23" s="424"/>
      <c r="I23" s="424"/>
      <c r="J23" s="424"/>
      <c r="K23" s="424"/>
      <c r="L23" s="424"/>
    </row>
    <row r="24" spans="1:23" ht="12.75" customHeight="1">
      <c r="H24" s="424"/>
      <c r="I24" s="424"/>
      <c r="J24" s="424"/>
      <c r="K24" s="424"/>
      <c r="L24" s="424"/>
    </row>
    <row r="25" spans="1:23" ht="12.75" customHeight="1">
      <c r="H25" s="3103" t="s">
        <v>1535</v>
      </c>
      <c r="I25" s="3103"/>
      <c r="J25" s="424"/>
      <c r="K25" s="424"/>
      <c r="L25" s="424"/>
    </row>
    <row r="26" spans="1:23" ht="145.94999999999999" customHeight="1">
      <c r="H26" s="3108" t="s">
        <v>1529</v>
      </c>
      <c r="I26" s="3108"/>
      <c r="J26" s="3108"/>
      <c r="K26" s="3108"/>
      <c r="L26" s="3108"/>
    </row>
    <row r="27" spans="1:23" ht="12.75" customHeight="1" thickBot="1"/>
    <row r="28" spans="1:23" ht="12.75" customHeight="1">
      <c r="I28" s="3104" t="s">
        <v>1610</v>
      </c>
      <c r="J28" s="3105"/>
    </row>
    <row r="29" spans="1:23" ht="12.75" customHeight="1">
      <c r="I29" s="3106" t="s">
        <v>1525</v>
      </c>
      <c r="J29" s="3107"/>
    </row>
    <row r="30" spans="1:23" ht="12.75" customHeight="1">
      <c r="I30" s="540" t="s">
        <v>1524</v>
      </c>
      <c r="J30" s="541">
        <v>78512333.333333328</v>
      </c>
    </row>
    <row r="31" spans="1:23" ht="12.75" customHeight="1">
      <c r="I31" s="540" t="s">
        <v>1117</v>
      </c>
      <c r="J31" s="541">
        <v>370966.66666666663</v>
      </c>
    </row>
    <row r="32" spans="1:23" ht="12.75" customHeight="1">
      <c r="I32" s="540" t="s">
        <v>1111</v>
      </c>
      <c r="J32" s="541">
        <v>242408.33333333337</v>
      </c>
    </row>
    <row r="33" spans="9:10" ht="12.75" customHeight="1">
      <c r="I33" s="540" t="s">
        <v>1114</v>
      </c>
      <c r="J33" s="541">
        <v>973550</v>
      </c>
    </row>
    <row r="34" spans="9:10" ht="12.75" customHeight="1">
      <c r="I34" s="540" t="s">
        <v>1121</v>
      </c>
      <c r="J34" s="541">
        <v>1809716.6666666667</v>
      </c>
    </row>
    <row r="35" spans="9:10" ht="21.6" customHeight="1" thickBot="1">
      <c r="I35" s="542" t="s">
        <v>1528</v>
      </c>
      <c r="J35" s="543">
        <f>SUM(J31:J34)/J30</f>
        <v>4.3262523510106697E-2</v>
      </c>
    </row>
    <row r="37" spans="9:10" ht="12.75" customHeight="1" thickBot="1"/>
    <row r="38" spans="9:10" ht="12.75" customHeight="1">
      <c r="I38" s="3104" t="s">
        <v>1530</v>
      </c>
      <c r="J38" s="3105"/>
    </row>
    <row r="39" spans="9:10" ht="12.75" customHeight="1">
      <c r="I39" s="3106" t="s">
        <v>1531</v>
      </c>
      <c r="J39" s="3107"/>
    </row>
    <row r="40" spans="9:10" ht="12.75" customHeight="1">
      <c r="I40" s="540" t="s">
        <v>1524</v>
      </c>
      <c r="J40" s="541">
        <v>91941841</v>
      </c>
    </row>
    <row r="41" spans="9:10" ht="12.75" customHeight="1">
      <c r="I41" s="540" t="s">
        <v>1117</v>
      </c>
      <c r="J41" s="541">
        <v>489548</v>
      </c>
    </row>
    <row r="42" spans="9:10" ht="12.75" customHeight="1">
      <c r="I42" s="540" t="s">
        <v>1111</v>
      </c>
      <c r="J42" s="541">
        <v>325736</v>
      </c>
    </row>
    <row r="43" spans="9:10" ht="12.75" customHeight="1">
      <c r="I43" s="540" t="s">
        <v>1114</v>
      </c>
      <c r="J43" s="541">
        <v>1288600</v>
      </c>
    </row>
    <row r="44" spans="9:10" ht="12.75" customHeight="1">
      <c r="I44" s="540" t="s">
        <v>1121</v>
      </c>
      <c r="J44" s="541">
        <v>2333072</v>
      </c>
    </row>
    <row r="45" spans="9:10" ht="21.6" customHeight="1" thickBot="1">
      <c r="I45" s="542" t="s">
        <v>1528</v>
      </c>
      <c r="J45" s="543">
        <f>SUM(J41:J44)/J40</f>
        <v>4.8258289715995571E-2</v>
      </c>
    </row>
    <row r="49" spans="8:22" ht="12.75" customHeight="1">
      <c r="H49" s="3103" t="s">
        <v>1519</v>
      </c>
      <c r="I49" s="3103"/>
      <c r="J49" s="482"/>
      <c r="K49" s="482"/>
      <c r="L49" s="482"/>
      <c r="M49" s="482"/>
      <c r="N49" s="482"/>
      <c r="O49" s="482"/>
    </row>
    <row r="50" spans="8:22" ht="45.6" customHeight="1">
      <c r="H50" s="3108" t="s">
        <v>1567</v>
      </c>
      <c r="I50" s="3108"/>
      <c r="J50" s="3108"/>
      <c r="K50" s="3108"/>
      <c r="L50" s="482"/>
      <c r="M50" s="482"/>
      <c r="N50" s="482"/>
      <c r="O50" s="482"/>
    </row>
    <row r="51" spans="8:22" ht="12.75" customHeight="1" thickBot="1">
      <c r="K51" s="482"/>
      <c r="L51" s="482"/>
      <c r="M51" s="482"/>
      <c r="N51" s="482"/>
      <c r="O51" s="482"/>
    </row>
    <row r="52" spans="8:22" ht="12.75" customHeight="1">
      <c r="H52" s="544" t="s">
        <v>5</v>
      </c>
      <c r="I52" s="545" t="s">
        <v>1520</v>
      </c>
      <c r="J52" s="545" t="s">
        <v>159</v>
      </c>
      <c r="K52" s="546" t="s">
        <v>1521</v>
      </c>
      <c r="L52" s="482"/>
      <c r="M52" s="482"/>
      <c r="N52" s="482"/>
      <c r="O52" s="482"/>
    </row>
    <row r="53" spans="8:22" ht="17.399999999999999" customHeight="1" thickBot="1">
      <c r="H53" s="2179" t="s">
        <v>1532</v>
      </c>
      <c r="I53" s="2180">
        <v>88.774009759999998</v>
      </c>
      <c r="J53" s="2180">
        <v>51.915795862400003</v>
      </c>
      <c r="K53" s="2181">
        <f>I53-J53</f>
        <v>36.858213897599995</v>
      </c>
      <c r="L53" s="482"/>
      <c r="M53" s="482"/>
      <c r="N53" s="482"/>
      <c r="O53" s="482"/>
    </row>
    <row r="54" spans="8:22" ht="12.75" customHeight="1">
      <c r="H54" s="1729"/>
      <c r="I54" s="2182"/>
      <c r="J54" s="2182"/>
      <c r="K54" s="2182"/>
      <c r="L54" s="482"/>
      <c r="M54" s="482"/>
      <c r="N54" s="482"/>
      <c r="O54" s="482"/>
    </row>
    <row r="55" spans="8:22" ht="12.75" customHeight="1">
      <c r="H55" s="1729"/>
      <c r="I55" s="2182"/>
      <c r="J55" s="2182"/>
      <c r="K55" s="2182"/>
      <c r="L55" s="482"/>
      <c r="M55" s="482"/>
      <c r="N55" s="482"/>
      <c r="O55" s="482"/>
    </row>
    <row r="56" spans="8:22" ht="61.95" customHeight="1">
      <c r="H56" s="3108" t="s">
        <v>1568</v>
      </c>
      <c r="I56" s="3108"/>
      <c r="J56" s="3108"/>
      <c r="K56" s="3108"/>
      <c r="L56" s="482"/>
      <c r="M56" s="482"/>
      <c r="N56" s="482"/>
      <c r="P56" s="462"/>
      <c r="U56" s="464"/>
      <c r="V56" s="462"/>
    </row>
    <row r="57" spans="8:22" ht="12.75" customHeight="1" thickBot="1">
      <c r="L57" s="482"/>
      <c r="M57" s="482"/>
      <c r="O57" s="462"/>
      <c r="P57" s="462"/>
      <c r="T57" s="464"/>
      <c r="V57" s="462"/>
    </row>
    <row r="58" spans="8:22" ht="12.75" customHeight="1">
      <c r="H58" s="3113" t="s">
        <v>1556</v>
      </c>
      <c r="I58" s="3114"/>
      <c r="J58" s="3114"/>
      <c r="K58" s="3114"/>
      <c r="L58" s="3115"/>
      <c r="M58" s="482"/>
      <c r="O58" s="462"/>
      <c r="P58" s="462"/>
      <c r="T58" s="464"/>
      <c r="V58" s="462"/>
    </row>
    <row r="59" spans="8:22" ht="12.75" customHeight="1" thickBot="1">
      <c r="H59" s="3116" t="s">
        <v>1563</v>
      </c>
      <c r="I59" s="3117"/>
      <c r="J59" s="3117"/>
      <c r="K59" s="3117"/>
      <c r="L59" s="3118"/>
      <c r="M59" s="482"/>
      <c r="O59" s="462"/>
      <c r="P59" s="462"/>
      <c r="T59" s="464"/>
      <c r="V59" s="462"/>
    </row>
    <row r="60" spans="8:22" ht="12.75" customHeight="1">
      <c r="H60" s="544" t="s">
        <v>1557</v>
      </c>
      <c r="I60" s="545" t="s">
        <v>1520</v>
      </c>
      <c r="J60" s="545" t="s">
        <v>159</v>
      </c>
      <c r="K60" s="547" t="s">
        <v>1565</v>
      </c>
      <c r="L60" s="548" t="s">
        <v>1521</v>
      </c>
      <c r="M60" s="482" t="s">
        <v>1561</v>
      </c>
      <c r="N60" s="462"/>
      <c r="O60" s="462"/>
      <c r="P60" s="462"/>
      <c r="R60" s="464"/>
      <c r="V60" s="462"/>
    </row>
    <row r="61" spans="8:22" ht="27" customHeight="1">
      <c r="H61" s="2183" t="s">
        <v>1558</v>
      </c>
      <c r="I61" s="2184">
        <v>108.34681406999998</v>
      </c>
      <c r="J61" s="2184">
        <v>51.361226429999988</v>
      </c>
      <c r="K61" s="2185">
        <v>0.25319693094629159</v>
      </c>
      <c r="L61" s="2186">
        <v>56.985587639999991</v>
      </c>
      <c r="M61" s="462"/>
      <c r="N61" s="462"/>
      <c r="O61" s="462"/>
      <c r="P61" s="462"/>
      <c r="R61" s="464"/>
      <c r="V61" s="462"/>
    </row>
    <row r="62" spans="8:22" ht="27" customHeight="1">
      <c r="H62" s="2183" t="s">
        <v>1559</v>
      </c>
      <c r="I62" s="2184">
        <v>151.43756666999997</v>
      </c>
      <c r="J62" s="2184">
        <v>86.968648679999987</v>
      </c>
      <c r="K62" s="2185">
        <v>0.14705882352941177</v>
      </c>
      <c r="L62" s="2186">
        <v>64.46891798999998</v>
      </c>
      <c r="M62" s="462"/>
      <c r="N62" s="462"/>
      <c r="O62" s="462"/>
      <c r="P62" s="462"/>
      <c r="R62" s="464"/>
      <c r="V62" s="462"/>
    </row>
    <row r="63" spans="8:22" ht="27" customHeight="1" thickBot="1">
      <c r="H63" s="2187" t="s">
        <v>1560</v>
      </c>
      <c r="I63" s="2188">
        <v>167.07810461999998</v>
      </c>
      <c r="J63" s="2188">
        <v>100.94044634999999</v>
      </c>
      <c r="K63" s="2189">
        <v>0.59974424552429673</v>
      </c>
      <c r="L63" s="2190">
        <v>66.137658269999989</v>
      </c>
      <c r="M63" s="462"/>
      <c r="N63" s="462"/>
      <c r="O63" s="462"/>
      <c r="P63" s="462"/>
      <c r="R63" s="464"/>
      <c r="V63" s="462"/>
    </row>
    <row r="64" spans="8:22" ht="12.75" customHeight="1" thickBot="1">
      <c r="H64" s="482"/>
      <c r="I64" s="1729"/>
      <c r="J64" s="1729"/>
      <c r="K64" s="482"/>
      <c r="L64" s="2191">
        <v>63.574979092327354</v>
      </c>
      <c r="M64" s="462"/>
      <c r="N64" s="462"/>
      <c r="O64" s="462"/>
      <c r="P64" s="462"/>
      <c r="R64" s="464"/>
      <c r="V64" s="462"/>
    </row>
    <row r="65" spans="8:22" ht="12.75" customHeight="1" thickBot="1">
      <c r="H65" s="482"/>
      <c r="I65" s="482"/>
      <c r="J65" s="1729"/>
      <c r="K65" s="1729"/>
      <c r="L65" s="482"/>
      <c r="M65" s="462"/>
      <c r="N65" s="462"/>
      <c r="O65" s="462"/>
      <c r="P65" s="462"/>
      <c r="R65" s="464"/>
      <c r="V65" s="462"/>
    </row>
    <row r="66" spans="8:22" ht="12.75" customHeight="1">
      <c r="H66" s="3113" t="s">
        <v>1562</v>
      </c>
      <c r="I66" s="3114"/>
      <c r="J66" s="3114"/>
      <c r="K66" s="3114"/>
      <c r="L66" s="3115"/>
      <c r="M66" s="462"/>
      <c r="N66" s="462"/>
      <c r="O66" s="462"/>
      <c r="P66" s="462"/>
      <c r="Q66" s="464"/>
      <c r="V66" s="462"/>
    </row>
    <row r="67" spans="8:22" ht="12.75" customHeight="1" thickBot="1">
      <c r="H67" s="3116" t="s">
        <v>1564</v>
      </c>
      <c r="I67" s="3117"/>
      <c r="J67" s="3117"/>
      <c r="K67" s="3117"/>
      <c r="L67" s="3118"/>
      <c r="M67" s="462"/>
      <c r="N67" s="462"/>
      <c r="O67" s="462"/>
      <c r="P67" s="462"/>
      <c r="R67" s="464"/>
      <c r="V67" s="462"/>
    </row>
    <row r="68" spans="8:22" ht="12.6" customHeight="1">
      <c r="H68" s="544" t="s">
        <v>1557</v>
      </c>
      <c r="I68" s="545" t="s">
        <v>1520</v>
      </c>
      <c r="J68" s="545" t="s">
        <v>159</v>
      </c>
      <c r="K68" s="547" t="s">
        <v>1565</v>
      </c>
      <c r="L68" s="548" t="s">
        <v>1521</v>
      </c>
      <c r="M68" s="482" t="s">
        <v>1561</v>
      </c>
      <c r="N68" s="462"/>
      <c r="O68" s="462"/>
      <c r="P68" s="462"/>
      <c r="R68" s="464"/>
      <c r="V68" s="462"/>
    </row>
    <row r="69" spans="8:22" ht="27" customHeight="1">
      <c r="H69" s="2183" t="s">
        <v>1558</v>
      </c>
      <c r="I69" s="2184">
        <v>36.782902439999994</v>
      </c>
      <c r="J69" s="2184">
        <v>21.692911502999998</v>
      </c>
      <c r="K69" s="2185">
        <v>0.46094698502630516</v>
      </c>
      <c r="L69" s="2186">
        <v>15.089990936999996</v>
      </c>
      <c r="M69" s="482"/>
      <c r="N69" s="462"/>
      <c r="O69" s="462"/>
      <c r="P69" s="462"/>
      <c r="R69" s="464"/>
      <c r="V69" s="462"/>
    </row>
    <row r="70" spans="8:22" ht="27" customHeight="1">
      <c r="H70" s="2183" t="s">
        <v>1559</v>
      </c>
      <c r="I70" s="2184">
        <v>48.503480369999998</v>
      </c>
      <c r="J70" s="2184">
        <v>28.812996980999994</v>
      </c>
      <c r="K70" s="2185">
        <v>0.14488061513557265</v>
      </c>
      <c r="L70" s="2186">
        <v>19.690483389000004</v>
      </c>
      <c r="M70" s="482"/>
      <c r="N70" s="462"/>
      <c r="O70" s="462"/>
      <c r="P70" s="462"/>
      <c r="R70" s="464"/>
      <c r="V70" s="462"/>
    </row>
    <row r="71" spans="8:22" ht="27" customHeight="1" thickBot="1">
      <c r="H71" s="2192" t="s">
        <v>1560</v>
      </c>
      <c r="I71" s="2193">
        <v>55.937747459999983</v>
      </c>
      <c r="J71" s="2188">
        <v>34.216427939999996</v>
      </c>
      <c r="K71" s="2189">
        <v>0.39417239983812224</v>
      </c>
      <c r="L71" s="2190">
        <v>21.721319519999987</v>
      </c>
      <c r="M71" s="482"/>
      <c r="N71" s="462"/>
      <c r="O71" s="462"/>
      <c r="P71" s="462"/>
      <c r="R71" s="464"/>
      <c r="V71" s="462"/>
    </row>
    <row r="72" spans="8:22" ht="12.75" customHeight="1" thickBot="1">
      <c r="H72" s="2182"/>
      <c r="I72" s="2194"/>
      <c r="J72" s="1729"/>
      <c r="K72" s="482"/>
      <c r="L72" s="2191">
        <v>18.370399815048557</v>
      </c>
      <c r="M72" s="482"/>
      <c r="N72" s="462"/>
      <c r="O72" s="462"/>
      <c r="P72" s="462"/>
      <c r="R72" s="464"/>
      <c r="V72" s="462"/>
    </row>
    <row r="73" spans="8:22" ht="12.75" customHeight="1">
      <c r="H73" s="482"/>
      <c r="I73" s="482"/>
      <c r="J73" s="482"/>
      <c r="K73" s="482"/>
      <c r="L73" s="482"/>
      <c r="M73" s="483"/>
      <c r="N73" s="462"/>
      <c r="O73" s="462"/>
      <c r="P73" s="462"/>
      <c r="R73" s="464"/>
      <c r="V73" s="462"/>
    </row>
    <row r="74" spans="8:22" ht="12.75" customHeight="1">
      <c r="H74" s="482"/>
      <c r="I74" s="482"/>
      <c r="J74" s="482"/>
      <c r="K74" s="482"/>
      <c r="L74" s="482"/>
      <c r="N74" s="462"/>
      <c r="O74" s="462"/>
      <c r="P74" s="462"/>
      <c r="R74" s="464"/>
      <c r="V74" s="462"/>
    </row>
    <row r="75" spans="8:22" ht="12.75" customHeight="1">
      <c r="H75" s="482"/>
      <c r="I75" s="482"/>
      <c r="J75" s="482"/>
      <c r="K75" s="482"/>
      <c r="L75" s="2001"/>
      <c r="M75" s="2001"/>
      <c r="N75" s="1182"/>
      <c r="O75" s="1116"/>
      <c r="P75" s="462"/>
      <c r="T75" s="464"/>
      <c r="V75" s="462"/>
    </row>
    <row r="76" spans="8:22" ht="12.75" customHeight="1">
      <c r="H76" s="3108" t="s">
        <v>1566</v>
      </c>
      <c r="I76" s="3108"/>
      <c r="J76" s="3108"/>
      <c r="K76" s="3108"/>
      <c r="L76" s="3109"/>
      <c r="M76" s="3109"/>
      <c r="N76" s="3109"/>
      <c r="O76" s="3109"/>
      <c r="P76" s="1576"/>
    </row>
    <row r="77" spans="8:22" ht="12.75" customHeight="1" thickBot="1">
      <c r="H77" s="3109"/>
      <c r="I77" s="3109"/>
      <c r="J77" s="3109"/>
      <c r="K77" s="3109"/>
      <c r="L77" s="3109"/>
      <c r="M77" s="3109"/>
      <c r="N77" s="3109"/>
      <c r="O77" s="3109"/>
      <c r="P77" s="1576"/>
    </row>
    <row r="78" spans="8:22" ht="12.75" customHeight="1">
      <c r="H78" s="544" t="s">
        <v>5</v>
      </c>
      <c r="I78" s="545" t="s">
        <v>1521</v>
      </c>
      <c r="J78" s="545" t="s">
        <v>15</v>
      </c>
      <c r="K78" s="546" t="s">
        <v>1523</v>
      </c>
    </row>
    <row r="79" spans="8:22" ht="17.399999999999999" customHeight="1">
      <c r="H79" s="540" t="s">
        <v>1532</v>
      </c>
      <c r="I79" s="2195">
        <f>K53</f>
        <v>36.858213897599995</v>
      </c>
      <c r="J79" s="2196">
        <v>0.9</v>
      </c>
      <c r="K79" s="2197">
        <f>I79*(1-J79)</f>
        <v>3.6858213897599987</v>
      </c>
    </row>
    <row r="80" spans="8:22" ht="17.399999999999999" customHeight="1">
      <c r="H80" s="540" t="s">
        <v>1533</v>
      </c>
      <c r="I80" s="2195">
        <f>L64</f>
        <v>63.574979092327354</v>
      </c>
      <c r="J80" s="2196">
        <v>0.25</v>
      </c>
      <c r="K80" s="2197">
        <f t="shared" ref="K80:K81" si="16">I80*(1-J80)</f>
        <v>47.681234319245519</v>
      </c>
    </row>
    <row r="81" spans="8:11" ht="17.399999999999999" customHeight="1" thickBot="1">
      <c r="H81" s="2179" t="s">
        <v>1534</v>
      </c>
      <c r="I81" s="2180">
        <f>L72</f>
        <v>18.370399815048557</v>
      </c>
      <c r="J81" s="2198">
        <v>0.74</v>
      </c>
      <c r="K81" s="2199">
        <f t="shared" si="16"/>
        <v>4.7763039519126247</v>
      </c>
    </row>
  </sheetData>
  <autoFilter ref="A5:W17">
    <filterColumn colId="11">
      <filters>
        <filter val="2020"/>
        <filter val="2021"/>
      </filters>
    </filterColumn>
  </autoFilter>
  <dataConsolidate/>
  <mergeCells count="22">
    <mergeCell ref="I2:L2"/>
    <mergeCell ref="A4:G4"/>
    <mergeCell ref="H4:L4"/>
    <mergeCell ref="L77:O77"/>
    <mergeCell ref="H58:L58"/>
    <mergeCell ref="H59:L59"/>
    <mergeCell ref="H67:L67"/>
    <mergeCell ref="H66:L66"/>
    <mergeCell ref="H76:K76"/>
    <mergeCell ref="L76:O76"/>
    <mergeCell ref="H77:K77"/>
    <mergeCell ref="M4:R4"/>
    <mergeCell ref="H25:I25"/>
    <mergeCell ref="H26:L26"/>
    <mergeCell ref="H49:I49"/>
    <mergeCell ref="H50:K50"/>
    <mergeCell ref="H20:L22"/>
    <mergeCell ref="H56:K56"/>
    <mergeCell ref="I28:J28"/>
    <mergeCell ref="I29:J29"/>
    <mergeCell ref="I38:J38"/>
    <mergeCell ref="I39:J39"/>
  </mergeCells>
  <hyperlinks>
    <hyperlink ref="H1" location="' Summary by Program 2020-21'!H1" display="Summary Page"/>
  </hyperlinks>
  <pageMargins left="0.7" right="0.7" top="0.75" bottom="0.75" header="0.3" footer="0.3"/>
  <pageSetup scale="3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filterMode="1">
    <tabColor rgb="FF0083CA"/>
    <pageSetUpPr fitToPage="1"/>
  </sheetPr>
  <dimension ref="A1:AE226"/>
  <sheetViews>
    <sheetView topLeftCell="H1" workbookViewId="0">
      <selection activeCell="H1" sqref="H1"/>
    </sheetView>
  </sheetViews>
  <sheetFormatPr defaultColWidth="19.109375" defaultRowHeight="12.75" customHeight="1" outlineLevelCol="1"/>
  <cols>
    <col min="1" max="1" width="13.5546875" style="460" hidden="1" customWidth="1" outlineLevel="1"/>
    <col min="2" max="2" width="9.6640625" style="460" hidden="1" customWidth="1" outlineLevel="1"/>
    <col min="3" max="3" width="9.33203125" style="461" hidden="1" customWidth="1" outlineLevel="1"/>
    <col min="4" max="4" width="12.109375" style="461" hidden="1" customWidth="1" outlineLevel="1"/>
    <col min="5" max="5" width="12.33203125" style="461" hidden="1" customWidth="1" outlineLevel="1"/>
    <col min="6" max="6" width="11.44140625" style="461" hidden="1" customWidth="1" outlineLevel="1"/>
    <col min="7" max="7" width="17.109375" style="460" hidden="1" customWidth="1" outlineLevel="1"/>
    <col min="8" max="8" width="19.109375" style="462" collapsed="1"/>
    <col min="9" max="9" width="19.109375" style="462"/>
    <col min="10" max="10" width="23.88671875" style="462" customWidth="1"/>
    <col min="11" max="11" width="19.109375" style="462"/>
    <col min="12" max="12" width="13.88671875" style="462" customWidth="1"/>
    <col min="13" max="13" width="10.33203125" style="463" customWidth="1"/>
    <col min="14" max="14" width="12.88671875" style="463" customWidth="1"/>
    <col min="15" max="15" width="10.33203125" style="463" customWidth="1"/>
    <col min="16" max="16" width="22.109375" style="463" customWidth="1"/>
    <col min="17" max="17" width="15.33203125" style="462" customWidth="1"/>
    <col min="18" max="18" width="10.33203125" style="462" customWidth="1"/>
    <col min="19" max="19" width="29" style="462" customWidth="1"/>
    <col min="20" max="21" width="10.6640625" style="462" customWidth="1"/>
    <col min="22" max="22" width="10.6640625" style="464" customWidth="1"/>
    <col min="23" max="16384" width="19.109375" style="462"/>
  </cols>
  <sheetData>
    <row r="1" spans="1:30" ht="12.75" customHeight="1">
      <c r="H1" s="239" t="s">
        <v>1067</v>
      </c>
    </row>
    <row r="2" spans="1:30" ht="49.5" customHeight="1">
      <c r="H2" s="1579" t="str">
        <f>I6&amp;":"</f>
        <v>Drive Power:</v>
      </c>
      <c r="I2" s="2875" t="str">
        <f>INDEX(Programs!C:C,MATCH(I7,Programs!B:B,0))</f>
        <v>NEEA partnered with the League of the Pacific Northwest to increase the region’s motor fleet efficiency by influencing end-users to incorporate life-cycle analysis in investment decisions and helping motor service centers improve repair and motor management services.</v>
      </c>
      <c r="J2" s="2875"/>
      <c r="K2" s="2875"/>
      <c r="L2" s="2875"/>
      <c r="S2" s="925" t="s">
        <v>1870</v>
      </c>
    </row>
    <row r="3" spans="1:30" ht="21" customHeight="1">
      <c r="H3" s="926"/>
    </row>
    <row r="4" spans="1:30" s="458" customFormat="1" ht="15.75" customHeight="1">
      <c r="A4" s="2876" t="s">
        <v>131</v>
      </c>
      <c r="B4" s="2877"/>
      <c r="C4" s="2877"/>
      <c r="D4" s="2877"/>
      <c r="E4" s="2877"/>
      <c r="F4" s="2877"/>
      <c r="G4" s="2878"/>
      <c r="H4" s="3037" t="s">
        <v>7</v>
      </c>
      <c r="I4" s="3038"/>
      <c r="J4" s="3038"/>
      <c r="K4" s="3038"/>
      <c r="L4" s="3038"/>
      <c r="M4" s="2881" t="s">
        <v>127</v>
      </c>
      <c r="N4" s="2882"/>
      <c r="O4" s="2882"/>
      <c r="P4" s="2882"/>
      <c r="Q4" s="2883"/>
      <c r="R4" s="2884" t="s">
        <v>129</v>
      </c>
      <c r="S4" s="2885"/>
      <c r="T4" s="2872" t="s">
        <v>130</v>
      </c>
      <c r="U4" s="2873"/>
      <c r="V4" s="2874"/>
    </row>
    <row r="5" spans="1:30" s="931" customFormat="1" ht="60" customHeight="1" thickBot="1">
      <c r="A5" s="1580" t="s">
        <v>0</v>
      </c>
      <c r="B5" s="1581" t="s">
        <v>11</v>
      </c>
      <c r="C5" s="1582" t="s">
        <v>1</v>
      </c>
      <c r="D5" s="1582" t="s">
        <v>2</v>
      </c>
      <c r="E5" s="1582" t="s">
        <v>266</v>
      </c>
      <c r="F5" s="1582" t="s">
        <v>306</v>
      </c>
      <c r="G5" s="1583" t="s">
        <v>12</v>
      </c>
      <c r="H5" s="1584" t="s">
        <v>3</v>
      </c>
      <c r="I5" s="1584" t="s">
        <v>4</v>
      </c>
      <c r="J5" s="1584" t="s">
        <v>5</v>
      </c>
      <c r="K5" s="1584" t="s">
        <v>6</v>
      </c>
      <c r="L5" s="1584" t="s">
        <v>8</v>
      </c>
      <c r="M5" s="1585" t="s">
        <v>13</v>
      </c>
      <c r="N5" s="1584" t="s">
        <v>14</v>
      </c>
      <c r="O5" s="1584" t="s">
        <v>123</v>
      </c>
      <c r="P5" s="1584" t="s">
        <v>124</v>
      </c>
      <c r="Q5" s="1586" t="s">
        <v>16</v>
      </c>
      <c r="R5" s="1585" t="s">
        <v>870</v>
      </c>
      <c r="S5" s="1586" t="s">
        <v>125</v>
      </c>
      <c r="T5" s="1585" t="s">
        <v>126</v>
      </c>
      <c r="U5" s="1584" t="s">
        <v>18</v>
      </c>
      <c r="V5" s="1587" t="s">
        <v>17</v>
      </c>
    </row>
    <row r="6" spans="1:30" ht="12.75" hidden="1" customHeight="1" thickTop="1">
      <c r="A6" s="498" t="s">
        <v>37</v>
      </c>
      <c r="B6" s="499" t="str">
        <f t="shared" ref="B6:B7" si="0">LEFT(A6,10)</f>
        <v>IND_200402</v>
      </c>
      <c r="C6" s="499">
        <v>0</v>
      </c>
      <c r="D6" s="499">
        <v>0</v>
      </c>
      <c r="E6" s="499">
        <f>COUNTIFS($A:$A,A6,$L:$L,L6)</f>
        <v>1</v>
      </c>
      <c r="F6" s="499">
        <v>1</v>
      </c>
      <c r="G6" s="500" t="b">
        <v>1</v>
      </c>
      <c r="H6" s="501" t="str">
        <f t="shared" ref="H6:H7" si="1">IF(LEFT(A6,3)="Res","Residential",IF(LEFT(A6,3)="Ind","industrial",IF(LEFT(A6,3)="Com","Commercial",IF(LEFT(A6,3)="AGR","Agriculture",""))))</f>
        <v>industrial</v>
      </c>
      <c r="I6" s="502" t="s">
        <v>146</v>
      </c>
      <c r="J6" s="502" t="s">
        <v>439</v>
      </c>
      <c r="K6" s="502" t="s">
        <v>485</v>
      </c>
      <c r="L6" s="24">
        <v>2018</v>
      </c>
      <c r="M6" s="511">
        <v>341.58461538</v>
      </c>
      <c r="N6" s="512">
        <v>50.792009270000001</v>
      </c>
      <c r="O6" s="2254">
        <f>M6*$M$25</f>
        <v>102.47538461399999</v>
      </c>
      <c r="P6" s="318" t="str">
        <f>$H$22</f>
        <v>7th PP assume a 30% baseline (motor calculation workbook, MotorCalc.xlsx, for the baseline assumption:  Details!AH46)</v>
      </c>
      <c r="Q6" s="505">
        <v>0.1037</v>
      </c>
      <c r="R6" s="506">
        <f>Q38</f>
        <v>4388.655772967335</v>
      </c>
      <c r="S6" s="71" t="s">
        <v>2230</v>
      </c>
      <c r="T6" s="507">
        <f>(M6-O6)*Q6*R6/8760000</f>
        <v>1.2422314222510401E-2</v>
      </c>
      <c r="U6" s="508">
        <f t="shared" ref="U6:U7" si="2">IFERROR((N6-O6/M6*N6)*Q6*R6/8760/1000,0)</f>
        <v>1.8471391003446929E-3</v>
      </c>
      <c r="V6" s="509">
        <f t="shared" ref="V6:V7" si="3">T6-U6</f>
        <v>1.0575175122165707E-2</v>
      </c>
    </row>
    <row r="7" spans="1:30" ht="12.75" hidden="1" customHeight="1" thickBot="1">
      <c r="A7" s="498" t="s">
        <v>37</v>
      </c>
      <c r="B7" s="499" t="str">
        <f t="shared" si="0"/>
        <v>IND_200402</v>
      </c>
      <c r="C7" s="499">
        <v>0</v>
      </c>
      <c r="D7" s="499">
        <v>0</v>
      </c>
      <c r="E7" s="499">
        <f>COUNTIFS($A:$A,A7,$L:$L,L7)</f>
        <v>1</v>
      </c>
      <c r="F7" s="499">
        <v>1</v>
      </c>
      <c r="G7" s="500" t="b">
        <v>1</v>
      </c>
      <c r="H7" s="710" t="str">
        <f t="shared" si="1"/>
        <v>industrial</v>
      </c>
      <c r="I7" s="559" t="s">
        <v>146</v>
      </c>
      <c r="J7" s="559" t="s">
        <v>439</v>
      </c>
      <c r="K7" s="559" t="s">
        <v>485</v>
      </c>
      <c r="L7" s="277">
        <v>2019</v>
      </c>
      <c r="M7" s="560">
        <v>341.58461538</v>
      </c>
      <c r="N7" s="561">
        <v>50.792009270000001</v>
      </c>
      <c r="O7" s="2255">
        <f>M7*$M$25</f>
        <v>102.47538461399999</v>
      </c>
      <c r="P7" s="319" t="str">
        <f t="shared" ref="P7" si="4">$H$22</f>
        <v>7th PP assume a 30% baseline (motor calculation workbook, MotorCalc.xlsx, for the baseline assumption:  Details!AH46)</v>
      </c>
      <c r="Q7" s="562">
        <v>0.1037</v>
      </c>
      <c r="R7" s="711">
        <f>Q38</f>
        <v>4388.655772967335</v>
      </c>
      <c r="S7" s="696" t="s">
        <v>2230</v>
      </c>
      <c r="T7" s="564">
        <f>(M7-O7)*Q7*R7/8760000</f>
        <v>1.2422314222510401E-2</v>
      </c>
      <c r="U7" s="565">
        <f t="shared" si="2"/>
        <v>1.8471391003446929E-3</v>
      </c>
      <c r="V7" s="566">
        <f t="shared" si="3"/>
        <v>1.0575175122165707E-2</v>
      </c>
    </row>
    <row r="8" spans="1:30" s="724" customFormat="1" ht="12.75" customHeight="1" thickTop="1">
      <c r="A8" s="712" t="s">
        <v>37</v>
      </c>
      <c r="B8" s="713" t="str">
        <f t="shared" ref="B8:B9" si="5">LEFT(A8,10)</f>
        <v>IND_200402</v>
      </c>
      <c r="C8" s="713">
        <v>0</v>
      </c>
      <c r="D8" s="713">
        <v>0</v>
      </c>
      <c r="E8" s="713">
        <f>COUNTIFS($A:$A,A8,$L:$L,L8)</f>
        <v>1</v>
      </c>
      <c r="F8" s="713">
        <v>1</v>
      </c>
      <c r="G8" s="714" t="b">
        <v>1</v>
      </c>
      <c r="H8" s="715" t="str">
        <f t="shared" ref="H8:H9" si="6">IF(LEFT(A8,3)="Res","Residential",IF(LEFT(A8,3)="Ind","industrial",IF(LEFT(A8,3)="Com","Commercial",IF(LEFT(A8,3)="AGR","Agriculture",""))))</f>
        <v>industrial</v>
      </c>
      <c r="I8" s="716" t="s">
        <v>146</v>
      </c>
      <c r="J8" s="716" t="s">
        <v>439</v>
      </c>
      <c r="K8" s="716" t="s">
        <v>485</v>
      </c>
      <c r="L8" s="701">
        <v>2020</v>
      </c>
      <c r="M8" s="763">
        <v>341.58461538</v>
      </c>
      <c r="N8" s="764">
        <v>50.792009270000001</v>
      </c>
      <c r="O8" s="764">
        <v>0</v>
      </c>
      <c r="P8" s="765" t="s">
        <v>2273</v>
      </c>
      <c r="Q8" s="2046">
        <v>0.1037</v>
      </c>
      <c r="R8" s="720">
        <f>IF($S$2="RTF",$X$146,IF($S$2="7th PP",$X$104,"NA"))</f>
        <v>2853.8714023962898</v>
      </c>
      <c r="S8" s="705" t="s">
        <v>2230</v>
      </c>
      <c r="T8" s="721">
        <f>(M8-O8)*Q8*R8/8760000</f>
        <v>1.154004100740621E-2</v>
      </c>
      <c r="U8" s="722">
        <f t="shared" ref="U8:U9" si="7">IFERROR((N8-O8/M8*N8)*Q8*R8/8760/1000,0)</f>
        <v>1.7159492653739566E-3</v>
      </c>
      <c r="V8" s="794">
        <f t="shared" ref="V8:V9" si="8">T8-U8</f>
        <v>9.8240917420322534E-3</v>
      </c>
    </row>
    <row r="9" spans="1:30" s="496" customFormat="1" ht="12.75" customHeight="1" thickBot="1">
      <c r="A9" s="730" t="s">
        <v>37</v>
      </c>
      <c r="B9" s="731" t="str">
        <f t="shared" si="5"/>
        <v>IND_200402</v>
      </c>
      <c r="C9" s="731">
        <v>0</v>
      </c>
      <c r="D9" s="731">
        <v>0</v>
      </c>
      <c r="E9" s="731">
        <f>COUNTIFS($A:$A,A9,$L:$L,L9)</f>
        <v>1</v>
      </c>
      <c r="F9" s="731">
        <v>1</v>
      </c>
      <c r="G9" s="732" t="b">
        <v>1</v>
      </c>
      <c r="H9" s="733" t="str">
        <f t="shared" si="6"/>
        <v>industrial</v>
      </c>
      <c r="I9" s="734" t="s">
        <v>146</v>
      </c>
      <c r="J9" s="734" t="s">
        <v>439</v>
      </c>
      <c r="K9" s="734" t="s">
        <v>485</v>
      </c>
      <c r="L9" s="708">
        <v>2021</v>
      </c>
      <c r="M9" s="735">
        <v>341.58461538</v>
      </c>
      <c r="N9" s="736">
        <v>50.792009270000001</v>
      </c>
      <c r="O9" s="736">
        <v>0</v>
      </c>
      <c r="P9" s="810" t="s">
        <v>2273</v>
      </c>
      <c r="Q9" s="737">
        <v>0.1037</v>
      </c>
      <c r="R9" s="738">
        <f>IF($S$2="RTF",$X$146,IF($S$2="7th PP",$X$104,"NA"))</f>
        <v>2853.8714023962898</v>
      </c>
      <c r="S9" s="709" t="s">
        <v>2230</v>
      </c>
      <c r="T9" s="739">
        <f>(M9-O9)*Q9*R9/8760000</f>
        <v>1.154004100740621E-2</v>
      </c>
      <c r="U9" s="740">
        <f t="shared" si="7"/>
        <v>1.7159492653739566E-3</v>
      </c>
      <c r="V9" s="811">
        <f t="shared" si="8"/>
        <v>9.8240917420322534E-3</v>
      </c>
    </row>
    <row r="11" spans="1:30" ht="12.75" customHeight="1">
      <c r="F11" s="499"/>
      <c r="H11" s="939" t="s">
        <v>1355</v>
      </c>
      <c r="I11" s="940"/>
      <c r="J11" s="940"/>
      <c r="K11" s="940"/>
      <c r="L11" s="96"/>
    </row>
    <row r="12" spans="1:30" ht="72" customHeight="1">
      <c r="F12" s="499"/>
      <c r="H12" s="2956" t="s">
        <v>2262</v>
      </c>
      <c r="I12" s="2957"/>
      <c r="J12" s="2957"/>
      <c r="K12" s="2957"/>
      <c r="L12" s="2957"/>
      <c r="M12" s="2958"/>
    </row>
    <row r="13" spans="1:30" ht="12" customHeight="1"/>
    <row r="14" spans="1:30" customFormat="1" ht="16.5" customHeight="1">
      <c r="A14" s="460"/>
      <c r="B14" s="460"/>
      <c r="C14" s="461"/>
      <c r="D14" s="461"/>
      <c r="E14" s="461"/>
      <c r="F14" s="461"/>
      <c r="G14" s="460"/>
      <c r="H14" s="891" t="s">
        <v>10</v>
      </c>
    </row>
    <row r="15" spans="1:30" s="482" customFormat="1" ht="16.5" customHeight="1">
      <c r="A15" s="460"/>
      <c r="B15" s="460"/>
      <c r="C15" s="461"/>
      <c r="D15" s="461"/>
      <c r="E15" s="461"/>
      <c r="F15" s="461"/>
      <c r="G15" s="460"/>
      <c r="H15" s="2200" t="s">
        <v>1326</v>
      </c>
      <c r="I15" s="2200"/>
      <c r="J15" s="2200"/>
      <c r="K15" s="2200"/>
      <c r="L15" s="2200"/>
      <c r="M15" s="2200"/>
      <c r="Q15" s="727"/>
      <c r="R15" s="727"/>
      <c r="S15" s="727"/>
      <c r="T15" s="727"/>
      <c r="U15" s="727"/>
      <c r="V15" s="727"/>
      <c r="W15" s="727"/>
      <c r="X15" s="727"/>
      <c r="Y15" s="727"/>
      <c r="Z15" s="727"/>
      <c r="AA15" s="727"/>
      <c r="AB15" s="727"/>
      <c r="AC15" s="727"/>
      <c r="AD15" s="727"/>
    </row>
    <row r="16" spans="1:30" ht="12.75" customHeight="1">
      <c r="H16" s="1959"/>
      <c r="M16" s="462"/>
      <c r="N16" s="462"/>
      <c r="O16" s="462"/>
      <c r="P16" s="462"/>
      <c r="Q16" s="458"/>
      <c r="R16" s="458"/>
      <c r="S16" s="458"/>
      <c r="T16" s="458"/>
      <c r="U16" s="458"/>
      <c r="V16" s="458"/>
      <c r="W16" s="458"/>
      <c r="X16" s="458"/>
      <c r="Y16" s="458"/>
      <c r="Z16" s="458"/>
      <c r="AA16" s="458"/>
      <c r="AB16" s="458"/>
      <c r="AC16" s="458"/>
      <c r="AD16" s="458"/>
    </row>
    <row r="17" spans="8:30" ht="12.75" customHeight="1">
      <c r="H17" s="1926" t="s">
        <v>2270</v>
      </c>
      <c r="M17" s="462"/>
      <c r="N17" s="462"/>
      <c r="O17" s="462"/>
      <c r="P17" s="462"/>
      <c r="Q17" s="458"/>
      <c r="R17" s="458"/>
      <c r="S17" s="458"/>
      <c r="T17" s="458"/>
      <c r="U17" s="458"/>
      <c r="V17" s="458"/>
      <c r="W17" s="458"/>
      <c r="X17" s="458"/>
      <c r="Y17" s="458"/>
      <c r="Z17" s="458"/>
      <c r="AA17" s="458"/>
      <c r="AB17" s="458"/>
      <c r="AC17" s="458"/>
      <c r="AD17" s="458"/>
    </row>
    <row r="18" spans="8:30" ht="12.75" customHeight="1" thickBot="1">
      <c r="H18" s="466" t="s">
        <v>2222</v>
      </c>
      <c r="M18" s="462"/>
      <c r="N18" s="462"/>
      <c r="O18" s="462"/>
      <c r="P18" s="462"/>
      <c r="Q18" s="458"/>
      <c r="R18" s="458"/>
      <c r="S18" s="458"/>
      <c r="T18" s="458"/>
      <c r="U18" s="458"/>
      <c r="V18" s="458"/>
      <c r="W18" s="458"/>
      <c r="X18" s="458"/>
      <c r="Y18" s="458"/>
      <c r="Z18" s="458"/>
      <c r="AA18" s="458"/>
      <c r="AB18" s="458"/>
      <c r="AC18" s="458"/>
      <c r="AD18" s="458"/>
    </row>
    <row r="19" spans="8:30" ht="12.75" customHeight="1" thickTop="1" thickBot="1">
      <c r="H19" s="466"/>
      <c r="I19" s="2153" t="s">
        <v>2223</v>
      </c>
      <c r="J19" s="2153"/>
      <c r="M19" s="462"/>
      <c r="N19" s="462"/>
      <c r="O19" s="462"/>
      <c r="P19" s="462"/>
      <c r="Q19" s="458"/>
      <c r="R19" s="458"/>
      <c r="S19" s="458"/>
      <c r="T19" s="458"/>
      <c r="U19" s="458"/>
      <c r="V19" s="458"/>
      <c r="W19" s="458"/>
      <c r="X19" s="458"/>
      <c r="Y19" s="458"/>
      <c r="Z19" s="458"/>
      <c r="AA19" s="458"/>
      <c r="AB19" s="458"/>
      <c r="AC19" s="458"/>
      <c r="AD19" s="458"/>
    </row>
    <row r="20" spans="8:30" ht="12.75" customHeight="1" thickTop="1">
      <c r="H20" s="466"/>
      <c r="M20" s="462"/>
      <c r="N20" s="462"/>
      <c r="O20" s="462"/>
      <c r="P20" s="462"/>
      <c r="Q20" s="458"/>
      <c r="R20" s="458"/>
      <c r="S20" s="458"/>
      <c r="T20" s="458"/>
      <c r="U20" s="458"/>
      <c r="V20" s="458"/>
      <c r="W20" s="458"/>
      <c r="X20" s="458"/>
      <c r="Y20" s="458"/>
      <c r="Z20" s="458"/>
      <c r="AA20" s="458"/>
      <c r="AB20" s="458"/>
      <c r="AC20" s="458"/>
      <c r="AD20" s="458"/>
    </row>
    <row r="21" spans="8:30" ht="12.75" customHeight="1">
      <c r="H21" s="466" t="s">
        <v>2224</v>
      </c>
      <c r="M21" s="462"/>
      <c r="N21" s="462"/>
      <c r="O21" s="462"/>
      <c r="P21" s="462"/>
      <c r="Q21" s="458"/>
      <c r="R21" s="458"/>
      <c r="S21" s="458"/>
      <c r="T21" s="458"/>
      <c r="U21" s="458"/>
      <c r="V21" s="458"/>
      <c r="W21" s="458"/>
      <c r="X21" s="458"/>
      <c r="Y21" s="458"/>
      <c r="Z21" s="458"/>
      <c r="AA21" s="458"/>
      <c r="AB21" s="458"/>
      <c r="AC21" s="458"/>
      <c r="AD21" s="458"/>
    </row>
    <row r="22" spans="8:30" ht="12.75" customHeight="1" thickBot="1">
      <c r="H22" s="1959" t="s">
        <v>843</v>
      </c>
      <c r="M22" s="462"/>
      <c r="N22" s="462"/>
      <c r="O22" s="462"/>
      <c r="P22" s="462"/>
      <c r="Q22" s="458"/>
      <c r="R22" s="458"/>
      <c r="S22" s="458"/>
      <c r="T22" s="458"/>
      <c r="U22" s="458"/>
      <c r="V22" s="458"/>
      <c r="W22" s="458"/>
      <c r="X22" s="458"/>
      <c r="Y22" s="458"/>
      <c r="Z22" s="458"/>
      <c r="AA22" s="458"/>
      <c r="AB22" s="458"/>
      <c r="AC22" s="458"/>
      <c r="AD22" s="458"/>
    </row>
    <row r="23" spans="8:30" ht="12.75" customHeight="1" thickTop="1" thickBot="1">
      <c r="H23" s="1947">
        <v>12</v>
      </c>
      <c r="I23" s="2153" t="s">
        <v>2225</v>
      </c>
      <c r="J23" s="2153"/>
      <c r="L23" s="462" t="s">
        <v>2267</v>
      </c>
      <c r="M23" s="462"/>
      <c r="N23" s="462"/>
      <c r="O23" s="462"/>
      <c r="P23" s="462"/>
      <c r="Q23" s="458"/>
      <c r="R23" s="458"/>
      <c r="S23" s="458"/>
      <c r="T23" s="458"/>
      <c r="U23" s="458"/>
      <c r="V23" s="458"/>
      <c r="W23" s="458"/>
      <c r="X23" s="458"/>
      <c r="Y23" s="458"/>
      <c r="Z23" s="458"/>
      <c r="AA23" s="458"/>
      <c r="AB23" s="458"/>
      <c r="AC23" s="458"/>
      <c r="AD23" s="458"/>
    </row>
    <row r="24" spans="8:30" ht="12.75" customHeight="1" thickTop="1" thickBot="1">
      <c r="H24" s="1947">
        <v>13</v>
      </c>
      <c r="I24" s="2153" t="s">
        <v>2226</v>
      </c>
      <c r="J24" s="2153"/>
      <c r="L24" s="972" t="s">
        <v>2268</v>
      </c>
      <c r="N24" s="462"/>
      <c r="O24" s="462"/>
      <c r="P24" s="462"/>
      <c r="Q24" s="458"/>
      <c r="R24" s="458"/>
      <c r="S24" s="458"/>
      <c r="T24" s="458"/>
      <c r="U24" s="458"/>
      <c r="V24" s="458"/>
      <c r="W24" s="458"/>
      <c r="X24" s="458"/>
      <c r="Y24" s="458"/>
      <c r="Z24" s="458"/>
      <c r="AA24" s="458"/>
      <c r="AB24" s="458"/>
      <c r="AC24" s="458"/>
      <c r="AD24" s="458"/>
    </row>
    <row r="25" spans="8:30" ht="12.75" customHeight="1" thickTop="1" thickBot="1">
      <c r="H25" s="1947">
        <v>14</v>
      </c>
      <c r="I25" s="2153" t="s">
        <v>2227</v>
      </c>
      <c r="J25" s="2153"/>
      <c r="L25" s="462" t="s">
        <v>15</v>
      </c>
      <c r="M25" s="1945">
        <v>0.3</v>
      </c>
      <c r="N25" s="462"/>
      <c r="O25" s="462"/>
      <c r="P25" s="462"/>
      <c r="Q25" s="458"/>
      <c r="R25" s="458"/>
      <c r="S25" s="458"/>
      <c r="T25" s="458"/>
      <c r="U25" s="458"/>
      <c r="V25" s="458"/>
      <c r="W25" s="458"/>
      <c r="X25" s="458"/>
      <c r="Y25" s="458"/>
      <c r="Z25" s="458"/>
      <c r="AA25" s="458"/>
      <c r="AB25" s="458"/>
      <c r="AC25" s="458"/>
      <c r="AD25" s="458"/>
    </row>
    <row r="26" spans="8:30" ht="12.75" customHeight="1" thickTop="1" thickBot="1">
      <c r="H26" s="1947">
        <v>15</v>
      </c>
      <c r="I26" s="2153" t="s">
        <v>2228</v>
      </c>
      <c r="J26" s="2153"/>
      <c r="M26" s="462"/>
      <c r="N26" s="462"/>
      <c r="O26" s="462"/>
      <c r="P26" s="462"/>
      <c r="Q26" s="458"/>
      <c r="R26" s="458"/>
      <c r="S26" s="458"/>
      <c r="T26" s="458"/>
      <c r="U26" s="458"/>
      <c r="V26" s="458"/>
      <c r="W26" s="458"/>
      <c r="X26" s="458"/>
      <c r="Y26" s="458"/>
      <c r="Z26" s="458"/>
      <c r="AA26" s="458"/>
      <c r="AB26" s="458"/>
      <c r="AC26" s="458"/>
      <c r="AD26" s="458"/>
    </row>
    <row r="27" spans="8:30" ht="12.75" customHeight="1" thickTop="1" thickBot="1">
      <c r="H27" s="1947">
        <v>16</v>
      </c>
      <c r="I27" s="2153" t="s">
        <v>2229</v>
      </c>
      <c r="J27" s="2153"/>
      <c r="M27" s="462"/>
      <c r="N27" s="462"/>
      <c r="O27" s="462"/>
      <c r="P27" s="462"/>
      <c r="Q27" s="458"/>
      <c r="R27" s="458"/>
      <c r="S27" s="458"/>
      <c r="T27" s="458"/>
      <c r="U27" s="458"/>
      <c r="V27" s="458"/>
      <c r="W27" s="458"/>
      <c r="X27" s="458"/>
      <c r="Y27" s="458"/>
      <c r="Z27" s="458"/>
      <c r="AA27" s="458"/>
      <c r="AB27" s="458"/>
      <c r="AC27" s="458"/>
      <c r="AD27" s="458"/>
    </row>
    <row r="28" spans="8:30" ht="12.75" customHeight="1" thickTop="1">
      <c r="M28" s="462"/>
      <c r="N28" s="462"/>
      <c r="O28" s="462"/>
      <c r="P28" s="462"/>
      <c r="Q28" s="458"/>
      <c r="R28" s="458"/>
      <c r="S28" s="458"/>
      <c r="T28" s="458"/>
      <c r="U28" s="458"/>
      <c r="V28" s="458"/>
      <c r="W28" s="458"/>
      <c r="X28" s="458"/>
      <c r="Y28" s="458"/>
      <c r="Z28" s="458"/>
      <c r="AA28" s="458"/>
      <c r="AB28" s="458"/>
      <c r="AC28" s="458"/>
      <c r="AD28" s="458"/>
    </row>
    <row r="29" spans="8:30" ht="12.75" customHeight="1">
      <c r="H29" s="462" t="s">
        <v>838</v>
      </c>
      <c r="M29" s="462"/>
      <c r="N29" s="462"/>
      <c r="O29" s="462"/>
      <c r="P29" s="462"/>
      <c r="Q29" s="458"/>
      <c r="R29" s="458"/>
      <c r="S29" s="458"/>
      <c r="T29" s="458"/>
      <c r="U29" s="458"/>
      <c r="V29" s="458"/>
      <c r="W29" s="458"/>
      <c r="X29" s="458"/>
      <c r="Y29" s="458"/>
      <c r="Z29" s="458"/>
      <c r="AA29" s="458"/>
      <c r="AB29" s="458"/>
      <c r="AC29" s="458"/>
      <c r="AD29" s="458"/>
    </row>
    <row r="30" spans="8:30" ht="12.75" customHeight="1" thickBot="1">
      <c r="M30" s="462"/>
      <c r="N30" s="462"/>
      <c r="O30" s="462"/>
      <c r="P30" s="462"/>
      <c r="Q30" s="458"/>
      <c r="R30" s="458"/>
      <c r="S30" s="458"/>
      <c r="T30" s="458"/>
      <c r="U30" s="458"/>
      <c r="V30" s="458"/>
      <c r="W30" s="458"/>
      <c r="X30" s="458"/>
      <c r="Y30" s="458"/>
      <c r="Z30" s="458"/>
      <c r="AA30" s="458"/>
      <c r="AB30" s="458"/>
      <c r="AC30" s="458"/>
      <c r="AD30" s="458"/>
    </row>
    <row r="31" spans="8:30" ht="15" thickTop="1" thickBot="1">
      <c r="H31" s="462" t="s">
        <v>2266</v>
      </c>
      <c r="J31" s="458"/>
      <c r="K31" s="3137" t="s">
        <v>2013</v>
      </c>
      <c r="L31" s="3138"/>
      <c r="M31" s="3139"/>
      <c r="N31" s="458"/>
      <c r="O31" s="458"/>
      <c r="P31" s="462"/>
      <c r="Q31" s="458"/>
      <c r="R31" s="458"/>
      <c r="S31" s="458"/>
      <c r="T31" s="458"/>
      <c r="U31" s="458"/>
      <c r="V31" s="458"/>
      <c r="W31" s="458"/>
      <c r="X31" s="458"/>
      <c r="Y31" s="458"/>
      <c r="Z31" s="458"/>
      <c r="AA31" s="458"/>
      <c r="AB31" s="458"/>
      <c r="AC31" s="458"/>
      <c r="AD31" s="458"/>
    </row>
    <row r="32" spans="8:30" ht="15" thickTop="1" thickBot="1">
      <c r="J32" s="458"/>
      <c r="K32" s="3137" t="s">
        <v>2014</v>
      </c>
      <c r="L32" s="3138"/>
      <c r="M32" s="3139"/>
      <c r="N32" s="458"/>
      <c r="O32" s="458"/>
      <c r="P32" s="462"/>
      <c r="Q32" s="458"/>
      <c r="R32" s="458"/>
      <c r="S32" s="458"/>
      <c r="T32" s="458"/>
      <c r="U32" s="458"/>
      <c r="V32" s="458"/>
      <c r="W32" s="458"/>
      <c r="X32" s="458"/>
      <c r="Y32" s="458"/>
      <c r="Z32" s="458"/>
      <c r="AA32" s="458"/>
      <c r="AB32" s="458"/>
      <c r="AC32" s="458"/>
      <c r="AD32" s="458"/>
    </row>
    <row r="33" spans="8:30" ht="12.75" customHeight="1" thickTop="1">
      <c r="H33" s="458"/>
      <c r="I33" s="458"/>
      <c r="J33" s="458"/>
      <c r="K33" s="458"/>
      <c r="L33" s="458"/>
      <c r="M33" s="458"/>
      <c r="N33" s="458"/>
      <c r="O33" s="458"/>
      <c r="P33" s="462"/>
      <c r="Q33" s="458"/>
      <c r="R33" s="458"/>
      <c r="S33" s="458"/>
      <c r="T33" s="458"/>
      <c r="U33" s="458"/>
      <c r="V33" s="458"/>
      <c r="W33" s="458"/>
      <c r="X33" s="458"/>
      <c r="Y33" s="458"/>
      <c r="Z33" s="458"/>
      <c r="AA33" s="458"/>
      <c r="AB33" s="458"/>
      <c r="AC33" s="458"/>
      <c r="AD33" s="458"/>
    </row>
    <row r="34" spans="8:30" ht="12.75" customHeight="1">
      <c r="H34" s="3146"/>
      <c r="I34" s="3147"/>
      <c r="J34" s="3147"/>
      <c r="K34" s="3148"/>
      <c r="L34" s="2201" t="s">
        <v>439</v>
      </c>
      <c r="M34" s="2201" t="s">
        <v>2231</v>
      </c>
      <c r="N34" s="462"/>
      <c r="O34" s="462"/>
      <c r="P34" s="462"/>
      <c r="R34" s="458"/>
      <c r="S34" s="458"/>
      <c r="T34" s="458"/>
      <c r="U34" s="458"/>
      <c r="V34" s="458"/>
      <c r="W34" s="458"/>
      <c r="X34" s="458"/>
      <c r="Y34" s="458"/>
      <c r="Z34" s="458"/>
      <c r="AA34" s="458"/>
      <c r="AB34" s="458"/>
      <c r="AC34" s="458"/>
      <c r="AD34" s="458"/>
    </row>
    <row r="35" spans="8:30" ht="12.75" customHeight="1">
      <c r="H35" s="2202" t="s">
        <v>8</v>
      </c>
      <c r="I35" s="2202" t="s">
        <v>2232</v>
      </c>
      <c r="J35" s="2202" t="s">
        <v>2233</v>
      </c>
      <c r="K35" s="2202" t="s">
        <v>839</v>
      </c>
      <c r="L35" s="2202" t="s">
        <v>2234</v>
      </c>
      <c r="M35" s="2202" t="s">
        <v>2234</v>
      </c>
      <c r="N35" s="462"/>
      <c r="O35" s="462"/>
      <c r="P35" s="2203" t="s">
        <v>2235</v>
      </c>
      <c r="Q35" s="2203" t="s">
        <v>2236</v>
      </c>
      <c r="R35" s="458"/>
      <c r="S35" s="458"/>
      <c r="T35" s="458"/>
      <c r="U35" s="458"/>
      <c r="V35" s="458"/>
      <c r="W35" s="458"/>
      <c r="X35" s="458"/>
      <c r="Y35" s="458"/>
      <c r="Z35" s="458"/>
      <c r="AA35" s="458"/>
      <c r="AB35" s="458"/>
      <c r="AC35" s="458"/>
      <c r="AD35" s="458"/>
    </row>
    <row r="36" spans="8:30" ht="12.75" customHeight="1">
      <c r="H36" s="2204">
        <v>2016</v>
      </c>
      <c r="I36" s="2204" t="s">
        <v>840</v>
      </c>
      <c r="J36" s="2204" t="s">
        <v>33</v>
      </c>
      <c r="K36" s="2204" t="s">
        <v>2237</v>
      </c>
      <c r="L36" s="2205">
        <v>45</v>
      </c>
      <c r="M36" s="2205">
        <v>131501.36582358516</v>
      </c>
      <c r="N36" s="462"/>
      <c r="O36" s="462">
        <v>2016</v>
      </c>
      <c r="P36" s="2206">
        <v>1.6775547652435937E-2</v>
      </c>
      <c r="Q36" s="2207">
        <f>SUMIFS($M$36:$M$67,$H$36:$H$67,O36)/SUMIFS($L$36:$L$67,$H$36:$H$67,O36)*(1-P36)</f>
        <v>2706.7000034779435</v>
      </c>
      <c r="R36" s="458"/>
      <c r="S36" s="458"/>
      <c r="T36" s="458"/>
      <c r="U36" s="458"/>
      <c r="V36" s="458"/>
      <c r="W36" s="458"/>
      <c r="X36" s="458"/>
      <c r="Y36" s="458"/>
      <c r="Z36" s="458"/>
      <c r="AA36" s="458"/>
      <c r="AB36" s="458"/>
      <c r="AC36" s="458"/>
      <c r="AD36" s="458"/>
    </row>
    <row r="37" spans="8:30" ht="12.75" customHeight="1">
      <c r="H37" s="2204">
        <v>2016</v>
      </c>
      <c r="I37" s="2204" t="s">
        <v>840</v>
      </c>
      <c r="J37" s="2204" t="s">
        <v>33</v>
      </c>
      <c r="K37" s="2204" t="s">
        <v>2238</v>
      </c>
      <c r="L37" s="2205">
        <v>5.333333333333333</v>
      </c>
      <c r="M37" s="2205">
        <v>26661.683883438996</v>
      </c>
      <c r="N37" s="462"/>
      <c r="O37" s="462">
        <v>2017</v>
      </c>
      <c r="P37" s="2206">
        <v>8.3074314778185925E-3</v>
      </c>
      <c r="Q37" s="2207">
        <f>SUMIFS($M$36:$M$67,$H$36:$H$67,O37)/SUMIFS($L$36:$L$67,$H$36:$H$67,O37)*(1-P37)</f>
        <v>4953.7021836768427</v>
      </c>
      <c r="R37" s="458"/>
      <c r="S37" s="458"/>
      <c r="T37" s="458"/>
      <c r="U37" s="458"/>
      <c r="V37" s="458"/>
      <c r="W37" s="458"/>
      <c r="X37" s="458"/>
      <c r="Y37" s="458"/>
      <c r="Z37" s="458"/>
      <c r="AA37" s="458"/>
      <c r="AB37" s="458"/>
      <c r="AC37" s="458"/>
      <c r="AD37" s="458"/>
    </row>
    <row r="38" spans="8:30" ht="12.75" customHeight="1">
      <c r="H38" s="2204">
        <v>2016</v>
      </c>
      <c r="I38" s="2204" t="s">
        <v>840</v>
      </c>
      <c r="J38" s="2204" t="s">
        <v>33</v>
      </c>
      <c r="K38" s="2204" t="s">
        <v>2239</v>
      </c>
      <c r="L38" s="2205">
        <v>185.71428571428572</v>
      </c>
      <c r="M38" s="2205">
        <v>452721.91886745644</v>
      </c>
      <c r="N38" s="462"/>
      <c r="O38" s="462">
        <v>2018</v>
      </c>
      <c r="P38" s="2206">
        <v>6.5087213865573377E-3</v>
      </c>
      <c r="Q38" s="2207">
        <f>SUMIFS($M$36:$M$83,$H$36:$H$83,O38)/SUMIFS($L$36:$L$83,$H$36:$H$83,O38)*(1-P38)</f>
        <v>4388.655772967335</v>
      </c>
      <c r="R38" s="458"/>
      <c r="S38" s="458"/>
      <c r="T38" s="458"/>
      <c r="U38" s="458"/>
      <c r="V38" s="458"/>
      <c r="W38" s="458"/>
      <c r="X38" s="458"/>
      <c r="Y38" s="458"/>
      <c r="Z38" s="458"/>
      <c r="AA38" s="458"/>
      <c r="AB38" s="458"/>
      <c r="AC38" s="458"/>
      <c r="AD38" s="458"/>
    </row>
    <row r="39" spans="8:30" ht="12.75" customHeight="1">
      <c r="H39" s="2204">
        <v>2016</v>
      </c>
      <c r="I39" s="2204" t="s">
        <v>840</v>
      </c>
      <c r="J39" s="2204" t="s">
        <v>33</v>
      </c>
      <c r="K39" s="2204" t="s">
        <v>2240</v>
      </c>
      <c r="L39" s="2205">
        <v>72.5</v>
      </c>
      <c r="M39" s="2205">
        <v>282289.58489104832</v>
      </c>
      <c r="N39" s="462"/>
      <c r="O39" s="462"/>
      <c r="P39" s="462"/>
      <c r="R39" s="458"/>
      <c r="S39" s="458"/>
      <c r="T39" s="458"/>
      <c r="U39" s="458"/>
      <c r="V39" s="458"/>
      <c r="W39" s="458"/>
      <c r="X39" s="458"/>
      <c r="Y39" s="458"/>
      <c r="Z39" s="458"/>
      <c r="AA39" s="458"/>
      <c r="AB39" s="458"/>
      <c r="AC39" s="458"/>
      <c r="AD39" s="458"/>
    </row>
    <row r="40" spans="8:30" ht="12.75" customHeight="1">
      <c r="H40" s="2204">
        <v>2016</v>
      </c>
      <c r="I40" s="2204" t="s">
        <v>840</v>
      </c>
      <c r="J40" s="2204" t="s">
        <v>841</v>
      </c>
      <c r="K40" s="2204" t="s">
        <v>2237</v>
      </c>
      <c r="L40" s="2205">
        <v>115.71428571428572</v>
      </c>
      <c r="M40" s="2205">
        <v>250283.11739295971</v>
      </c>
      <c r="N40" s="462"/>
      <c r="O40" s="462"/>
      <c r="P40" s="462"/>
      <c r="R40" s="458"/>
      <c r="S40" s="458"/>
      <c r="T40" s="458"/>
      <c r="U40" s="458"/>
      <c r="V40" s="458"/>
      <c r="W40" s="458"/>
      <c r="X40" s="458"/>
      <c r="Y40" s="458"/>
      <c r="Z40" s="458"/>
      <c r="AA40" s="458"/>
      <c r="AB40" s="458"/>
      <c r="AC40" s="458"/>
      <c r="AD40" s="458"/>
    </row>
    <row r="41" spans="8:30" ht="12.75" customHeight="1">
      <c r="H41" s="2204">
        <v>2016</v>
      </c>
      <c r="I41" s="2204" t="s">
        <v>840</v>
      </c>
      <c r="J41" s="2204" t="s">
        <v>841</v>
      </c>
      <c r="K41" s="2204" t="s">
        <v>2238</v>
      </c>
      <c r="L41" s="2205">
        <v>2.6666666666666665</v>
      </c>
      <c r="M41" s="2205">
        <v>9098.3506175626389</v>
      </c>
      <c r="N41" s="462"/>
      <c r="O41" s="462"/>
      <c r="P41" s="462"/>
      <c r="R41" s="458"/>
      <c r="S41" s="458"/>
      <c r="T41" s="458"/>
      <c r="U41" s="458"/>
      <c r="V41" s="458"/>
      <c r="W41" s="458"/>
      <c r="X41" s="458"/>
      <c r="Y41" s="458"/>
      <c r="Z41" s="458"/>
      <c r="AA41" s="458"/>
      <c r="AB41" s="458"/>
      <c r="AC41" s="458"/>
      <c r="AD41" s="458"/>
    </row>
    <row r="42" spans="8:30" ht="12.75" customHeight="1">
      <c r="H42" s="2204">
        <v>2016</v>
      </c>
      <c r="I42" s="2204" t="s">
        <v>840</v>
      </c>
      <c r="J42" s="2204" t="s">
        <v>841</v>
      </c>
      <c r="K42" s="2204" t="s">
        <v>2239</v>
      </c>
      <c r="L42" s="2205">
        <v>65.714285714285722</v>
      </c>
      <c r="M42" s="2205">
        <v>81352.372972844198</v>
      </c>
      <c r="N42" s="462"/>
      <c r="O42" s="462"/>
      <c r="P42" s="462"/>
      <c r="R42" s="458"/>
      <c r="S42" s="458"/>
      <c r="T42" s="458"/>
      <c r="U42" s="458"/>
      <c r="V42" s="458"/>
      <c r="W42" s="458"/>
      <c r="X42" s="458"/>
      <c r="Y42" s="458"/>
      <c r="Z42" s="458"/>
      <c r="AA42" s="458"/>
      <c r="AB42" s="458"/>
      <c r="AC42" s="458"/>
      <c r="AD42" s="458"/>
    </row>
    <row r="43" spans="8:30" ht="12.75" customHeight="1">
      <c r="H43" s="2204">
        <v>2016</v>
      </c>
      <c r="I43" s="2204" t="s">
        <v>840</v>
      </c>
      <c r="J43" s="2204" t="s">
        <v>841</v>
      </c>
      <c r="K43" s="2204" t="s">
        <v>2240</v>
      </c>
      <c r="L43" s="2205">
        <v>137.5</v>
      </c>
      <c r="M43" s="2205">
        <v>500799.96186571167</v>
      </c>
      <c r="N43" s="462"/>
      <c r="O43" s="462"/>
      <c r="P43" s="462"/>
      <c r="R43" s="458"/>
      <c r="S43" s="458"/>
      <c r="T43" s="458"/>
      <c r="U43" s="458"/>
      <c r="V43" s="458"/>
      <c r="W43" s="458"/>
      <c r="X43" s="458"/>
      <c r="Y43" s="458"/>
      <c r="Z43" s="458"/>
      <c r="AA43" s="458"/>
      <c r="AB43" s="458"/>
      <c r="AC43" s="458"/>
      <c r="AD43" s="458"/>
    </row>
    <row r="44" spans="8:30" ht="12.75" customHeight="1">
      <c r="H44" s="2204">
        <v>2016</v>
      </c>
      <c r="I44" s="2204" t="s">
        <v>842</v>
      </c>
      <c r="J44" s="2204" t="s">
        <v>33</v>
      </c>
      <c r="K44" s="2204" t="s">
        <v>2237</v>
      </c>
      <c r="L44" s="2204">
        <v>0</v>
      </c>
      <c r="M44" s="2204">
        <v>0</v>
      </c>
      <c r="N44" s="462"/>
      <c r="O44" s="462"/>
      <c r="P44" s="462"/>
      <c r="R44" s="458"/>
      <c r="S44" s="458"/>
      <c r="T44" s="458"/>
      <c r="U44" s="458"/>
      <c r="V44" s="458"/>
      <c r="W44" s="458"/>
      <c r="X44" s="458"/>
      <c r="Y44" s="458"/>
      <c r="Z44" s="458"/>
      <c r="AA44" s="458"/>
      <c r="AB44" s="458"/>
      <c r="AC44" s="458"/>
      <c r="AD44" s="458"/>
    </row>
    <row r="45" spans="8:30" ht="12.75" customHeight="1">
      <c r="H45" s="2204">
        <v>2016</v>
      </c>
      <c r="I45" s="2204" t="s">
        <v>842</v>
      </c>
      <c r="J45" s="2204" t="s">
        <v>33</v>
      </c>
      <c r="K45" s="2204" t="s">
        <v>2238</v>
      </c>
      <c r="L45" s="2204">
        <v>0</v>
      </c>
      <c r="M45" s="2204">
        <v>0</v>
      </c>
      <c r="N45" s="462"/>
      <c r="O45" s="462"/>
      <c r="P45" s="462"/>
      <c r="R45" s="458"/>
      <c r="S45" s="458"/>
      <c r="T45" s="458"/>
      <c r="U45" s="458"/>
      <c r="V45" s="458"/>
      <c r="W45" s="458"/>
      <c r="X45" s="458"/>
      <c r="Y45" s="458"/>
      <c r="Z45" s="458"/>
      <c r="AA45" s="458"/>
      <c r="AB45" s="458"/>
      <c r="AC45" s="458"/>
      <c r="AD45" s="458"/>
    </row>
    <row r="46" spans="8:30" ht="12.75" customHeight="1">
      <c r="H46" s="2204">
        <v>2016</v>
      </c>
      <c r="I46" s="2204" t="s">
        <v>842</v>
      </c>
      <c r="J46" s="2204" t="s">
        <v>33</v>
      </c>
      <c r="K46" s="2204" t="s">
        <v>2239</v>
      </c>
      <c r="L46" s="2204">
        <v>0</v>
      </c>
      <c r="M46" s="2204">
        <v>0</v>
      </c>
      <c r="N46" s="462"/>
      <c r="O46" s="462"/>
      <c r="P46" s="462"/>
      <c r="R46" s="458"/>
      <c r="S46" s="458"/>
      <c r="T46" s="458"/>
      <c r="U46" s="458"/>
      <c r="V46" s="458"/>
      <c r="W46" s="458"/>
      <c r="X46" s="458"/>
      <c r="Y46" s="458"/>
      <c r="Z46" s="458"/>
      <c r="AA46" s="458"/>
      <c r="AB46" s="458"/>
      <c r="AC46" s="458"/>
      <c r="AD46" s="458"/>
    </row>
    <row r="47" spans="8:30" ht="12.75" customHeight="1">
      <c r="H47" s="2204">
        <v>2016</v>
      </c>
      <c r="I47" s="2204" t="s">
        <v>842</v>
      </c>
      <c r="J47" s="2204" t="s">
        <v>33</v>
      </c>
      <c r="K47" s="2204" t="s">
        <v>2240</v>
      </c>
      <c r="L47" s="2204">
        <v>0</v>
      </c>
      <c r="M47" s="2204">
        <v>0</v>
      </c>
      <c r="N47" s="462"/>
      <c r="O47" s="462"/>
      <c r="P47" s="462"/>
      <c r="R47" s="458"/>
      <c r="S47" s="458"/>
      <c r="T47" s="458"/>
      <c r="U47" s="458"/>
      <c r="V47" s="458"/>
      <c r="W47" s="458"/>
      <c r="X47" s="458"/>
      <c r="Y47" s="458"/>
      <c r="Z47" s="458"/>
      <c r="AA47" s="458"/>
      <c r="AB47" s="458"/>
      <c r="AC47" s="458"/>
      <c r="AD47" s="458"/>
    </row>
    <row r="48" spans="8:30" ht="12.75" customHeight="1">
      <c r="H48" s="2204">
        <v>2016</v>
      </c>
      <c r="I48" s="2204" t="s">
        <v>842</v>
      </c>
      <c r="J48" s="2204" t="s">
        <v>841</v>
      </c>
      <c r="K48" s="2204" t="s">
        <v>2237</v>
      </c>
      <c r="L48" s="2204">
        <v>0</v>
      </c>
      <c r="M48" s="2204">
        <v>0</v>
      </c>
      <c r="N48" s="462"/>
      <c r="O48" s="462"/>
      <c r="P48" s="462"/>
      <c r="R48" s="458"/>
      <c r="S48" s="458"/>
      <c r="T48" s="458"/>
      <c r="U48" s="458"/>
      <c r="V48" s="458"/>
      <c r="W48" s="458"/>
      <c r="X48" s="458"/>
      <c r="Y48" s="458"/>
      <c r="Z48" s="458"/>
      <c r="AA48" s="458"/>
      <c r="AB48" s="458"/>
      <c r="AC48" s="458"/>
      <c r="AD48" s="458"/>
    </row>
    <row r="49" spans="8:30" ht="12.75" customHeight="1">
      <c r="H49" s="2204">
        <v>2016</v>
      </c>
      <c r="I49" s="2204" t="s">
        <v>842</v>
      </c>
      <c r="J49" s="2204" t="s">
        <v>841</v>
      </c>
      <c r="K49" s="2204" t="s">
        <v>2238</v>
      </c>
      <c r="L49" s="2204">
        <v>0</v>
      </c>
      <c r="M49" s="2204">
        <v>0</v>
      </c>
      <c r="N49" s="462"/>
      <c r="O49" s="462"/>
      <c r="P49" s="462"/>
      <c r="R49" s="458"/>
      <c r="S49" s="458"/>
      <c r="T49" s="458"/>
      <c r="U49" s="458"/>
      <c r="V49" s="458"/>
      <c r="W49" s="458"/>
      <c r="X49" s="458"/>
      <c r="Y49" s="458"/>
      <c r="Z49" s="458"/>
      <c r="AA49" s="458"/>
      <c r="AB49" s="458"/>
      <c r="AC49" s="458"/>
      <c r="AD49" s="458"/>
    </row>
    <row r="50" spans="8:30" ht="12.75" customHeight="1">
      <c r="H50" s="2204">
        <v>2016</v>
      </c>
      <c r="I50" s="2204" t="s">
        <v>842</v>
      </c>
      <c r="J50" s="2204" t="s">
        <v>841</v>
      </c>
      <c r="K50" s="2204" t="s">
        <v>2239</v>
      </c>
      <c r="L50" s="2204">
        <v>0</v>
      </c>
      <c r="M50" s="2204">
        <v>0</v>
      </c>
      <c r="N50" s="462"/>
      <c r="O50" s="462"/>
      <c r="P50" s="462"/>
      <c r="R50" s="458"/>
      <c r="S50" s="458"/>
      <c r="T50" s="458"/>
      <c r="U50" s="458"/>
      <c r="V50" s="458"/>
      <c r="W50" s="458"/>
      <c r="X50" s="458"/>
      <c r="Y50" s="458"/>
      <c r="Z50" s="458"/>
      <c r="AA50" s="458"/>
      <c r="AB50" s="458"/>
      <c r="AC50" s="458"/>
      <c r="AD50" s="458"/>
    </row>
    <row r="51" spans="8:30" ht="12.75" customHeight="1">
      <c r="H51" s="2204">
        <v>2016</v>
      </c>
      <c r="I51" s="2204" t="s">
        <v>842</v>
      </c>
      <c r="J51" s="2204" t="s">
        <v>841</v>
      </c>
      <c r="K51" s="2204" t="s">
        <v>2240</v>
      </c>
      <c r="L51" s="2204">
        <v>0</v>
      </c>
      <c r="M51" s="2204">
        <v>0</v>
      </c>
      <c r="N51" s="462"/>
      <c r="O51" s="462"/>
      <c r="P51" s="462"/>
      <c r="R51" s="458"/>
      <c r="S51" s="458"/>
      <c r="T51" s="458"/>
      <c r="U51" s="458"/>
      <c r="V51" s="458"/>
      <c r="W51" s="458"/>
      <c r="X51" s="458"/>
      <c r="Y51" s="458"/>
      <c r="Z51" s="458"/>
      <c r="AA51" s="458"/>
      <c r="AB51" s="458"/>
      <c r="AC51" s="458"/>
      <c r="AD51" s="458"/>
    </row>
    <row r="52" spans="8:30" ht="12.75" customHeight="1">
      <c r="H52" s="2204">
        <v>2017</v>
      </c>
      <c r="I52" s="2204" t="s">
        <v>840</v>
      </c>
      <c r="J52" s="2204" t="s">
        <v>33</v>
      </c>
      <c r="K52" s="2204" t="s">
        <v>2237</v>
      </c>
      <c r="L52" s="2205">
        <v>54</v>
      </c>
      <c r="M52" s="2205">
        <v>423531</v>
      </c>
      <c r="N52" s="462"/>
      <c r="O52" s="462"/>
      <c r="P52" s="462"/>
      <c r="R52" s="458"/>
      <c r="S52" s="458"/>
      <c r="T52" s="458"/>
      <c r="U52" s="458"/>
      <c r="V52" s="458"/>
      <c r="W52" s="458"/>
      <c r="X52" s="458"/>
      <c r="Y52" s="458"/>
      <c r="Z52" s="458"/>
      <c r="AA52" s="458"/>
      <c r="AB52" s="458"/>
      <c r="AC52" s="458"/>
      <c r="AD52" s="458"/>
    </row>
    <row r="53" spans="8:30" ht="12.75" customHeight="1">
      <c r="H53" s="2204">
        <v>2017</v>
      </c>
      <c r="I53" s="2204" t="s">
        <v>840</v>
      </c>
      <c r="J53" s="2204" t="s">
        <v>33</v>
      </c>
      <c r="K53" s="2204" t="s">
        <v>2238</v>
      </c>
      <c r="L53" s="2205">
        <v>4</v>
      </c>
      <c r="M53" s="2205">
        <v>32846</v>
      </c>
      <c r="N53" s="462"/>
      <c r="O53" s="462"/>
      <c r="P53" s="462"/>
      <c r="R53" s="458"/>
      <c r="S53" s="458"/>
      <c r="T53" s="458"/>
      <c r="U53" s="458"/>
      <c r="V53" s="458"/>
      <c r="W53" s="458"/>
      <c r="X53" s="458"/>
      <c r="Y53" s="458"/>
      <c r="Z53" s="458"/>
      <c r="AA53" s="458"/>
      <c r="AB53" s="458"/>
      <c r="AC53" s="458"/>
      <c r="AD53" s="458"/>
    </row>
    <row r="54" spans="8:30" ht="12.75" customHeight="1">
      <c r="H54" s="2204">
        <v>2017</v>
      </c>
      <c r="I54" s="2204" t="s">
        <v>840</v>
      </c>
      <c r="J54" s="2204" t="s">
        <v>33</v>
      </c>
      <c r="K54" s="2204" t="s">
        <v>2239</v>
      </c>
      <c r="L54" s="2205">
        <v>98</v>
      </c>
      <c r="M54" s="2205">
        <v>342810</v>
      </c>
      <c r="P54" s="462"/>
      <c r="R54" s="458"/>
      <c r="S54" s="458"/>
      <c r="T54" s="458"/>
      <c r="U54" s="458"/>
      <c r="V54" s="458"/>
      <c r="W54" s="458"/>
      <c r="X54" s="458"/>
      <c r="Y54" s="458"/>
      <c r="Z54" s="458"/>
      <c r="AA54" s="458"/>
      <c r="AB54" s="458"/>
      <c r="AC54" s="458"/>
      <c r="AD54" s="458"/>
    </row>
    <row r="55" spans="8:30" ht="12.75" customHeight="1">
      <c r="H55" s="2204">
        <v>2017</v>
      </c>
      <c r="I55" s="2204" t="s">
        <v>840</v>
      </c>
      <c r="J55" s="2204" t="s">
        <v>33</v>
      </c>
      <c r="K55" s="2204" t="s">
        <v>2240</v>
      </c>
      <c r="L55" s="2205">
        <v>74</v>
      </c>
      <c r="M55" s="2205">
        <v>608870</v>
      </c>
      <c r="P55" s="462"/>
      <c r="R55" s="458"/>
      <c r="S55" s="458"/>
      <c r="T55" s="458"/>
      <c r="U55" s="458"/>
      <c r="V55" s="458"/>
      <c r="W55" s="458"/>
      <c r="X55" s="458"/>
      <c r="Y55" s="458"/>
      <c r="Z55" s="458"/>
      <c r="AA55" s="458"/>
      <c r="AB55" s="458"/>
      <c r="AC55" s="458"/>
      <c r="AD55" s="458"/>
    </row>
    <row r="56" spans="8:30" ht="12.75" customHeight="1">
      <c r="H56" s="2204">
        <v>2017</v>
      </c>
      <c r="I56" s="2204" t="s">
        <v>840</v>
      </c>
      <c r="J56" s="2204" t="s">
        <v>841</v>
      </c>
      <c r="K56" s="2204" t="s">
        <v>2237</v>
      </c>
      <c r="L56" s="2205">
        <v>54</v>
      </c>
      <c r="M56" s="2205">
        <v>152405</v>
      </c>
      <c r="P56" s="462"/>
      <c r="R56" s="458"/>
      <c r="S56" s="458"/>
      <c r="T56" s="458"/>
      <c r="U56" s="458"/>
      <c r="V56" s="458"/>
      <c r="W56" s="458"/>
      <c r="X56" s="458"/>
      <c r="Y56" s="458"/>
      <c r="Z56" s="458"/>
      <c r="AA56" s="458"/>
      <c r="AB56" s="458"/>
      <c r="AC56" s="458"/>
      <c r="AD56" s="458"/>
    </row>
    <row r="57" spans="8:30" ht="12.75" customHeight="1">
      <c r="H57" s="2204">
        <v>2017</v>
      </c>
      <c r="I57" s="2204" t="s">
        <v>840</v>
      </c>
      <c r="J57" s="2204" t="s">
        <v>841</v>
      </c>
      <c r="K57" s="2204" t="s">
        <v>2238</v>
      </c>
      <c r="L57" s="2205">
        <v>1</v>
      </c>
      <c r="M57" s="2205">
        <v>6671</v>
      </c>
      <c r="P57" s="462"/>
      <c r="R57" s="458"/>
      <c r="S57" s="458"/>
      <c r="T57" s="458"/>
      <c r="U57" s="458"/>
      <c r="V57" s="458"/>
      <c r="W57" s="458"/>
      <c r="X57" s="458"/>
      <c r="Y57" s="458"/>
      <c r="Z57" s="458"/>
      <c r="AA57" s="458"/>
      <c r="AB57" s="458"/>
      <c r="AC57" s="458"/>
      <c r="AD57" s="458"/>
    </row>
    <row r="58" spans="8:30" ht="12.75" customHeight="1">
      <c r="H58" s="2204">
        <v>2017</v>
      </c>
      <c r="I58" s="2204" t="s">
        <v>840</v>
      </c>
      <c r="J58" s="2204" t="s">
        <v>841</v>
      </c>
      <c r="K58" s="2204" t="s">
        <v>2239</v>
      </c>
      <c r="L58" s="2205">
        <v>43</v>
      </c>
      <c r="M58" s="2205">
        <v>128921</v>
      </c>
      <c r="P58" s="462"/>
      <c r="R58" s="458"/>
      <c r="S58" s="458"/>
      <c r="T58" s="458"/>
      <c r="U58" s="458"/>
      <c r="V58" s="458"/>
      <c r="W58" s="458"/>
      <c r="X58" s="458"/>
      <c r="Y58" s="458"/>
      <c r="Z58" s="458"/>
      <c r="AA58" s="458"/>
      <c r="AB58" s="458"/>
      <c r="AC58" s="458"/>
      <c r="AD58" s="458"/>
    </row>
    <row r="59" spans="8:30" ht="12.75" customHeight="1">
      <c r="H59" s="2204">
        <v>2017</v>
      </c>
      <c r="I59" s="2204" t="s">
        <v>840</v>
      </c>
      <c r="J59" s="2204" t="s">
        <v>841</v>
      </c>
      <c r="K59" s="2204" t="s">
        <v>2240</v>
      </c>
      <c r="L59" s="2205">
        <v>43</v>
      </c>
      <c r="M59" s="2205">
        <v>157165</v>
      </c>
      <c r="P59" s="462"/>
      <c r="R59" s="458"/>
      <c r="S59" s="458"/>
      <c r="T59" s="458"/>
      <c r="U59" s="458"/>
      <c r="V59" s="458"/>
      <c r="W59" s="458"/>
      <c r="X59" s="458"/>
      <c r="Y59" s="458"/>
      <c r="Z59" s="458"/>
      <c r="AA59" s="458"/>
      <c r="AB59" s="458"/>
      <c r="AC59" s="458"/>
      <c r="AD59" s="458"/>
    </row>
    <row r="60" spans="8:30" ht="12.75" customHeight="1">
      <c r="H60" s="2204">
        <v>2017</v>
      </c>
      <c r="I60" s="2204" t="s">
        <v>842</v>
      </c>
      <c r="J60" s="2204" t="s">
        <v>33</v>
      </c>
      <c r="K60" s="2204" t="s">
        <v>2237</v>
      </c>
      <c r="L60" s="2204">
        <v>0</v>
      </c>
      <c r="M60" s="2204">
        <v>0</v>
      </c>
      <c r="R60" s="458"/>
      <c r="S60" s="458"/>
      <c r="T60" s="458"/>
      <c r="U60" s="458"/>
      <c r="V60" s="458"/>
      <c r="W60" s="458"/>
      <c r="X60" s="458"/>
      <c r="Y60" s="458"/>
      <c r="Z60" s="458"/>
      <c r="AA60" s="458"/>
      <c r="AB60" s="458"/>
      <c r="AC60" s="458"/>
      <c r="AD60" s="458"/>
    </row>
    <row r="61" spans="8:30" ht="12.75" customHeight="1">
      <c r="H61" s="2204">
        <v>2017</v>
      </c>
      <c r="I61" s="2204" t="s">
        <v>842</v>
      </c>
      <c r="J61" s="2204" t="s">
        <v>33</v>
      </c>
      <c r="K61" s="2204" t="s">
        <v>2238</v>
      </c>
      <c r="L61" s="2204">
        <v>0</v>
      </c>
      <c r="M61" s="2204">
        <v>0</v>
      </c>
      <c r="R61" s="458"/>
      <c r="S61" s="458"/>
      <c r="T61" s="458"/>
      <c r="U61" s="458"/>
      <c r="V61" s="458"/>
      <c r="W61" s="458"/>
      <c r="X61" s="458"/>
      <c r="Y61" s="458"/>
      <c r="Z61" s="458"/>
      <c r="AA61" s="458"/>
      <c r="AB61" s="458"/>
      <c r="AC61" s="458"/>
      <c r="AD61" s="458"/>
    </row>
    <row r="62" spans="8:30" ht="12.75" customHeight="1">
      <c r="H62" s="2204">
        <v>2017</v>
      </c>
      <c r="I62" s="2204" t="s">
        <v>842</v>
      </c>
      <c r="J62" s="2204" t="s">
        <v>33</v>
      </c>
      <c r="K62" s="2204" t="s">
        <v>2239</v>
      </c>
      <c r="L62" s="2204">
        <v>0</v>
      </c>
      <c r="M62" s="2204">
        <v>0</v>
      </c>
      <c r="R62" s="458"/>
      <c r="S62" s="458"/>
      <c r="T62" s="458"/>
      <c r="U62" s="458"/>
      <c r="V62" s="458"/>
      <c r="W62" s="458"/>
      <c r="X62" s="458"/>
      <c r="Y62" s="458"/>
      <c r="Z62" s="458"/>
      <c r="AA62" s="458"/>
      <c r="AB62" s="458"/>
      <c r="AC62" s="458"/>
      <c r="AD62" s="458"/>
    </row>
    <row r="63" spans="8:30" ht="12.75" customHeight="1">
      <c r="H63" s="2204">
        <v>2017</v>
      </c>
      <c r="I63" s="2204" t="s">
        <v>842</v>
      </c>
      <c r="J63" s="2204" t="s">
        <v>33</v>
      </c>
      <c r="K63" s="2204" t="s">
        <v>2240</v>
      </c>
      <c r="L63" s="2204">
        <v>0</v>
      </c>
      <c r="M63" s="2204">
        <v>0</v>
      </c>
      <c r="R63" s="458"/>
      <c r="S63" s="458"/>
      <c r="T63" s="458"/>
      <c r="U63" s="458"/>
      <c r="V63" s="458"/>
      <c r="W63" s="458"/>
      <c r="X63" s="458"/>
      <c r="Y63" s="458"/>
      <c r="Z63" s="458"/>
      <c r="AA63" s="458"/>
      <c r="AB63" s="458"/>
      <c r="AC63" s="458"/>
      <c r="AD63" s="458"/>
    </row>
    <row r="64" spans="8:30" ht="12.75" customHeight="1">
      <c r="H64" s="2204">
        <v>2017</v>
      </c>
      <c r="I64" s="2204" t="s">
        <v>842</v>
      </c>
      <c r="J64" s="2204" t="s">
        <v>841</v>
      </c>
      <c r="K64" s="2204" t="s">
        <v>2237</v>
      </c>
      <c r="L64" s="2204">
        <v>0</v>
      </c>
      <c r="M64" s="2204">
        <v>0</v>
      </c>
      <c r="R64" s="458"/>
      <c r="S64" s="458"/>
      <c r="T64" s="458"/>
      <c r="U64" s="458"/>
      <c r="V64" s="458"/>
      <c r="W64" s="458"/>
      <c r="X64" s="458"/>
      <c r="Y64" s="458"/>
      <c r="Z64" s="458"/>
      <c r="AA64" s="458"/>
      <c r="AB64" s="458"/>
      <c r="AC64" s="458"/>
      <c r="AD64" s="458"/>
    </row>
    <row r="65" spans="8:30" ht="12.75" customHeight="1">
      <c r="H65" s="2204">
        <v>2017</v>
      </c>
      <c r="I65" s="2204" t="s">
        <v>842</v>
      </c>
      <c r="J65" s="2204" t="s">
        <v>841</v>
      </c>
      <c r="K65" s="2204" t="s">
        <v>2238</v>
      </c>
      <c r="L65" s="2204">
        <v>0</v>
      </c>
      <c r="M65" s="2204">
        <v>0</v>
      </c>
      <c r="R65" s="458"/>
      <c r="S65" s="458"/>
      <c r="T65" s="458"/>
      <c r="U65" s="458"/>
      <c r="V65" s="458"/>
      <c r="W65" s="458"/>
      <c r="X65" s="458"/>
      <c r="Y65" s="458"/>
      <c r="Z65" s="458"/>
      <c r="AA65" s="458"/>
      <c r="AB65" s="458"/>
      <c r="AC65" s="458"/>
      <c r="AD65" s="458"/>
    </row>
    <row r="66" spans="8:30" ht="12.75" customHeight="1">
      <c r="H66" s="2204">
        <v>2017</v>
      </c>
      <c r="I66" s="2204" t="s">
        <v>842</v>
      </c>
      <c r="J66" s="2204" t="s">
        <v>841</v>
      </c>
      <c r="K66" s="2204" t="s">
        <v>2239</v>
      </c>
      <c r="L66" s="2204">
        <v>0</v>
      </c>
      <c r="M66" s="2204">
        <v>0</v>
      </c>
      <c r="R66" s="458"/>
      <c r="S66" s="458"/>
      <c r="T66" s="458"/>
      <c r="U66" s="458"/>
      <c r="V66" s="458"/>
      <c r="W66" s="458"/>
      <c r="X66" s="458"/>
      <c r="Y66" s="458"/>
      <c r="Z66" s="458"/>
      <c r="AA66" s="458"/>
      <c r="AB66" s="458"/>
      <c r="AC66" s="458"/>
      <c r="AD66" s="458"/>
    </row>
    <row r="67" spans="8:30" ht="12.75" customHeight="1">
      <c r="H67" s="2204">
        <v>2017</v>
      </c>
      <c r="I67" s="2204" t="s">
        <v>842</v>
      </c>
      <c r="J67" s="2204" t="s">
        <v>841</v>
      </c>
      <c r="K67" s="2204" t="s">
        <v>2240</v>
      </c>
      <c r="L67" s="2204">
        <v>0</v>
      </c>
      <c r="M67" s="2204">
        <v>0</v>
      </c>
      <c r="R67" s="458"/>
      <c r="S67" s="458"/>
      <c r="T67" s="458"/>
      <c r="U67" s="458"/>
      <c r="V67" s="458"/>
      <c r="W67" s="458"/>
      <c r="X67" s="458"/>
      <c r="Y67" s="458"/>
      <c r="Z67" s="458"/>
      <c r="AA67" s="458"/>
      <c r="AB67" s="458"/>
      <c r="AC67" s="458"/>
      <c r="AD67" s="458"/>
    </row>
    <row r="68" spans="8:30" ht="12.75" customHeight="1">
      <c r="H68" s="2204">
        <v>2018</v>
      </c>
      <c r="I68" s="2204" t="s">
        <v>840</v>
      </c>
      <c r="J68" s="2204" t="s">
        <v>33</v>
      </c>
      <c r="K68" s="2204" t="s">
        <v>2237</v>
      </c>
      <c r="L68" s="2205">
        <v>53.714285714285708</v>
      </c>
      <c r="M68" s="2205">
        <v>315329.58425104682</v>
      </c>
      <c r="R68" s="458"/>
      <c r="S68" s="458"/>
      <c r="T68" s="458"/>
      <c r="U68" s="458"/>
      <c r="V68" s="458"/>
      <c r="W68" s="458"/>
      <c r="X68" s="458"/>
      <c r="Y68" s="458"/>
      <c r="Z68" s="458"/>
      <c r="AA68" s="458"/>
      <c r="AB68" s="458"/>
      <c r="AC68" s="458"/>
      <c r="AD68" s="458"/>
    </row>
    <row r="69" spans="8:30" ht="12.75" customHeight="1">
      <c r="H69" s="2204">
        <v>2018</v>
      </c>
      <c r="I69" s="2204" t="s">
        <v>840</v>
      </c>
      <c r="J69" s="2204" t="s">
        <v>33</v>
      </c>
      <c r="K69" s="2204" t="s">
        <v>2238</v>
      </c>
      <c r="L69" s="2205">
        <v>0</v>
      </c>
      <c r="M69" s="2205">
        <v>0</v>
      </c>
      <c r="R69" s="458"/>
      <c r="S69" s="458"/>
      <c r="T69" s="458"/>
      <c r="U69" s="458"/>
      <c r="V69" s="458"/>
      <c r="W69" s="458"/>
      <c r="X69" s="458"/>
      <c r="Y69" s="458"/>
      <c r="Z69" s="458"/>
      <c r="AA69" s="458"/>
      <c r="AB69" s="458"/>
      <c r="AC69" s="458"/>
      <c r="AD69" s="458"/>
    </row>
    <row r="70" spans="8:30" ht="12.75" customHeight="1">
      <c r="H70" s="2204">
        <v>2018</v>
      </c>
      <c r="I70" s="2204" t="s">
        <v>840</v>
      </c>
      <c r="J70" s="2204" t="s">
        <v>33</v>
      </c>
      <c r="K70" s="2204" t="s">
        <v>2239</v>
      </c>
      <c r="L70" s="2205">
        <v>80</v>
      </c>
      <c r="M70" s="2205">
        <v>310718.90936028579</v>
      </c>
      <c r="R70" s="458"/>
      <c r="S70" s="458"/>
      <c r="T70" s="458"/>
      <c r="U70" s="458"/>
      <c r="V70" s="458"/>
      <c r="W70" s="458"/>
      <c r="X70" s="458"/>
      <c r="Y70" s="458"/>
      <c r="Z70" s="458"/>
      <c r="AA70" s="458"/>
      <c r="AB70" s="458"/>
      <c r="AC70" s="458"/>
      <c r="AD70" s="458"/>
    </row>
    <row r="71" spans="8:30" ht="12.75" customHeight="1">
      <c r="H71" s="2204">
        <v>2018</v>
      </c>
      <c r="I71" s="2204" t="s">
        <v>840</v>
      </c>
      <c r="J71" s="2204" t="s">
        <v>33</v>
      </c>
      <c r="K71" s="2204" t="s">
        <v>2240</v>
      </c>
      <c r="L71" s="2205">
        <v>60</v>
      </c>
      <c r="M71" s="2205">
        <v>483174.82159315184</v>
      </c>
      <c r="R71" s="458"/>
      <c r="S71" s="458"/>
      <c r="T71" s="458"/>
      <c r="U71" s="458"/>
      <c r="V71" s="458"/>
      <c r="W71" s="458"/>
      <c r="X71" s="458"/>
      <c r="Y71" s="458"/>
      <c r="Z71" s="458"/>
      <c r="AA71" s="458"/>
      <c r="AB71" s="458"/>
      <c r="AC71" s="458"/>
      <c r="AD71" s="458"/>
    </row>
    <row r="72" spans="8:30" ht="12.75" customHeight="1">
      <c r="H72" s="2204">
        <v>2018</v>
      </c>
      <c r="I72" s="2204" t="s">
        <v>840</v>
      </c>
      <c r="J72" s="2204" t="s">
        <v>841</v>
      </c>
      <c r="K72" s="2204" t="s">
        <v>2237</v>
      </c>
      <c r="L72" s="2205">
        <v>123.42857142857142</v>
      </c>
      <c r="M72" s="2205">
        <v>252426.4888726795</v>
      </c>
      <c r="R72" s="458"/>
      <c r="S72" s="458"/>
      <c r="T72" s="458"/>
      <c r="U72" s="458"/>
      <c r="V72" s="458"/>
      <c r="W72" s="458"/>
      <c r="X72" s="458"/>
      <c r="Y72" s="458"/>
      <c r="Z72" s="458"/>
      <c r="AA72" s="458"/>
      <c r="AB72" s="458"/>
      <c r="AC72" s="458"/>
      <c r="AD72" s="458"/>
    </row>
    <row r="73" spans="8:30" ht="12.75" customHeight="1">
      <c r="H73" s="2204">
        <v>2018</v>
      </c>
      <c r="I73" s="2204" t="s">
        <v>840</v>
      </c>
      <c r="J73" s="2204" t="s">
        <v>841</v>
      </c>
      <c r="K73" s="2204" t="s">
        <v>2238</v>
      </c>
      <c r="L73" s="2205">
        <v>0</v>
      </c>
      <c r="M73" s="2205">
        <v>0</v>
      </c>
      <c r="R73" s="458"/>
      <c r="S73" s="458"/>
      <c r="T73" s="458"/>
      <c r="U73" s="458"/>
      <c r="V73" s="458"/>
      <c r="W73" s="458"/>
      <c r="X73" s="458"/>
      <c r="Y73" s="458"/>
      <c r="Z73" s="458"/>
      <c r="AA73" s="458"/>
      <c r="AB73" s="458"/>
      <c r="AC73" s="458"/>
      <c r="AD73" s="458"/>
    </row>
    <row r="74" spans="8:30" ht="12.75" customHeight="1">
      <c r="H74" s="2204">
        <v>2018</v>
      </c>
      <c r="I74" s="2204" t="s">
        <v>840</v>
      </c>
      <c r="J74" s="2204" t="s">
        <v>841</v>
      </c>
      <c r="K74" s="2204" t="s">
        <v>2239</v>
      </c>
      <c r="L74" s="2205">
        <v>4.2857142857142856</v>
      </c>
      <c r="M74" s="2205">
        <v>6219.2181550082751</v>
      </c>
      <c r="R74" s="458"/>
      <c r="S74" s="458"/>
      <c r="T74" s="458"/>
      <c r="U74" s="458"/>
      <c r="V74" s="458"/>
      <c r="W74" s="458"/>
      <c r="X74" s="458"/>
      <c r="Y74" s="458"/>
      <c r="Z74" s="458"/>
      <c r="AA74" s="458"/>
      <c r="AB74" s="458"/>
      <c r="AC74" s="458"/>
      <c r="AD74" s="458"/>
    </row>
    <row r="75" spans="8:30" ht="12.75" customHeight="1">
      <c r="H75" s="2204">
        <v>2018</v>
      </c>
      <c r="I75" s="2204" t="s">
        <v>840</v>
      </c>
      <c r="J75" s="2204" t="s">
        <v>841</v>
      </c>
      <c r="K75" s="2204" t="s">
        <v>2240</v>
      </c>
      <c r="L75" s="2205">
        <v>30</v>
      </c>
      <c r="M75" s="2205">
        <v>182032.48701612541</v>
      </c>
      <c r="R75" s="458"/>
      <c r="S75" s="458"/>
      <c r="T75" s="458"/>
      <c r="U75" s="458"/>
      <c r="V75" s="458"/>
      <c r="W75" s="458"/>
      <c r="X75" s="458"/>
      <c r="Y75" s="458"/>
      <c r="Z75" s="458"/>
      <c r="AA75" s="458"/>
      <c r="AB75" s="458"/>
      <c r="AC75" s="458"/>
      <c r="AD75" s="458"/>
    </row>
    <row r="76" spans="8:30" ht="12.75" customHeight="1">
      <c r="H76" s="2204">
        <v>2018</v>
      </c>
      <c r="I76" s="2204" t="s">
        <v>842</v>
      </c>
      <c r="J76" s="2204" t="s">
        <v>33</v>
      </c>
      <c r="K76" s="2204" t="s">
        <v>2237</v>
      </c>
      <c r="L76" s="2205">
        <v>0</v>
      </c>
      <c r="M76" s="2205">
        <v>0</v>
      </c>
      <c r="R76" s="458"/>
      <c r="S76" s="458"/>
      <c r="T76" s="458"/>
      <c r="U76" s="458"/>
      <c r="V76" s="458"/>
      <c r="W76" s="458"/>
      <c r="X76" s="458"/>
      <c r="Y76" s="458"/>
      <c r="Z76" s="458"/>
      <c r="AA76" s="458"/>
      <c r="AB76" s="458"/>
      <c r="AC76" s="458"/>
      <c r="AD76" s="458"/>
    </row>
    <row r="77" spans="8:30" ht="12.75" customHeight="1">
      <c r="H77" s="2204">
        <v>2018</v>
      </c>
      <c r="I77" s="2204" t="s">
        <v>842</v>
      </c>
      <c r="J77" s="2204" t="s">
        <v>33</v>
      </c>
      <c r="K77" s="2204" t="s">
        <v>2238</v>
      </c>
      <c r="L77" s="2205">
        <v>1</v>
      </c>
      <c r="M77" s="2205">
        <v>6919.086818989289</v>
      </c>
      <c r="R77" s="458"/>
      <c r="S77" s="458"/>
      <c r="T77" s="458"/>
      <c r="U77" s="458"/>
      <c r="V77" s="458"/>
      <c r="W77" s="458"/>
      <c r="X77" s="458"/>
      <c r="Y77" s="458"/>
      <c r="Z77" s="458"/>
      <c r="AA77" s="458"/>
      <c r="AB77" s="458"/>
      <c r="AC77" s="458"/>
      <c r="AD77" s="458"/>
    </row>
    <row r="78" spans="8:30" ht="12.75" customHeight="1">
      <c r="H78" s="2204">
        <v>2018</v>
      </c>
      <c r="I78" s="2204" t="s">
        <v>842</v>
      </c>
      <c r="J78" s="2204" t="s">
        <v>33</v>
      </c>
      <c r="K78" s="2204" t="s">
        <v>2239</v>
      </c>
      <c r="L78" s="2205">
        <v>0</v>
      </c>
      <c r="M78" s="2205">
        <v>0</v>
      </c>
      <c r="R78" s="458"/>
      <c r="S78" s="458"/>
      <c r="T78" s="458"/>
      <c r="U78" s="458"/>
      <c r="V78" s="458"/>
      <c r="W78" s="458"/>
      <c r="X78" s="458"/>
      <c r="Y78" s="458"/>
      <c r="Z78" s="458"/>
      <c r="AA78" s="458"/>
      <c r="AB78" s="458"/>
      <c r="AC78" s="458"/>
      <c r="AD78" s="458"/>
    </row>
    <row r="79" spans="8:30" ht="12.75" customHeight="1">
      <c r="H79" s="2204">
        <v>2018</v>
      </c>
      <c r="I79" s="2204" t="s">
        <v>842</v>
      </c>
      <c r="J79" s="2204" t="s">
        <v>33</v>
      </c>
      <c r="K79" s="2204" t="s">
        <v>2240</v>
      </c>
      <c r="L79" s="2205">
        <v>0</v>
      </c>
      <c r="M79" s="2205">
        <v>0</v>
      </c>
      <c r="R79" s="458"/>
      <c r="S79" s="458"/>
      <c r="T79" s="458"/>
      <c r="U79" s="458"/>
      <c r="V79" s="458"/>
      <c r="W79" s="458"/>
      <c r="X79" s="458"/>
      <c r="Y79" s="458"/>
      <c r="Z79" s="458"/>
      <c r="AA79" s="458"/>
      <c r="AB79" s="458"/>
      <c r="AC79" s="458"/>
      <c r="AD79" s="458"/>
    </row>
    <row r="80" spans="8:30" ht="12.75" customHeight="1">
      <c r="H80" s="2204">
        <v>2018</v>
      </c>
      <c r="I80" s="2204" t="s">
        <v>842</v>
      </c>
      <c r="J80" s="2204" t="s">
        <v>841</v>
      </c>
      <c r="K80" s="2204" t="s">
        <v>2237</v>
      </c>
      <c r="L80" s="2205">
        <v>0</v>
      </c>
      <c r="M80" s="2205">
        <v>0</v>
      </c>
      <c r="R80" s="458"/>
      <c r="S80" s="458"/>
      <c r="T80" s="458"/>
      <c r="U80" s="458"/>
      <c r="V80" s="458"/>
      <c r="W80" s="458"/>
      <c r="X80" s="458"/>
      <c r="Y80" s="458"/>
      <c r="Z80" s="458"/>
      <c r="AA80" s="458"/>
      <c r="AB80" s="458"/>
      <c r="AC80" s="458"/>
      <c r="AD80" s="458"/>
    </row>
    <row r="81" spans="8:30" ht="12.75" customHeight="1">
      <c r="H81" s="2204">
        <v>2018</v>
      </c>
      <c r="I81" s="2204" t="s">
        <v>842</v>
      </c>
      <c r="J81" s="2204" t="s">
        <v>841</v>
      </c>
      <c r="K81" s="2204" t="s">
        <v>2238</v>
      </c>
      <c r="L81" s="2205">
        <v>0</v>
      </c>
      <c r="M81" s="2205">
        <v>0</v>
      </c>
      <c r="R81" s="458"/>
      <c r="S81" s="458"/>
      <c r="T81" s="458"/>
      <c r="U81" s="458"/>
      <c r="V81" s="458"/>
      <c r="W81" s="458"/>
      <c r="X81" s="458"/>
      <c r="Y81" s="458"/>
      <c r="Z81" s="458"/>
      <c r="AA81" s="458"/>
      <c r="AB81" s="458"/>
      <c r="AC81" s="458"/>
      <c r="AD81" s="458"/>
    </row>
    <row r="82" spans="8:30" ht="12.75" customHeight="1">
      <c r="H82" s="2204">
        <v>2018</v>
      </c>
      <c r="I82" s="2204" t="s">
        <v>842</v>
      </c>
      <c r="J82" s="2204" t="s">
        <v>841</v>
      </c>
      <c r="K82" s="2204" t="s">
        <v>2239</v>
      </c>
      <c r="L82" s="2205">
        <v>0</v>
      </c>
      <c r="M82" s="2205">
        <v>0</v>
      </c>
      <c r="R82" s="458"/>
      <c r="S82" s="458"/>
      <c r="T82" s="458"/>
      <c r="U82" s="458"/>
      <c r="V82" s="458"/>
      <c r="W82" s="458"/>
      <c r="X82" s="458"/>
      <c r="Y82" s="458"/>
      <c r="Z82" s="458"/>
      <c r="AA82" s="458"/>
      <c r="AB82" s="458"/>
      <c r="AC82" s="458"/>
      <c r="AD82" s="458"/>
    </row>
    <row r="83" spans="8:30" ht="12.75" customHeight="1">
      <c r="H83" s="2204">
        <v>2018</v>
      </c>
      <c r="I83" s="2204" t="s">
        <v>842</v>
      </c>
      <c r="J83" s="2204" t="s">
        <v>841</v>
      </c>
      <c r="K83" s="2204" t="s">
        <v>2240</v>
      </c>
      <c r="L83" s="2205">
        <v>0</v>
      </c>
      <c r="M83" s="2205">
        <v>0</v>
      </c>
      <c r="R83" s="458"/>
      <c r="S83" s="458"/>
      <c r="T83" s="458"/>
      <c r="U83" s="458"/>
      <c r="V83" s="458"/>
      <c r="W83" s="458"/>
      <c r="X83" s="458"/>
      <c r="Y83" s="458"/>
      <c r="Z83" s="458"/>
      <c r="AA83" s="458"/>
      <c r="AB83" s="458"/>
      <c r="AC83" s="458"/>
      <c r="AD83" s="458"/>
    </row>
    <row r="84" spans="8:30" ht="12.75" customHeight="1">
      <c r="R84" s="458"/>
      <c r="S84" s="458"/>
      <c r="T84" s="458"/>
      <c r="U84" s="458"/>
      <c r="V84" s="458"/>
      <c r="W84" s="458"/>
      <c r="X84" s="458"/>
      <c r="Y84" s="458"/>
      <c r="Z84" s="458"/>
      <c r="AA84" s="458"/>
      <c r="AB84" s="458"/>
      <c r="AC84" s="458"/>
      <c r="AD84" s="458"/>
    </row>
    <row r="85" spans="8:30" ht="12.75" customHeight="1" thickBot="1">
      <c r="H85" s="1926" t="s">
        <v>2271</v>
      </c>
      <c r="R85" s="458"/>
      <c r="S85" s="458"/>
      <c r="T85" s="458"/>
      <c r="U85" s="458"/>
      <c r="V85" s="458"/>
      <c r="W85" s="458"/>
      <c r="X85" s="458"/>
      <c r="Y85" s="458"/>
      <c r="Z85" s="458"/>
      <c r="AA85" s="458"/>
      <c r="AB85" s="458"/>
      <c r="AC85" s="458"/>
      <c r="AD85" s="458"/>
    </row>
    <row r="86" spans="8:30" ht="12.75" customHeight="1" thickTop="1" thickBot="1">
      <c r="H86" s="462" t="s">
        <v>2220</v>
      </c>
      <c r="K86" s="2208" t="s">
        <v>2015</v>
      </c>
      <c r="L86" s="2153"/>
      <c r="M86" s="2153"/>
      <c r="N86" s="2209" t="s">
        <v>2221</v>
      </c>
      <c r="O86" s="458"/>
      <c r="P86" s="458"/>
      <c r="Q86" s="458"/>
      <c r="R86" s="458"/>
      <c r="S86" s="458"/>
      <c r="T86" s="458"/>
      <c r="U86" s="458"/>
      <c r="V86" s="458"/>
      <c r="W86" s="458"/>
      <c r="X86" s="458"/>
      <c r="Y86" s="458"/>
      <c r="Z86" s="458"/>
      <c r="AA86" s="458"/>
      <c r="AB86" s="458"/>
      <c r="AC86" s="458"/>
      <c r="AD86" s="458"/>
    </row>
    <row r="87" spans="8:30" ht="12.75" customHeight="1" thickTop="1">
      <c r="H87" s="2209" t="s">
        <v>2272</v>
      </c>
      <c r="I87" s="458"/>
      <c r="J87" s="458"/>
      <c r="K87" s="458"/>
      <c r="L87" s="458"/>
      <c r="M87" s="458"/>
      <c r="N87" s="458"/>
      <c r="O87" s="458"/>
      <c r="P87" s="458"/>
      <c r="Q87" s="458"/>
      <c r="R87" s="458"/>
      <c r="S87" s="458"/>
      <c r="T87" s="458"/>
      <c r="U87" s="458"/>
      <c r="V87" s="458"/>
      <c r="W87" s="458"/>
      <c r="X87" s="458"/>
      <c r="Y87" s="458"/>
      <c r="Z87" s="458"/>
      <c r="AA87" s="458"/>
      <c r="AB87" s="458"/>
      <c r="AC87" s="458"/>
      <c r="AD87" s="458"/>
    </row>
    <row r="88" spans="8:30" ht="12.75" customHeight="1" thickBot="1">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row>
    <row r="89" spans="8:30" ht="12.75" customHeight="1">
      <c r="H89" s="2210"/>
      <c r="I89" s="3140" t="s">
        <v>33</v>
      </c>
      <c r="J89" s="3141"/>
      <c r="K89" s="3141"/>
      <c r="L89" s="3141"/>
      <c r="M89" s="3141"/>
      <c r="N89" s="3141"/>
      <c r="O89" s="3142"/>
      <c r="P89" s="3143" t="s">
        <v>841</v>
      </c>
      <c r="Q89" s="3144"/>
      <c r="R89" s="3144"/>
      <c r="S89" s="3144"/>
      <c r="T89" s="3144"/>
      <c r="U89" s="3144"/>
      <c r="V89" s="3145"/>
      <c r="W89" s="458"/>
      <c r="X89" s="458"/>
      <c r="Y89" s="458"/>
      <c r="Z89" s="458"/>
      <c r="AA89" s="458"/>
      <c r="AB89" s="458"/>
      <c r="AC89" s="458"/>
      <c r="AD89" s="458"/>
    </row>
    <row r="90" spans="8:30" ht="55.2">
      <c r="H90" s="2211" t="s">
        <v>2016</v>
      </c>
      <c r="I90" s="2212" t="s">
        <v>2017</v>
      </c>
      <c r="J90" s="2266" t="s">
        <v>2018</v>
      </c>
      <c r="K90" s="2266" t="s">
        <v>2019</v>
      </c>
      <c r="L90" s="2266" t="s">
        <v>2020</v>
      </c>
      <c r="M90" s="2266" t="s">
        <v>2021</v>
      </c>
      <c r="N90" s="2213" t="s">
        <v>2022</v>
      </c>
      <c r="O90" s="2272" t="s">
        <v>2023</v>
      </c>
      <c r="P90" s="2275" t="s">
        <v>2017</v>
      </c>
      <c r="Q90" s="2266" t="s">
        <v>2018</v>
      </c>
      <c r="R90" s="2266" t="s">
        <v>2019</v>
      </c>
      <c r="S90" s="2266" t="s">
        <v>2020</v>
      </c>
      <c r="T90" s="2266" t="s">
        <v>2021</v>
      </c>
      <c r="U90" s="2266" t="s">
        <v>2022</v>
      </c>
      <c r="V90" s="2269" t="s">
        <v>2023</v>
      </c>
      <c r="W90" s="458"/>
      <c r="X90" s="458"/>
      <c r="Y90" s="458"/>
      <c r="Z90" s="458"/>
      <c r="AA90" s="458"/>
      <c r="AB90" s="458"/>
      <c r="AC90" s="458"/>
      <c r="AD90" s="458"/>
    </row>
    <row r="91" spans="8:30" ht="12.75" customHeight="1">
      <c r="H91" s="2215">
        <v>15</v>
      </c>
      <c r="I91" s="2216">
        <f>1-J91</f>
        <v>0.92388573743922209</v>
      </c>
      <c r="J91" s="2264">
        <v>7.6114262560777954E-2</v>
      </c>
      <c r="K91" s="2267">
        <v>55858.722964530825</v>
      </c>
      <c r="L91" s="2267">
        <v>55230.815975006662</v>
      </c>
      <c r="M91" s="2267">
        <f>K91-L91</f>
        <v>627.90698952416278</v>
      </c>
      <c r="N91" s="2217">
        <f t="shared" ref="N91:N124" si="9">SUMPRODUCT(I91:J91,K91:L91)</f>
        <v>55810.93028706644</v>
      </c>
      <c r="O91" s="2273">
        <f t="shared" ref="O91:O124" si="10">N91-L91</f>
        <v>580.11431205977715</v>
      </c>
      <c r="P91" s="2276">
        <f t="shared" ref="P91:P124" si="11">1-Q91</f>
        <v>0.97860788743635796</v>
      </c>
      <c r="Q91" s="2262">
        <v>2.1392112563642093E-2</v>
      </c>
      <c r="R91" s="2267">
        <v>25698.097184697879</v>
      </c>
      <c r="S91" s="2267">
        <v>25409.225295342498</v>
      </c>
      <c r="T91" s="2267">
        <f t="shared" ref="T91:T124" si="12">R91-S91</f>
        <v>288.87188935538143</v>
      </c>
      <c r="U91" s="2267">
        <f t="shared" ref="U91:U124" si="13">SUMPRODUCT(P91:Q91,R91:S91)</f>
        <v>25691.91760472432</v>
      </c>
      <c r="V91" s="2270">
        <f t="shared" ref="V91:V124" si="14">U91-S91</f>
        <v>282.69230938182227</v>
      </c>
      <c r="W91" s="458"/>
      <c r="X91" s="458"/>
      <c r="Y91" s="458"/>
      <c r="Z91" s="458"/>
      <c r="AA91" s="458"/>
      <c r="AB91" s="458"/>
      <c r="AC91" s="458"/>
      <c r="AD91" s="458"/>
    </row>
    <row r="92" spans="8:30" ht="12.75" customHeight="1">
      <c r="H92" s="2215">
        <v>20</v>
      </c>
      <c r="I92" s="2216">
        <f t="shared" ref="I92:I124" si="15">1-J92</f>
        <v>0.85341947088303449</v>
      </c>
      <c r="J92" s="2264">
        <v>0.14658052911696545</v>
      </c>
      <c r="K92" s="2267">
        <v>74612.226084082824</v>
      </c>
      <c r="L92" s="2267">
        <v>73772.020058434675</v>
      </c>
      <c r="M92" s="2267">
        <f t="shared" ref="M92:M124" si="16">K92-L92</f>
        <v>840.20602564814908</v>
      </c>
      <c r="N92" s="2217">
        <f t="shared" si="9"/>
        <v>74489.068240276058</v>
      </c>
      <c r="O92" s="2273">
        <f t="shared" si="10"/>
        <v>717.04818184138276</v>
      </c>
      <c r="P92" s="2276">
        <f t="shared" si="11"/>
        <v>1</v>
      </c>
      <c r="Q92" s="2262">
        <v>0</v>
      </c>
      <c r="R92" s="2267">
        <v>34325.744222489957</v>
      </c>
      <c r="S92" s="2267">
        <v>33939.203052975834</v>
      </c>
      <c r="T92" s="2267">
        <f t="shared" si="12"/>
        <v>386.54116951412288</v>
      </c>
      <c r="U92" s="2267">
        <f t="shared" si="13"/>
        <v>34325.744222489957</v>
      </c>
      <c r="V92" s="2270">
        <f t="shared" si="14"/>
        <v>386.54116951412288</v>
      </c>
      <c r="W92" s="458"/>
      <c r="X92" s="458"/>
      <c r="Y92" s="458"/>
      <c r="Z92" s="458"/>
      <c r="AA92" s="458"/>
      <c r="AB92" s="458"/>
      <c r="AC92" s="458"/>
      <c r="AD92" s="458"/>
    </row>
    <row r="93" spans="8:30" ht="12.75" customHeight="1">
      <c r="H93" s="2215">
        <v>25</v>
      </c>
      <c r="I93" s="2216">
        <f t="shared" si="15"/>
        <v>0.91234609687160706</v>
      </c>
      <c r="J93" s="2264">
        <v>8.7653903128392899E-2</v>
      </c>
      <c r="K93" s="2267">
        <v>95663.320241077701</v>
      </c>
      <c r="L93" s="2267">
        <v>94595.11798947952</v>
      </c>
      <c r="M93" s="2267">
        <f t="shared" si="16"/>
        <v>1068.2022515981807</v>
      </c>
      <c r="N93" s="2217">
        <f t="shared" si="9"/>
        <v>95569.688144394575</v>
      </c>
      <c r="O93" s="2273">
        <f t="shared" si="10"/>
        <v>974.57015491505445</v>
      </c>
      <c r="P93" s="2276">
        <f t="shared" si="11"/>
        <v>0.97664416701511259</v>
      </c>
      <c r="Q93" s="2262">
        <v>2.3355832984887401E-2</v>
      </c>
      <c r="R93" s="2267">
        <v>52111.334973429162</v>
      </c>
      <c r="S93" s="2267">
        <v>51529.445852163852</v>
      </c>
      <c r="T93" s="2267">
        <f t="shared" si="12"/>
        <v>581.88912126531068</v>
      </c>
      <c r="U93" s="2267">
        <f t="shared" si="13"/>
        <v>52097.744468297162</v>
      </c>
      <c r="V93" s="2270">
        <f t="shared" si="14"/>
        <v>568.29861613331013</v>
      </c>
      <c r="W93" s="458"/>
      <c r="X93" s="458"/>
      <c r="Y93" s="458"/>
      <c r="Z93" s="458"/>
      <c r="AA93" s="458"/>
      <c r="AB93" s="458"/>
      <c r="AC93" s="458"/>
      <c r="AD93" s="458"/>
    </row>
    <row r="94" spans="8:30" ht="12.75" customHeight="1">
      <c r="H94" s="2215">
        <v>30</v>
      </c>
      <c r="I94" s="2216">
        <f t="shared" si="15"/>
        <v>0.93757757413073928</v>
      </c>
      <c r="J94" s="2264">
        <v>6.2422425869260695E-2</v>
      </c>
      <c r="K94" s="2267">
        <v>114579.86748066868</v>
      </c>
      <c r="L94" s="2267">
        <v>113429.24216434742</v>
      </c>
      <c r="M94" s="2267">
        <f t="shared" si="16"/>
        <v>1150.6253163212532</v>
      </c>
      <c r="N94" s="2217">
        <f t="shared" si="9"/>
        <v>114508.04265715732</v>
      </c>
      <c r="O94" s="2273">
        <f t="shared" si="10"/>
        <v>1078.8004928098962</v>
      </c>
      <c r="P94" s="2276">
        <f t="shared" si="11"/>
        <v>0.94534076705479908</v>
      </c>
      <c r="Q94" s="2262">
        <v>5.4659232945200975E-2</v>
      </c>
      <c r="R94" s="2267">
        <v>62415.875180258983</v>
      </c>
      <c r="S94" s="2267">
        <v>61789.087178999776</v>
      </c>
      <c r="T94" s="2267">
        <f t="shared" si="12"/>
        <v>626.78800125920679</v>
      </c>
      <c r="U94" s="2267">
        <f t="shared" si="13"/>
        <v>62381.615428890902</v>
      </c>
      <c r="V94" s="2270">
        <f t="shared" si="14"/>
        <v>592.5282498911256</v>
      </c>
      <c r="W94" s="458"/>
      <c r="X94" s="458"/>
      <c r="Y94" s="458"/>
      <c r="Z94" s="458"/>
      <c r="AA94" s="458"/>
      <c r="AB94" s="458"/>
      <c r="AC94" s="458"/>
      <c r="AD94" s="458"/>
    </row>
    <row r="95" spans="8:30" ht="12.75" customHeight="1">
      <c r="H95" s="2215">
        <v>40</v>
      </c>
      <c r="I95" s="2216">
        <f t="shared" si="15"/>
        <v>0.94173570960243191</v>
      </c>
      <c r="J95" s="2264">
        <v>5.8264290397568107E-2</v>
      </c>
      <c r="K95" s="2267">
        <v>151345.46078044863</v>
      </c>
      <c r="L95" s="2267">
        <v>150005.51891158705</v>
      </c>
      <c r="M95" s="2267">
        <f t="shared" si="16"/>
        <v>1339.9418688615842</v>
      </c>
      <c r="N95" s="2217">
        <f t="shared" si="9"/>
        <v>151267.3900182854</v>
      </c>
      <c r="O95" s="2273">
        <f t="shared" si="10"/>
        <v>1261.8711066983524</v>
      </c>
      <c r="P95" s="2276">
        <f t="shared" si="11"/>
        <v>0.97324278738743819</v>
      </c>
      <c r="Q95" s="2262">
        <v>2.6757212612561837E-2</v>
      </c>
      <c r="R95" s="2267">
        <v>82443.448372507541</v>
      </c>
      <c r="S95" s="2267">
        <v>81713.532670259257</v>
      </c>
      <c r="T95" s="2267">
        <f t="shared" si="12"/>
        <v>729.9157022482832</v>
      </c>
      <c r="U95" s="2267">
        <f t="shared" si="13"/>
        <v>82423.917862873233</v>
      </c>
      <c r="V95" s="2270">
        <f t="shared" si="14"/>
        <v>710.38519261397596</v>
      </c>
      <c r="W95" s="458"/>
      <c r="X95" s="458"/>
      <c r="Y95" s="458"/>
      <c r="Z95" s="458"/>
      <c r="AA95" s="458"/>
      <c r="AB95" s="458"/>
      <c r="AC95" s="458"/>
      <c r="AD95" s="458"/>
    </row>
    <row r="96" spans="8:30" ht="12.75" customHeight="1">
      <c r="H96" s="2215">
        <v>50</v>
      </c>
      <c r="I96" s="2216">
        <f t="shared" si="15"/>
        <v>0.94824385731593752</v>
      </c>
      <c r="J96" s="2264">
        <v>5.1756142684062506E-2</v>
      </c>
      <c r="K96" s="2267">
        <v>187548.10910466861</v>
      </c>
      <c r="L96" s="2267">
        <v>186106.05830117545</v>
      </c>
      <c r="M96" s="2267">
        <f t="shared" si="16"/>
        <v>1442.0508034931554</v>
      </c>
      <c r="N96" s="2217">
        <f t="shared" si="9"/>
        <v>187473.47411752536</v>
      </c>
      <c r="O96" s="2273">
        <f t="shared" si="10"/>
        <v>1367.4158163499087</v>
      </c>
      <c r="P96" s="2276">
        <f t="shared" si="11"/>
        <v>0.94881063863868798</v>
      </c>
      <c r="Q96" s="2262">
        <v>5.1189361361312018E-2</v>
      </c>
      <c r="R96" s="2267">
        <v>102164.36469649053</v>
      </c>
      <c r="S96" s="2267">
        <v>101378.82649564033</v>
      </c>
      <c r="T96" s="2267">
        <f t="shared" si="12"/>
        <v>785.53820085020561</v>
      </c>
      <c r="U96" s="2267">
        <f t="shared" si="13"/>
        <v>102124.1534976641</v>
      </c>
      <c r="V96" s="2270">
        <f t="shared" si="14"/>
        <v>745.32700202376873</v>
      </c>
      <c r="W96" s="458"/>
      <c r="X96" s="458"/>
      <c r="Y96" s="458"/>
      <c r="Z96" s="458"/>
      <c r="AA96" s="458"/>
      <c r="AB96" s="458"/>
      <c r="AC96" s="458"/>
      <c r="AD96" s="458"/>
    </row>
    <row r="97" spans="8:30" ht="12.75" customHeight="1">
      <c r="H97" s="2215">
        <v>60</v>
      </c>
      <c r="I97" s="2216">
        <f t="shared" si="15"/>
        <v>0.95418279321599297</v>
      </c>
      <c r="J97" s="2264">
        <v>4.5817206784007053E-2</v>
      </c>
      <c r="K97" s="2267">
        <v>230609.3411940154</v>
      </c>
      <c r="L97" s="2267">
        <v>229092.77641295342</v>
      </c>
      <c r="M97" s="2267">
        <f t="shared" si="16"/>
        <v>1516.5647810619848</v>
      </c>
      <c r="N97" s="2217">
        <f t="shared" si="9"/>
        <v>230539.85643184013</v>
      </c>
      <c r="O97" s="2273">
        <f t="shared" si="10"/>
        <v>1447.0800188867142</v>
      </c>
      <c r="P97" s="2276">
        <f t="shared" si="11"/>
        <v>0.88315309107273443</v>
      </c>
      <c r="Q97" s="2262">
        <v>0.11684690892726557</v>
      </c>
      <c r="R97" s="2267">
        <v>109356.07297689238</v>
      </c>
      <c r="S97" s="2267">
        <v>108636.91056996946</v>
      </c>
      <c r="T97" s="2267">
        <f t="shared" si="12"/>
        <v>719.16240692291467</v>
      </c>
      <c r="U97" s="2267">
        <f t="shared" si="13"/>
        <v>109272.04107262674</v>
      </c>
      <c r="V97" s="2270">
        <f t="shared" si="14"/>
        <v>635.13050265728089</v>
      </c>
      <c r="W97" s="458"/>
      <c r="X97" s="458"/>
      <c r="Y97" s="458"/>
      <c r="Z97" s="458"/>
      <c r="AA97" s="458"/>
      <c r="AB97" s="458"/>
      <c r="AC97" s="458"/>
      <c r="AD97" s="458"/>
    </row>
    <row r="98" spans="8:30" ht="12.75" customHeight="1">
      <c r="H98" s="2215">
        <v>75</v>
      </c>
      <c r="I98" s="2216">
        <f t="shared" si="15"/>
        <v>0.90724023295768186</v>
      </c>
      <c r="J98" s="2264">
        <v>9.275976704231817E-2</v>
      </c>
      <c r="K98" s="2267">
        <v>286363.74148454564</v>
      </c>
      <c r="L98" s="2267">
        <v>284802.95342751394</v>
      </c>
      <c r="M98" s="2267">
        <f t="shared" si="16"/>
        <v>1560.788057031692</v>
      </c>
      <c r="N98" s="2217">
        <f t="shared" si="9"/>
        <v>286218.96314797294</v>
      </c>
      <c r="O98" s="2273">
        <f t="shared" si="10"/>
        <v>1416.0097204589983</v>
      </c>
      <c r="P98" s="2276">
        <f t="shared" si="11"/>
        <v>0.82815605933517944</v>
      </c>
      <c r="Q98" s="2262">
        <v>0.17184394066482059</v>
      </c>
      <c r="R98" s="2267">
        <v>135795.0811947968</v>
      </c>
      <c r="S98" s="2267">
        <v>135054.94789498122</v>
      </c>
      <c r="T98" s="2267">
        <f t="shared" si="12"/>
        <v>740.13329981558491</v>
      </c>
      <c r="U98" s="2267">
        <f t="shared" si="13"/>
        <v>135667.89377193924</v>
      </c>
      <c r="V98" s="2270">
        <f t="shared" si="14"/>
        <v>612.94587695802329</v>
      </c>
      <c r="W98" s="458"/>
      <c r="X98" s="458"/>
      <c r="Y98" s="458"/>
      <c r="Z98" s="458"/>
      <c r="AA98" s="458"/>
      <c r="AB98" s="458"/>
      <c r="AC98" s="458"/>
      <c r="AD98" s="458"/>
    </row>
    <row r="99" spans="8:30" ht="12.75" customHeight="1">
      <c r="H99" s="2215">
        <v>100</v>
      </c>
      <c r="I99" s="2216">
        <f t="shared" si="15"/>
        <v>0.84133062797319647</v>
      </c>
      <c r="J99" s="2264">
        <v>0.15866937202680353</v>
      </c>
      <c r="K99" s="2267">
        <v>379879.98952898505</v>
      </c>
      <c r="L99" s="2267">
        <v>377819.95740869013</v>
      </c>
      <c r="M99" s="2267">
        <f t="shared" si="16"/>
        <v>2060.0321202949272</v>
      </c>
      <c r="N99" s="2217">
        <f t="shared" si="9"/>
        <v>379553.12552610278</v>
      </c>
      <c r="O99" s="2273">
        <f t="shared" si="10"/>
        <v>1733.168117412657</v>
      </c>
      <c r="P99" s="2276">
        <f t="shared" si="11"/>
        <v>0.88871192889417217</v>
      </c>
      <c r="Q99" s="2262">
        <v>0.11128807110582788</v>
      </c>
      <c r="R99" s="2267">
        <v>180140.94156941667</v>
      </c>
      <c r="S99" s="2267">
        <v>179164.06430280072</v>
      </c>
      <c r="T99" s="2267">
        <f t="shared" si="12"/>
        <v>976.87726661594934</v>
      </c>
      <c r="U99" s="2267">
        <f t="shared" si="13"/>
        <v>180032.22678270785</v>
      </c>
      <c r="V99" s="2270">
        <f t="shared" si="14"/>
        <v>868.16247990712873</v>
      </c>
      <c r="W99" s="458"/>
      <c r="X99" s="2219" t="s">
        <v>2263</v>
      </c>
      <c r="Y99" s="2214"/>
      <c r="Z99" s="458"/>
      <c r="AA99" s="458"/>
      <c r="AB99" s="458"/>
      <c r="AC99" s="458"/>
      <c r="AD99" s="458"/>
    </row>
    <row r="100" spans="8:30" ht="12.75" customHeight="1">
      <c r="H100" s="2215">
        <v>125</v>
      </c>
      <c r="I100" s="2216">
        <f t="shared" si="15"/>
        <v>0.90865709996255317</v>
      </c>
      <c r="J100" s="2264">
        <v>9.134290003744687E-2</v>
      </c>
      <c r="K100" s="2267">
        <v>495724.09054157406</v>
      </c>
      <c r="L100" s="2267">
        <v>493042.85846437456</v>
      </c>
      <c r="M100" s="2267">
        <f t="shared" si="16"/>
        <v>2681.2320771995001</v>
      </c>
      <c r="N100" s="2217">
        <f t="shared" si="9"/>
        <v>495479.17902796925</v>
      </c>
      <c r="O100" s="2273">
        <f t="shared" si="10"/>
        <v>2436.3205635946942</v>
      </c>
      <c r="P100" s="2276">
        <f t="shared" si="11"/>
        <v>0.85920415503429348</v>
      </c>
      <c r="Q100" s="2262">
        <v>0.14079584496570657</v>
      </c>
      <c r="R100" s="2267">
        <v>207207.88533446204</v>
      </c>
      <c r="S100" s="2267">
        <v>206087.15620427096</v>
      </c>
      <c r="T100" s="2267">
        <f t="shared" si="12"/>
        <v>1120.7291301910882</v>
      </c>
      <c r="U100" s="2267">
        <f t="shared" si="13"/>
        <v>207050.09132959912</v>
      </c>
      <c r="V100" s="2270">
        <f t="shared" si="14"/>
        <v>962.93512532816385</v>
      </c>
      <c r="W100" s="458"/>
      <c r="X100" s="3149">
        <v>2018</v>
      </c>
      <c r="Y100" s="3149"/>
      <c r="Z100" s="458"/>
      <c r="AA100" s="458"/>
      <c r="AB100" s="458"/>
      <c r="AC100" s="458"/>
      <c r="AD100" s="458"/>
    </row>
    <row r="101" spans="8:30" ht="12.75" customHeight="1">
      <c r="H101" s="2215">
        <v>150</v>
      </c>
      <c r="I101" s="2216">
        <f t="shared" si="15"/>
        <v>0.6192756064690027</v>
      </c>
      <c r="J101" s="2264">
        <v>0.3807243935309973</v>
      </c>
      <c r="K101" s="2267">
        <v>592059.92014887731</v>
      </c>
      <c r="L101" s="2267">
        <v>588872.67456799583</v>
      </c>
      <c r="M101" s="2267">
        <f t="shared" si="16"/>
        <v>3187.2455808814848</v>
      </c>
      <c r="N101" s="2217">
        <f t="shared" si="9"/>
        <v>590846.45800806186</v>
      </c>
      <c r="O101" s="2273">
        <f t="shared" si="10"/>
        <v>1973.7834400660358</v>
      </c>
      <c r="P101" s="2276">
        <f t="shared" si="11"/>
        <v>0.7180923916704296</v>
      </c>
      <c r="Q101" s="2262">
        <v>0.28190760832957035</v>
      </c>
      <c r="R101" s="2267">
        <v>247475.33231905894</v>
      </c>
      <c r="S101" s="2267">
        <v>246143.09442814966</v>
      </c>
      <c r="T101" s="2267">
        <f t="shared" si="12"/>
        <v>1332.2378909092804</v>
      </c>
      <c r="U101" s="2267">
        <f t="shared" si="13"/>
        <v>247099.76432150666</v>
      </c>
      <c r="V101" s="2270">
        <f t="shared" si="14"/>
        <v>956.66989335700055</v>
      </c>
      <c r="W101" s="458"/>
      <c r="X101" s="2256" t="s">
        <v>33</v>
      </c>
      <c r="Y101" s="2256" t="s">
        <v>841</v>
      </c>
      <c r="Z101" s="458"/>
      <c r="AA101" s="458"/>
      <c r="AB101" s="458"/>
      <c r="AC101" s="458"/>
      <c r="AD101" s="458"/>
    </row>
    <row r="102" spans="8:30" ht="12.75" customHeight="1">
      <c r="H102" s="2215">
        <v>200</v>
      </c>
      <c r="I102" s="2216">
        <f t="shared" si="15"/>
        <v>0.77260089072452232</v>
      </c>
      <c r="J102" s="2264">
        <v>0.22739910927547766</v>
      </c>
      <c r="K102" s="2267">
        <v>787358.74347501108</v>
      </c>
      <c r="L102" s="2267">
        <v>783131.11455228343</v>
      </c>
      <c r="M102" s="2267">
        <f t="shared" si="16"/>
        <v>4227.6289227276575</v>
      </c>
      <c r="N102" s="2217">
        <f t="shared" si="9"/>
        <v>786397.38442363555</v>
      </c>
      <c r="O102" s="2273">
        <f t="shared" si="10"/>
        <v>3266.269871352124</v>
      </c>
      <c r="P102" s="2276">
        <f t="shared" si="11"/>
        <v>0.74743441571806279</v>
      </c>
      <c r="Q102" s="2262">
        <v>0.25256558428193726</v>
      </c>
      <c r="R102" s="2267">
        <v>329108.3555306333</v>
      </c>
      <c r="S102" s="2267">
        <v>327341.24744415685</v>
      </c>
      <c r="T102" s="2267">
        <f t="shared" si="12"/>
        <v>1767.1080864764517</v>
      </c>
      <c r="U102" s="2267">
        <f t="shared" si="13"/>
        <v>328662.04484428302</v>
      </c>
      <c r="V102" s="2270">
        <f t="shared" si="14"/>
        <v>1320.7974001261755</v>
      </c>
      <c r="W102" s="458"/>
      <c r="X102" s="2257">
        <f>SUMPRODUCT(O92:O124,$Q$184:$Q$216)/$Q$219</f>
        <v>3731.0997323637935</v>
      </c>
      <c r="Y102" s="2257">
        <f>SUMPRODUCT(V92:V124,$R$184:$R$216)/$R$219</f>
        <v>1946.0713315346125</v>
      </c>
      <c r="Z102" s="458"/>
      <c r="AA102" s="458"/>
      <c r="AB102" s="458"/>
      <c r="AC102" s="458"/>
      <c r="AD102" s="458"/>
    </row>
    <row r="103" spans="8:30" ht="12.75" customHeight="1">
      <c r="H103" s="2215">
        <v>250</v>
      </c>
      <c r="I103" s="2216">
        <f t="shared" si="15"/>
        <v>0.63748605086295873</v>
      </c>
      <c r="J103" s="2264">
        <v>0.36251394913704132</v>
      </c>
      <c r="K103" s="2267">
        <v>964377.77052643639</v>
      </c>
      <c r="L103" s="2267">
        <v>959260.80120901822</v>
      </c>
      <c r="M103" s="2267">
        <f t="shared" si="16"/>
        <v>5116.9693174181739</v>
      </c>
      <c r="N103" s="2217">
        <f t="shared" si="9"/>
        <v>962522.79777156608</v>
      </c>
      <c r="O103" s="2273">
        <f t="shared" si="10"/>
        <v>3261.9965625478653</v>
      </c>
      <c r="P103" s="2276">
        <f t="shared" si="11"/>
        <v>0.73684210526315796</v>
      </c>
      <c r="Q103" s="2262">
        <v>0.26315789473684209</v>
      </c>
      <c r="R103" s="2267">
        <v>515804.53443174536</v>
      </c>
      <c r="S103" s="2267">
        <v>513067.68580547348</v>
      </c>
      <c r="T103" s="2267">
        <f t="shared" si="12"/>
        <v>2736.8486262718798</v>
      </c>
      <c r="U103" s="2267">
        <f t="shared" si="13"/>
        <v>515084.31110904226</v>
      </c>
      <c r="V103" s="2270">
        <f t="shared" si="14"/>
        <v>2016.6253035687841</v>
      </c>
      <c r="W103" s="458"/>
      <c r="X103" s="3149" t="s">
        <v>2024</v>
      </c>
      <c r="Y103" s="3149"/>
      <c r="Z103" s="458"/>
      <c r="AA103" s="458"/>
      <c r="AB103" s="458"/>
      <c r="AC103" s="458"/>
      <c r="AD103" s="458"/>
    </row>
    <row r="104" spans="8:30" ht="12.75" customHeight="1">
      <c r="H104" s="2215">
        <v>300</v>
      </c>
      <c r="I104" s="2216">
        <f t="shared" si="15"/>
        <v>0.72209637326968257</v>
      </c>
      <c r="J104" s="2264">
        <v>0.27790362673031749</v>
      </c>
      <c r="K104" s="2267">
        <v>1154248.6554229001</v>
      </c>
      <c r="L104" s="2267">
        <v>1148140.0521248784</v>
      </c>
      <c r="M104" s="2267">
        <f t="shared" si="16"/>
        <v>6108.6032980217133</v>
      </c>
      <c r="N104" s="2217">
        <f t="shared" si="9"/>
        <v>1152551.0524121232</v>
      </c>
      <c r="O104" s="2273">
        <f t="shared" si="10"/>
        <v>4411.0002872447949</v>
      </c>
      <c r="P104" s="2276">
        <f t="shared" si="11"/>
        <v>0.71256961981526967</v>
      </c>
      <c r="Q104" s="2262">
        <v>0.28743038018473033</v>
      </c>
      <c r="R104" s="2267">
        <v>617358.37192086782</v>
      </c>
      <c r="S104" s="2267">
        <v>614091.14057599322</v>
      </c>
      <c r="T104" s="2267">
        <f t="shared" si="12"/>
        <v>3267.231344874599</v>
      </c>
      <c r="U104" s="2267">
        <f t="shared" si="13"/>
        <v>616419.27037325897</v>
      </c>
      <c r="V104" s="2270">
        <f t="shared" si="14"/>
        <v>2328.1297972657485</v>
      </c>
      <c r="W104" s="458"/>
      <c r="X104" s="3150">
        <f>SUMPRODUCT(X102:Y102,$Q$219:$R$219)/SUM($Q$219:$R$219)</f>
        <v>2859.8358700543122</v>
      </c>
      <c r="Y104" s="3150"/>
      <c r="Z104" s="458"/>
      <c r="AA104" s="458"/>
      <c r="AB104" s="458"/>
      <c r="AC104" s="458"/>
      <c r="AD104" s="458"/>
    </row>
    <row r="105" spans="8:30" ht="12.75" customHeight="1">
      <c r="H105" s="2215">
        <v>350</v>
      </c>
      <c r="I105" s="2216">
        <f t="shared" si="15"/>
        <v>0.4285714285714286</v>
      </c>
      <c r="J105" s="2264">
        <v>0.5714285714285714</v>
      </c>
      <c r="K105" s="2267">
        <v>1346128.4851360661</v>
      </c>
      <c r="L105" s="2267">
        <v>1339007.0052576531</v>
      </c>
      <c r="M105" s="2267">
        <f t="shared" si="16"/>
        <v>7121.4798784130253</v>
      </c>
      <c r="N105" s="2217">
        <f t="shared" si="9"/>
        <v>1342059.0680626873</v>
      </c>
      <c r="O105" s="2273">
        <f t="shared" si="10"/>
        <v>3052.0628050342202</v>
      </c>
      <c r="P105" s="2276">
        <f t="shared" si="11"/>
        <v>0.5</v>
      </c>
      <c r="Q105" s="2262">
        <v>0.5</v>
      </c>
      <c r="R105" s="2267">
        <v>719986.70830196759</v>
      </c>
      <c r="S105" s="2267">
        <v>716177.73247795552</v>
      </c>
      <c r="T105" s="2267">
        <f t="shared" si="12"/>
        <v>3808.9758240120718</v>
      </c>
      <c r="U105" s="2267">
        <f t="shared" si="13"/>
        <v>718082.2203899615</v>
      </c>
      <c r="V105" s="2270">
        <f t="shared" si="14"/>
        <v>1904.4879120059777</v>
      </c>
      <c r="W105" s="458"/>
      <c r="X105" s="458"/>
      <c r="Y105" s="458"/>
      <c r="Z105" s="458"/>
      <c r="AA105" s="458"/>
      <c r="AB105" s="458"/>
      <c r="AC105" s="458"/>
      <c r="AD105" s="458"/>
    </row>
    <row r="106" spans="8:30" ht="12.75" customHeight="1">
      <c r="H106" s="2215">
        <v>400</v>
      </c>
      <c r="I106" s="2216">
        <f t="shared" si="15"/>
        <v>0.82633482082205523</v>
      </c>
      <c r="J106" s="2264">
        <v>0.17366517917794477</v>
      </c>
      <c r="K106" s="2267">
        <v>1532339.9286038727</v>
      </c>
      <c r="L106" s="2267">
        <v>1524265.2617817814</v>
      </c>
      <c r="M106" s="2267">
        <f t="shared" si="16"/>
        <v>8074.6668220912106</v>
      </c>
      <c r="N106" s="2217">
        <f t="shared" si="9"/>
        <v>1530937.6401434119</v>
      </c>
      <c r="O106" s="2273">
        <f t="shared" si="10"/>
        <v>6672.3783616304863</v>
      </c>
      <c r="P106" s="2276">
        <f t="shared" si="11"/>
        <v>0.71763984804534364</v>
      </c>
      <c r="Q106" s="2262">
        <v>0.2823601519546563</v>
      </c>
      <c r="R106" s="2267">
        <v>819583.26666243677</v>
      </c>
      <c r="S106" s="2267">
        <v>815264.4717999351</v>
      </c>
      <c r="T106" s="2267">
        <f t="shared" si="12"/>
        <v>4318.7948625016725</v>
      </c>
      <c r="U106" s="2267">
        <f t="shared" si="13"/>
        <v>818363.81108879973</v>
      </c>
      <c r="V106" s="2270">
        <f t="shared" si="14"/>
        <v>3099.339288864634</v>
      </c>
      <c r="W106" s="458"/>
      <c r="X106" s="458"/>
      <c r="Y106" s="458"/>
      <c r="Z106" s="458"/>
      <c r="AA106" s="458"/>
      <c r="AB106" s="458"/>
      <c r="AC106" s="458"/>
      <c r="AD106" s="458"/>
    </row>
    <row r="107" spans="8:30" ht="12.75" customHeight="1">
      <c r="H107" s="2215">
        <v>450</v>
      </c>
      <c r="I107" s="2216">
        <f t="shared" si="15"/>
        <v>0.25</v>
      </c>
      <c r="J107" s="2264">
        <v>0.75</v>
      </c>
      <c r="K107" s="2267">
        <v>1722433.0738643862</v>
      </c>
      <c r="L107" s="2267">
        <v>1713364.301749547</v>
      </c>
      <c r="M107" s="2267">
        <f t="shared" si="16"/>
        <v>9068.772114839172</v>
      </c>
      <c r="N107" s="2217">
        <f t="shared" si="9"/>
        <v>1715631.4947782569</v>
      </c>
      <c r="O107" s="2273">
        <f t="shared" si="10"/>
        <v>2267.1930287098512</v>
      </c>
      <c r="P107" s="2276">
        <f t="shared" si="11"/>
        <v>0.75</v>
      </c>
      <c r="Q107" s="2262">
        <v>0.25</v>
      </c>
      <c r="R107" s="2267">
        <v>921255.98173989123</v>
      </c>
      <c r="S107" s="2267">
        <v>916405.48235933343</v>
      </c>
      <c r="T107" s="2267">
        <f t="shared" si="12"/>
        <v>4850.4993805577978</v>
      </c>
      <c r="U107" s="2267">
        <f t="shared" si="13"/>
        <v>920043.35689475178</v>
      </c>
      <c r="V107" s="2270">
        <f t="shared" si="14"/>
        <v>3637.8745354183484</v>
      </c>
      <c r="W107" s="458"/>
      <c r="X107" s="458"/>
      <c r="Y107" s="458"/>
      <c r="Z107" s="458"/>
      <c r="AA107" s="458"/>
      <c r="AB107" s="458"/>
      <c r="AC107" s="458"/>
      <c r="AD107" s="458"/>
    </row>
    <row r="108" spans="8:30" ht="12.75" customHeight="1">
      <c r="H108" s="2215">
        <v>500</v>
      </c>
      <c r="I108" s="2216">
        <f t="shared" si="15"/>
        <v>0.70577150481538387</v>
      </c>
      <c r="J108" s="2264">
        <v>0.29422849518461608</v>
      </c>
      <c r="K108" s="2267">
        <v>1915152.1413198761</v>
      </c>
      <c r="L108" s="2267">
        <v>1905061.6747331931</v>
      </c>
      <c r="M108" s="2267">
        <f t="shared" si="16"/>
        <v>10090.466586682945</v>
      </c>
      <c r="N108" s="2217">
        <f t="shared" si="9"/>
        <v>1912183.2385203657</v>
      </c>
      <c r="O108" s="2273">
        <f t="shared" si="10"/>
        <v>7121.5637871725485</v>
      </c>
      <c r="P108" s="2276">
        <f t="shared" si="11"/>
        <v>0.85522198424510831</v>
      </c>
      <c r="Q108" s="2262">
        <v>0.14477801575489163</v>
      </c>
      <c r="R108" s="2267">
        <v>1024333.1905921188</v>
      </c>
      <c r="S108" s="2267">
        <v>1018936.2304184082</v>
      </c>
      <c r="T108" s="2267">
        <f t="shared" si="12"/>
        <v>5396.9601737105986</v>
      </c>
      <c r="U108" s="2267">
        <f t="shared" si="13"/>
        <v>1023551.8294070608</v>
      </c>
      <c r="V108" s="2270">
        <f t="shared" si="14"/>
        <v>4615.5989886525786</v>
      </c>
      <c r="W108" s="458"/>
      <c r="X108" s="458"/>
      <c r="Y108" s="458"/>
      <c r="Z108" s="458"/>
      <c r="AA108" s="458"/>
      <c r="AB108" s="458"/>
      <c r="AC108" s="458"/>
      <c r="AD108" s="458"/>
    </row>
    <row r="109" spans="8:30" ht="12.75" customHeight="1">
      <c r="H109" s="2215">
        <v>600</v>
      </c>
      <c r="I109" s="2216">
        <f t="shared" si="15"/>
        <v>0.7985971184874332</v>
      </c>
      <c r="J109" s="2264">
        <v>0.20140288151256683</v>
      </c>
      <c r="K109" s="2267">
        <v>2519300.4397011739</v>
      </c>
      <c r="L109" s="2267">
        <v>2505928.3566878983</v>
      </c>
      <c r="M109" s="2267">
        <f t="shared" si="16"/>
        <v>13372.083013275638</v>
      </c>
      <c r="N109" s="2217">
        <f t="shared" si="9"/>
        <v>2516607.2636504751</v>
      </c>
      <c r="O109" s="2273">
        <f t="shared" si="10"/>
        <v>10678.906962576788</v>
      </c>
      <c r="P109" s="2276">
        <f t="shared" si="11"/>
        <v>0.73208923641200296</v>
      </c>
      <c r="Q109" s="2262">
        <v>0.26791076358799704</v>
      </c>
      <c r="R109" s="2267">
        <v>1166191.6072572037</v>
      </c>
      <c r="S109" s="2267">
        <v>1160001.6305732483</v>
      </c>
      <c r="T109" s="2267">
        <f t="shared" si="12"/>
        <v>6189.9766839554068</v>
      </c>
      <c r="U109" s="2267">
        <f t="shared" si="13"/>
        <v>1164533.2458772133</v>
      </c>
      <c r="V109" s="2270">
        <f t="shared" si="14"/>
        <v>4531.6153039650526</v>
      </c>
      <c r="W109" s="458"/>
      <c r="X109" s="458"/>
      <c r="Y109" s="458"/>
      <c r="Z109" s="458"/>
      <c r="AA109" s="458"/>
      <c r="AB109" s="458"/>
      <c r="AC109" s="458"/>
      <c r="AD109" s="458"/>
    </row>
    <row r="110" spans="8:30" ht="12.75" customHeight="1">
      <c r="H110" s="2215">
        <v>700</v>
      </c>
      <c r="I110" s="2216">
        <f t="shared" si="15"/>
        <v>0.5</v>
      </c>
      <c r="J110" s="2264">
        <v>0.5</v>
      </c>
      <c r="K110" s="2267">
        <v>2932923.6038338663</v>
      </c>
      <c r="L110" s="2267">
        <v>2917389.0508474582</v>
      </c>
      <c r="M110" s="2267">
        <f t="shared" si="16"/>
        <v>15534.552986408118</v>
      </c>
      <c r="N110" s="2217">
        <f t="shared" si="9"/>
        <v>2925156.3273406625</v>
      </c>
      <c r="O110" s="2273">
        <f t="shared" si="10"/>
        <v>7767.2764932042919</v>
      </c>
      <c r="P110" s="2276">
        <f t="shared" si="11"/>
        <v>0.66666666666666674</v>
      </c>
      <c r="Q110" s="2262">
        <v>0.33333333333333331</v>
      </c>
      <c r="R110" s="2267">
        <v>1357658.9904153356</v>
      </c>
      <c r="S110" s="2267">
        <v>1350468.0000000002</v>
      </c>
      <c r="T110" s="2267">
        <f t="shared" si="12"/>
        <v>7190.9904153354</v>
      </c>
      <c r="U110" s="2267">
        <f t="shared" si="13"/>
        <v>1355261.993610224</v>
      </c>
      <c r="V110" s="2270">
        <f t="shared" si="14"/>
        <v>4793.9936102237552</v>
      </c>
      <c r="W110" s="458"/>
      <c r="X110" s="458"/>
      <c r="Y110" s="458"/>
      <c r="Z110" s="458"/>
      <c r="AA110" s="458"/>
      <c r="AB110" s="458"/>
      <c r="AC110" s="458"/>
      <c r="AD110" s="458"/>
    </row>
    <row r="111" spans="8:30" ht="12.75" customHeight="1">
      <c r="H111" s="2215">
        <v>800</v>
      </c>
      <c r="I111" s="2216">
        <f t="shared" si="15"/>
        <v>0.33333333333333337</v>
      </c>
      <c r="J111" s="2264">
        <v>0.66666666666666663</v>
      </c>
      <c r="K111" s="2267">
        <v>3348346.8255319148</v>
      </c>
      <c r="L111" s="2267">
        <v>3330630.7047619051</v>
      </c>
      <c r="M111" s="2267">
        <f t="shared" si="16"/>
        <v>17716.1207700097</v>
      </c>
      <c r="N111" s="2217">
        <f t="shared" si="9"/>
        <v>3336536.0783519084</v>
      </c>
      <c r="O111" s="2273">
        <f t="shared" si="10"/>
        <v>5905.3735900032334</v>
      </c>
      <c r="P111" s="2276">
        <f t="shared" si="11"/>
        <v>0.5</v>
      </c>
      <c r="Q111" s="2262">
        <v>0.5</v>
      </c>
      <c r="R111" s="2267">
        <v>1549959.6255319149</v>
      </c>
      <c r="S111" s="2267">
        <v>1541758.780952381</v>
      </c>
      <c r="T111" s="2267">
        <f t="shared" si="12"/>
        <v>8200.8445795339067</v>
      </c>
      <c r="U111" s="2267">
        <f t="shared" si="13"/>
        <v>1545859.2032421478</v>
      </c>
      <c r="V111" s="2270">
        <f t="shared" si="14"/>
        <v>4100.4222897668369</v>
      </c>
      <c r="W111" s="458"/>
      <c r="X111" s="458"/>
      <c r="Y111" s="458"/>
      <c r="Z111" s="458"/>
      <c r="AA111" s="458"/>
      <c r="AB111" s="458"/>
      <c r="AC111" s="458"/>
      <c r="AD111" s="458"/>
    </row>
    <row r="112" spans="8:30" ht="12.75" customHeight="1">
      <c r="H112" s="2215">
        <v>900</v>
      </c>
      <c r="I112" s="2216">
        <f t="shared" si="15"/>
        <v>1</v>
      </c>
      <c r="J112" s="2264">
        <v>0</v>
      </c>
      <c r="K112" s="2267">
        <v>3762887.107332625</v>
      </c>
      <c r="L112" s="2267">
        <v>3742998.6976744188</v>
      </c>
      <c r="M112" s="2267">
        <f t="shared" si="16"/>
        <v>19888.409658206161</v>
      </c>
      <c r="N112" s="2217">
        <f t="shared" si="9"/>
        <v>3762887.107332625</v>
      </c>
      <c r="O112" s="2273">
        <f t="shared" si="10"/>
        <v>19888.409658206161</v>
      </c>
      <c r="P112" s="2276">
        <f t="shared" si="11"/>
        <v>1</v>
      </c>
      <c r="Q112" s="2262">
        <v>0</v>
      </c>
      <c r="R112" s="2267">
        <v>1741851.5451647185</v>
      </c>
      <c r="S112" s="2267">
        <v>1732645.1416490488</v>
      </c>
      <c r="T112" s="2267">
        <f t="shared" si="12"/>
        <v>9206.40351566975</v>
      </c>
      <c r="U112" s="2267">
        <f t="shared" si="13"/>
        <v>1741851.5451647185</v>
      </c>
      <c r="V112" s="2270">
        <f t="shared" si="14"/>
        <v>9206.40351566975</v>
      </c>
      <c r="W112" s="458"/>
      <c r="X112" s="458"/>
      <c r="Y112" s="458"/>
      <c r="Z112" s="458"/>
      <c r="AA112" s="458"/>
      <c r="AB112" s="458"/>
      <c r="AC112" s="458"/>
      <c r="AD112" s="458"/>
    </row>
    <row r="113" spans="8:30" ht="12.75" customHeight="1">
      <c r="H113" s="2215">
        <v>1000</v>
      </c>
      <c r="I113" s="2216">
        <f t="shared" si="15"/>
        <v>1</v>
      </c>
      <c r="J113" s="2264">
        <v>0</v>
      </c>
      <c r="K113" s="2267">
        <v>4172118.260869565</v>
      </c>
      <c r="L113" s="2267">
        <v>4150113.4177215188</v>
      </c>
      <c r="M113" s="2267">
        <f t="shared" si="16"/>
        <v>22004.843148046173</v>
      </c>
      <c r="N113" s="2217">
        <f t="shared" si="9"/>
        <v>4172118.260869565</v>
      </c>
      <c r="O113" s="2273">
        <f t="shared" si="10"/>
        <v>22004.843148046173</v>
      </c>
      <c r="P113" s="2276">
        <f t="shared" si="11"/>
        <v>0</v>
      </c>
      <c r="Q113" s="2262">
        <v>1</v>
      </c>
      <c r="R113" s="2267">
        <v>1931285.8536585364</v>
      </c>
      <c r="S113" s="2267">
        <v>1921099.746835443</v>
      </c>
      <c r="T113" s="2267">
        <f t="shared" si="12"/>
        <v>10186.106823093491</v>
      </c>
      <c r="U113" s="2267">
        <f t="shared" si="13"/>
        <v>1921099.746835443</v>
      </c>
      <c r="V113" s="2270">
        <f t="shared" si="14"/>
        <v>0</v>
      </c>
      <c r="W113" s="458"/>
      <c r="X113" s="458"/>
      <c r="Y113" s="458"/>
      <c r="Z113" s="458"/>
      <c r="AA113" s="458"/>
      <c r="AB113" s="458"/>
      <c r="AC113" s="458"/>
      <c r="AD113" s="458"/>
    </row>
    <row r="114" spans="8:30" ht="12.75" customHeight="1">
      <c r="H114" s="2215">
        <v>1250</v>
      </c>
      <c r="I114" s="2216">
        <f t="shared" si="15"/>
        <v>1</v>
      </c>
      <c r="J114" s="2264">
        <v>0</v>
      </c>
      <c r="K114" s="2267">
        <v>4464132.0634920644</v>
      </c>
      <c r="L114" s="2267">
        <v>4440636.6315789474</v>
      </c>
      <c r="M114" s="2267">
        <f t="shared" si="16"/>
        <v>23495.431913116947</v>
      </c>
      <c r="N114" s="2217">
        <f t="shared" si="9"/>
        <v>4464132.0634920644</v>
      </c>
      <c r="O114" s="2273">
        <f t="shared" si="10"/>
        <v>23495.431913116947</v>
      </c>
      <c r="P114" s="2276">
        <f t="shared" si="11"/>
        <v>1</v>
      </c>
      <c r="Q114" s="2262">
        <v>0</v>
      </c>
      <c r="R114" s="2267">
        <v>2010989.7142857141</v>
      </c>
      <c r="S114" s="2267">
        <v>2000405.5578947368</v>
      </c>
      <c r="T114" s="2267">
        <f t="shared" si="12"/>
        <v>10584.156390977325</v>
      </c>
      <c r="U114" s="2267">
        <f t="shared" si="13"/>
        <v>2010989.7142857141</v>
      </c>
      <c r="V114" s="2270">
        <f t="shared" si="14"/>
        <v>10584.156390977325</v>
      </c>
      <c r="W114" s="458"/>
      <c r="X114" s="458"/>
      <c r="Y114" s="458"/>
      <c r="Z114" s="458"/>
      <c r="AA114" s="458"/>
      <c r="AB114" s="458"/>
      <c r="AC114" s="458"/>
      <c r="AD114" s="458"/>
    </row>
    <row r="115" spans="8:30" ht="12.75" customHeight="1">
      <c r="H115" s="2215">
        <v>1500</v>
      </c>
      <c r="I115" s="2216">
        <f t="shared" si="15"/>
        <v>0.60000000000000009</v>
      </c>
      <c r="J115" s="2264">
        <v>0.39999999999999997</v>
      </c>
      <c r="K115" s="2267">
        <v>5351295.7293868922</v>
      </c>
      <c r="L115" s="2267">
        <v>5323160.6309148269</v>
      </c>
      <c r="M115" s="2267">
        <f t="shared" si="16"/>
        <v>28135.098472065292</v>
      </c>
      <c r="N115" s="2217">
        <f t="shared" si="9"/>
        <v>5340041.6899980661</v>
      </c>
      <c r="O115" s="2273">
        <f t="shared" si="10"/>
        <v>16881.059083239175</v>
      </c>
      <c r="P115" s="2276">
        <f t="shared" si="11"/>
        <v>0.66666666666666674</v>
      </c>
      <c r="Q115" s="2262">
        <v>0.33333333333333331</v>
      </c>
      <c r="R115" s="2267">
        <v>2410636.7188160676</v>
      </c>
      <c r="S115" s="2267">
        <v>2397962.498422713</v>
      </c>
      <c r="T115" s="2267">
        <f t="shared" si="12"/>
        <v>12674.220393354539</v>
      </c>
      <c r="U115" s="2267">
        <f t="shared" si="13"/>
        <v>2406411.9786849497</v>
      </c>
      <c r="V115" s="2270">
        <f t="shared" si="14"/>
        <v>8449.4802622366697</v>
      </c>
      <c r="W115" s="458"/>
      <c r="X115" s="458"/>
      <c r="Y115" s="458"/>
      <c r="Z115" s="458"/>
      <c r="AA115" s="458"/>
      <c r="AB115" s="458"/>
      <c r="AC115" s="458"/>
      <c r="AD115" s="458"/>
    </row>
    <row r="116" spans="8:30" ht="12.75" customHeight="1">
      <c r="H116" s="2215">
        <v>1750</v>
      </c>
      <c r="I116" s="2216">
        <f t="shared" si="15"/>
        <v>1</v>
      </c>
      <c r="J116" s="2264">
        <v>0</v>
      </c>
      <c r="K116" s="2267">
        <v>6230007.0886075962</v>
      </c>
      <c r="L116" s="2267">
        <v>6197320.7974816384</v>
      </c>
      <c r="M116" s="2267">
        <f t="shared" si="16"/>
        <v>32686.291125957854</v>
      </c>
      <c r="N116" s="2217">
        <f t="shared" si="9"/>
        <v>6230007.0886075962</v>
      </c>
      <c r="O116" s="2273">
        <f t="shared" si="10"/>
        <v>32686.291125957854</v>
      </c>
      <c r="P116" s="2276">
        <f t="shared" si="11"/>
        <v>1</v>
      </c>
      <c r="Q116" s="2262">
        <v>0</v>
      </c>
      <c r="R116" s="2267">
        <v>2806476.1518987347</v>
      </c>
      <c r="S116" s="2267">
        <v>2791751.7229800634</v>
      </c>
      <c r="T116" s="2267">
        <f t="shared" si="12"/>
        <v>14724.428918671329</v>
      </c>
      <c r="U116" s="2267">
        <f t="shared" si="13"/>
        <v>2806476.1518987347</v>
      </c>
      <c r="V116" s="2270">
        <f t="shared" si="14"/>
        <v>14724.428918671329</v>
      </c>
      <c r="W116" s="458"/>
      <c r="X116" s="458"/>
      <c r="Y116" s="458"/>
      <c r="Z116" s="458"/>
      <c r="AA116" s="458"/>
      <c r="AB116" s="458"/>
      <c r="AC116" s="458"/>
      <c r="AD116" s="458"/>
    </row>
    <row r="117" spans="8:30" ht="12.75" customHeight="1">
      <c r="H117" s="2215">
        <v>2000</v>
      </c>
      <c r="I117" s="2216">
        <f t="shared" si="15"/>
        <v>1</v>
      </c>
      <c r="J117" s="2264">
        <v>0</v>
      </c>
      <c r="K117" s="2267">
        <v>7105018.6105263159</v>
      </c>
      <c r="L117" s="2267">
        <v>7067819.5602094242</v>
      </c>
      <c r="M117" s="2267">
        <f t="shared" si="16"/>
        <v>37199.050316891633</v>
      </c>
      <c r="N117" s="2217">
        <f t="shared" si="9"/>
        <v>7105018.6105263159</v>
      </c>
      <c r="O117" s="2273">
        <f t="shared" si="10"/>
        <v>37199.050316891633</v>
      </c>
      <c r="P117" s="2276">
        <f t="shared" si="11"/>
        <v>1</v>
      </c>
      <c r="Q117" s="2262">
        <v>0</v>
      </c>
      <c r="R117" s="2267">
        <v>3200648.8926315792</v>
      </c>
      <c r="S117" s="2267">
        <v>3183891.5685863877</v>
      </c>
      <c r="T117" s="2267">
        <f t="shared" si="12"/>
        <v>16757.324045191519</v>
      </c>
      <c r="U117" s="2267">
        <f t="shared" si="13"/>
        <v>3200648.8926315792</v>
      </c>
      <c r="V117" s="2270">
        <f t="shared" si="14"/>
        <v>16757.324045191519</v>
      </c>
      <c r="W117" s="458"/>
      <c r="X117" s="458"/>
      <c r="Y117" s="458"/>
      <c r="Z117" s="458"/>
      <c r="AA117" s="458"/>
      <c r="AB117" s="458"/>
      <c r="AC117" s="458"/>
      <c r="AD117" s="458"/>
    </row>
    <row r="118" spans="8:30" ht="12.75" customHeight="1">
      <c r="H118" s="2215">
        <v>2250</v>
      </c>
      <c r="I118" s="2216">
        <f t="shared" si="15"/>
        <v>1</v>
      </c>
      <c r="J118" s="2264">
        <v>0</v>
      </c>
      <c r="K118" s="2267">
        <v>7967983.8824763913</v>
      </c>
      <c r="L118" s="2267">
        <v>7926397.32776618</v>
      </c>
      <c r="M118" s="2267">
        <f t="shared" si="16"/>
        <v>41586.554710211232</v>
      </c>
      <c r="N118" s="2217">
        <f t="shared" si="9"/>
        <v>7967983.8824763913</v>
      </c>
      <c r="O118" s="2273">
        <f t="shared" si="10"/>
        <v>41586.554710211232</v>
      </c>
      <c r="P118" s="2276">
        <f t="shared" si="11"/>
        <v>1</v>
      </c>
      <c r="Q118" s="2262">
        <v>0</v>
      </c>
      <c r="R118" s="2267">
        <v>3589395.0724029387</v>
      </c>
      <c r="S118" s="2267">
        <v>3570661.2776617957</v>
      </c>
      <c r="T118" s="2267">
        <f t="shared" si="12"/>
        <v>18733.794741143007</v>
      </c>
      <c r="U118" s="2267">
        <f t="shared" si="13"/>
        <v>3589395.0724029387</v>
      </c>
      <c r="V118" s="2270">
        <f t="shared" si="14"/>
        <v>18733.794741143007</v>
      </c>
      <c r="W118" s="458"/>
      <c r="X118" s="458"/>
      <c r="Y118" s="458"/>
      <c r="Z118" s="458"/>
      <c r="AA118" s="458"/>
      <c r="AB118" s="458"/>
      <c r="AC118" s="458"/>
      <c r="AD118" s="458"/>
    </row>
    <row r="119" spans="8:30" ht="12.75" customHeight="1">
      <c r="H119" s="2215">
        <v>2500</v>
      </c>
      <c r="I119" s="2216">
        <f t="shared" si="15"/>
        <v>1</v>
      </c>
      <c r="J119" s="2264">
        <v>0</v>
      </c>
      <c r="K119" s="2267">
        <v>8844035.220125787</v>
      </c>
      <c r="L119" s="2267">
        <v>8797924.5046923887</v>
      </c>
      <c r="M119" s="2267">
        <f t="shared" si="16"/>
        <v>46110.715433398262</v>
      </c>
      <c r="N119" s="2217">
        <f t="shared" si="9"/>
        <v>8844035.220125787</v>
      </c>
      <c r="O119" s="2273">
        <f t="shared" si="10"/>
        <v>46110.715433398262</v>
      </c>
      <c r="P119" s="2276">
        <f t="shared" si="11"/>
        <v>1</v>
      </c>
      <c r="Q119" s="2262">
        <v>0</v>
      </c>
      <c r="R119" s="2267">
        <v>3984036.2264150945</v>
      </c>
      <c r="S119" s="2267">
        <v>3963264.4004171011</v>
      </c>
      <c r="T119" s="2267">
        <f t="shared" si="12"/>
        <v>20771.82599799335</v>
      </c>
      <c r="U119" s="2267">
        <f t="shared" si="13"/>
        <v>3984036.2264150945</v>
      </c>
      <c r="V119" s="2270">
        <f t="shared" si="14"/>
        <v>20771.82599799335</v>
      </c>
      <c r="W119" s="458"/>
      <c r="X119" s="458"/>
      <c r="Y119" s="458"/>
      <c r="Z119" s="458"/>
      <c r="AA119" s="458"/>
      <c r="AB119" s="458"/>
      <c r="AC119" s="458"/>
      <c r="AD119" s="458"/>
    </row>
    <row r="120" spans="8:30" ht="12.75" customHeight="1">
      <c r="H120" s="2215">
        <v>3000</v>
      </c>
      <c r="I120" s="2216">
        <f t="shared" si="15"/>
        <v>1</v>
      </c>
      <c r="J120" s="2264">
        <v>0</v>
      </c>
      <c r="K120" s="2267">
        <v>10579573.1661442</v>
      </c>
      <c r="L120" s="2267">
        <v>10524585.779625779</v>
      </c>
      <c r="M120" s="2267">
        <f t="shared" si="16"/>
        <v>54987.386518420652</v>
      </c>
      <c r="N120" s="2217">
        <f t="shared" si="9"/>
        <v>10579573.1661442</v>
      </c>
      <c r="O120" s="2273">
        <f t="shared" si="10"/>
        <v>54987.386518420652</v>
      </c>
      <c r="P120" s="2276">
        <f t="shared" si="11"/>
        <v>1</v>
      </c>
      <c r="Q120" s="2262">
        <v>0</v>
      </c>
      <c r="R120" s="2267">
        <v>4765856.5015673982</v>
      </c>
      <c r="S120" s="2267">
        <v>4741085.9376299381</v>
      </c>
      <c r="T120" s="2267">
        <f t="shared" si="12"/>
        <v>24770.563937460072</v>
      </c>
      <c r="U120" s="2267">
        <f t="shared" si="13"/>
        <v>4765856.5015673982</v>
      </c>
      <c r="V120" s="2270">
        <f t="shared" si="14"/>
        <v>24770.563937460072</v>
      </c>
      <c r="W120" s="458"/>
      <c r="X120" s="458"/>
      <c r="Y120" s="458"/>
      <c r="Z120" s="458"/>
      <c r="AA120" s="458"/>
      <c r="AB120" s="458"/>
      <c r="AC120" s="458"/>
      <c r="AD120" s="458"/>
    </row>
    <row r="121" spans="8:30" ht="12.75" customHeight="1">
      <c r="H121" s="2215">
        <v>3500</v>
      </c>
      <c r="I121" s="2216">
        <f t="shared" si="15"/>
        <v>1</v>
      </c>
      <c r="J121" s="2264">
        <v>0</v>
      </c>
      <c r="K121" s="2267">
        <v>12329951.398747394</v>
      </c>
      <c r="L121" s="2267">
        <v>12265932.959501561</v>
      </c>
      <c r="M121" s="2267">
        <f t="shared" si="16"/>
        <v>64018.439245833084</v>
      </c>
      <c r="N121" s="2217">
        <f t="shared" si="9"/>
        <v>12329951.398747394</v>
      </c>
      <c r="O121" s="2273">
        <f t="shared" si="10"/>
        <v>64018.439245833084</v>
      </c>
      <c r="P121" s="2276">
        <f t="shared" si="11"/>
        <v>1</v>
      </c>
      <c r="Q121" s="2262">
        <v>0</v>
      </c>
      <c r="R121" s="2267">
        <v>5554361.9874739042</v>
      </c>
      <c r="S121" s="2267">
        <v>5525523.140186917</v>
      </c>
      <c r="T121" s="2267">
        <f t="shared" si="12"/>
        <v>28838.847286987118</v>
      </c>
      <c r="U121" s="2267">
        <f t="shared" si="13"/>
        <v>5554361.9874739042</v>
      </c>
      <c r="V121" s="2270">
        <f t="shared" si="14"/>
        <v>28838.847286987118</v>
      </c>
      <c r="W121" s="458"/>
      <c r="X121" s="458"/>
      <c r="Y121" s="458"/>
      <c r="Z121" s="458"/>
      <c r="AA121" s="458"/>
      <c r="AB121" s="458"/>
      <c r="AC121" s="458"/>
      <c r="AD121" s="458"/>
    </row>
    <row r="122" spans="8:30" ht="12.75" customHeight="1">
      <c r="H122" s="2215">
        <v>4000</v>
      </c>
      <c r="I122" s="2216">
        <f t="shared" si="15"/>
        <v>1</v>
      </c>
      <c r="J122" s="2264">
        <v>0</v>
      </c>
      <c r="K122" s="2267">
        <v>14091373.027139874</v>
      </c>
      <c r="L122" s="2267">
        <v>14018209.096573208</v>
      </c>
      <c r="M122" s="2267">
        <f t="shared" si="16"/>
        <v>73163.930566666648</v>
      </c>
      <c r="N122" s="2217">
        <f t="shared" si="9"/>
        <v>14091373.027139874</v>
      </c>
      <c r="O122" s="2273">
        <f t="shared" si="10"/>
        <v>73163.930566666648</v>
      </c>
      <c r="P122" s="2276">
        <f t="shared" si="11"/>
        <v>1</v>
      </c>
      <c r="Q122" s="2262">
        <v>0</v>
      </c>
      <c r="R122" s="2267">
        <v>6347842.2713987473</v>
      </c>
      <c r="S122" s="2267">
        <v>6314883.5887850467</v>
      </c>
      <c r="T122" s="2267">
        <f t="shared" si="12"/>
        <v>32958.682613700628</v>
      </c>
      <c r="U122" s="2267">
        <f t="shared" si="13"/>
        <v>6347842.2713987473</v>
      </c>
      <c r="V122" s="2270">
        <f t="shared" si="14"/>
        <v>32958.682613700628</v>
      </c>
      <c r="W122" s="458"/>
      <c r="X122" s="458"/>
      <c r="Y122" s="458"/>
      <c r="Z122" s="458"/>
      <c r="AA122" s="458"/>
      <c r="AB122" s="458"/>
      <c r="AC122" s="458"/>
      <c r="AD122" s="458"/>
    </row>
    <row r="123" spans="8:30" ht="12.75" customHeight="1">
      <c r="H123" s="2215">
        <v>4500</v>
      </c>
      <c r="I123" s="2216">
        <f t="shared" si="15"/>
        <v>1</v>
      </c>
      <c r="J123" s="2264">
        <v>0</v>
      </c>
      <c r="K123" s="2267">
        <v>15836264.108446298</v>
      </c>
      <c r="L123" s="2267">
        <v>15754125.809128631</v>
      </c>
      <c r="M123" s="2267">
        <f t="shared" si="16"/>
        <v>82138.299317667261</v>
      </c>
      <c r="N123" s="2217">
        <f t="shared" si="9"/>
        <v>15836264.108446298</v>
      </c>
      <c r="O123" s="2273">
        <f t="shared" si="10"/>
        <v>82138.299317667261</v>
      </c>
      <c r="P123" s="2276">
        <f t="shared" si="11"/>
        <v>1</v>
      </c>
      <c r="Q123" s="2262">
        <v>0</v>
      </c>
      <c r="R123" s="2267">
        <v>7133875.9207507828</v>
      </c>
      <c r="S123" s="2267">
        <v>7096874.4896265566</v>
      </c>
      <c r="T123" s="2267">
        <f t="shared" si="12"/>
        <v>37001.43112422619</v>
      </c>
      <c r="U123" s="2267">
        <f t="shared" si="13"/>
        <v>7133875.9207507828</v>
      </c>
      <c r="V123" s="2270">
        <f t="shared" si="14"/>
        <v>37001.43112422619</v>
      </c>
      <c r="W123" s="458"/>
      <c r="X123" s="458"/>
      <c r="Y123" s="458"/>
      <c r="Z123" s="458"/>
      <c r="AA123" s="458"/>
      <c r="AB123" s="458"/>
      <c r="AC123" s="458"/>
      <c r="AD123" s="458"/>
    </row>
    <row r="124" spans="8:30" ht="12.75" customHeight="1" thickBot="1">
      <c r="H124" s="2221">
        <v>5000</v>
      </c>
      <c r="I124" s="2222">
        <f t="shared" si="15"/>
        <v>1</v>
      </c>
      <c r="J124" s="2265">
        <v>0</v>
      </c>
      <c r="K124" s="2268">
        <v>17577520</v>
      </c>
      <c r="L124" s="2268">
        <v>17486444.766839378</v>
      </c>
      <c r="M124" s="2268">
        <f t="shared" si="16"/>
        <v>91075.233160622418</v>
      </c>
      <c r="N124" s="2223">
        <f t="shared" si="9"/>
        <v>17577520</v>
      </c>
      <c r="O124" s="2274">
        <f t="shared" si="10"/>
        <v>91075.233160622418</v>
      </c>
      <c r="P124" s="2277">
        <f t="shared" si="11"/>
        <v>1</v>
      </c>
      <c r="Q124" s="2263">
        <v>0</v>
      </c>
      <c r="R124" s="2268">
        <v>7918272</v>
      </c>
      <c r="S124" s="2268">
        <v>7877244.6839378234</v>
      </c>
      <c r="T124" s="2268">
        <f t="shared" si="12"/>
        <v>41027.3160621766</v>
      </c>
      <c r="U124" s="2268">
        <f t="shared" si="13"/>
        <v>7918272</v>
      </c>
      <c r="V124" s="2271">
        <f t="shared" si="14"/>
        <v>41027.3160621766</v>
      </c>
      <c r="W124" s="458"/>
      <c r="X124" s="458"/>
      <c r="Y124" s="458"/>
      <c r="Z124" s="458"/>
      <c r="AA124" s="458"/>
      <c r="AB124" s="458"/>
      <c r="AC124" s="458"/>
      <c r="AD124" s="458"/>
    </row>
    <row r="125" spans="8:30" ht="12.75" customHeight="1">
      <c r="H125" s="458"/>
      <c r="I125" s="458"/>
      <c r="J125" s="458"/>
      <c r="K125" s="458"/>
      <c r="L125" s="458"/>
      <c r="M125" s="458"/>
      <c r="N125" s="458"/>
      <c r="O125" s="458"/>
      <c r="P125" s="458"/>
      <c r="Q125" s="458"/>
      <c r="R125" s="458"/>
      <c r="S125" s="458"/>
      <c r="T125" s="458"/>
      <c r="U125" s="458"/>
      <c r="V125" s="458"/>
      <c r="W125" s="458"/>
      <c r="X125" s="458"/>
      <c r="Y125" s="458"/>
      <c r="Z125" s="458"/>
      <c r="AA125" s="458"/>
      <c r="AB125" s="458"/>
      <c r="AC125" s="458"/>
      <c r="AD125" s="458"/>
    </row>
    <row r="126" spans="8:30" ht="12.75" customHeight="1">
      <c r="H126" s="458"/>
      <c r="I126" s="458"/>
      <c r="J126" s="458"/>
      <c r="K126" s="458"/>
      <c r="L126" s="458"/>
      <c r="M126" s="458"/>
      <c r="N126" s="458"/>
      <c r="O126" s="458"/>
      <c r="P126" s="458"/>
      <c r="Q126" s="458"/>
      <c r="R126" s="458"/>
      <c r="S126" s="458"/>
      <c r="T126" s="458"/>
      <c r="U126" s="458"/>
      <c r="V126" s="458"/>
      <c r="W126" s="458"/>
      <c r="X126" s="458"/>
      <c r="Y126" s="458"/>
      <c r="Z126" s="458"/>
      <c r="AA126" s="458"/>
      <c r="AB126" s="458"/>
      <c r="AC126" s="458"/>
      <c r="AD126" s="458"/>
    </row>
    <row r="127" spans="8:30" ht="12.75" customHeight="1">
      <c r="H127" s="458"/>
      <c r="I127" s="458"/>
      <c r="J127" s="458"/>
      <c r="K127" s="458"/>
      <c r="L127" s="458"/>
      <c r="M127" s="458"/>
      <c r="N127" s="458"/>
      <c r="O127" s="458"/>
      <c r="P127" s="458"/>
      <c r="Q127" s="458"/>
      <c r="R127" s="458"/>
      <c r="S127" s="458"/>
      <c r="T127" s="458"/>
      <c r="U127" s="458"/>
      <c r="V127" s="458"/>
      <c r="W127" s="458"/>
      <c r="X127" s="458"/>
      <c r="Y127" s="458"/>
      <c r="Z127" s="458"/>
      <c r="AA127" s="458"/>
      <c r="AB127" s="458"/>
      <c r="AC127" s="458"/>
      <c r="AD127" s="458"/>
    </row>
    <row r="128" spans="8:30" ht="12.75" customHeight="1" thickBot="1">
      <c r="H128" s="1926" t="s">
        <v>2269</v>
      </c>
      <c r="I128" s="458"/>
      <c r="J128" s="458"/>
      <c r="K128" s="458"/>
      <c r="L128" s="458"/>
      <c r="M128" s="458"/>
      <c r="N128" s="458"/>
      <c r="O128" s="458"/>
      <c r="P128" s="458"/>
      <c r="Q128" s="458"/>
      <c r="R128" s="458"/>
      <c r="S128" s="458"/>
      <c r="T128" s="458"/>
      <c r="U128" s="458"/>
      <c r="V128" s="458"/>
      <c r="W128" s="458"/>
      <c r="X128" s="458"/>
      <c r="Y128" s="458"/>
      <c r="Z128" s="458"/>
      <c r="AA128" s="458"/>
      <c r="AB128" s="458"/>
      <c r="AC128" s="458"/>
      <c r="AD128" s="458"/>
    </row>
    <row r="129" spans="8:30" ht="15" thickTop="1" thickBot="1">
      <c r="H129" s="462" t="s">
        <v>2220</v>
      </c>
      <c r="K129" s="2208" t="s">
        <v>2015</v>
      </c>
      <c r="L129" s="2153"/>
      <c r="M129" s="2153"/>
      <c r="N129" s="2209" t="s">
        <v>2221</v>
      </c>
      <c r="O129" s="458"/>
      <c r="P129" s="458"/>
      <c r="Q129" s="458"/>
      <c r="R129" s="458"/>
      <c r="S129" s="458"/>
      <c r="T129" s="458"/>
      <c r="U129" s="458"/>
      <c r="V129" s="458"/>
      <c r="W129" s="458"/>
      <c r="X129" s="458"/>
      <c r="Y129" s="458"/>
      <c r="Z129" s="458"/>
      <c r="AA129" s="458"/>
      <c r="AB129" s="458"/>
      <c r="AC129" s="458"/>
      <c r="AD129" s="458"/>
    </row>
    <row r="130" spans="8:30" ht="12.75" customHeight="1" thickTop="1" thickBot="1">
      <c r="H130" s="458"/>
      <c r="I130" s="458"/>
      <c r="J130" s="458"/>
      <c r="K130" s="458"/>
      <c r="L130" s="458"/>
      <c r="M130" s="458"/>
      <c r="N130" s="458"/>
      <c r="O130" s="458"/>
      <c r="P130" s="458"/>
      <c r="Q130" s="458"/>
      <c r="R130" s="458"/>
      <c r="S130" s="458"/>
      <c r="T130" s="458"/>
      <c r="U130" s="458"/>
      <c r="V130" s="458"/>
      <c r="W130" s="458"/>
      <c r="X130" s="458"/>
      <c r="Y130" s="458"/>
      <c r="Z130" s="458"/>
      <c r="AA130" s="458"/>
      <c r="AB130" s="458"/>
      <c r="AC130" s="458"/>
      <c r="AD130" s="458"/>
    </row>
    <row r="131" spans="8:30" ht="12.75" customHeight="1">
      <c r="H131" s="2210"/>
      <c r="I131" s="3140" t="s">
        <v>33</v>
      </c>
      <c r="J131" s="3141"/>
      <c r="K131" s="3141"/>
      <c r="L131" s="3141"/>
      <c r="M131" s="3141"/>
      <c r="N131" s="3141"/>
      <c r="O131" s="3142"/>
      <c r="P131" s="3143" t="s">
        <v>841</v>
      </c>
      <c r="Q131" s="3144"/>
      <c r="R131" s="3144"/>
      <c r="S131" s="3144"/>
      <c r="T131" s="3144"/>
      <c r="U131" s="3144"/>
      <c r="V131" s="3145"/>
      <c r="W131" s="458"/>
      <c r="X131" s="458"/>
      <c r="Y131" s="458"/>
      <c r="Z131" s="458"/>
      <c r="AA131" s="458"/>
      <c r="AB131" s="458"/>
      <c r="AC131" s="458"/>
      <c r="AD131" s="458"/>
    </row>
    <row r="132" spans="8:30" ht="55.2">
      <c r="H132" s="2211" t="s">
        <v>2016</v>
      </c>
      <c r="I132" s="2212" t="s">
        <v>2017</v>
      </c>
      <c r="J132" s="2213" t="s">
        <v>2018</v>
      </c>
      <c r="K132" s="2213" t="s">
        <v>2019</v>
      </c>
      <c r="L132" s="2213" t="s">
        <v>2020</v>
      </c>
      <c r="M132" s="2266" t="s">
        <v>2021</v>
      </c>
      <c r="N132" s="2213" t="s">
        <v>2022</v>
      </c>
      <c r="O132" s="2272" t="s">
        <v>2023</v>
      </c>
      <c r="P132" s="2212" t="s">
        <v>2017</v>
      </c>
      <c r="Q132" s="2213" t="s">
        <v>2018</v>
      </c>
      <c r="R132" s="2213" t="s">
        <v>2019</v>
      </c>
      <c r="S132" s="2213" t="s">
        <v>2020</v>
      </c>
      <c r="T132" s="2266" t="s">
        <v>2021</v>
      </c>
      <c r="U132" s="2213" t="s">
        <v>2022</v>
      </c>
      <c r="V132" s="2269" t="s">
        <v>2023</v>
      </c>
      <c r="W132" s="458"/>
      <c r="X132" s="458"/>
      <c r="Y132" s="458"/>
      <c r="Z132" s="458"/>
      <c r="AA132" s="2214"/>
      <c r="AB132" s="458"/>
      <c r="AC132" s="458"/>
      <c r="AD132" s="458"/>
    </row>
    <row r="133" spans="8:30" ht="12.75" customHeight="1">
      <c r="H133" s="2215">
        <v>15</v>
      </c>
      <c r="I133" s="2216">
        <f>1-J133</f>
        <v>0.83643114344345604</v>
      </c>
      <c r="J133" s="2260">
        <v>0.16356885655654396</v>
      </c>
      <c r="K133" s="2217">
        <v>55858.722964530825</v>
      </c>
      <c r="L133" s="2217">
        <v>55230.815975006662</v>
      </c>
      <c r="M133" s="2267">
        <f>K133-L133</f>
        <v>627.90698952416278</v>
      </c>
      <c r="N133" s="2217">
        <f t="shared" ref="N133:N166" si="17">SUMPRODUCT(I133:J133,K133:L133)</f>
        <v>55756.016936230495</v>
      </c>
      <c r="O133" s="2273">
        <f t="shared" ref="O133:O166" si="18">N133-L133</f>
        <v>525.20096122383256</v>
      </c>
      <c r="P133" s="2218">
        <f t="shared" ref="P133:P166" si="19">1-Q133</f>
        <v>0.76917156791386743</v>
      </c>
      <c r="Q133" s="2258">
        <v>0.23082843208613257</v>
      </c>
      <c r="R133" s="2217">
        <v>25698.097184697879</v>
      </c>
      <c r="S133" s="2217">
        <v>25409.225295342498</v>
      </c>
      <c r="T133" s="2267">
        <f t="shared" ref="T133:T166" si="20">R133-S133</f>
        <v>288.87188935538143</v>
      </c>
      <c r="U133" s="2217">
        <f t="shared" ref="U133:U166" si="21">SUMPRODUCT(P133:Q133,R133:S133)</f>
        <v>25631.417339404219</v>
      </c>
      <c r="V133" s="2270">
        <f t="shared" ref="V133:V166" si="22">U133-S133</f>
        <v>222.19204406172139</v>
      </c>
      <c r="W133" s="458"/>
      <c r="X133" s="458"/>
      <c r="Y133" s="458"/>
      <c r="Z133" s="458"/>
      <c r="AA133" s="458"/>
      <c r="AB133" s="458"/>
    </row>
    <row r="134" spans="8:30" ht="12.75" customHeight="1">
      <c r="H134" s="2215">
        <v>20</v>
      </c>
      <c r="I134" s="2216">
        <f t="shared" ref="I134:I166" si="23">1-J134</f>
        <v>0.83643114344345604</v>
      </c>
      <c r="J134" s="2260">
        <v>0.16356885655654396</v>
      </c>
      <c r="K134" s="2217">
        <v>74612.226084082824</v>
      </c>
      <c r="L134" s="2217">
        <v>73772.020058434675</v>
      </c>
      <c r="M134" s="2267">
        <f t="shared" ref="M134:M166" si="24">K134-L134</f>
        <v>840.20602564814908</v>
      </c>
      <c r="N134" s="2217">
        <f t="shared" si="17"/>
        <v>74474.794545195633</v>
      </c>
      <c r="O134" s="2273">
        <f t="shared" si="18"/>
        <v>702.7744867609581</v>
      </c>
      <c r="P134" s="2218">
        <f t="shared" si="19"/>
        <v>0.76917156791386743</v>
      </c>
      <c r="Q134" s="2258">
        <v>0.23082843208613257</v>
      </c>
      <c r="R134" s="2217">
        <v>34325.744222489957</v>
      </c>
      <c r="S134" s="2217">
        <v>33939.203052975834</v>
      </c>
      <c r="T134" s="2267">
        <f t="shared" si="20"/>
        <v>386.54116951412288</v>
      </c>
      <c r="U134" s="2217">
        <f t="shared" si="21"/>
        <v>34236.519530394267</v>
      </c>
      <c r="V134" s="2270">
        <f t="shared" si="22"/>
        <v>297.31647741843335</v>
      </c>
      <c r="W134" s="458"/>
      <c r="X134" s="458"/>
      <c r="Y134" s="458"/>
      <c r="Z134" s="458"/>
      <c r="AA134" s="458"/>
      <c r="AB134" s="458"/>
    </row>
    <row r="135" spans="8:30" ht="12.75" customHeight="1">
      <c r="H135" s="2215">
        <v>25</v>
      </c>
      <c r="I135" s="2216">
        <f t="shared" si="23"/>
        <v>0.83643114344345604</v>
      </c>
      <c r="J135" s="2260">
        <v>0.16356885655654396</v>
      </c>
      <c r="K135" s="2217">
        <v>95663.320241077701</v>
      </c>
      <c r="L135" s="2217">
        <v>94595.11798947952</v>
      </c>
      <c r="M135" s="2267">
        <f t="shared" si="24"/>
        <v>1068.2022515981807</v>
      </c>
      <c r="N135" s="2217">
        <f t="shared" si="17"/>
        <v>95488.595620212654</v>
      </c>
      <c r="O135" s="2273">
        <f t="shared" si="18"/>
        <v>893.47763073313399</v>
      </c>
      <c r="P135" s="2218">
        <f t="shared" si="19"/>
        <v>0.76917156791386743</v>
      </c>
      <c r="Q135" s="2258">
        <v>0.23082843208613257</v>
      </c>
      <c r="R135" s="2217">
        <v>52111.334973429162</v>
      </c>
      <c r="S135" s="2217">
        <v>51529.445852163852</v>
      </c>
      <c r="T135" s="2267">
        <f t="shared" si="20"/>
        <v>581.88912126531068</v>
      </c>
      <c r="U135" s="2217">
        <f t="shared" si="21"/>
        <v>51977.018419919514</v>
      </c>
      <c r="V135" s="2270">
        <f t="shared" si="22"/>
        <v>447.57256775566202</v>
      </c>
      <c r="W135" s="458"/>
      <c r="X135" s="458"/>
      <c r="Y135" s="458"/>
      <c r="Z135" s="458"/>
      <c r="AA135" s="458"/>
      <c r="AB135" s="458"/>
    </row>
    <row r="136" spans="8:30" ht="12.75" customHeight="1">
      <c r="H136" s="2215">
        <v>30</v>
      </c>
      <c r="I136" s="2216">
        <f t="shared" si="23"/>
        <v>0.83643114344345604</v>
      </c>
      <c r="J136" s="2260">
        <v>0.16356885655654396</v>
      </c>
      <c r="K136" s="2217">
        <v>114579.86748066868</v>
      </c>
      <c r="L136" s="2217">
        <v>113429.24216434742</v>
      </c>
      <c r="M136" s="2267">
        <f t="shared" si="24"/>
        <v>1150.6253163212532</v>
      </c>
      <c r="N136" s="2217">
        <f t="shared" si="17"/>
        <v>114391.661013353</v>
      </c>
      <c r="O136" s="2273">
        <f t="shared" si="18"/>
        <v>962.41884900558216</v>
      </c>
      <c r="P136" s="2218">
        <f t="shared" si="19"/>
        <v>0.76917156791386743</v>
      </c>
      <c r="Q136" s="2258">
        <v>0.23082843208613257</v>
      </c>
      <c r="R136" s="2217">
        <v>62415.875180258983</v>
      </c>
      <c r="S136" s="2217">
        <v>61789.087178999776</v>
      </c>
      <c r="T136" s="2267">
        <f t="shared" si="20"/>
        <v>626.78800125920679</v>
      </c>
      <c r="U136" s="2217">
        <f t="shared" si="21"/>
        <v>62271.194688677919</v>
      </c>
      <c r="V136" s="2270">
        <f t="shared" si="22"/>
        <v>482.10750967814238</v>
      </c>
      <c r="W136" s="458"/>
      <c r="X136" s="458"/>
      <c r="Y136" s="458"/>
      <c r="Z136" s="458"/>
      <c r="AA136" s="458"/>
      <c r="AB136" s="458"/>
    </row>
    <row r="137" spans="8:30" ht="12.75" customHeight="1">
      <c r="H137" s="2215">
        <v>40</v>
      </c>
      <c r="I137" s="2216">
        <f t="shared" si="23"/>
        <v>0.83643114344345604</v>
      </c>
      <c r="J137" s="2260">
        <v>0.16356885655654396</v>
      </c>
      <c r="K137" s="2217">
        <v>151345.46078044863</v>
      </c>
      <c r="L137" s="2217">
        <v>150005.51891158705</v>
      </c>
      <c r="M137" s="2267">
        <f t="shared" si="24"/>
        <v>1339.9418688615842</v>
      </c>
      <c r="N137" s="2217">
        <f t="shared" si="17"/>
        <v>151126.28802110671</v>
      </c>
      <c r="O137" s="2273">
        <f t="shared" si="18"/>
        <v>1120.7691095196642</v>
      </c>
      <c r="P137" s="2218">
        <f t="shared" si="19"/>
        <v>0.76917156791386743</v>
      </c>
      <c r="Q137" s="2258">
        <v>0.23082843208613257</v>
      </c>
      <c r="R137" s="2217">
        <v>82443.448372507541</v>
      </c>
      <c r="S137" s="2217">
        <v>81713.532670259257</v>
      </c>
      <c r="T137" s="2267">
        <f t="shared" si="20"/>
        <v>729.9157022482832</v>
      </c>
      <c r="U137" s="2217">
        <f t="shared" si="21"/>
        <v>82274.963075402513</v>
      </c>
      <c r="V137" s="2270">
        <f t="shared" si="22"/>
        <v>561.43040514325548</v>
      </c>
      <c r="W137" s="458"/>
      <c r="X137" s="458"/>
      <c r="Y137" s="458"/>
      <c r="Z137" s="458"/>
      <c r="AA137" s="458"/>
      <c r="AB137" s="458"/>
    </row>
    <row r="138" spans="8:30" ht="12.75" customHeight="1">
      <c r="H138" s="2215">
        <v>50</v>
      </c>
      <c r="I138" s="2216">
        <f t="shared" si="23"/>
        <v>0.83643114344345604</v>
      </c>
      <c r="J138" s="2260">
        <v>0.16356885655654396</v>
      </c>
      <c r="K138" s="2217">
        <v>187548.10910466861</v>
      </c>
      <c r="L138" s="2217">
        <v>186106.05830117545</v>
      </c>
      <c r="M138" s="2267">
        <f t="shared" si="24"/>
        <v>1442.0508034931554</v>
      </c>
      <c r="N138" s="2217">
        <f t="shared" si="17"/>
        <v>187312.23450364478</v>
      </c>
      <c r="O138" s="2273">
        <f t="shared" si="18"/>
        <v>1206.1762024693307</v>
      </c>
      <c r="P138" s="2218">
        <f t="shared" si="19"/>
        <v>0.76917156791386743</v>
      </c>
      <c r="Q138" s="2258">
        <v>0.23082843208613257</v>
      </c>
      <c r="R138" s="2217">
        <v>102164.36469649053</v>
      </c>
      <c r="S138" s="2217">
        <v>101378.82649564033</v>
      </c>
      <c r="T138" s="2267">
        <f t="shared" si="20"/>
        <v>785.53820085020561</v>
      </c>
      <c r="U138" s="2217">
        <f t="shared" si="21"/>
        <v>101983.04014524452</v>
      </c>
      <c r="V138" s="2270">
        <f t="shared" si="22"/>
        <v>604.21364960419305</v>
      </c>
      <c r="W138" s="458"/>
      <c r="X138" s="458"/>
      <c r="Y138" s="458"/>
      <c r="Z138" s="458"/>
      <c r="AA138" s="458"/>
      <c r="AB138" s="458"/>
    </row>
    <row r="139" spans="8:30" ht="12.75" customHeight="1">
      <c r="H139" s="2215">
        <v>60</v>
      </c>
      <c r="I139" s="2216">
        <f t="shared" si="23"/>
        <v>0.83643114344345604</v>
      </c>
      <c r="J139" s="2260">
        <v>0.16356885655654396</v>
      </c>
      <c r="K139" s="2217">
        <v>230609.3411940154</v>
      </c>
      <c r="L139" s="2217">
        <v>229092.77641295342</v>
      </c>
      <c r="M139" s="2267">
        <f t="shared" si="24"/>
        <v>1516.5647810619848</v>
      </c>
      <c r="N139" s="2217">
        <f t="shared" si="17"/>
        <v>230361.27842688316</v>
      </c>
      <c r="O139" s="2273">
        <f t="shared" si="18"/>
        <v>1268.5020139297412</v>
      </c>
      <c r="P139" s="2218">
        <f t="shared" si="19"/>
        <v>0.76917156791386743</v>
      </c>
      <c r="Q139" s="2258">
        <v>0.23082843208613257</v>
      </c>
      <c r="R139" s="2217">
        <v>109356.07297689238</v>
      </c>
      <c r="S139" s="2217">
        <v>108636.91056996946</v>
      </c>
      <c r="T139" s="2267">
        <f t="shared" si="20"/>
        <v>719.16240692291467</v>
      </c>
      <c r="U139" s="2217">
        <f t="shared" si="21"/>
        <v>109190.06984608708</v>
      </c>
      <c r="V139" s="2270">
        <f t="shared" si="22"/>
        <v>553.15927611761435</v>
      </c>
      <c r="W139" s="458"/>
      <c r="X139" s="458"/>
      <c r="Y139" s="458"/>
      <c r="Z139" s="458"/>
      <c r="AA139" s="458"/>
      <c r="AB139" s="458"/>
    </row>
    <row r="140" spans="8:30" ht="12.75" customHeight="1">
      <c r="H140" s="2215">
        <v>75</v>
      </c>
      <c r="I140" s="2216">
        <f t="shared" si="23"/>
        <v>0.83643114344345604</v>
      </c>
      <c r="J140" s="2260">
        <v>0.16356885655654396</v>
      </c>
      <c r="K140" s="2217">
        <v>286363.74148454564</v>
      </c>
      <c r="L140" s="2217">
        <v>284802.95342751394</v>
      </c>
      <c r="M140" s="2267">
        <f t="shared" si="24"/>
        <v>1560.788057031692</v>
      </c>
      <c r="N140" s="2217">
        <f t="shared" si="17"/>
        <v>286108.44516672986</v>
      </c>
      <c r="O140" s="2273">
        <f t="shared" si="18"/>
        <v>1305.4917392159114</v>
      </c>
      <c r="P140" s="2218">
        <f t="shared" si="19"/>
        <v>0.76917156791386743</v>
      </c>
      <c r="Q140" s="2258">
        <v>0.23082843208613257</v>
      </c>
      <c r="R140" s="2217">
        <v>135795.0811947968</v>
      </c>
      <c r="S140" s="2217">
        <v>135054.94789498122</v>
      </c>
      <c r="T140" s="2267">
        <f t="shared" si="20"/>
        <v>740.13329981558491</v>
      </c>
      <c r="U140" s="2217">
        <f t="shared" si="21"/>
        <v>135624.23738566565</v>
      </c>
      <c r="V140" s="2270">
        <f t="shared" si="22"/>
        <v>569.28949068443035</v>
      </c>
      <c r="W140" s="458"/>
      <c r="X140" s="458"/>
      <c r="Y140" s="458"/>
      <c r="Z140" s="458"/>
      <c r="AA140" s="458"/>
      <c r="AB140" s="458"/>
    </row>
    <row r="141" spans="8:30" ht="12.75" customHeight="1">
      <c r="H141" s="2215">
        <v>100</v>
      </c>
      <c r="I141" s="2216">
        <f t="shared" si="23"/>
        <v>0.83643114344345604</v>
      </c>
      <c r="J141" s="2260">
        <v>0.16356885655654396</v>
      </c>
      <c r="K141" s="2217">
        <v>379879.98952898505</v>
      </c>
      <c r="L141" s="2217">
        <v>377819.95740869013</v>
      </c>
      <c r="M141" s="2267">
        <f t="shared" si="24"/>
        <v>2060.0321202949272</v>
      </c>
      <c r="N141" s="2217">
        <f t="shared" si="17"/>
        <v>379543.03243059863</v>
      </c>
      <c r="O141" s="2273">
        <f t="shared" si="18"/>
        <v>1723.0750219085021</v>
      </c>
      <c r="P141" s="2218">
        <f t="shared" si="19"/>
        <v>0.76917156791386743</v>
      </c>
      <c r="Q141" s="2258">
        <v>0.23082843208613257</v>
      </c>
      <c r="R141" s="2217">
        <v>180140.94156941667</v>
      </c>
      <c r="S141" s="2217">
        <v>179164.06430280072</v>
      </c>
      <c r="T141" s="2267">
        <f t="shared" si="20"/>
        <v>976.87726661594934</v>
      </c>
      <c r="U141" s="2217">
        <f t="shared" si="21"/>
        <v>179915.45052162313</v>
      </c>
      <c r="V141" s="2270">
        <f t="shared" si="22"/>
        <v>751.38621882241569</v>
      </c>
      <c r="W141" s="458"/>
      <c r="X141" s="2219" t="s">
        <v>2263</v>
      </c>
      <c r="Y141" s="2214"/>
      <c r="Z141" s="458"/>
      <c r="AA141" s="458"/>
      <c r="AB141" s="458"/>
    </row>
    <row r="142" spans="8:30" ht="12.75" customHeight="1">
      <c r="H142" s="2215">
        <v>125</v>
      </c>
      <c r="I142" s="2216">
        <f t="shared" si="23"/>
        <v>0.74234073156217784</v>
      </c>
      <c r="J142" s="2260">
        <v>0.25765926843782216</v>
      </c>
      <c r="K142" s="2217">
        <v>495724.09054157406</v>
      </c>
      <c r="L142" s="2217">
        <v>493042.85846437456</v>
      </c>
      <c r="M142" s="2267">
        <f t="shared" si="24"/>
        <v>2681.2320771995001</v>
      </c>
      <c r="N142" s="2217">
        <f t="shared" si="17"/>
        <v>495033.24624605081</v>
      </c>
      <c r="O142" s="2273">
        <f t="shared" si="18"/>
        <v>1990.3877816762542</v>
      </c>
      <c r="P142" s="2218">
        <f t="shared" si="19"/>
        <v>0.49584002611128464</v>
      </c>
      <c r="Q142" s="2258">
        <v>0.50415997388871536</v>
      </c>
      <c r="R142" s="2217">
        <v>207207.88533446204</v>
      </c>
      <c r="S142" s="2217">
        <v>206087.15620427096</v>
      </c>
      <c r="T142" s="2267">
        <f t="shared" si="20"/>
        <v>1120.7291301910882</v>
      </c>
      <c r="U142" s="2217">
        <f t="shared" si="21"/>
        <v>206642.85856544861</v>
      </c>
      <c r="V142" s="2270">
        <f t="shared" si="22"/>
        <v>555.70236117765307</v>
      </c>
      <c r="W142" s="458"/>
      <c r="X142" s="3149">
        <v>2018</v>
      </c>
      <c r="Y142" s="3149"/>
      <c r="Z142" s="458"/>
      <c r="AA142" s="458"/>
      <c r="AB142" s="458"/>
    </row>
    <row r="143" spans="8:30" ht="12.75" customHeight="1">
      <c r="H143" s="2215">
        <v>150</v>
      </c>
      <c r="I143" s="2216">
        <f t="shared" si="23"/>
        <v>0.74234073156217784</v>
      </c>
      <c r="J143" s="2260">
        <v>0.25765926843782216</v>
      </c>
      <c r="K143" s="2217">
        <v>592059.92014887731</v>
      </c>
      <c r="L143" s="2217">
        <v>588872.67456799583</v>
      </c>
      <c r="M143" s="2267">
        <f t="shared" si="24"/>
        <v>3187.2455808814848</v>
      </c>
      <c r="N143" s="2217">
        <f t="shared" si="17"/>
        <v>591238.6967841757</v>
      </c>
      <c r="O143" s="2273">
        <f t="shared" si="18"/>
        <v>2366.0222161798738</v>
      </c>
      <c r="P143" s="2218">
        <f t="shared" si="19"/>
        <v>0.49584002611128464</v>
      </c>
      <c r="Q143" s="2258">
        <v>0.50415997388871536</v>
      </c>
      <c r="R143" s="2217">
        <v>247475.33231905894</v>
      </c>
      <c r="S143" s="2217">
        <v>246143.09442814966</v>
      </c>
      <c r="T143" s="2267">
        <f t="shared" si="20"/>
        <v>1332.2378909092804</v>
      </c>
      <c r="U143" s="2217">
        <f t="shared" si="21"/>
        <v>246803.67129876456</v>
      </c>
      <c r="V143" s="2270">
        <f t="shared" si="22"/>
        <v>660.5768706148956</v>
      </c>
      <c r="W143" s="458"/>
      <c r="X143" s="2220" t="s">
        <v>33</v>
      </c>
      <c r="Y143" s="2220" t="s">
        <v>841</v>
      </c>
      <c r="Z143" s="458"/>
      <c r="AA143" s="458"/>
      <c r="AB143" s="458"/>
    </row>
    <row r="144" spans="8:30" ht="12.75" customHeight="1">
      <c r="H144" s="2215">
        <v>200</v>
      </c>
      <c r="I144" s="2216">
        <f t="shared" si="23"/>
        <v>0.74234073156217784</v>
      </c>
      <c r="J144" s="2260">
        <v>0.25765926843782216</v>
      </c>
      <c r="K144" s="2217">
        <v>787358.74347501108</v>
      </c>
      <c r="L144" s="2217">
        <v>783131.11455228343</v>
      </c>
      <c r="M144" s="2267">
        <f t="shared" si="24"/>
        <v>4227.6289227276575</v>
      </c>
      <c r="N144" s="2217">
        <f t="shared" si="17"/>
        <v>786269.45569955453</v>
      </c>
      <c r="O144" s="2273">
        <f t="shared" si="18"/>
        <v>3138.3411472711014</v>
      </c>
      <c r="P144" s="2218">
        <f t="shared" si="19"/>
        <v>0.49584002611128464</v>
      </c>
      <c r="Q144" s="2258">
        <v>0.50415997388871536</v>
      </c>
      <c r="R144" s="2217">
        <v>329108.3555306333</v>
      </c>
      <c r="S144" s="2217">
        <v>327341.24744415685</v>
      </c>
      <c r="T144" s="2267">
        <f t="shared" si="20"/>
        <v>1767.1080864764517</v>
      </c>
      <c r="U144" s="2217">
        <f t="shared" si="21"/>
        <v>328217.45036389679</v>
      </c>
      <c r="V144" s="2270">
        <f t="shared" si="22"/>
        <v>876.20291973993881</v>
      </c>
      <c r="W144" s="458"/>
      <c r="X144" s="2205">
        <f>SUMPRODUCT(O134:O166,$Q$184:$Q$216)/$Q$219</f>
        <v>4120.7632607365431</v>
      </c>
      <c r="Y144" s="2205">
        <f>SUMPRODUCT(V134:V166,$R$184:$R$216)/$R$219</f>
        <v>1525.1799412101707</v>
      </c>
      <c r="Z144" s="458"/>
      <c r="AA144" s="458"/>
      <c r="AB144" s="458"/>
    </row>
    <row r="145" spans="8:30" ht="12.75" customHeight="1">
      <c r="H145" s="2215">
        <v>250</v>
      </c>
      <c r="I145" s="2216">
        <f t="shared" si="23"/>
        <v>0.74234073156217784</v>
      </c>
      <c r="J145" s="2260">
        <v>0.25765926843782216</v>
      </c>
      <c r="K145" s="2217">
        <v>964377.77052643639</v>
      </c>
      <c r="L145" s="2217">
        <v>959260.80120901822</v>
      </c>
      <c r="M145" s="2267">
        <f t="shared" si="24"/>
        <v>5116.9693174181739</v>
      </c>
      <c r="N145" s="2217">
        <f t="shared" si="17"/>
        <v>963059.33595549164</v>
      </c>
      <c r="O145" s="2273">
        <f t="shared" si="18"/>
        <v>3798.5347464734223</v>
      </c>
      <c r="P145" s="2218">
        <f t="shared" si="19"/>
        <v>0.49584002611128464</v>
      </c>
      <c r="Q145" s="2258">
        <v>0.50415997388871536</v>
      </c>
      <c r="R145" s="2217">
        <v>515804.53443174536</v>
      </c>
      <c r="S145" s="2217">
        <v>513067.68580547348</v>
      </c>
      <c r="T145" s="2267">
        <f t="shared" si="20"/>
        <v>2736.8486262718798</v>
      </c>
      <c r="U145" s="2217">
        <f t="shared" si="21"/>
        <v>514424.72489978676</v>
      </c>
      <c r="V145" s="2270">
        <f t="shared" si="22"/>
        <v>1357.0390943132807</v>
      </c>
      <c r="W145" s="458"/>
      <c r="X145" s="3149" t="s">
        <v>2024</v>
      </c>
      <c r="Y145" s="3149"/>
      <c r="Z145" s="458"/>
      <c r="AA145" s="458"/>
      <c r="AB145" s="458"/>
    </row>
    <row r="146" spans="8:30" ht="12.75" customHeight="1">
      <c r="H146" s="2215">
        <v>300</v>
      </c>
      <c r="I146" s="2216">
        <f t="shared" si="23"/>
        <v>0.74234073156217784</v>
      </c>
      <c r="J146" s="2260">
        <v>0.25765926843782216</v>
      </c>
      <c r="K146" s="2217">
        <v>1154248.6554229001</v>
      </c>
      <c r="L146" s="2217">
        <v>1148140.0521248784</v>
      </c>
      <c r="M146" s="2267">
        <f t="shared" si="24"/>
        <v>6108.6032980217133</v>
      </c>
      <c r="N146" s="2217">
        <f t="shared" si="17"/>
        <v>1152674.7171659549</v>
      </c>
      <c r="O146" s="2273">
        <f t="shared" si="18"/>
        <v>4534.6650410764851</v>
      </c>
      <c r="P146" s="2218">
        <f t="shared" si="19"/>
        <v>0.49584002611128464</v>
      </c>
      <c r="Q146" s="2258">
        <v>0.50415997388871536</v>
      </c>
      <c r="R146" s="2217">
        <v>617358.37192086782</v>
      </c>
      <c r="S146" s="2217">
        <v>614091.14057599322</v>
      </c>
      <c r="T146" s="2267">
        <f t="shared" si="20"/>
        <v>3267.231344874599</v>
      </c>
      <c r="U146" s="2217">
        <f t="shared" si="21"/>
        <v>615711.16465134744</v>
      </c>
      <c r="V146" s="2270">
        <f t="shared" si="22"/>
        <v>1620.0240753542166</v>
      </c>
      <c r="W146" s="458"/>
      <c r="X146" s="3150">
        <f>SUMPRODUCT(X144:Y144,$Q$219:$R$219)/SUM($Q$219:$R$219)</f>
        <v>2853.8714023962898</v>
      </c>
      <c r="Y146" s="3150"/>
      <c r="Z146" s="458"/>
      <c r="AA146" s="458"/>
      <c r="AB146" s="458"/>
    </row>
    <row r="147" spans="8:30" ht="12.75" customHeight="1">
      <c r="H147" s="2215">
        <v>350</v>
      </c>
      <c r="I147" s="2216">
        <f t="shared" si="23"/>
        <v>0.74234073156217784</v>
      </c>
      <c r="J147" s="2260">
        <v>0.25765926843782216</v>
      </c>
      <c r="K147" s="2217">
        <v>1346128.4851360661</v>
      </c>
      <c r="L147" s="2217">
        <v>1339007.0052576531</v>
      </c>
      <c r="M147" s="2267">
        <f t="shared" si="24"/>
        <v>7121.4798784130253</v>
      </c>
      <c r="N147" s="2217">
        <f t="shared" si="17"/>
        <v>1344293.5698403995</v>
      </c>
      <c r="O147" s="2273">
        <f t="shared" si="18"/>
        <v>5286.5645827464759</v>
      </c>
      <c r="P147" s="2218">
        <f t="shared" si="19"/>
        <v>0.49584002611128464</v>
      </c>
      <c r="Q147" s="2258">
        <v>0.50415997388871536</v>
      </c>
      <c r="R147" s="2217">
        <v>719986.70830196759</v>
      </c>
      <c r="S147" s="2217">
        <v>716177.73247795552</v>
      </c>
      <c r="T147" s="2267">
        <f t="shared" si="20"/>
        <v>3808.9758240120718</v>
      </c>
      <c r="U147" s="2217">
        <f t="shared" si="21"/>
        <v>718066.3751499909</v>
      </c>
      <c r="V147" s="2270">
        <f t="shared" si="22"/>
        <v>1888.6426720353775</v>
      </c>
      <c r="W147" s="458"/>
      <c r="X147" s="458"/>
      <c r="Y147" s="458"/>
      <c r="Z147" s="458"/>
      <c r="AA147" s="458"/>
      <c r="AB147" s="458"/>
    </row>
    <row r="148" spans="8:30" ht="12.75" customHeight="1">
      <c r="H148" s="2215">
        <v>400</v>
      </c>
      <c r="I148" s="2216">
        <f t="shared" si="23"/>
        <v>0.74234073156217784</v>
      </c>
      <c r="J148" s="2260">
        <v>0.25765926843782216</v>
      </c>
      <c r="K148" s="2217">
        <v>1532339.9286038727</v>
      </c>
      <c r="L148" s="2217">
        <v>1524265.2617817814</v>
      </c>
      <c r="M148" s="2267">
        <f t="shared" si="24"/>
        <v>8074.6668220912106</v>
      </c>
      <c r="N148" s="2217">
        <f t="shared" si="17"/>
        <v>1530259.4158576136</v>
      </c>
      <c r="O148" s="2273">
        <f t="shared" si="18"/>
        <v>5994.1540758321062</v>
      </c>
      <c r="P148" s="2218">
        <f t="shared" si="19"/>
        <v>0.49584002611128464</v>
      </c>
      <c r="Q148" s="2258">
        <v>0.50415997388871536</v>
      </c>
      <c r="R148" s="2217">
        <v>819583.26666243677</v>
      </c>
      <c r="S148" s="2217">
        <v>815264.4717999351</v>
      </c>
      <c r="T148" s="2267">
        <f t="shared" si="20"/>
        <v>4318.7948625016725</v>
      </c>
      <c r="U148" s="2217">
        <f t="shared" si="21"/>
        <v>817405.90315732721</v>
      </c>
      <c r="V148" s="2270">
        <f t="shared" si="22"/>
        <v>2141.4313573921099</v>
      </c>
      <c r="W148" s="458"/>
      <c r="X148" s="458"/>
      <c r="Y148" s="458"/>
      <c r="Z148" s="458"/>
      <c r="AA148" s="458"/>
      <c r="AB148" s="458"/>
    </row>
    <row r="149" spans="8:30" ht="12.75" customHeight="1">
      <c r="H149" s="2215">
        <v>450</v>
      </c>
      <c r="I149" s="2216">
        <f t="shared" si="23"/>
        <v>0.74234073156217784</v>
      </c>
      <c r="J149" s="2260">
        <v>0.25765926843782216</v>
      </c>
      <c r="K149" s="2217">
        <v>1722433.0738643862</v>
      </c>
      <c r="L149" s="2217">
        <v>1713364.301749547</v>
      </c>
      <c r="M149" s="2267">
        <f t="shared" si="24"/>
        <v>9068.772114839172</v>
      </c>
      <c r="N149" s="2217">
        <f t="shared" si="17"/>
        <v>1720096.4206756474</v>
      </c>
      <c r="O149" s="2273">
        <f t="shared" si="18"/>
        <v>6732.1189261004329</v>
      </c>
      <c r="P149" s="2218">
        <f t="shared" si="19"/>
        <v>0.49584002611128464</v>
      </c>
      <c r="Q149" s="2258">
        <v>0.50415997388871536</v>
      </c>
      <c r="R149" s="2217">
        <v>921255.98173989123</v>
      </c>
      <c r="S149" s="2217">
        <v>916405.48235933343</v>
      </c>
      <c r="T149" s="2267">
        <f t="shared" si="20"/>
        <v>4850.4993805577978</v>
      </c>
      <c r="U149" s="2217">
        <f t="shared" si="21"/>
        <v>918810.55409884197</v>
      </c>
      <c r="V149" s="2270">
        <f t="shared" si="22"/>
        <v>2405.0717395085376</v>
      </c>
      <c r="W149" s="458"/>
      <c r="X149" s="458"/>
      <c r="Y149" s="458"/>
      <c r="Z149" s="458"/>
      <c r="AA149" s="458"/>
      <c r="AB149" s="458"/>
      <c r="AC149" s="458"/>
      <c r="AD149" s="458"/>
    </row>
    <row r="150" spans="8:30" ht="12.75" customHeight="1">
      <c r="H150" s="2215">
        <v>500</v>
      </c>
      <c r="I150" s="2216">
        <f t="shared" si="23"/>
        <v>0.74234073156217784</v>
      </c>
      <c r="J150" s="2260">
        <v>0.25765926843782216</v>
      </c>
      <c r="K150" s="2217">
        <v>1915152.1413198761</v>
      </c>
      <c r="L150" s="2217">
        <v>1905061.6747331931</v>
      </c>
      <c r="M150" s="2267">
        <f t="shared" si="24"/>
        <v>10090.466586682945</v>
      </c>
      <c r="N150" s="2217">
        <f t="shared" si="17"/>
        <v>1912552.2390809548</v>
      </c>
      <c r="O150" s="2273">
        <f t="shared" si="18"/>
        <v>7490.5643477616832</v>
      </c>
      <c r="P150" s="2218">
        <f t="shared" si="19"/>
        <v>0.49584002611128464</v>
      </c>
      <c r="Q150" s="2258">
        <v>0.50415997388871536</v>
      </c>
      <c r="R150" s="2217">
        <v>1024333.1905921188</v>
      </c>
      <c r="S150" s="2217">
        <v>1018936.2304184082</v>
      </c>
      <c r="T150" s="2267">
        <f t="shared" si="20"/>
        <v>5396.9601737105986</v>
      </c>
      <c r="U150" s="2217">
        <f t="shared" si="21"/>
        <v>1021612.2592918624</v>
      </c>
      <c r="V150" s="2270">
        <f t="shared" si="22"/>
        <v>2676.0288734541973</v>
      </c>
      <c r="W150" s="458"/>
      <c r="X150" s="458"/>
      <c r="Y150" s="458"/>
      <c r="Z150" s="458"/>
      <c r="AA150" s="458"/>
      <c r="AB150" s="458"/>
      <c r="AC150" s="458"/>
      <c r="AD150" s="458"/>
    </row>
    <row r="151" spans="8:30" ht="12.75" customHeight="1">
      <c r="H151" s="2215">
        <v>600</v>
      </c>
      <c r="I151" s="2216">
        <f t="shared" si="23"/>
        <v>0.75809935205183587</v>
      </c>
      <c r="J151" s="2260">
        <v>0.24190064794816415</v>
      </c>
      <c r="K151" s="2217">
        <v>2519300.4397011739</v>
      </c>
      <c r="L151" s="2217">
        <v>2505928.3566878983</v>
      </c>
      <c r="M151" s="2267">
        <f t="shared" si="24"/>
        <v>13372.083013275638</v>
      </c>
      <c r="N151" s="2217">
        <f t="shared" si="17"/>
        <v>2516065.7241558461</v>
      </c>
      <c r="O151" s="2273">
        <f t="shared" si="18"/>
        <v>10137.36746794777</v>
      </c>
      <c r="P151" s="2218">
        <f t="shared" si="19"/>
        <v>0.66461159062885322</v>
      </c>
      <c r="Q151" s="2258">
        <v>0.33538840937114672</v>
      </c>
      <c r="R151" s="2217">
        <v>1166191.6072572037</v>
      </c>
      <c r="S151" s="2217">
        <v>1160001.6305732483</v>
      </c>
      <c r="T151" s="2267">
        <f t="shared" si="20"/>
        <v>6189.9766839554068</v>
      </c>
      <c r="U151" s="2217">
        <f t="shared" si="21"/>
        <v>1164115.5608231274</v>
      </c>
      <c r="V151" s="2270">
        <f t="shared" si="22"/>
        <v>4113.9302498791367</v>
      </c>
      <c r="W151" s="458"/>
      <c r="X151" s="458"/>
      <c r="Y151" s="458"/>
      <c r="Z151" s="458"/>
      <c r="AA151" s="458"/>
      <c r="AB151" s="458"/>
      <c r="AC151" s="458"/>
      <c r="AD151" s="458"/>
    </row>
    <row r="152" spans="8:30" ht="12.75" customHeight="1">
      <c r="H152" s="2215">
        <v>700</v>
      </c>
      <c r="I152" s="2216">
        <f t="shared" si="23"/>
        <v>0.75809935205183587</v>
      </c>
      <c r="J152" s="2260">
        <v>0.24190064794816415</v>
      </c>
      <c r="K152" s="2217">
        <v>2932923.6038338663</v>
      </c>
      <c r="L152" s="2217">
        <v>2917389.0508474582</v>
      </c>
      <c r="M152" s="2267">
        <f t="shared" si="24"/>
        <v>15534.552986408118</v>
      </c>
      <c r="N152" s="2217">
        <f t="shared" si="17"/>
        <v>2929165.7854008693</v>
      </c>
      <c r="O152" s="2273">
        <f t="shared" si="18"/>
        <v>11776.734553411137</v>
      </c>
      <c r="P152" s="2218">
        <f t="shared" si="19"/>
        <v>0.66461159062885322</v>
      </c>
      <c r="Q152" s="2258">
        <v>0.33538840937114672</v>
      </c>
      <c r="R152" s="2217">
        <v>1357658.9904153356</v>
      </c>
      <c r="S152" s="2217">
        <v>1350468.0000000002</v>
      </c>
      <c r="T152" s="2267">
        <f t="shared" si="20"/>
        <v>7190.9904153354</v>
      </c>
      <c r="U152" s="2217">
        <f t="shared" si="21"/>
        <v>1355247.2155781332</v>
      </c>
      <c r="V152" s="2270">
        <f t="shared" si="22"/>
        <v>4779.2155781330075</v>
      </c>
      <c r="W152" s="458"/>
      <c r="X152" s="458"/>
      <c r="Y152" s="458"/>
      <c r="Z152" s="458"/>
      <c r="AA152" s="458"/>
      <c r="AB152" s="458"/>
      <c r="AC152" s="458"/>
      <c r="AD152" s="458"/>
    </row>
    <row r="153" spans="8:30" ht="12.75" customHeight="1">
      <c r="H153" s="2215">
        <v>800</v>
      </c>
      <c r="I153" s="2216">
        <f t="shared" si="23"/>
        <v>0.75809935205183587</v>
      </c>
      <c r="J153" s="2260">
        <v>0.24190064794816415</v>
      </c>
      <c r="K153" s="2217">
        <v>3348346.8255319148</v>
      </c>
      <c r="L153" s="2217">
        <v>3330630.7047619051</v>
      </c>
      <c r="M153" s="2267">
        <f t="shared" si="24"/>
        <v>17716.1207700097</v>
      </c>
      <c r="N153" s="2217">
        <f t="shared" si="17"/>
        <v>3344061.2844385216</v>
      </c>
      <c r="O153" s="2273">
        <f t="shared" si="18"/>
        <v>13430.579676616471</v>
      </c>
      <c r="P153" s="2218">
        <f t="shared" si="19"/>
        <v>0.66461159062885322</v>
      </c>
      <c r="Q153" s="2258">
        <v>0.33538840937114672</v>
      </c>
      <c r="R153" s="2217">
        <v>1549959.6255319149</v>
      </c>
      <c r="S153" s="2217">
        <v>1541758.780952381</v>
      </c>
      <c r="T153" s="2267">
        <f t="shared" si="20"/>
        <v>8200.8445795339067</v>
      </c>
      <c r="U153" s="2217">
        <f t="shared" si="21"/>
        <v>1547209.1573128849</v>
      </c>
      <c r="V153" s="2270">
        <f t="shared" si="22"/>
        <v>5450.3763605039567</v>
      </c>
      <c r="W153" s="458"/>
      <c r="X153" s="458"/>
      <c r="Y153" s="458"/>
      <c r="Z153" s="458"/>
      <c r="AA153" s="458"/>
      <c r="AB153" s="458"/>
      <c r="AC153" s="458"/>
      <c r="AD153" s="458"/>
    </row>
    <row r="154" spans="8:30" ht="12.75" customHeight="1">
      <c r="H154" s="2215">
        <v>900</v>
      </c>
      <c r="I154" s="2216">
        <f t="shared" si="23"/>
        <v>0.75809935205183587</v>
      </c>
      <c r="J154" s="2260">
        <v>0.24190064794816415</v>
      </c>
      <c r="K154" s="2217">
        <v>3762887.107332625</v>
      </c>
      <c r="L154" s="2217">
        <v>3742998.6976744188</v>
      </c>
      <c r="M154" s="2267">
        <f t="shared" si="24"/>
        <v>19888.409658206161</v>
      </c>
      <c r="N154" s="2217">
        <f t="shared" si="17"/>
        <v>3758076.0881496463</v>
      </c>
      <c r="O154" s="2273">
        <f t="shared" si="18"/>
        <v>15077.390475227498</v>
      </c>
      <c r="P154" s="2218">
        <f t="shared" si="19"/>
        <v>0.66461159062885322</v>
      </c>
      <c r="Q154" s="2258">
        <v>0.33538840937114672</v>
      </c>
      <c r="R154" s="2217">
        <v>1741851.5451647185</v>
      </c>
      <c r="S154" s="2217">
        <v>1732645.1416490488</v>
      </c>
      <c r="T154" s="2267">
        <f t="shared" si="20"/>
        <v>9206.40351566975</v>
      </c>
      <c r="U154" s="2217">
        <f t="shared" si="21"/>
        <v>1738763.8241335691</v>
      </c>
      <c r="V154" s="2270">
        <f t="shared" si="22"/>
        <v>6118.6824845203664</v>
      </c>
      <c r="W154" s="458"/>
      <c r="X154" s="458"/>
      <c r="Y154" s="458"/>
      <c r="Z154" s="458"/>
      <c r="AA154" s="458"/>
      <c r="AB154" s="458"/>
      <c r="AC154" s="458"/>
      <c r="AD154" s="458"/>
    </row>
    <row r="155" spans="8:30" ht="12.75" customHeight="1">
      <c r="H155" s="2215">
        <v>1000</v>
      </c>
      <c r="I155" s="2216">
        <f t="shared" si="23"/>
        <v>0.75809935205183587</v>
      </c>
      <c r="J155" s="2260">
        <v>0.24190064794816415</v>
      </c>
      <c r="K155" s="2217">
        <v>4172118.260869565</v>
      </c>
      <c r="L155" s="2217">
        <v>4150113.4177215188</v>
      </c>
      <c r="M155" s="2267">
        <f t="shared" si="24"/>
        <v>22004.843148046173</v>
      </c>
      <c r="N155" s="2217">
        <f t="shared" si="17"/>
        <v>4166795.2750540553</v>
      </c>
      <c r="O155" s="2273">
        <f t="shared" si="18"/>
        <v>16681.857332536485</v>
      </c>
      <c r="P155" s="2218">
        <f t="shared" si="19"/>
        <v>0.66461159062885322</v>
      </c>
      <c r="Q155" s="2258">
        <v>0.33538840937114672</v>
      </c>
      <c r="R155" s="2217">
        <v>1931285.8536585364</v>
      </c>
      <c r="S155" s="2217">
        <v>1921099.746835443</v>
      </c>
      <c r="T155" s="2267">
        <f t="shared" si="20"/>
        <v>10186.106823093491</v>
      </c>
      <c r="U155" s="2217">
        <f t="shared" si="21"/>
        <v>1927869.5514934545</v>
      </c>
      <c r="V155" s="2270">
        <f t="shared" si="22"/>
        <v>6769.8046580115333</v>
      </c>
      <c r="W155" s="458"/>
      <c r="X155" s="458"/>
      <c r="Y155" s="458"/>
      <c r="Z155" s="458"/>
      <c r="AA155" s="458"/>
      <c r="AB155" s="458"/>
      <c r="AC155" s="458"/>
      <c r="AD155" s="458"/>
    </row>
    <row r="156" spans="8:30" ht="12.75" customHeight="1">
      <c r="H156" s="2215">
        <v>1250</v>
      </c>
      <c r="I156" s="2216">
        <f t="shared" si="23"/>
        <v>0.75809935205183587</v>
      </c>
      <c r="J156" s="2260">
        <v>0.24190064794816415</v>
      </c>
      <c r="K156" s="2217">
        <v>4464132.0634920644</v>
      </c>
      <c r="L156" s="2217">
        <v>4440636.6315789474</v>
      </c>
      <c r="M156" s="2267">
        <f t="shared" si="24"/>
        <v>23495.431913116947</v>
      </c>
      <c r="N156" s="2217">
        <f t="shared" si="17"/>
        <v>4458448.503288459</v>
      </c>
      <c r="O156" s="2273">
        <f t="shared" si="18"/>
        <v>17811.871709511615</v>
      </c>
      <c r="P156" s="2218">
        <f t="shared" si="19"/>
        <v>0.66461159062885322</v>
      </c>
      <c r="Q156" s="2258">
        <v>0.33538840937114672</v>
      </c>
      <c r="R156" s="2217">
        <v>2010989.7142857141</v>
      </c>
      <c r="S156" s="2217">
        <v>2000405.5578947368</v>
      </c>
      <c r="T156" s="2267">
        <f t="shared" si="20"/>
        <v>10584.156390977325</v>
      </c>
      <c r="U156" s="2217">
        <f t="shared" si="21"/>
        <v>2007439.9109092087</v>
      </c>
      <c r="V156" s="2270">
        <f t="shared" si="22"/>
        <v>7034.3530144719407</v>
      </c>
      <c r="W156" s="458"/>
      <c r="X156" s="458"/>
      <c r="Y156" s="458"/>
      <c r="Z156" s="458"/>
      <c r="AA156" s="458"/>
      <c r="AB156" s="458"/>
      <c r="AC156" s="458"/>
      <c r="AD156" s="458"/>
    </row>
    <row r="157" spans="8:30" ht="12.75" customHeight="1">
      <c r="H157" s="2215">
        <v>1500</v>
      </c>
      <c r="I157" s="2216">
        <f t="shared" si="23"/>
        <v>0.75809935205183587</v>
      </c>
      <c r="J157" s="2260">
        <v>0.24190064794816415</v>
      </c>
      <c r="K157" s="2217">
        <v>5351295.7293868922</v>
      </c>
      <c r="L157" s="2217">
        <v>5323160.6309148269</v>
      </c>
      <c r="M157" s="2267">
        <f t="shared" si="24"/>
        <v>28135.098472065292</v>
      </c>
      <c r="N157" s="2217">
        <f t="shared" si="17"/>
        <v>5344489.8308364144</v>
      </c>
      <c r="O157" s="2273">
        <f t="shared" si="18"/>
        <v>21329.199921587482</v>
      </c>
      <c r="P157" s="2218">
        <f t="shared" si="19"/>
        <v>0.66461159062885322</v>
      </c>
      <c r="Q157" s="2258">
        <v>0.33538840937114672</v>
      </c>
      <c r="R157" s="2217">
        <v>2410636.7188160676</v>
      </c>
      <c r="S157" s="2217">
        <v>2397962.498422713</v>
      </c>
      <c r="T157" s="2267">
        <f t="shared" si="20"/>
        <v>12674.220393354539</v>
      </c>
      <c r="U157" s="2217">
        <f t="shared" si="21"/>
        <v>2406385.932198321</v>
      </c>
      <c r="V157" s="2270">
        <f t="shared" si="22"/>
        <v>8423.4337756079622</v>
      </c>
      <c r="W157" s="458"/>
      <c r="X157" s="458"/>
      <c r="Y157" s="458"/>
      <c r="Z157" s="458"/>
      <c r="AA157" s="458"/>
      <c r="AB157" s="458"/>
      <c r="AC157" s="458"/>
      <c r="AD157" s="458"/>
    </row>
    <row r="158" spans="8:30" ht="12.75" customHeight="1">
      <c r="H158" s="2215">
        <v>1750</v>
      </c>
      <c r="I158" s="2216">
        <f t="shared" si="23"/>
        <v>0.75809935205183587</v>
      </c>
      <c r="J158" s="2260">
        <v>0.24190064794816415</v>
      </c>
      <c r="K158" s="2217">
        <v>6230007.0886075962</v>
      </c>
      <c r="L158" s="2217">
        <v>6197320.7974816384</v>
      </c>
      <c r="M158" s="2267">
        <f t="shared" si="24"/>
        <v>32686.291125957854</v>
      </c>
      <c r="N158" s="2217">
        <f t="shared" si="17"/>
        <v>6222100.2536052046</v>
      </c>
      <c r="O158" s="2273">
        <f t="shared" si="18"/>
        <v>24779.456123566255</v>
      </c>
      <c r="P158" s="2218">
        <f t="shared" si="19"/>
        <v>0.66461159062885322</v>
      </c>
      <c r="Q158" s="2258">
        <v>0.33538840937114672</v>
      </c>
      <c r="R158" s="2217">
        <v>2806476.1518987347</v>
      </c>
      <c r="S158" s="2217">
        <v>2791751.7229800634</v>
      </c>
      <c r="T158" s="2267">
        <f t="shared" si="20"/>
        <v>14724.428918671329</v>
      </c>
      <c r="U158" s="2217">
        <f t="shared" si="21"/>
        <v>2801537.749104803</v>
      </c>
      <c r="V158" s="2270">
        <f t="shared" si="22"/>
        <v>9786.0261247395538</v>
      </c>
      <c r="W158" s="458"/>
      <c r="X158" s="458"/>
      <c r="Y158" s="458"/>
      <c r="Z158" s="458"/>
      <c r="AA158" s="458"/>
      <c r="AB158" s="458"/>
      <c r="AC158" s="458"/>
      <c r="AD158" s="458"/>
    </row>
    <row r="159" spans="8:30" ht="12.75" customHeight="1">
      <c r="H159" s="2215">
        <v>2000</v>
      </c>
      <c r="I159" s="2216">
        <f t="shared" si="23"/>
        <v>0.75809935205183587</v>
      </c>
      <c r="J159" s="2260">
        <v>0.24190064794816415</v>
      </c>
      <c r="K159" s="2217">
        <v>7105018.6105263159</v>
      </c>
      <c r="L159" s="2217">
        <v>7067819.5602094242</v>
      </c>
      <c r="M159" s="2267">
        <f t="shared" si="24"/>
        <v>37199.050316891633</v>
      </c>
      <c r="N159" s="2217">
        <f t="shared" si="17"/>
        <v>7096020.1361516034</v>
      </c>
      <c r="O159" s="2273">
        <f t="shared" si="18"/>
        <v>28200.575942179188</v>
      </c>
      <c r="P159" s="2218">
        <f t="shared" si="19"/>
        <v>0.66461159062885322</v>
      </c>
      <c r="Q159" s="2258">
        <v>0.33538840937114672</v>
      </c>
      <c r="R159" s="2217">
        <v>3200648.8926315792</v>
      </c>
      <c r="S159" s="2217">
        <v>3183891.5685863877</v>
      </c>
      <c r="T159" s="2267">
        <f t="shared" si="20"/>
        <v>16757.324045191519</v>
      </c>
      <c r="U159" s="2217">
        <f t="shared" si="21"/>
        <v>3195028.6803747453</v>
      </c>
      <c r="V159" s="2270">
        <f t="shared" si="22"/>
        <v>11137.111788357608</v>
      </c>
      <c r="W159" s="458"/>
      <c r="X159" s="458"/>
      <c r="Y159" s="458"/>
      <c r="Z159" s="458"/>
      <c r="AA159" s="458"/>
      <c r="AB159" s="458"/>
      <c r="AC159" s="458"/>
      <c r="AD159" s="458"/>
    </row>
    <row r="160" spans="8:30" ht="12.75" customHeight="1">
      <c r="H160" s="2215">
        <v>2250</v>
      </c>
      <c r="I160" s="2216">
        <f t="shared" si="23"/>
        <v>0.75809935205183587</v>
      </c>
      <c r="J160" s="2260">
        <v>0.24190064794816415</v>
      </c>
      <c r="K160" s="2217">
        <v>7967983.8824763913</v>
      </c>
      <c r="L160" s="2217">
        <v>7926397.32776618</v>
      </c>
      <c r="M160" s="2267">
        <f t="shared" si="24"/>
        <v>41586.554710211232</v>
      </c>
      <c r="N160" s="2217">
        <f t="shared" si="17"/>
        <v>7957924.0679460596</v>
      </c>
      <c r="O160" s="2273">
        <f t="shared" si="18"/>
        <v>31526.740179879591</v>
      </c>
      <c r="P160" s="2218">
        <f t="shared" si="19"/>
        <v>0.66461159062885322</v>
      </c>
      <c r="Q160" s="2258">
        <v>0.33538840937114672</v>
      </c>
      <c r="R160" s="2217">
        <v>3589395.0724029387</v>
      </c>
      <c r="S160" s="2217">
        <v>3570661.2776617957</v>
      </c>
      <c r="T160" s="2267">
        <f t="shared" si="20"/>
        <v>18733.794741143007</v>
      </c>
      <c r="U160" s="2217">
        <f t="shared" si="21"/>
        <v>3583111.9747832208</v>
      </c>
      <c r="V160" s="2270">
        <f t="shared" si="22"/>
        <v>12450.697121425066</v>
      </c>
      <c r="W160" s="458"/>
      <c r="X160" s="458"/>
      <c r="Y160" s="458"/>
      <c r="Z160" s="458"/>
      <c r="AA160" s="458"/>
      <c r="AB160" s="458"/>
      <c r="AC160" s="458"/>
      <c r="AD160" s="458"/>
    </row>
    <row r="161" spans="8:31" ht="12.75" customHeight="1">
      <c r="H161" s="2215">
        <v>2500</v>
      </c>
      <c r="I161" s="2216">
        <f t="shared" si="23"/>
        <v>0.75809935205183587</v>
      </c>
      <c r="J161" s="2260">
        <v>0.24190064794816415</v>
      </c>
      <c r="K161" s="2217">
        <v>8844035.220125787</v>
      </c>
      <c r="L161" s="2217">
        <v>8797924.5046923887</v>
      </c>
      <c r="M161" s="2267">
        <f t="shared" si="24"/>
        <v>46110.715433398262</v>
      </c>
      <c r="N161" s="2217">
        <f t="shared" si="17"/>
        <v>8832881.0081850942</v>
      </c>
      <c r="O161" s="2273">
        <f t="shared" si="18"/>
        <v>34956.503492705524</v>
      </c>
      <c r="P161" s="2218">
        <f t="shared" si="19"/>
        <v>0.66461159062885322</v>
      </c>
      <c r="Q161" s="2258">
        <v>0.33538840937114672</v>
      </c>
      <c r="R161" s="2217">
        <v>3984036.2264150945</v>
      </c>
      <c r="S161" s="2217">
        <v>3963264.4004171011</v>
      </c>
      <c r="T161" s="2267">
        <f t="shared" si="20"/>
        <v>20771.82599799335</v>
      </c>
      <c r="U161" s="2217">
        <f t="shared" si="21"/>
        <v>3977069.5967338933</v>
      </c>
      <c r="V161" s="2270">
        <f t="shared" si="22"/>
        <v>13805.196316792164</v>
      </c>
      <c r="W161" s="458"/>
      <c r="X161" s="458"/>
      <c r="Y161" s="458"/>
      <c r="Z161" s="458"/>
      <c r="AA161" s="458"/>
      <c r="AB161" s="458"/>
      <c r="AC161" s="458"/>
      <c r="AD161" s="458"/>
    </row>
    <row r="162" spans="8:31" ht="12.75" customHeight="1">
      <c r="H162" s="2215">
        <v>3000</v>
      </c>
      <c r="I162" s="2216">
        <f t="shared" si="23"/>
        <v>0.75809935205183587</v>
      </c>
      <c r="J162" s="2260">
        <v>0.24190064794816415</v>
      </c>
      <c r="K162" s="2217">
        <v>10579573.1661442</v>
      </c>
      <c r="L162" s="2217">
        <v>10524585.779625779</v>
      </c>
      <c r="M162" s="2267">
        <f t="shared" si="24"/>
        <v>54987.386518420652</v>
      </c>
      <c r="N162" s="2217">
        <f t="shared" si="17"/>
        <v>10566271.681716418</v>
      </c>
      <c r="O162" s="2273">
        <f t="shared" si="18"/>
        <v>41685.902090638876</v>
      </c>
      <c r="P162" s="2218">
        <f t="shared" si="19"/>
        <v>0.66461159062885322</v>
      </c>
      <c r="Q162" s="2258">
        <v>0.33538840937114672</v>
      </c>
      <c r="R162" s="2217">
        <v>4765856.5015673982</v>
      </c>
      <c r="S162" s="2217">
        <v>4741085.9376299381</v>
      </c>
      <c r="T162" s="2267">
        <f t="shared" si="20"/>
        <v>24770.563937460072</v>
      </c>
      <c r="U162" s="2217">
        <f t="shared" si="21"/>
        <v>4757548.7415291872</v>
      </c>
      <c r="V162" s="2270">
        <f t="shared" si="22"/>
        <v>16462.803899249062</v>
      </c>
      <c r="W162" s="458"/>
      <c r="X162" s="458"/>
      <c r="Y162" s="458"/>
      <c r="Z162" s="458"/>
      <c r="AA162" s="458"/>
      <c r="AB162" s="458"/>
      <c r="AC162" s="458"/>
      <c r="AD162" s="458"/>
    </row>
    <row r="163" spans="8:31" ht="12.75" customHeight="1">
      <c r="H163" s="2215">
        <v>3500</v>
      </c>
      <c r="I163" s="2216">
        <f t="shared" si="23"/>
        <v>0.75809935205183587</v>
      </c>
      <c r="J163" s="2260">
        <v>0.24190064794816415</v>
      </c>
      <c r="K163" s="2217">
        <v>12329951.398747394</v>
      </c>
      <c r="L163" s="2217">
        <v>12265932.959501561</v>
      </c>
      <c r="M163" s="2267">
        <f t="shared" si="24"/>
        <v>64018.439245833084</v>
      </c>
      <c r="N163" s="2217">
        <f t="shared" si="17"/>
        <v>12314465.296813197</v>
      </c>
      <c r="O163" s="2273">
        <f t="shared" si="18"/>
        <v>48532.337311636657</v>
      </c>
      <c r="P163" s="2218">
        <f t="shared" si="19"/>
        <v>0.66461159062885322</v>
      </c>
      <c r="Q163" s="2258">
        <v>0.33538840937114672</v>
      </c>
      <c r="R163" s="2217">
        <v>5554361.9874739042</v>
      </c>
      <c r="S163" s="2217">
        <v>5525523.140186917</v>
      </c>
      <c r="T163" s="2267">
        <f t="shared" si="20"/>
        <v>28838.847286987118</v>
      </c>
      <c r="U163" s="2217">
        <f t="shared" si="21"/>
        <v>5544689.7723542238</v>
      </c>
      <c r="V163" s="2270">
        <f t="shared" si="22"/>
        <v>19166.632167306729</v>
      </c>
      <c r="W163" s="458"/>
      <c r="X163" s="458"/>
      <c r="Y163" s="458"/>
      <c r="Z163" s="458"/>
      <c r="AA163" s="458"/>
      <c r="AB163" s="458"/>
      <c r="AC163" s="458"/>
      <c r="AD163" s="458"/>
    </row>
    <row r="164" spans="8:31" ht="12.75" customHeight="1">
      <c r="H164" s="2215">
        <v>4000</v>
      </c>
      <c r="I164" s="2216">
        <f t="shared" si="23"/>
        <v>0.75809935205183587</v>
      </c>
      <c r="J164" s="2260">
        <v>0.24190064794816415</v>
      </c>
      <c r="K164" s="2217">
        <v>14091373.027139874</v>
      </c>
      <c r="L164" s="2217">
        <v>14018209.096573208</v>
      </c>
      <c r="M164" s="2267">
        <f t="shared" si="24"/>
        <v>73163.930566666648</v>
      </c>
      <c r="N164" s="2217">
        <f t="shared" si="17"/>
        <v>14073674.624929365</v>
      </c>
      <c r="O164" s="2273">
        <f t="shared" si="18"/>
        <v>55465.528356157243</v>
      </c>
      <c r="P164" s="2218">
        <f t="shared" si="19"/>
        <v>0.66461159062885322</v>
      </c>
      <c r="Q164" s="2258">
        <v>0.33538840937114672</v>
      </c>
      <c r="R164" s="2217">
        <v>6347842.2713987473</v>
      </c>
      <c r="S164" s="2217">
        <v>6314883.5887850467</v>
      </c>
      <c r="T164" s="2267">
        <f t="shared" si="20"/>
        <v>32958.682613700628</v>
      </c>
      <c r="U164" s="2217">
        <f t="shared" si="21"/>
        <v>6336788.3112619687</v>
      </c>
      <c r="V164" s="2270">
        <f t="shared" si="22"/>
        <v>21904.722476921976</v>
      </c>
      <c r="W164" s="458"/>
      <c r="X164" s="458"/>
      <c r="Y164" s="458"/>
      <c r="Z164" s="458"/>
      <c r="AA164" s="458"/>
      <c r="AB164" s="458"/>
      <c r="AC164" s="458"/>
      <c r="AD164" s="458"/>
    </row>
    <row r="165" spans="8:31" ht="12.75" customHeight="1">
      <c r="H165" s="2215">
        <v>4500</v>
      </c>
      <c r="I165" s="2216">
        <f t="shared" si="23"/>
        <v>0.75809935205183587</v>
      </c>
      <c r="J165" s="2260">
        <v>0.24190064794816415</v>
      </c>
      <c r="K165" s="2217">
        <v>15836264.108446298</v>
      </c>
      <c r="L165" s="2217">
        <v>15754125.809128631</v>
      </c>
      <c r="M165" s="2267">
        <f t="shared" si="24"/>
        <v>82138.299317667261</v>
      </c>
      <c r="N165" s="2217">
        <f t="shared" si="17"/>
        <v>15816394.800619995</v>
      </c>
      <c r="O165" s="2273">
        <f t="shared" si="18"/>
        <v>62268.991491364315</v>
      </c>
      <c r="P165" s="2218">
        <f t="shared" si="19"/>
        <v>0.66461159062885322</v>
      </c>
      <c r="Q165" s="2258">
        <v>0.33538840937114672</v>
      </c>
      <c r="R165" s="2217">
        <v>7133875.9207507828</v>
      </c>
      <c r="S165" s="2217">
        <v>7096874.4896265566</v>
      </c>
      <c r="T165" s="2267">
        <f t="shared" si="20"/>
        <v>37001.43112422619</v>
      </c>
      <c r="U165" s="2217">
        <f t="shared" si="21"/>
        <v>7121466.0696215723</v>
      </c>
      <c r="V165" s="2270">
        <f t="shared" si="22"/>
        <v>24591.579995015636</v>
      </c>
      <c r="W165" s="458"/>
      <c r="X165" s="458"/>
      <c r="Y165" s="458"/>
      <c r="Z165" s="458"/>
      <c r="AA165" s="458"/>
      <c r="AB165" s="458"/>
      <c r="AC165" s="458"/>
      <c r="AD165" s="458"/>
    </row>
    <row r="166" spans="8:31" ht="12.75" customHeight="1" thickBot="1">
      <c r="H166" s="2221">
        <v>5000</v>
      </c>
      <c r="I166" s="2222">
        <f t="shared" si="23"/>
        <v>0.75809935205183587</v>
      </c>
      <c r="J166" s="2261">
        <v>0.24190064794816415</v>
      </c>
      <c r="K166" s="2223">
        <v>17577520</v>
      </c>
      <c r="L166" s="2223">
        <v>17486444.766839378</v>
      </c>
      <c r="M166" s="2268">
        <f t="shared" si="24"/>
        <v>91075.233160622418</v>
      </c>
      <c r="N166" s="2223">
        <f t="shared" si="17"/>
        <v>17555488.842086416</v>
      </c>
      <c r="O166" s="2274">
        <f t="shared" si="18"/>
        <v>69044.075247038156</v>
      </c>
      <c r="P166" s="2224">
        <f t="shared" si="19"/>
        <v>0.66461159062885322</v>
      </c>
      <c r="Q166" s="2259">
        <v>0.33538840937114672</v>
      </c>
      <c r="R166" s="2223">
        <v>7918272</v>
      </c>
      <c r="S166" s="2223">
        <v>7877244.6839378234</v>
      </c>
      <c r="T166" s="2268">
        <f t="shared" si="20"/>
        <v>41027.3160621766</v>
      </c>
      <c r="U166" s="2223">
        <f t="shared" si="21"/>
        <v>7904511.9137251386</v>
      </c>
      <c r="V166" s="2271">
        <f t="shared" si="22"/>
        <v>27267.229787315242</v>
      </c>
      <c r="W166" s="458"/>
      <c r="X166" s="458"/>
      <c r="Y166" s="458"/>
      <c r="Z166" s="458"/>
      <c r="AA166" s="458"/>
      <c r="AB166" s="458"/>
      <c r="AC166" s="458"/>
      <c r="AD166" s="458"/>
    </row>
    <row r="167" spans="8:31" ht="12.75" customHeight="1">
      <c r="H167" s="458"/>
      <c r="I167" s="458"/>
      <c r="J167" s="458"/>
      <c r="K167" s="458"/>
      <c r="L167" s="458"/>
      <c r="M167" s="458"/>
      <c r="N167" s="458"/>
      <c r="O167" s="458"/>
      <c r="P167" s="458"/>
      <c r="Q167" s="458"/>
      <c r="R167" s="458"/>
      <c r="S167" s="458"/>
      <c r="T167" s="458"/>
      <c r="U167" s="458"/>
      <c r="V167" s="458"/>
      <c r="W167" s="458"/>
      <c r="X167" s="458"/>
      <c r="Y167" s="458"/>
      <c r="Z167" s="458"/>
      <c r="AA167" s="458"/>
      <c r="AB167" s="458"/>
      <c r="AC167" s="458"/>
      <c r="AD167" s="458"/>
    </row>
    <row r="168" spans="8:31" ht="12.75" customHeight="1">
      <c r="H168" s="458"/>
      <c r="I168" s="458"/>
      <c r="J168" s="458"/>
      <c r="K168" s="458"/>
      <c r="L168" s="458"/>
      <c r="M168" s="458"/>
      <c r="N168" s="458"/>
      <c r="O168" s="458"/>
      <c r="P168" s="458"/>
      <c r="Q168" s="458"/>
      <c r="R168" s="458"/>
      <c r="S168" s="458"/>
      <c r="T168" s="458"/>
      <c r="U168" s="458"/>
      <c r="V168" s="458"/>
      <c r="W168" s="458"/>
      <c r="X168" s="458"/>
      <c r="Y168" s="458"/>
      <c r="Z168" s="458"/>
      <c r="AA168" s="458"/>
      <c r="AB168" s="458"/>
      <c r="AC168" s="458"/>
      <c r="AD168" s="458"/>
    </row>
    <row r="169" spans="8:31" ht="12.75" customHeight="1">
      <c r="H169" s="458"/>
      <c r="I169" s="458"/>
      <c r="J169" s="458"/>
      <c r="K169" s="458"/>
      <c r="L169" s="458"/>
      <c r="M169" s="458"/>
      <c r="N169" s="458"/>
      <c r="O169" s="458"/>
      <c r="P169" s="458"/>
      <c r="Q169" s="458"/>
      <c r="R169" s="458"/>
      <c r="S169" s="458"/>
      <c r="T169" s="458"/>
      <c r="U169" s="458"/>
      <c r="V169" s="458"/>
      <c r="W169" s="458"/>
      <c r="X169" s="458"/>
      <c r="Y169" s="458"/>
      <c r="Z169" s="458"/>
      <c r="AA169" s="458"/>
      <c r="AB169" s="458"/>
      <c r="AC169" s="458"/>
      <c r="AD169" s="458"/>
    </row>
    <row r="170" spans="8:31" ht="14.4" thickBot="1">
      <c r="H170" s="2225" t="s">
        <v>2025</v>
      </c>
      <c r="I170" s="2225"/>
      <c r="J170" s="2225"/>
      <c r="K170" s="2225"/>
      <c r="L170" s="2225"/>
      <c r="M170" s="2225"/>
      <c r="N170" s="2225"/>
      <c r="O170" s="2225"/>
      <c r="P170" s="2225"/>
      <c r="Q170" s="2225"/>
      <c r="R170" s="458"/>
      <c r="S170" s="458"/>
      <c r="T170" s="458"/>
      <c r="U170" s="458"/>
      <c r="V170" s="458"/>
      <c r="W170" s="458"/>
      <c r="X170" s="458"/>
      <c r="Y170" s="458"/>
      <c r="Z170" s="458"/>
      <c r="AA170" s="458"/>
      <c r="AB170" s="458"/>
      <c r="AC170" s="458"/>
      <c r="AD170" s="458"/>
      <c r="AE170" s="458"/>
    </row>
    <row r="171" spans="8:31" ht="12.75" customHeight="1" thickTop="1">
      <c r="H171" s="458"/>
      <c r="I171" s="458"/>
      <c r="J171" s="458"/>
      <c r="K171" s="458"/>
      <c r="L171" s="458"/>
      <c r="M171" s="458"/>
      <c r="N171" s="458"/>
      <c r="O171" s="458"/>
      <c r="P171" s="458"/>
      <c r="Q171" s="458"/>
      <c r="R171" s="458"/>
      <c r="S171" s="458"/>
      <c r="T171" s="458"/>
      <c r="U171" s="458"/>
      <c r="V171" s="458"/>
      <c r="W171" s="458"/>
      <c r="X171" s="458"/>
      <c r="Y171" s="458"/>
      <c r="Z171" s="458"/>
      <c r="AA171" s="458"/>
      <c r="AB171" s="458"/>
      <c r="AC171" s="458"/>
      <c r="AD171" s="458"/>
      <c r="AE171" s="458"/>
    </row>
    <row r="172" spans="8:31" ht="12.75" customHeight="1">
      <c r="H172" s="458"/>
      <c r="I172" s="458"/>
      <c r="J172" s="458"/>
      <c r="K172" s="458"/>
      <c r="L172" s="458"/>
      <c r="M172" s="458"/>
      <c r="N172" s="458"/>
      <c r="O172" s="458"/>
      <c r="P172" s="458"/>
      <c r="Q172" s="458"/>
      <c r="R172" s="458"/>
      <c r="S172" s="458"/>
      <c r="V172" s="462"/>
    </row>
    <row r="173" spans="8:31" ht="18.75" customHeight="1">
      <c r="H173" s="3122">
        <v>2018</v>
      </c>
      <c r="I173" s="3122"/>
      <c r="J173" s="3122"/>
      <c r="K173" s="3122"/>
      <c r="L173" s="3122"/>
      <c r="M173" s="3122"/>
      <c r="N173" s="3122"/>
      <c r="O173" s="3122"/>
      <c r="P173" s="3122"/>
      <c r="Q173" s="3122"/>
      <c r="R173" s="3122"/>
      <c r="S173" s="458"/>
      <c r="T173" s="458"/>
      <c r="U173" s="458"/>
      <c r="V173" s="462"/>
    </row>
    <row r="174" spans="8:31" ht="12.75" customHeight="1">
      <c r="H174" s="458"/>
      <c r="I174" s="458"/>
      <c r="J174" s="458"/>
      <c r="K174" s="458"/>
      <c r="L174" s="458"/>
      <c r="M174" s="458"/>
      <c r="N174" s="458"/>
      <c r="O174" s="458"/>
      <c r="P174" s="458"/>
      <c r="Q174" s="458"/>
      <c r="R174" s="458"/>
      <c r="S174" s="458"/>
      <c r="V174" s="462"/>
    </row>
    <row r="175" spans="8:31" ht="12.75" customHeight="1" thickBot="1">
      <c r="H175" s="458"/>
      <c r="I175" s="458"/>
      <c r="J175" s="458"/>
      <c r="K175" s="458"/>
      <c r="L175" s="458"/>
      <c r="M175" s="3123" t="s">
        <v>2026</v>
      </c>
      <c r="N175" s="3123"/>
      <c r="O175" s="458"/>
      <c r="P175" s="458"/>
      <c r="Q175" s="458"/>
      <c r="R175" s="458"/>
      <c r="S175" s="458"/>
      <c r="V175" s="462"/>
    </row>
    <row r="176" spans="8:31" ht="12.75" customHeight="1" thickBot="1">
      <c r="H176" s="458"/>
      <c r="I176" s="458"/>
      <c r="J176" s="458"/>
      <c r="K176" s="458"/>
      <c r="L176" s="458"/>
      <c r="M176" s="2226" t="s">
        <v>2027</v>
      </c>
      <c r="N176" s="2226" t="s">
        <v>2028</v>
      </c>
      <c r="O176" s="458"/>
      <c r="P176" s="458"/>
      <c r="Q176" s="458"/>
      <c r="R176" s="458"/>
      <c r="S176" s="458"/>
      <c r="V176" s="462"/>
    </row>
    <row r="177" spans="8:22" ht="12.75" customHeight="1" thickBot="1">
      <c r="H177" s="458"/>
      <c r="I177" s="458"/>
      <c r="J177" s="458"/>
      <c r="K177" s="458"/>
      <c r="L177" s="458"/>
      <c r="M177" s="2227">
        <v>352.42857142857139</v>
      </c>
      <c r="N177" s="2228">
        <v>260</v>
      </c>
      <c r="O177" s="458"/>
      <c r="P177" s="458"/>
      <c r="Q177" s="458"/>
      <c r="R177" s="458"/>
      <c r="S177" s="458"/>
      <c r="V177" s="462"/>
    </row>
    <row r="178" spans="8:22" ht="12.75" customHeight="1" thickBot="1">
      <c r="H178" s="458"/>
      <c r="I178" s="458"/>
      <c r="J178" s="458"/>
      <c r="K178" s="458"/>
      <c r="L178" s="458"/>
      <c r="M178" s="458"/>
      <c r="N178" s="458"/>
      <c r="O178" s="458"/>
      <c r="P178" s="458"/>
      <c r="Q178" s="458"/>
      <c r="R178" s="458"/>
      <c r="S178" s="458"/>
      <c r="V178" s="462"/>
    </row>
    <row r="179" spans="8:22" ht="12.75" customHeight="1">
      <c r="H179" s="3124" t="s">
        <v>2029</v>
      </c>
      <c r="I179" s="3125"/>
      <c r="J179" s="3125"/>
      <c r="K179" s="3125"/>
      <c r="L179" s="3125"/>
      <c r="M179" s="3125"/>
      <c r="N179" s="3125"/>
      <c r="O179" s="3125"/>
      <c r="P179" s="3125"/>
      <c r="Q179" s="3125"/>
      <c r="R179" s="3126"/>
      <c r="S179" s="458"/>
      <c r="V179" s="462"/>
    </row>
    <row r="180" spans="8:22" ht="12.75" customHeight="1">
      <c r="H180" s="3127" t="s">
        <v>2016</v>
      </c>
      <c r="I180" s="3130" t="s">
        <v>2030</v>
      </c>
      <c r="J180" s="3131"/>
      <c r="K180" s="3131"/>
      <c r="L180" s="3132"/>
      <c r="M180" s="3133" t="s">
        <v>2031</v>
      </c>
      <c r="N180" s="3133"/>
      <c r="O180" s="3133"/>
      <c r="P180" s="3133"/>
      <c r="Q180" s="3133"/>
      <c r="R180" s="3134"/>
      <c r="S180" s="458"/>
      <c r="V180" s="462"/>
    </row>
    <row r="181" spans="8:22" ht="12.75" customHeight="1">
      <c r="H181" s="3128"/>
      <c r="I181" s="3130" t="s">
        <v>840</v>
      </c>
      <c r="J181" s="3132"/>
      <c r="K181" s="3130" t="s">
        <v>842</v>
      </c>
      <c r="L181" s="3132"/>
      <c r="M181" s="3130" t="s">
        <v>840</v>
      </c>
      <c r="N181" s="3132"/>
      <c r="O181" s="3130" t="s">
        <v>842</v>
      </c>
      <c r="P181" s="3151"/>
      <c r="Q181" s="3135" t="s">
        <v>1651</v>
      </c>
      <c r="R181" s="3136"/>
      <c r="S181" s="458"/>
      <c r="V181" s="462"/>
    </row>
    <row r="182" spans="8:22" ht="12.75" customHeight="1">
      <c r="H182" s="3129"/>
      <c r="I182" s="2204" t="s">
        <v>33</v>
      </c>
      <c r="J182" s="2204" t="s">
        <v>841</v>
      </c>
      <c r="K182" s="2204" t="s">
        <v>33</v>
      </c>
      <c r="L182" s="2204" t="s">
        <v>841</v>
      </c>
      <c r="M182" s="2204" t="s">
        <v>33</v>
      </c>
      <c r="N182" s="2204" t="s">
        <v>841</v>
      </c>
      <c r="O182" s="2204" t="s">
        <v>33</v>
      </c>
      <c r="P182" s="2229" t="s">
        <v>841</v>
      </c>
      <c r="Q182" s="2220" t="s">
        <v>33</v>
      </c>
      <c r="R182" s="2230" t="s">
        <v>841</v>
      </c>
      <c r="S182" s="458"/>
      <c r="V182" s="462"/>
    </row>
    <row r="183" spans="8:22" ht="12.75" customHeight="1">
      <c r="H183" s="904">
        <v>15</v>
      </c>
      <c r="I183" s="905">
        <v>5</v>
      </c>
      <c r="J183" s="905">
        <v>3</v>
      </c>
      <c r="K183" s="905"/>
      <c r="L183" s="905"/>
      <c r="M183" s="906">
        <f>I183/$N$177*$M$177</f>
        <v>6.7774725274725274</v>
      </c>
      <c r="N183" s="906">
        <f t="shared" ref="N183:N216" si="25">J183/$N$177*$M$177</f>
        <v>4.0664835164835162</v>
      </c>
      <c r="O183" s="906">
        <f t="shared" ref="O183:O216" si="26">K183/$N$177*$M$177</f>
        <v>0</v>
      </c>
      <c r="P183" s="907">
        <f t="shared" ref="P183:P216" si="27">L183/$N$177*$M$177</f>
        <v>0</v>
      </c>
      <c r="Q183" s="906">
        <f t="shared" ref="Q183:R215" si="28">M183+O183</f>
        <v>6.7774725274725274</v>
      </c>
      <c r="R183" s="907">
        <f t="shared" si="28"/>
        <v>4.0664835164835162</v>
      </c>
      <c r="S183" s="458"/>
      <c r="V183" s="462"/>
    </row>
    <row r="184" spans="8:22" ht="12.75" customHeight="1">
      <c r="H184" s="904">
        <v>20</v>
      </c>
      <c r="I184" s="905">
        <v>1</v>
      </c>
      <c r="J184" s="905">
        <v>5</v>
      </c>
      <c r="K184" s="905"/>
      <c r="L184" s="905"/>
      <c r="M184" s="906">
        <f t="shared" ref="M184:M216" si="29">I184/$N$177*$M$177</f>
        <v>1.3554945054945053</v>
      </c>
      <c r="N184" s="906">
        <f t="shared" si="25"/>
        <v>6.7774725274725274</v>
      </c>
      <c r="O184" s="906">
        <f t="shared" si="26"/>
        <v>0</v>
      </c>
      <c r="P184" s="907">
        <f t="shared" si="27"/>
        <v>0</v>
      </c>
      <c r="Q184" s="906">
        <f t="shared" si="28"/>
        <v>1.3554945054945053</v>
      </c>
      <c r="R184" s="907">
        <f t="shared" si="28"/>
        <v>6.7774725274725274</v>
      </c>
      <c r="S184" s="458"/>
      <c r="V184" s="462"/>
    </row>
    <row r="185" spans="8:22" ht="12.75" customHeight="1">
      <c r="H185" s="904">
        <v>25</v>
      </c>
      <c r="I185" s="905">
        <v>1</v>
      </c>
      <c r="J185" s="905">
        <v>4</v>
      </c>
      <c r="K185" s="905"/>
      <c r="L185" s="905"/>
      <c r="M185" s="906">
        <f t="shared" si="29"/>
        <v>1.3554945054945053</v>
      </c>
      <c r="N185" s="906">
        <f t="shared" si="25"/>
        <v>5.4219780219780214</v>
      </c>
      <c r="O185" s="906">
        <f t="shared" si="26"/>
        <v>0</v>
      </c>
      <c r="P185" s="907">
        <f t="shared" si="27"/>
        <v>0</v>
      </c>
      <c r="Q185" s="906">
        <f t="shared" si="28"/>
        <v>1.3554945054945053</v>
      </c>
      <c r="R185" s="907">
        <f t="shared" si="28"/>
        <v>5.4219780219780214</v>
      </c>
      <c r="S185" s="458"/>
      <c r="V185" s="462"/>
    </row>
    <row r="186" spans="8:22" ht="12.75" customHeight="1">
      <c r="H186" s="904">
        <v>30</v>
      </c>
      <c r="I186" s="905">
        <v>8</v>
      </c>
      <c r="J186" s="905">
        <v>3</v>
      </c>
      <c r="K186" s="905"/>
      <c r="L186" s="905"/>
      <c r="M186" s="906">
        <f t="shared" si="29"/>
        <v>10.843956043956043</v>
      </c>
      <c r="N186" s="906">
        <f t="shared" si="25"/>
        <v>4.0664835164835162</v>
      </c>
      <c r="O186" s="906">
        <f t="shared" si="26"/>
        <v>0</v>
      </c>
      <c r="P186" s="907">
        <f t="shared" si="27"/>
        <v>0</v>
      </c>
      <c r="Q186" s="906">
        <f t="shared" si="28"/>
        <v>10.843956043956043</v>
      </c>
      <c r="R186" s="907">
        <f t="shared" si="28"/>
        <v>4.0664835164835162</v>
      </c>
      <c r="S186" s="458"/>
      <c r="V186" s="462"/>
    </row>
    <row r="187" spans="8:22" ht="12.75" customHeight="1">
      <c r="H187" s="904">
        <v>40</v>
      </c>
      <c r="I187" s="905">
        <v>5</v>
      </c>
      <c r="J187" s="905">
        <v>8</v>
      </c>
      <c r="K187" s="905"/>
      <c r="L187" s="905"/>
      <c r="M187" s="906">
        <f t="shared" si="29"/>
        <v>6.7774725274725274</v>
      </c>
      <c r="N187" s="906">
        <f t="shared" si="25"/>
        <v>10.843956043956043</v>
      </c>
      <c r="O187" s="906">
        <f t="shared" si="26"/>
        <v>0</v>
      </c>
      <c r="P187" s="907">
        <f t="shared" si="27"/>
        <v>0</v>
      </c>
      <c r="Q187" s="906">
        <f t="shared" si="28"/>
        <v>6.7774725274725274</v>
      </c>
      <c r="R187" s="907">
        <f t="shared" si="28"/>
        <v>10.843956043956043</v>
      </c>
      <c r="S187" s="458"/>
      <c r="V187" s="462"/>
    </row>
    <row r="188" spans="8:22" ht="12.75" customHeight="1">
      <c r="H188" s="904">
        <v>50</v>
      </c>
      <c r="I188" s="905">
        <v>3</v>
      </c>
      <c r="J188" s="905">
        <v>9</v>
      </c>
      <c r="K188" s="905"/>
      <c r="L188" s="905"/>
      <c r="M188" s="906">
        <f t="shared" si="29"/>
        <v>4.0664835164835162</v>
      </c>
      <c r="N188" s="906">
        <f t="shared" si="25"/>
        <v>12.199450549450548</v>
      </c>
      <c r="O188" s="906">
        <f t="shared" si="26"/>
        <v>0</v>
      </c>
      <c r="P188" s="907">
        <f t="shared" si="27"/>
        <v>0</v>
      </c>
      <c r="Q188" s="906">
        <f t="shared" si="28"/>
        <v>4.0664835164835162</v>
      </c>
      <c r="R188" s="907">
        <f t="shared" si="28"/>
        <v>12.199450549450548</v>
      </c>
      <c r="S188" s="458"/>
      <c r="V188" s="462"/>
    </row>
    <row r="189" spans="8:22" ht="12.75" customHeight="1">
      <c r="H189" s="904">
        <v>60</v>
      </c>
      <c r="I189" s="905">
        <v>6</v>
      </c>
      <c r="J189" s="905">
        <v>8</v>
      </c>
      <c r="K189" s="905"/>
      <c r="L189" s="905"/>
      <c r="M189" s="906">
        <f t="shared" si="29"/>
        <v>8.1329670329670325</v>
      </c>
      <c r="N189" s="906">
        <f t="shared" si="25"/>
        <v>10.843956043956043</v>
      </c>
      <c r="O189" s="906">
        <f t="shared" si="26"/>
        <v>0</v>
      </c>
      <c r="P189" s="907">
        <f t="shared" si="27"/>
        <v>0</v>
      </c>
      <c r="Q189" s="906">
        <f t="shared" si="28"/>
        <v>8.1329670329670325</v>
      </c>
      <c r="R189" s="907">
        <f t="shared" si="28"/>
        <v>10.843956043956043</v>
      </c>
      <c r="S189" s="458"/>
      <c r="V189" s="462"/>
    </row>
    <row r="190" spans="8:22" ht="12.75" customHeight="1">
      <c r="H190" s="904">
        <v>75</v>
      </c>
      <c r="I190" s="905">
        <v>14</v>
      </c>
      <c r="J190" s="905">
        <v>6</v>
      </c>
      <c r="K190" s="905"/>
      <c r="L190" s="905"/>
      <c r="M190" s="906">
        <f t="shared" si="29"/>
        <v>18.976923076923075</v>
      </c>
      <c r="N190" s="906">
        <f t="shared" si="25"/>
        <v>8.1329670329670325</v>
      </c>
      <c r="O190" s="906">
        <f t="shared" si="26"/>
        <v>0</v>
      </c>
      <c r="P190" s="907">
        <f t="shared" si="27"/>
        <v>0</v>
      </c>
      <c r="Q190" s="906">
        <f t="shared" si="28"/>
        <v>18.976923076923075</v>
      </c>
      <c r="R190" s="907">
        <f t="shared" si="28"/>
        <v>8.1329670329670325</v>
      </c>
      <c r="S190" s="458"/>
      <c r="V190" s="462"/>
    </row>
    <row r="191" spans="8:22" ht="12.75" customHeight="1">
      <c r="H191" s="904">
        <v>100</v>
      </c>
      <c r="I191" s="905">
        <v>12</v>
      </c>
      <c r="J191" s="905">
        <v>14</v>
      </c>
      <c r="K191" s="905"/>
      <c r="L191" s="905"/>
      <c r="M191" s="906">
        <f t="shared" si="29"/>
        <v>16.265934065934065</v>
      </c>
      <c r="N191" s="906">
        <f t="shared" si="25"/>
        <v>18.976923076923075</v>
      </c>
      <c r="O191" s="906">
        <f t="shared" si="26"/>
        <v>0</v>
      </c>
      <c r="P191" s="907">
        <f t="shared" si="27"/>
        <v>0</v>
      </c>
      <c r="Q191" s="906">
        <f t="shared" si="28"/>
        <v>16.265934065934065</v>
      </c>
      <c r="R191" s="907">
        <f t="shared" si="28"/>
        <v>18.976923076923075</v>
      </c>
      <c r="S191" s="458"/>
      <c r="V191" s="462"/>
    </row>
    <row r="192" spans="8:22" ht="12.75" customHeight="1">
      <c r="H192" s="904">
        <v>125</v>
      </c>
      <c r="I192" s="905">
        <v>9</v>
      </c>
      <c r="J192" s="905">
        <v>9</v>
      </c>
      <c r="K192" s="905"/>
      <c r="L192" s="905"/>
      <c r="M192" s="906">
        <f t="shared" si="29"/>
        <v>12.199450549450548</v>
      </c>
      <c r="N192" s="906">
        <f t="shared" si="25"/>
        <v>12.199450549450548</v>
      </c>
      <c r="O192" s="906">
        <f t="shared" si="26"/>
        <v>0</v>
      </c>
      <c r="P192" s="907">
        <f t="shared" si="27"/>
        <v>0</v>
      </c>
      <c r="Q192" s="906">
        <f t="shared" si="28"/>
        <v>12.199450549450548</v>
      </c>
      <c r="R192" s="907">
        <f t="shared" si="28"/>
        <v>12.199450549450548</v>
      </c>
      <c r="S192" s="458"/>
      <c r="V192" s="462"/>
    </row>
    <row r="193" spans="8:22" ht="12.75" customHeight="1">
      <c r="H193" s="904">
        <v>150</v>
      </c>
      <c r="I193" s="905">
        <v>11</v>
      </c>
      <c r="J193" s="905">
        <v>8</v>
      </c>
      <c r="K193" s="905"/>
      <c r="L193" s="905"/>
      <c r="M193" s="906">
        <f t="shared" si="29"/>
        <v>14.91043956043956</v>
      </c>
      <c r="N193" s="906">
        <f t="shared" si="25"/>
        <v>10.843956043956043</v>
      </c>
      <c r="O193" s="906">
        <f t="shared" si="26"/>
        <v>0</v>
      </c>
      <c r="P193" s="907">
        <f t="shared" si="27"/>
        <v>0</v>
      </c>
      <c r="Q193" s="906">
        <f t="shared" si="28"/>
        <v>14.91043956043956</v>
      </c>
      <c r="R193" s="907">
        <f t="shared" si="28"/>
        <v>10.843956043956043</v>
      </c>
      <c r="S193" s="458"/>
      <c r="V193" s="462"/>
    </row>
    <row r="194" spans="8:22" ht="12.75" customHeight="1">
      <c r="H194" s="904">
        <v>200</v>
      </c>
      <c r="I194" s="905">
        <v>9</v>
      </c>
      <c r="J194" s="905">
        <v>10</v>
      </c>
      <c r="K194" s="905"/>
      <c r="L194" s="905"/>
      <c r="M194" s="906">
        <f t="shared" si="29"/>
        <v>12.199450549450548</v>
      </c>
      <c r="N194" s="906">
        <f t="shared" si="25"/>
        <v>13.554945054945055</v>
      </c>
      <c r="O194" s="906">
        <f t="shared" si="26"/>
        <v>0</v>
      </c>
      <c r="P194" s="907">
        <f t="shared" si="27"/>
        <v>0</v>
      </c>
      <c r="Q194" s="906">
        <f t="shared" si="28"/>
        <v>12.199450549450548</v>
      </c>
      <c r="R194" s="907">
        <f t="shared" si="28"/>
        <v>13.554945054945055</v>
      </c>
      <c r="S194" s="458"/>
      <c r="V194" s="462"/>
    </row>
    <row r="195" spans="8:22" ht="12.75" customHeight="1">
      <c r="H195" s="904">
        <v>250</v>
      </c>
      <c r="I195" s="905">
        <v>8</v>
      </c>
      <c r="J195" s="905">
        <v>6</v>
      </c>
      <c r="K195" s="905"/>
      <c r="L195" s="905"/>
      <c r="M195" s="906">
        <f t="shared" si="29"/>
        <v>10.843956043956043</v>
      </c>
      <c r="N195" s="906">
        <f t="shared" si="25"/>
        <v>8.1329670329670325</v>
      </c>
      <c r="O195" s="906">
        <f t="shared" si="26"/>
        <v>0</v>
      </c>
      <c r="P195" s="907">
        <f t="shared" si="27"/>
        <v>0</v>
      </c>
      <c r="Q195" s="906">
        <f t="shared" si="28"/>
        <v>10.843956043956043</v>
      </c>
      <c r="R195" s="907">
        <f t="shared" si="28"/>
        <v>8.1329670329670325</v>
      </c>
      <c r="S195" s="458"/>
      <c r="V195" s="462"/>
    </row>
    <row r="196" spans="8:22" ht="12.75" customHeight="1">
      <c r="H196" s="904">
        <v>300</v>
      </c>
      <c r="I196" s="905">
        <v>11</v>
      </c>
      <c r="J196" s="905">
        <v>7</v>
      </c>
      <c r="K196" s="905"/>
      <c r="L196" s="905"/>
      <c r="M196" s="906">
        <f t="shared" si="29"/>
        <v>14.91043956043956</v>
      </c>
      <c r="N196" s="906">
        <f t="shared" si="25"/>
        <v>9.4884615384615376</v>
      </c>
      <c r="O196" s="906">
        <f t="shared" si="26"/>
        <v>0</v>
      </c>
      <c r="P196" s="907">
        <f t="shared" si="27"/>
        <v>0</v>
      </c>
      <c r="Q196" s="906">
        <f t="shared" si="28"/>
        <v>14.91043956043956</v>
      </c>
      <c r="R196" s="907">
        <f t="shared" si="28"/>
        <v>9.4884615384615376</v>
      </c>
      <c r="S196" s="458"/>
      <c r="V196" s="462"/>
    </row>
    <row r="197" spans="8:22" ht="12.75" customHeight="1">
      <c r="H197" s="904">
        <v>350</v>
      </c>
      <c r="I197" s="905">
        <v>7</v>
      </c>
      <c r="J197" s="905">
        <v>3</v>
      </c>
      <c r="K197" s="905">
        <v>1</v>
      </c>
      <c r="L197" s="905"/>
      <c r="M197" s="906">
        <f t="shared" si="29"/>
        <v>9.4884615384615376</v>
      </c>
      <c r="N197" s="906">
        <f t="shared" si="25"/>
        <v>4.0664835164835162</v>
      </c>
      <c r="O197" s="906">
        <f t="shared" si="26"/>
        <v>1.3554945054945053</v>
      </c>
      <c r="P197" s="907">
        <f t="shared" si="27"/>
        <v>0</v>
      </c>
      <c r="Q197" s="906">
        <f t="shared" si="28"/>
        <v>10.843956043956043</v>
      </c>
      <c r="R197" s="907">
        <f t="shared" si="28"/>
        <v>4.0664835164835162</v>
      </c>
      <c r="S197" s="458"/>
      <c r="V197" s="462"/>
    </row>
    <row r="198" spans="8:22" ht="12.75" customHeight="1">
      <c r="H198" s="904">
        <v>400</v>
      </c>
      <c r="I198" s="905">
        <v>4</v>
      </c>
      <c r="J198" s="905">
        <v>5</v>
      </c>
      <c r="K198" s="905"/>
      <c r="L198" s="905"/>
      <c r="M198" s="906">
        <f t="shared" si="29"/>
        <v>5.4219780219780214</v>
      </c>
      <c r="N198" s="906">
        <f t="shared" si="25"/>
        <v>6.7774725274725274</v>
      </c>
      <c r="O198" s="906">
        <f t="shared" si="26"/>
        <v>0</v>
      </c>
      <c r="P198" s="907">
        <f t="shared" si="27"/>
        <v>0</v>
      </c>
      <c r="Q198" s="906">
        <f t="shared" si="28"/>
        <v>5.4219780219780214</v>
      </c>
      <c r="R198" s="907">
        <f t="shared" si="28"/>
        <v>6.7774725274725274</v>
      </c>
      <c r="S198" s="458"/>
      <c r="V198" s="462"/>
    </row>
    <row r="199" spans="8:22" ht="12.75" customHeight="1">
      <c r="H199" s="904">
        <v>450</v>
      </c>
      <c r="I199" s="905">
        <v>6</v>
      </c>
      <c r="J199" s="905">
        <v>1</v>
      </c>
      <c r="K199" s="905"/>
      <c r="L199" s="905"/>
      <c r="M199" s="906">
        <f t="shared" si="29"/>
        <v>8.1329670329670325</v>
      </c>
      <c r="N199" s="906">
        <f t="shared" si="25"/>
        <v>1.3554945054945053</v>
      </c>
      <c r="O199" s="906">
        <f t="shared" si="26"/>
        <v>0</v>
      </c>
      <c r="P199" s="907">
        <f t="shared" si="27"/>
        <v>0</v>
      </c>
      <c r="Q199" s="906">
        <f t="shared" si="28"/>
        <v>8.1329670329670325</v>
      </c>
      <c r="R199" s="907">
        <f t="shared" si="28"/>
        <v>1.3554945054945053</v>
      </c>
      <c r="S199" s="458"/>
      <c r="V199" s="462"/>
    </row>
    <row r="200" spans="8:22" ht="12.75" customHeight="1">
      <c r="H200" s="904">
        <v>500</v>
      </c>
      <c r="I200" s="905">
        <v>1</v>
      </c>
      <c r="J200" s="905">
        <v>3</v>
      </c>
      <c r="K200" s="905"/>
      <c r="L200" s="905"/>
      <c r="M200" s="906">
        <f t="shared" si="29"/>
        <v>1.3554945054945053</v>
      </c>
      <c r="N200" s="906">
        <f t="shared" si="25"/>
        <v>4.0664835164835162</v>
      </c>
      <c r="O200" s="906">
        <f t="shared" si="26"/>
        <v>0</v>
      </c>
      <c r="P200" s="907">
        <f t="shared" si="27"/>
        <v>0</v>
      </c>
      <c r="Q200" s="906">
        <f t="shared" si="28"/>
        <v>1.3554945054945053</v>
      </c>
      <c r="R200" s="907">
        <f t="shared" si="28"/>
        <v>4.0664835164835162</v>
      </c>
      <c r="S200" s="458"/>
      <c r="V200" s="462"/>
    </row>
    <row r="201" spans="8:22" ht="12.75" customHeight="1">
      <c r="H201" s="904">
        <v>600</v>
      </c>
      <c r="I201" s="905">
        <v>4</v>
      </c>
      <c r="J201" s="905">
        <v>6</v>
      </c>
      <c r="K201" s="905"/>
      <c r="L201" s="905"/>
      <c r="M201" s="906">
        <f t="shared" si="29"/>
        <v>5.4219780219780214</v>
      </c>
      <c r="N201" s="906">
        <f t="shared" si="25"/>
        <v>8.1329670329670325</v>
      </c>
      <c r="O201" s="906">
        <f t="shared" si="26"/>
        <v>0</v>
      </c>
      <c r="P201" s="907">
        <f t="shared" si="27"/>
        <v>0</v>
      </c>
      <c r="Q201" s="906">
        <f t="shared" si="28"/>
        <v>5.4219780219780214</v>
      </c>
      <c r="R201" s="907">
        <f t="shared" si="28"/>
        <v>8.1329670329670325</v>
      </c>
      <c r="S201" s="458"/>
      <c r="V201" s="462"/>
    </row>
    <row r="202" spans="8:22" ht="12.75" customHeight="1">
      <c r="H202" s="904">
        <v>700</v>
      </c>
      <c r="I202" s="905">
        <v>2</v>
      </c>
      <c r="J202" s="905"/>
      <c r="K202" s="905"/>
      <c r="L202" s="905"/>
      <c r="M202" s="906">
        <f t="shared" si="29"/>
        <v>2.7109890109890107</v>
      </c>
      <c r="N202" s="906">
        <f t="shared" si="25"/>
        <v>0</v>
      </c>
      <c r="O202" s="906">
        <f t="shared" si="26"/>
        <v>0</v>
      </c>
      <c r="P202" s="907">
        <f t="shared" si="27"/>
        <v>0</v>
      </c>
      <c r="Q202" s="906">
        <f t="shared" si="28"/>
        <v>2.7109890109890107</v>
      </c>
      <c r="R202" s="907">
        <f t="shared" si="28"/>
        <v>0</v>
      </c>
      <c r="S202" s="458"/>
      <c r="V202" s="462"/>
    </row>
    <row r="203" spans="8:22" ht="12.75" customHeight="1">
      <c r="H203" s="904">
        <v>800</v>
      </c>
      <c r="I203" s="905">
        <v>1</v>
      </c>
      <c r="J203" s="905">
        <v>2</v>
      </c>
      <c r="K203" s="905"/>
      <c r="L203" s="905"/>
      <c r="M203" s="906">
        <f t="shared" si="29"/>
        <v>1.3554945054945053</v>
      </c>
      <c r="N203" s="906">
        <f t="shared" si="25"/>
        <v>2.7109890109890107</v>
      </c>
      <c r="O203" s="906">
        <f t="shared" si="26"/>
        <v>0</v>
      </c>
      <c r="P203" s="907">
        <f t="shared" si="27"/>
        <v>0</v>
      </c>
      <c r="Q203" s="906">
        <f t="shared" si="28"/>
        <v>1.3554945054945053</v>
      </c>
      <c r="R203" s="907">
        <f t="shared" si="28"/>
        <v>2.7109890109890107</v>
      </c>
      <c r="S203" s="458"/>
      <c r="V203" s="462"/>
    </row>
    <row r="204" spans="8:22" ht="12.75" customHeight="1">
      <c r="H204" s="904">
        <v>900</v>
      </c>
      <c r="I204" s="905"/>
      <c r="J204" s="905">
        <v>1</v>
      </c>
      <c r="K204" s="905"/>
      <c r="L204" s="905"/>
      <c r="M204" s="906">
        <f t="shared" si="29"/>
        <v>0</v>
      </c>
      <c r="N204" s="906">
        <f t="shared" si="25"/>
        <v>1.3554945054945053</v>
      </c>
      <c r="O204" s="906">
        <f t="shared" si="26"/>
        <v>0</v>
      </c>
      <c r="P204" s="907">
        <f t="shared" si="27"/>
        <v>0</v>
      </c>
      <c r="Q204" s="906">
        <f t="shared" si="28"/>
        <v>0</v>
      </c>
      <c r="R204" s="907">
        <f t="shared" si="28"/>
        <v>1.3554945054945053</v>
      </c>
      <c r="S204" s="458"/>
      <c r="V204" s="462"/>
    </row>
    <row r="205" spans="8:22" ht="12.75" customHeight="1">
      <c r="H205" s="904">
        <v>1000</v>
      </c>
      <c r="I205" s="905">
        <v>1</v>
      </c>
      <c r="J205" s="905"/>
      <c r="K205" s="905"/>
      <c r="L205" s="905"/>
      <c r="M205" s="906">
        <f t="shared" si="29"/>
        <v>1.3554945054945053</v>
      </c>
      <c r="N205" s="906">
        <f t="shared" si="25"/>
        <v>0</v>
      </c>
      <c r="O205" s="906">
        <f t="shared" si="26"/>
        <v>0</v>
      </c>
      <c r="P205" s="907">
        <f t="shared" si="27"/>
        <v>0</v>
      </c>
      <c r="Q205" s="906">
        <f t="shared" si="28"/>
        <v>1.3554945054945053</v>
      </c>
      <c r="R205" s="907">
        <f t="shared" si="28"/>
        <v>0</v>
      </c>
      <c r="S205" s="458"/>
      <c r="V205" s="462"/>
    </row>
    <row r="206" spans="8:22" ht="12.75" customHeight="1">
      <c r="H206" s="904">
        <v>1250</v>
      </c>
      <c r="I206" s="905"/>
      <c r="J206" s="905"/>
      <c r="K206" s="905"/>
      <c r="L206" s="905"/>
      <c r="M206" s="906">
        <f t="shared" si="29"/>
        <v>0</v>
      </c>
      <c r="N206" s="906">
        <f t="shared" si="25"/>
        <v>0</v>
      </c>
      <c r="O206" s="906">
        <f t="shared" si="26"/>
        <v>0</v>
      </c>
      <c r="P206" s="907">
        <f t="shared" si="27"/>
        <v>0</v>
      </c>
      <c r="Q206" s="906">
        <f t="shared" si="28"/>
        <v>0</v>
      </c>
      <c r="R206" s="907">
        <f t="shared" si="28"/>
        <v>0</v>
      </c>
      <c r="S206" s="458"/>
      <c r="V206" s="462"/>
    </row>
    <row r="207" spans="8:22" ht="12.75" customHeight="1">
      <c r="H207" s="904">
        <v>1500</v>
      </c>
      <c r="I207" s="905">
        <v>3</v>
      </c>
      <c r="J207" s="905">
        <v>3</v>
      </c>
      <c r="K207" s="905"/>
      <c r="L207" s="905"/>
      <c r="M207" s="906">
        <f t="shared" si="29"/>
        <v>4.0664835164835162</v>
      </c>
      <c r="N207" s="906">
        <f t="shared" si="25"/>
        <v>4.0664835164835162</v>
      </c>
      <c r="O207" s="906">
        <f t="shared" si="26"/>
        <v>0</v>
      </c>
      <c r="P207" s="907">
        <f t="shared" si="27"/>
        <v>0</v>
      </c>
      <c r="Q207" s="906">
        <f t="shared" si="28"/>
        <v>4.0664835164835162</v>
      </c>
      <c r="R207" s="907">
        <f t="shared" si="28"/>
        <v>4.0664835164835162</v>
      </c>
      <c r="S207" s="458"/>
      <c r="V207" s="462"/>
    </row>
    <row r="208" spans="8:22" ht="12.75" customHeight="1">
      <c r="H208" s="904">
        <v>1750</v>
      </c>
      <c r="I208" s="905"/>
      <c r="J208" s="905"/>
      <c r="K208" s="905"/>
      <c r="L208" s="905"/>
      <c r="M208" s="906">
        <f t="shared" si="29"/>
        <v>0</v>
      </c>
      <c r="N208" s="906">
        <f t="shared" si="25"/>
        <v>0</v>
      </c>
      <c r="O208" s="906">
        <f t="shared" si="26"/>
        <v>0</v>
      </c>
      <c r="P208" s="907">
        <f t="shared" si="27"/>
        <v>0</v>
      </c>
      <c r="Q208" s="906"/>
      <c r="R208" s="907"/>
      <c r="S208" s="458"/>
      <c r="V208" s="462"/>
    </row>
    <row r="209" spans="8:22" ht="12.75" customHeight="1">
      <c r="H209" s="904">
        <v>2000</v>
      </c>
      <c r="I209" s="905"/>
      <c r="J209" s="905">
        <v>2</v>
      </c>
      <c r="K209" s="905"/>
      <c r="L209" s="905"/>
      <c r="M209" s="906">
        <f t="shared" si="29"/>
        <v>0</v>
      </c>
      <c r="N209" s="906">
        <f t="shared" si="25"/>
        <v>2.7109890109890107</v>
      </c>
      <c r="O209" s="906">
        <f t="shared" si="26"/>
        <v>0</v>
      </c>
      <c r="P209" s="907">
        <f t="shared" si="27"/>
        <v>0</v>
      </c>
      <c r="Q209" s="906">
        <f t="shared" si="28"/>
        <v>0</v>
      </c>
      <c r="R209" s="907">
        <f t="shared" si="28"/>
        <v>2.7109890109890107</v>
      </c>
      <c r="S209" s="458"/>
      <c r="V209" s="462"/>
    </row>
    <row r="210" spans="8:22" ht="12.75" customHeight="1">
      <c r="H210" s="904">
        <v>2250</v>
      </c>
      <c r="I210" s="905"/>
      <c r="J210" s="905"/>
      <c r="K210" s="905"/>
      <c r="L210" s="905"/>
      <c r="M210" s="906">
        <f t="shared" si="29"/>
        <v>0</v>
      </c>
      <c r="N210" s="906">
        <f t="shared" si="25"/>
        <v>0</v>
      </c>
      <c r="O210" s="906">
        <f t="shared" si="26"/>
        <v>0</v>
      </c>
      <c r="P210" s="907">
        <f t="shared" si="27"/>
        <v>0</v>
      </c>
      <c r="Q210" s="906"/>
      <c r="R210" s="907"/>
      <c r="S210" s="458"/>
      <c r="V210" s="462"/>
    </row>
    <row r="211" spans="8:22" ht="12.75" customHeight="1">
      <c r="H211" s="904">
        <v>2500</v>
      </c>
      <c r="I211" s="905"/>
      <c r="J211" s="905"/>
      <c r="K211" s="905"/>
      <c r="L211" s="905"/>
      <c r="M211" s="906">
        <f t="shared" si="29"/>
        <v>0</v>
      </c>
      <c r="N211" s="906">
        <f t="shared" si="25"/>
        <v>0</v>
      </c>
      <c r="O211" s="906">
        <f t="shared" si="26"/>
        <v>0</v>
      </c>
      <c r="P211" s="907">
        <f t="shared" si="27"/>
        <v>0</v>
      </c>
      <c r="Q211" s="906"/>
      <c r="R211" s="907"/>
      <c r="S211" s="458"/>
      <c r="V211" s="462"/>
    </row>
    <row r="212" spans="8:22" ht="12.75" customHeight="1">
      <c r="H212" s="904">
        <v>3000</v>
      </c>
      <c r="I212" s="905">
        <v>1</v>
      </c>
      <c r="J212" s="905"/>
      <c r="K212" s="905"/>
      <c r="L212" s="905"/>
      <c r="M212" s="906">
        <f t="shared" si="29"/>
        <v>1.3554945054945053</v>
      </c>
      <c r="N212" s="906">
        <f t="shared" si="25"/>
        <v>0</v>
      </c>
      <c r="O212" s="906">
        <f t="shared" si="26"/>
        <v>0</v>
      </c>
      <c r="P212" s="907">
        <f t="shared" si="27"/>
        <v>0</v>
      </c>
      <c r="Q212" s="906">
        <f t="shared" si="28"/>
        <v>1.3554945054945053</v>
      </c>
      <c r="R212" s="907">
        <f t="shared" si="28"/>
        <v>0</v>
      </c>
      <c r="S212" s="458"/>
      <c r="V212" s="462"/>
    </row>
    <row r="213" spans="8:22" ht="12.75" customHeight="1">
      <c r="H213" s="904">
        <v>3500</v>
      </c>
      <c r="I213" s="905"/>
      <c r="J213" s="905"/>
      <c r="K213" s="905"/>
      <c r="L213" s="905"/>
      <c r="M213" s="906">
        <f t="shared" si="29"/>
        <v>0</v>
      </c>
      <c r="N213" s="906">
        <f t="shared" si="25"/>
        <v>0</v>
      </c>
      <c r="O213" s="909">
        <f t="shared" si="26"/>
        <v>0</v>
      </c>
      <c r="P213" s="910">
        <f t="shared" si="27"/>
        <v>0</v>
      </c>
      <c r="Q213" s="909"/>
      <c r="R213" s="910"/>
      <c r="S213" s="458"/>
      <c r="V213" s="462"/>
    </row>
    <row r="214" spans="8:22" ht="12.75" customHeight="1">
      <c r="H214" s="904">
        <v>4000</v>
      </c>
      <c r="I214" s="905"/>
      <c r="J214" s="905"/>
      <c r="K214" s="905"/>
      <c r="L214" s="905"/>
      <c r="M214" s="906">
        <f t="shared" si="29"/>
        <v>0</v>
      </c>
      <c r="N214" s="906">
        <f t="shared" si="25"/>
        <v>0</v>
      </c>
      <c r="O214" s="909">
        <f t="shared" si="26"/>
        <v>0</v>
      </c>
      <c r="P214" s="910">
        <f t="shared" si="27"/>
        <v>0</v>
      </c>
      <c r="Q214" s="909"/>
      <c r="R214" s="910"/>
      <c r="S214" s="458"/>
      <c r="V214" s="462"/>
    </row>
    <row r="215" spans="8:22" ht="12.75" customHeight="1">
      <c r="H215" s="904">
        <v>4500</v>
      </c>
      <c r="I215" s="905"/>
      <c r="J215" s="905"/>
      <c r="K215" s="905"/>
      <c r="L215" s="905"/>
      <c r="M215" s="906">
        <f t="shared" si="29"/>
        <v>0</v>
      </c>
      <c r="N215" s="906">
        <f t="shared" si="25"/>
        <v>0</v>
      </c>
      <c r="O215" s="909">
        <f t="shared" si="26"/>
        <v>0</v>
      </c>
      <c r="P215" s="910">
        <f t="shared" si="27"/>
        <v>0</v>
      </c>
      <c r="Q215" s="909">
        <f t="shared" si="28"/>
        <v>0</v>
      </c>
      <c r="R215" s="910">
        <f t="shared" si="28"/>
        <v>0</v>
      </c>
      <c r="S215" s="458"/>
      <c r="V215" s="462"/>
    </row>
    <row r="216" spans="8:22" ht="12.75" customHeight="1">
      <c r="H216" s="911">
        <v>5000</v>
      </c>
      <c r="I216" s="912"/>
      <c r="J216" s="908"/>
      <c r="K216" s="908"/>
      <c r="L216" s="908"/>
      <c r="M216" s="909">
        <f t="shared" si="29"/>
        <v>0</v>
      </c>
      <c r="N216" s="909">
        <f t="shared" si="25"/>
        <v>0</v>
      </c>
      <c r="O216" s="909">
        <f t="shared" si="26"/>
        <v>0</v>
      </c>
      <c r="P216" s="910">
        <f t="shared" si="27"/>
        <v>0</v>
      </c>
      <c r="Q216" s="909"/>
      <c r="R216" s="910"/>
      <c r="S216" s="458"/>
      <c r="V216" s="462"/>
    </row>
    <row r="217" spans="8:22" ht="12.75" customHeight="1" thickBot="1">
      <c r="H217" s="913" t="s">
        <v>1651</v>
      </c>
      <c r="I217" s="914">
        <f t="shared" ref="I217:R217" si="30">SUM(I183:I215)</f>
        <v>133</v>
      </c>
      <c r="J217" s="915">
        <f t="shared" si="30"/>
        <v>126</v>
      </c>
      <c r="K217" s="915">
        <f t="shared" si="30"/>
        <v>1</v>
      </c>
      <c r="L217" s="915">
        <f t="shared" si="30"/>
        <v>0</v>
      </c>
      <c r="M217" s="916">
        <f t="shared" si="30"/>
        <v>180.28076923076921</v>
      </c>
      <c r="N217" s="917">
        <f t="shared" si="30"/>
        <v>170.79230769230767</v>
      </c>
      <c r="O217" s="917">
        <f t="shared" si="30"/>
        <v>1.3554945054945053</v>
      </c>
      <c r="P217" s="918">
        <f t="shared" si="30"/>
        <v>0</v>
      </c>
      <c r="Q217" s="917">
        <f t="shared" si="30"/>
        <v>181.63626373626371</v>
      </c>
      <c r="R217" s="918">
        <f t="shared" si="30"/>
        <v>170.79230769230767</v>
      </c>
      <c r="S217" s="458"/>
      <c r="V217" s="462"/>
    </row>
    <row r="218" spans="8:22" ht="12.75" customHeight="1">
      <c r="H218" s="458"/>
      <c r="I218" s="458"/>
      <c r="J218" s="458"/>
      <c r="K218" s="458"/>
      <c r="L218" s="458"/>
      <c r="M218" s="458"/>
      <c r="N218" s="458"/>
      <c r="O218" s="458"/>
      <c r="P218" s="458"/>
      <c r="Q218" s="458"/>
      <c r="R218" s="458"/>
      <c r="S218" s="458"/>
      <c r="V218" s="462"/>
    </row>
    <row r="219" spans="8:22" ht="12.75" customHeight="1" thickBot="1">
      <c r="H219" s="913" t="s">
        <v>2290</v>
      </c>
      <c r="I219" s="914">
        <f t="shared" ref="I219:R219" si="31">SUM(I184:I216)</f>
        <v>128</v>
      </c>
      <c r="J219" s="915">
        <f t="shared" si="31"/>
        <v>123</v>
      </c>
      <c r="K219" s="915">
        <f t="shared" si="31"/>
        <v>1</v>
      </c>
      <c r="L219" s="915">
        <f t="shared" si="31"/>
        <v>0</v>
      </c>
      <c r="M219" s="916">
        <f t="shared" si="31"/>
        <v>173.50329670329668</v>
      </c>
      <c r="N219" s="917">
        <f t="shared" si="31"/>
        <v>166.72582417582416</v>
      </c>
      <c r="O219" s="917">
        <f t="shared" si="31"/>
        <v>1.3554945054945053</v>
      </c>
      <c r="P219" s="918">
        <f t="shared" si="31"/>
        <v>0</v>
      </c>
      <c r="Q219" s="917">
        <f t="shared" si="31"/>
        <v>174.85879120879119</v>
      </c>
      <c r="R219" s="918">
        <f t="shared" si="31"/>
        <v>166.72582417582416</v>
      </c>
      <c r="V219" s="462"/>
    </row>
    <row r="220" spans="8:22" ht="12.75" customHeight="1">
      <c r="J220" s="464"/>
      <c r="M220" s="462"/>
      <c r="N220" s="462"/>
      <c r="O220" s="462"/>
      <c r="P220" s="462"/>
      <c r="V220" s="462"/>
    </row>
    <row r="221" spans="8:22" ht="12.75" customHeight="1">
      <c r="J221" s="464"/>
      <c r="M221" s="462"/>
      <c r="N221" s="462"/>
      <c r="O221" s="462"/>
      <c r="P221" s="462"/>
      <c r="V221" s="462"/>
    </row>
    <row r="222" spans="8:22" ht="12.75" customHeight="1">
      <c r="J222" s="464"/>
      <c r="M222" s="462"/>
      <c r="N222" s="462"/>
      <c r="O222" s="462"/>
      <c r="P222" s="462"/>
      <c r="V222" s="462"/>
    </row>
    <row r="223" spans="8:22" ht="12.75" customHeight="1">
      <c r="J223" s="464"/>
      <c r="M223" s="462"/>
      <c r="N223" s="462"/>
      <c r="O223" s="462"/>
      <c r="P223" s="462"/>
      <c r="V223" s="462"/>
    </row>
    <row r="224" spans="8:22" ht="12.75" customHeight="1">
      <c r="J224" s="464"/>
      <c r="M224" s="462"/>
      <c r="N224" s="462"/>
      <c r="O224" s="462"/>
      <c r="P224" s="462"/>
      <c r="V224" s="462"/>
    </row>
    <row r="225" spans="10:22" ht="12.75" customHeight="1">
      <c r="J225" s="464"/>
      <c r="M225" s="462"/>
      <c r="N225" s="462"/>
      <c r="O225" s="462"/>
      <c r="P225" s="462"/>
      <c r="V225" s="462"/>
    </row>
    <row r="226" spans="10:22" ht="12.75" customHeight="1">
      <c r="J226" s="464"/>
      <c r="M226" s="462"/>
      <c r="N226" s="462"/>
      <c r="O226" s="462"/>
      <c r="P226" s="462"/>
      <c r="V226" s="462"/>
    </row>
  </sheetData>
  <autoFilter ref="A5:AE9">
    <filterColumn colId="11">
      <filters>
        <filter val="2020"/>
        <filter val="2021"/>
      </filters>
    </filterColumn>
  </autoFilter>
  <dataConsolidate/>
  <mergeCells count="31">
    <mergeCell ref="X146:Y146"/>
    <mergeCell ref="I181:J181"/>
    <mergeCell ref="K181:L181"/>
    <mergeCell ref="M181:N181"/>
    <mergeCell ref="O181:P181"/>
    <mergeCell ref="X100:Y100"/>
    <mergeCell ref="X103:Y103"/>
    <mergeCell ref="X104:Y104"/>
    <mergeCell ref="X142:Y142"/>
    <mergeCell ref="X145:Y145"/>
    <mergeCell ref="T4:V4"/>
    <mergeCell ref="H173:R173"/>
    <mergeCell ref="M175:N175"/>
    <mergeCell ref="H179:R179"/>
    <mergeCell ref="H180:H182"/>
    <mergeCell ref="I180:L180"/>
    <mergeCell ref="M180:R180"/>
    <mergeCell ref="Q181:R181"/>
    <mergeCell ref="K32:M32"/>
    <mergeCell ref="K31:M31"/>
    <mergeCell ref="H12:M12"/>
    <mergeCell ref="I131:O131"/>
    <mergeCell ref="P131:V131"/>
    <mergeCell ref="H34:K34"/>
    <mergeCell ref="I89:O89"/>
    <mergeCell ref="P89:V89"/>
    <mergeCell ref="I2:L2"/>
    <mergeCell ref="A4:G4"/>
    <mergeCell ref="H4:L4"/>
    <mergeCell ref="M4:Q4"/>
    <mergeCell ref="R4:S4"/>
  </mergeCells>
  <conditionalFormatting sqref="I183:P216">
    <cfRule type="cellIs" dxfId="3" priority="3" operator="equal">
      <formula>0</formula>
    </cfRule>
  </conditionalFormatting>
  <conditionalFormatting sqref="Q183:R216">
    <cfRule type="cellIs" dxfId="2" priority="1" operator="equal">
      <formula>0</formula>
    </cfRule>
  </conditionalFormatting>
  <dataValidations count="1">
    <dataValidation type="list" allowBlank="1" showInputMessage="1" showErrorMessage="1" sqref="S2">
      <formula1>Source_list</formula1>
    </dataValidation>
  </dataValidations>
  <hyperlinks>
    <hyperlink ref="I140" r:id="rId1" display="http://rtf.nwcouncil.org/measures/ag/archive/AgGreenMotorRewind_v2_0.xlsm"/>
    <hyperlink ref="I98" r:id="rId2" display="http://rtf.nwcouncil.org/measures/ag/archive/AgGreenMotorRewind_v2_0.xlsm"/>
    <hyperlink ref="H1" location="' Summary by Program 2020-21'!H1" display="Summary Page"/>
  </hyperlinks>
  <pageMargins left="0.7" right="0.7" top="0.75" bottom="0.75" header="0.3" footer="0.3"/>
  <pageSetup scale="22" orientation="portrait" r:id="rId3"/>
  <legacyDrawing r:id="rId4"/>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filterMode="1">
    <tabColor rgb="FF0083CA"/>
    <pageSetUpPr fitToPage="1"/>
  </sheetPr>
  <dimension ref="A1:W12"/>
  <sheetViews>
    <sheetView topLeftCell="H1" workbookViewId="0">
      <selection activeCell="H1" sqref="H1"/>
    </sheetView>
  </sheetViews>
  <sheetFormatPr defaultColWidth="18.6640625" defaultRowHeight="12.75" customHeight="1" outlineLevelCol="1"/>
  <cols>
    <col min="1" max="1" width="38" style="8" hidden="1" customWidth="1" outlineLevel="1"/>
    <col min="2" max="2" width="17.6640625" style="8" hidden="1" customWidth="1" outlineLevel="1"/>
    <col min="3" max="3" width="11.6640625" style="10" hidden="1" customWidth="1" outlineLevel="1"/>
    <col min="4" max="4" width="10.6640625" style="10" hidden="1" customWidth="1" outlineLevel="1"/>
    <col min="5" max="5" width="11.109375" style="10" hidden="1" customWidth="1" outlineLevel="1"/>
    <col min="6" max="6" width="18.44140625" style="10" hidden="1" customWidth="1" outlineLevel="1"/>
    <col min="7" max="7" width="16.5546875" style="8" hidden="1" customWidth="1" outlineLevel="1"/>
    <col min="8" max="8" width="23.44140625" style="1" customWidth="1" collapsed="1"/>
    <col min="9" max="9" width="25.6640625" style="1" customWidth="1"/>
    <col min="10" max="10" width="22.5546875" style="1" customWidth="1"/>
    <col min="11" max="11" width="11" style="1" customWidth="1"/>
    <col min="12" max="12" width="8" style="1" customWidth="1"/>
    <col min="13" max="15" width="10.33203125" style="2" customWidth="1"/>
    <col min="16" max="16" width="67.6640625" style="2" customWidth="1"/>
    <col min="17" max="17" width="11.109375" style="1" customWidth="1"/>
    <col min="18" max="18" width="11.6640625" style="1" customWidth="1"/>
    <col min="19" max="19" width="12.6640625" style="1" customWidth="1"/>
    <col min="20" max="21" width="12.33203125" style="1" customWidth="1"/>
    <col min="22" max="22" width="12.33203125" style="3" customWidth="1"/>
    <col min="23" max="16384" width="18.6640625" style="1"/>
  </cols>
  <sheetData>
    <row r="1" spans="1:23" ht="12.75" customHeight="1">
      <c r="H1" s="239" t="s">
        <v>1067</v>
      </c>
    </row>
    <row r="2" spans="1:23" ht="36.75" customHeight="1">
      <c r="H2" s="2235" t="str">
        <f>I6&amp;":"</f>
        <v>Certified Refrigeration Energy Specialist (CRES):</v>
      </c>
      <c r="I2" s="3155" t="str">
        <f>INDEX(Programs!C:C,MATCH(I6,Programs!B:B,0))</f>
        <v>CRES certification becomes a required credential to work as a refrigeration operator in the Industrial Refrigeration Market.</v>
      </c>
      <c r="J2" s="3155"/>
      <c r="K2" s="3155"/>
      <c r="L2" s="3155"/>
    </row>
    <row r="3" spans="1:23" ht="22.5" customHeight="1"/>
    <row r="4" spans="1:23" customFormat="1" ht="15.75" customHeight="1">
      <c r="A4" s="3019" t="s">
        <v>131</v>
      </c>
      <c r="B4" s="3020"/>
      <c r="C4" s="3020"/>
      <c r="D4" s="3020"/>
      <c r="E4" s="3020"/>
      <c r="F4" s="3020"/>
      <c r="G4" s="3021"/>
      <c r="H4" s="3156" t="s">
        <v>7</v>
      </c>
      <c r="I4" s="3157"/>
      <c r="J4" s="3157"/>
      <c r="K4" s="3157"/>
      <c r="L4" s="3157"/>
      <c r="M4" s="3158" t="s">
        <v>127</v>
      </c>
      <c r="N4" s="3159"/>
      <c r="O4" s="3159"/>
      <c r="P4" s="3159"/>
      <c r="Q4" s="3160"/>
      <c r="R4" s="3161" t="s">
        <v>129</v>
      </c>
      <c r="S4" s="3162"/>
      <c r="T4" s="3152" t="s">
        <v>130</v>
      </c>
      <c r="U4" s="3153"/>
      <c r="V4" s="3154"/>
    </row>
    <row r="5" spans="1:23" s="80" customFormat="1" ht="60" customHeight="1" thickBot="1">
      <c r="A5" s="107" t="s">
        <v>0</v>
      </c>
      <c r="B5" s="108" t="s">
        <v>11</v>
      </c>
      <c r="C5" s="109" t="s">
        <v>1</v>
      </c>
      <c r="D5" s="109" t="s">
        <v>2</v>
      </c>
      <c r="E5" s="109" t="s">
        <v>266</v>
      </c>
      <c r="F5" s="109" t="s">
        <v>306</v>
      </c>
      <c r="G5" s="110" t="s">
        <v>12</v>
      </c>
      <c r="H5" s="2236" t="s">
        <v>3</v>
      </c>
      <c r="I5" s="2236" t="s">
        <v>4</v>
      </c>
      <c r="J5" s="2236" t="s">
        <v>5</v>
      </c>
      <c r="K5" s="2236" t="s">
        <v>6</v>
      </c>
      <c r="L5" s="2236" t="s">
        <v>8</v>
      </c>
      <c r="M5" s="2237" t="s">
        <v>13</v>
      </c>
      <c r="N5" s="2236" t="s">
        <v>14</v>
      </c>
      <c r="O5" s="2236" t="s">
        <v>123</v>
      </c>
      <c r="P5" s="2236" t="s">
        <v>124</v>
      </c>
      <c r="Q5" s="2238" t="s">
        <v>16</v>
      </c>
      <c r="R5" s="2237" t="s">
        <v>870</v>
      </c>
      <c r="S5" s="2238" t="s">
        <v>125</v>
      </c>
      <c r="T5" s="2237" t="s">
        <v>126</v>
      </c>
      <c r="U5" s="2236" t="s">
        <v>18</v>
      </c>
      <c r="V5" s="2239" t="s">
        <v>17</v>
      </c>
    </row>
    <row r="6" spans="1:23" ht="15" hidden="1" thickTop="1">
      <c r="A6" s="844" t="s">
        <v>39</v>
      </c>
      <c r="B6" s="845" t="str">
        <f t="shared" ref="B6:B7" si="0">LEFT(A6,10)</f>
        <v>IND_201301</v>
      </c>
      <c r="C6" s="845">
        <v>0</v>
      </c>
      <c r="D6" s="845">
        <v>0</v>
      </c>
      <c r="E6" s="845">
        <f>COUNTIFS($A:$A,A6,$L:$L,L6)</f>
        <v>1</v>
      </c>
      <c r="F6" s="845">
        <v>1</v>
      </c>
      <c r="G6" s="846" t="b">
        <v>1</v>
      </c>
      <c r="H6" s="847" t="str">
        <f t="shared" ref="H6:H7" si="1">IF(LEFT(A6,3)="Res","Residential",IF(LEFT(A6,3)="Ind","industrial",IF(LEFT(A6,3)="Com","Commercial",IF(LEFT(A6,3)="AGR","Agriculture",""))))</f>
        <v>industrial</v>
      </c>
      <c r="I6" s="848" t="s">
        <v>147</v>
      </c>
      <c r="J6" s="848" t="s">
        <v>692</v>
      </c>
      <c r="K6" s="848" t="s">
        <v>485</v>
      </c>
      <c r="L6" s="849">
        <v>2018</v>
      </c>
      <c r="M6" s="850">
        <v>9.3983570000000002E-2</v>
      </c>
      <c r="N6" s="851">
        <v>4.4320089999999999E-2</v>
      </c>
      <c r="O6" s="852">
        <v>0</v>
      </c>
      <c r="P6" s="853" t="s">
        <v>268</v>
      </c>
      <c r="Q6" s="854">
        <v>0.14199999999999999</v>
      </c>
      <c r="R6" s="855">
        <v>8760000</v>
      </c>
      <c r="S6" s="111" t="s">
        <v>269</v>
      </c>
      <c r="T6" s="856">
        <f>(M6-O6)*Q6*R6/8760000</f>
        <v>1.3345666939999999E-2</v>
      </c>
      <c r="U6" s="857">
        <f t="shared" ref="U6" si="2">IFERROR((N6-O6/M6*N6)*Q6*R6/8760/1000,0)</f>
        <v>6.2934527799999992E-3</v>
      </c>
      <c r="V6" s="858">
        <f t="shared" ref="V6:V7" si="3">T6-U6</f>
        <v>7.0522141599999996E-3</v>
      </c>
      <c r="W6" s="270"/>
    </row>
    <row r="7" spans="1:23" ht="15" hidden="1" thickTop="1">
      <c r="A7" s="844" t="s">
        <v>39</v>
      </c>
      <c r="B7" s="845" t="str">
        <f t="shared" si="0"/>
        <v>IND_201301</v>
      </c>
      <c r="C7" s="845">
        <v>0</v>
      </c>
      <c r="D7" s="845">
        <v>0</v>
      </c>
      <c r="E7" s="845">
        <f>COUNTIFS($A:$A,A7,$L:$L,L7)</f>
        <v>1</v>
      </c>
      <c r="F7" s="845">
        <v>1</v>
      </c>
      <c r="G7" s="846" t="b">
        <v>1</v>
      </c>
      <c r="H7" s="847" t="str">
        <f t="shared" si="1"/>
        <v>industrial</v>
      </c>
      <c r="I7" s="848" t="s">
        <v>147</v>
      </c>
      <c r="J7" s="848" t="s">
        <v>692</v>
      </c>
      <c r="K7" s="848" t="s">
        <v>485</v>
      </c>
      <c r="L7" s="849">
        <v>2019</v>
      </c>
      <c r="M7" s="850">
        <v>0.1578997</v>
      </c>
      <c r="N7" s="851">
        <v>7.8949850000000002E-2</v>
      </c>
      <c r="O7" s="852">
        <v>0</v>
      </c>
      <c r="P7" s="853" t="s">
        <v>268</v>
      </c>
      <c r="Q7" s="854">
        <v>0.14199999999999999</v>
      </c>
      <c r="R7" s="855">
        <v>8760000</v>
      </c>
      <c r="S7" s="111" t="s">
        <v>269</v>
      </c>
      <c r="T7" s="856">
        <f>(M7-O7)*Q7*R7/8760000</f>
        <v>2.2421757399999999E-2</v>
      </c>
      <c r="U7" s="857">
        <f>IFERROR((N7-O7/M7*N7)*Q7*R7/8760/1000,0)</f>
        <v>1.1210878699999999E-2</v>
      </c>
      <c r="V7" s="858">
        <f t="shared" si="3"/>
        <v>1.1210878699999999E-2</v>
      </c>
      <c r="W7" s="270"/>
    </row>
    <row r="8" spans="1:23" s="806" customFormat="1" ht="15" thickTop="1">
      <c r="A8" s="844" t="s">
        <v>39</v>
      </c>
      <c r="B8" s="845" t="str">
        <f t="shared" ref="B8:B9" si="4">LEFT(A8,10)</f>
        <v>IND_201301</v>
      </c>
      <c r="C8" s="845">
        <v>0</v>
      </c>
      <c r="D8" s="845">
        <v>0</v>
      </c>
      <c r="E8" s="845">
        <f>COUNTIFS($A:$A,A8,$L:$L,L8)</f>
        <v>1</v>
      </c>
      <c r="F8" s="845">
        <v>1</v>
      </c>
      <c r="G8" s="846" t="b">
        <v>1</v>
      </c>
      <c r="H8" s="847" t="str">
        <f t="shared" ref="H8:H9" si="5">IF(LEFT(A8,3)="Res","Residential",IF(LEFT(A8,3)="Ind","industrial",IF(LEFT(A8,3)="Com","Commercial",IF(LEFT(A8,3)="AGR","Agriculture",""))))</f>
        <v>industrial</v>
      </c>
      <c r="I8" s="848" t="s">
        <v>147</v>
      </c>
      <c r="J8" s="848" t="s">
        <v>692</v>
      </c>
      <c r="K8" s="848" t="s">
        <v>485</v>
      </c>
      <c r="L8" s="849">
        <v>2020</v>
      </c>
      <c r="M8" s="2667">
        <v>7.7652932000000008E-2</v>
      </c>
      <c r="N8" s="2668">
        <v>3.8826464000000005E-2</v>
      </c>
      <c r="O8" s="852">
        <v>0</v>
      </c>
      <c r="P8" s="853" t="s">
        <v>268</v>
      </c>
      <c r="Q8" s="854">
        <v>0.14199999999999999</v>
      </c>
      <c r="R8" s="855">
        <v>8760000</v>
      </c>
      <c r="S8" s="111" t="s">
        <v>269</v>
      </c>
      <c r="T8" s="856">
        <f>(M8-O8)*Q8*R8/8760000</f>
        <v>1.1026716343999999E-2</v>
      </c>
      <c r="U8" s="857">
        <f t="shared" ref="U8" si="6">IFERROR((N8-O8/M8*N8)*Q8*R8/8760/1000,0)</f>
        <v>5.5133578879999999E-3</v>
      </c>
      <c r="V8" s="858">
        <f t="shared" ref="V8:V9" si="7">T8-U8</f>
        <v>5.5133584559999994E-3</v>
      </c>
      <c r="W8" s="270"/>
    </row>
    <row r="9" spans="1:23" s="806" customFormat="1" ht="14.4">
      <c r="A9" s="844" t="s">
        <v>39</v>
      </c>
      <c r="B9" s="845" t="str">
        <f t="shared" si="4"/>
        <v>IND_201301</v>
      </c>
      <c r="C9" s="845">
        <v>0</v>
      </c>
      <c r="D9" s="845">
        <v>0</v>
      </c>
      <c r="E9" s="845">
        <f>COUNTIFS($A:$A,A9,$L:$L,L9)</f>
        <v>1</v>
      </c>
      <c r="F9" s="845">
        <v>1</v>
      </c>
      <c r="G9" s="846" t="b">
        <v>1</v>
      </c>
      <c r="H9" s="847" t="str">
        <f t="shared" si="5"/>
        <v>industrial</v>
      </c>
      <c r="I9" s="848" t="s">
        <v>147</v>
      </c>
      <c r="J9" s="848" t="s">
        <v>692</v>
      </c>
      <c r="K9" s="848" t="s">
        <v>485</v>
      </c>
      <c r="L9" s="849">
        <v>2021</v>
      </c>
      <c r="M9" s="2667">
        <v>9.706616400000001E-2</v>
      </c>
      <c r="N9" s="2668">
        <v>4.8533080000000006E-2</v>
      </c>
      <c r="O9" s="852">
        <v>0</v>
      </c>
      <c r="P9" s="853" t="s">
        <v>268</v>
      </c>
      <c r="Q9" s="854">
        <v>0.14199999999999999</v>
      </c>
      <c r="R9" s="855">
        <v>8760000</v>
      </c>
      <c r="S9" s="111" t="s">
        <v>269</v>
      </c>
      <c r="T9" s="856">
        <f>(M9-O9)*Q9*R9/8760000</f>
        <v>1.3783395288000001E-2</v>
      </c>
      <c r="U9" s="857">
        <f>IFERROR((N9-O9/M9*N9)*Q9*R9/8760/1000,0)</f>
        <v>6.8916973599999999E-3</v>
      </c>
      <c r="V9" s="858">
        <f t="shared" si="7"/>
        <v>6.8916979280000011E-3</v>
      </c>
      <c r="W9" s="270"/>
    </row>
    <row r="11" spans="1:23" ht="12.75" customHeight="1">
      <c r="H11" s="537" t="s">
        <v>1355</v>
      </c>
      <c r="I11" s="5"/>
      <c r="J11" s="5"/>
      <c r="K11" s="5"/>
      <c r="L11" s="96"/>
    </row>
    <row r="12" spans="1:23" ht="45" customHeight="1">
      <c r="H12" s="2969" t="s">
        <v>2439</v>
      </c>
      <c r="I12" s="2970"/>
      <c r="J12" s="2970"/>
      <c r="K12" s="2970"/>
      <c r="L12" s="2971"/>
    </row>
  </sheetData>
  <autoFilter ref="A5:W9">
    <filterColumn colId="11">
      <filters>
        <filter val="2020"/>
        <filter val="2021"/>
      </filters>
    </filterColumn>
  </autoFilter>
  <dataConsolidate/>
  <mergeCells count="7">
    <mergeCell ref="H12:L12"/>
    <mergeCell ref="T4:V4"/>
    <mergeCell ref="I2:L2"/>
    <mergeCell ref="A4:G4"/>
    <mergeCell ref="H4:L4"/>
    <mergeCell ref="M4:Q4"/>
    <mergeCell ref="R4:S4"/>
  </mergeCells>
  <hyperlinks>
    <hyperlink ref="H1" location="' Summary by Program 2020-21'!H1" display="Summary Page"/>
  </hyperlinks>
  <pageMargins left="0.7" right="0.7" top="0.75" bottom="0.75" header="0.3" footer="0.3"/>
  <pageSetup scale="32"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2:J649"/>
  <sheetViews>
    <sheetView workbookViewId="0"/>
  </sheetViews>
  <sheetFormatPr defaultRowHeight="14.4"/>
  <cols>
    <col min="1" max="1" width="35.109375" customWidth="1"/>
    <col min="2" max="2" width="12.88671875" customWidth="1"/>
    <col min="3" max="3" width="27" customWidth="1"/>
    <col min="4" max="4" width="24.88671875" customWidth="1"/>
    <col min="5" max="5" width="50.6640625" customWidth="1"/>
    <col min="6" max="6" width="85.44140625" customWidth="1"/>
    <col min="7" max="7" width="27" bestFit="1" customWidth="1"/>
    <col min="8" max="8" width="21.6640625" bestFit="1" customWidth="1"/>
    <col min="9" max="9" width="12.88671875" bestFit="1" customWidth="1"/>
    <col min="10" max="10" width="24.88671875" bestFit="1" customWidth="1"/>
  </cols>
  <sheetData>
    <row r="2" spans="1:10">
      <c r="B2" s="65" t="s">
        <v>132</v>
      </c>
      <c r="C2" s="804" t="s" vm="2">
        <v>9</v>
      </c>
    </row>
    <row r="3" spans="1:10">
      <c r="B3" s="65" t="s">
        <v>133</v>
      </c>
      <c r="C3" s="804" t="s" vm="1">
        <v>134</v>
      </c>
    </row>
    <row r="5" spans="1:10">
      <c r="B5" s="65" t="s">
        <v>8</v>
      </c>
      <c r="C5" s="65" t="s">
        <v>0</v>
      </c>
      <c r="D5" s="65" t="s">
        <v>4</v>
      </c>
      <c r="E5" s="65" t="s">
        <v>5</v>
      </c>
      <c r="F5" s="65" t="s">
        <v>6</v>
      </c>
      <c r="G5" s="804" t="s">
        <v>421</v>
      </c>
      <c r="H5" s="804" t="s">
        <v>422</v>
      </c>
      <c r="I5" s="804" t="s">
        <v>423</v>
      </c>
      <c r="J5" s="804" t="s">
        <v>628</v>
      </c>
    </row>
    <row r="6" spans="1:10">
      <c r="A6" s="95" t="str">
        <f>B6&amp;C6</f>
        <v>2018AGR_200201_P1T1</v>
      </c>
      <c r="B6" s="804" t="s">
        <v>424</v>
      </c>
      <c r="C6" s="804" t="s">
        <v>629</v>
      </c>
      <c r="D6" s="804" t="s">
        <v>630</v>
      </c>
      <c r="E6" s="804" t="s">
        <v>631</v>
      </c>
      <c r="F6" s="804" t="s">
        <v>632</v>
      </c>
      <c r="G6" s="66"/>
      <c r="H6" s="66"/>
      <c r="I6" s="94"/>
      <c r="J6" s="66">
        <v>0</v>
      </c>
    </row>
    <row r="7" spans="1:10">
      <c r="A7" s="95" t="str">
        <f t="shared" ref="A7:A70" si="0">B7&amp;C7</f>
        <v>2018AGR_201401_P1T1</v>
      </c>
      <c r="B7" s="804" t="s">
        <v>424</v>
      </c>
      <c r="C7" s="804" t="s">
        <v>633</v>
      </c>
      <c r="D7" s="804" t="s">
        <v>634</v>
      </c>
      <c r="E7" s="804" t="s">
        <v>635</v>
      </c>
      <c r="F7" s="804" t="s">
        <v>636</v>
      </c>
      <c r="G7" s="66"/>
      <c r="H7" s="66"/>
      <c r="I7" s="94"/>
      <c r="J7" s="66">
        <v>0</v>
      </c>
    </row>
    <row r="8" spans="1:10">
      <c r="A8" s="95" t="str">
        <f t="shared" si="0"/>
        <v>2018COM_199701_P1T1</v>
      </c>
      <c r="B8" s="804" t="s">
        <v>424</v>
      </c>
      <c r="C8" s="804" t="s">
        <v>548</v>
      </c>
      <c r="D8" s="804" t="s">
        <v>623</v>
      </c>
      <c r="E8" s="804" t="s">
        <v>156</v>
      </c>
      <c r="F8" s="804" t="s">
        <v>485</v>
      </c>
      <c r="G8" s="66">
        <v>1570</v>
      </c>
      <c r="H8" s="66"/>
      <c r="I8" s="94"/>
      <c r="J8" s="66">
        <v>1.6359049000000001</v>
      </c>
    </row>
    <row r="9" spans="1:10">
      <c r="A9" s="95" t="str">
        <f t="shared" si="0"/>
        <v>2018COM_200002_P1T1</v>
      </c>
      <c r="B9" s="804" t="s">
        <v>424</v>
      </c>
      <c r="C9" s="804" t="s">
        <v>19</v>
      </c>
      <c r="D9" s="804" t="s">
        <v>137</v>
      </c>
      <c r="E9" s="804" t="s">
        <v>434</v>
      </c>
      <c r="F9" s="804" t="s">
        <v>485</v>
      </c>
      <c r="G9" s="66"/>
      <c r="H9" s="66">
        <v>63.059766869999997</v>
      </c>
      <c r="I9" s="94">
        <v>0.30858074167666316</v>
      </c>
      <c r="J9" s="66">
        <v>31186139.5546863</v>
      </c>
    </row>
    <row r="10" spans="1:10">
      <c r="A10" s="95" t="str">
        <f t="shared" si="0"/>
        <v>2018COM_200002_P2T1</v>
      </c>
      <c r="B10" s="804" t="s">
        <v>424</v>
      </c>
      <c r="C10" s="804" t="s">
        <v>20</v>
      </c>
      <c r="D10" s="804" t="s">
        <v>137</v>
      </c>
      <c r="E10" s="804" t="s">
        <v>462</v>
      </c>
      <c r="F10" s="804" t="s">
        <v>485</v>
      </c>
      <c r="G10" s="66">
        <v>129.80906777000001</v>
      </c>
      <c r="H10" s="66"/>
      <c r="I10" s="94"/>
      <c r="J10" s="66">
        <v>2654952.8604597799</v>
      </c>
    </row>
    <row r="11" spans="1:10">
      <c r="A11" s="95" t="str">
        <f t="shared" si="0"/>
        <v>2018COM_200002_P3T1</v>
      </c>
      <c r="B11" s="804" t="s">
        <v>424</v>
      </c>
      <c r="C11" s="804" t="s">
        <v>1405</v>
      </c>
      <c r="D11" s="804" t="s">
        <v>137</v>
      </c>
      <c r="E11" s="804" t="s">
        <v>1406</v>
      </c>
      <c r="F11" s="804" t="s">
        <v>485</v>
      </c>
      <c r="G11" s="66"/>
      <c r="H11" s="66"/>
      <c r="I11" s="94"/>
      <c r="J11" s="66">
        <v>4223097.4453136902</v>
      </c>
    </row>
    <row r="12" spans="1:10">
      <c r="A12" s="95" t="str">
        <f t="shared" si="0"/>
        <v>2018COM_200002_P4T1</v>
      </c>
      <c r="B12" s="804" t="s">
        <v>424</v>
      </c>
      <c r="C12" s="804" t="s">
        <v>1407</v>
      </c>
      <c r="D12" s="804" t="s">
        <v>137</v>
      </c>
      <c r="E12" s="804" t="s">
        <v>1408</v>
      </c>
      <c r="F12" s="804" t="s">
        <v>485</v>
      </c>
      <c r="G12" s="66"/>
      <c r="H12" s="66"/>
      <c r="I12" s="94"/>
      <c r="J12" s="66">
        <v>429011.25954514003</v>
      </c>
    </row>
    <row r="13" spans="1:10">
      <c r="A13" s="95" t="str">
        <f t="shared" si="0"/>
        <v>2018COM_200202_P1T1</v>
      </c>
      <c r="B13" s="804" t="s">
        <v>424</v>
      </c>
      <c r="C13" s="804" t="s">
        <v>566</v>
      </c>
      <c r="D13" s="804" t="s">
        <v>138</v>
      </c>
      <c r="E13" s="804" t="s">
        <v>445</v>
      </c>
      <c r="F13" s="804" t="s">
        <v>509</v>
      </c>
      <c r="G13" s="66"/>
      <c r="H13" s="66">
        <v>5215625</v>
      </c>
      <c r="I13" s="94">
        <v>1</v>
      </c>
      <c r="J13" s="66"/>
    </row>
    <row r="14" spans="1:10">
      <c r="A14" s="95" t="str">
        <f t="shared" si="0"/>
        <v>2018COM_200202_P1T10</v>
      </c>
      <c r="B14" s="804" t="s">
        <v>424</v>
      </c>
      <c r="C14" s="804" t="s">
        <v>1409</v>
      </c>
      <c r="D14" s="804" t="s">
        <v>138</v>
      </c>
      <c r="E14" s="804" t="s">
        <v>445</v>
      </c>
      <c r="F14" s="804" t="s">
        <v>1410</v>
      </c>
      <c r="G14" s="66"/>
      <c r="H14" s="66">
        <v>0</v>
      </c>
      <c r="I14" s="94">
        <v>0</v>
      </c>
      <c r="J14" s="66"/>
    </row>
    <row r="15" spans="1:10">
      <c r="A15" s="95" t="str">
        <f t="shared" si="0"/>
        <v>2018COM_200202_P1T2</v>
      </c>
      <c r="B15" s="804" t="s">
        <v>424</v>
      </c>
      <c r="C15" s="804" t="s">
        <v>567</v>
      </c>
      <c r="D15" s="804" t="s">
        <v>138</v>
      </c>
      <c r="E15" s="804" t="s">
        <v>445</v>
      </c>
      <c r="F15" s="804" t="s">
        <v>510</v>
      </c>
      <c r="G15" s="66"/>
      <c r="H15" s="66">
        <v>5215625</v>
      </c>
      <c r="I15" s="94">
        <v>1</v>
      </c>
      <c r="J15" s="66"/>
    </row>
    <row r="16" spans="1:10">
      <c r="A16" s="95" t="str">
        <f t="shared" si="0"/>
        <v>2018COM_200202_P1T3</v>
      </c>
      <c r="B16" s="804" t="s">
        <v>424</v>
      </c>
      <c r="C16" s="804" t="s">
        <v>568</v>
      </c>
      <c r="D16" s="804" t="s">
        <v>138</v>
      </c>
      <c r="E16" s="804" t="s">
        <v>445</v>
      </c>
      <c r="F16" s="804" t="s">
        <v>511</v>
      </c>
      <c r="G16" s="66"/>
      <c r="H16" s="66">
        <v>5215625</v>
      </c>
      <c r="I16" s="94">
        <v>1</v>
      </c>
      <c r="J16" s="66"/>
    </row>
    <row r="17" spans="1:10">
      <c r="A17" s="95" t="str">
        <f t="shared" si="0"/>
        <v>2018COM_200202_P1T4</v>
      </c>
      <c r="B17" s="804" t="s">
        <v>424</v>
      </c>
      <c r="C17" s="804" t="s">
        <v>569</v>
      </c>
      <c r="D17" s="804" t="s">
        <v>138</v>
      </c>
      <c r="E17" s="804" t="s">
        <v>445</v>
      </c>
      <c r="F17" s="804" t="s">
        <v>512</v>
      </c>
      <c r="G17" s="66"/>
      <c r="H17" s="66">
        <v>5215625</v>
      </c>
      <c r="I17" s="94">
        <v>1</v>
      </c>
      <c r="J17" s="66"/>
    </row>
    <row r="18" spans="1:10">
      <c r="A18" s="95" t="str">
        <f t="shared" si="0"/>
        <v>2018COM_200202_P1T5</v>
      </c>
      <c r="B18" s="804" t="s">
        <v>424</v>
      </c>
      <c r="C18" s="804" t="s">
        <v>21</v>
      </c>
      <c r="D18" s="804" t="s">
        <v>138</v>
      </c>
      <c r="E18" s="804" t="s">
        <v>445</v>
      </c>
      <c r="F18" s="804" t="s">
        <v>513</v>
      </c>
      <c r="G18" s="66"/>
      <c r="H18" s="66">
        <v>0</v>
      </c>
      <c r="I18" s="94">
        <v>0</v>
      </c>
      <c r="J18" s="66"/>
    </row>
    <row r="19" spans="1:10">
      <c r="A19" s="95" t="str">
        <f t="shared" si="0"/>
        <v>2018COM_200202_P1T7</v>
      </c>
      <c r="B19" s="804" t="s">
        <v>424</v>
      </c>
      <c r="C19" s="804" t="s">
        <v>1411</v>
      </c>
      <c r="D19" s="804" t="s">
        <v>138</v>
      </c>
      <c r="E19" s="804" t="s">
        <v>445</v>
      </c>
      <c r="F19" s="804" t="s">
        <v>518</v>
      </c>
      <c r="G19" s="66"/>
      <c r="H19" s="66">
        <v>0</v>
      </c>
      <c r="I19" s="94">
        <v>0</v>
      </c>
      <c r="J19" s="66"/>
    </row>
    <row r="20" spans="1:10">
      <c r="A20" s="95" t="str">
        <f t="shared" si="0"/>
        <v>2018COM_200202_P1T8</v>
      </c>
      <c r="B20" s="804" t="s">
        <v>424</v>
      </c>
      <c r="C20" s="804" t="s">
        <v>1412</v>
      </c>
      <c r="D20" s="804" t="s">
        <v>138</v>
      </c>
      <c r="E20" s="804" t="s">
        <v>445</v>
      </c>
      <c r="F20" s="804" t="s">
        <v>1413</v>
      </c>
      <c r="G20" s="66"/>
      <c r="H20" s="66">
        <v>0</v>
      </c>
      <c r="I20" s="94">
        <v>0</v>
      </c>
      <c r="J20" s="66"/>
    </row>
    <row r="21" spans="1:10">
      <c r="A21" s="95" t="str">
        <f t="shared" si="0"/>
        <v>2018COM_200202_P1T9</v>
      </c>
      <c r="B21" s="804" t="s">
        <v>424</v>
      </c>
      <c r="C21" s="804" t="s">
        <v>1414</v>
      </c>
      <c r="D21" s="804" t="s">
        <v>138</v>
      </c>
      <c r="E21" s="804" t="s">
        <v>445</v>
      </c>
      <c r="F21" s="804" t="s">
        <v>1415</v>
      </c>
      <c r="G21" s="66"/>
      <c r="H21" s="66">
        <v>0</v>
      </c>
      <c r="I21" s="94">
        <v>0</v>
      </c>
      <c r="J21" s="66"/>
    </row>
    <row r="22" spans="1:10">
      <c r="A22" s="95" t="str">
        <f t="shared" si="0"/>
        <v>2018COM_200202_P2T1</v>
      </c>
      <c r="B22" s="804" t="s">
        <v>424</v>
      </c>
      <c r="C22" s="804" t="s">
        <v>579</v>
      </c>
      <c r="D22" s="804" t="s">
        <v>138</v>
      </c>
      <c r="E22" s="804" t="s">
        <v>453</v>
      </c>
      <c r="F22" s="804" t="s">
        <v>519</v>
      </c>
      <c r="G22" s="66"/>
      <c r="H22" s="66">
        <v>1951975</v>
      </c>
      <c r="I22" s="94">
        <v>1</v>
      </c>
      <c r="J22" s="66"/>
    </row>
    <row r="23" spans="1:10">
      <c r="A23" s="95" t="str">
        <f t="shared" si="0"/>
        <v>2018COM_200202_P2T10</v>
      </c>
      <c r="B23" s="804" t="s">
        <v>424</v>
      </c>
      <c r="C23" s="804" t="s">
        <v>1416</v>
      </c>
      <c r="D23" s="804" t="s">
        <v>138</v>
      </c>
      <c r="E23" s="804" t="s">
        <v>453</v>
      </c>
      <c r="F23" s="804" t="s">
        <v>1410</v>
      </c>
      <c r="G23" s="66"/>
      <c r="H23" s="66">
        <v>0</v>
      </c>
      <c r="I23" s="94">
        <v>0</v>
      </c>
      <c r="J23" s="66"/>
    </row>
    <row r="24" spans="1:10">
      <c r="A24" s="95" t="str">
        <f t="shared" si="0"/>
        <v>2018COM_200202_P2T2</v>
      </c>
      <c r="B24" s="804" t="s">
        <v>424</v>
      </c>
      <c r="C24" s="804" t="s">
        <v>580</v>
      </c>
      <c r="D24" s="804" t="s">
        <v>138</v>
      </c>
      <c r="E24" s="804" t="s">
        <v>453</v>
      </c>
      <c r="F24" s="804" t="s">
        <v>520</v>
      </c>
      <c r="G24" s="66"/>
      <c r="H24" s="66">
        <v>1951975</v>
      </c>
      <c r="I24" s="94">
        <v>1</v>
      </c>
      <c r="J24" s="66"/>
    </row>
    <row r="25" spans="1:10">
      <c r="A25" s="95" t="str">
        <f t="shared" si="0"/>
        <v>2018COM_200202_P2T3</v>
      </c>
      <c r="B25" s="804" t="s">
        <v>424</v>
      </c>
      <c r="C25" s="804" t="s">
        <v>581</v>
      </c>
      <c r="D25" s="804" t="s">
        <v>138</v>
      </c>
      <c r="E25" s="804" t="s">
        <v>453</v>
      </c>
      <c r="F25" s="804" t="s">
        <v>521</v>
      </c>
      <c r="G25" s="66"/>
      <c r="H25" s="66">
        <v>1951975</v>
      </c>
      <c r="I25" s="94">
        <v>1</v>
      </c>
      <c r="J25" s="66"/>
    </row>
    <row r="26" spans="1:10">
      <c r="A26" s="95" t="str">
        <f t="shared" si="0"/>
        <v>2018COM_200202_P2T6</v>
      </c>
      <c r="B26" s="804" t="s">
        <v>424</v>
      </c>
      <c r="C26" s="804" t="s">
        <v>1417</v>
      </c>
      <c r="D26" s="804" t="s">
        <v>138</v>
      </c>
      <c r="E26" s="804" t="s">
        <v>453</v>
      </c>
      <c r="F26" s="804" t="s">
        <v>508</v>
      </c>
      <c r="G26" s="66"/>
      <c r="H26" s="66">
        <v>0</v>
      </c>
      <c r="I26" s="94">
        <v>0</v>
      </c>
      <c r="J26" s="66"/>
    </row>
    <row r="27" spans="1:10">
      <c r="A27" s="95" t="str">
        <f t="shared" si="0"/>
        <v>2018COM_200202_P2T7</v>
      </c>
      <c r="B27" s="804" t="s">
        <v>424</v>
      </c>
      <c r="C27" s="804" t="s">
        <v>1418</v>
      </c>
      <c r="D27" s="804" t="s">
        <v>138</v>
      </c>
      <c r="E27" s="804" t="s">
        <v>453</v>
      </c>
      <c r="F27" s="804" t="s">
        <v>518</v>
      </c>
      <c r="G27" s="66"/>
      <c r="H27" s="66">
        <v>0</v>
      </c>
      <c r="I27" s="94">
        <v>0</v>
      </c>
      <c r="J27" s="66"/>
    </row>
    <row r="28" spans="1:10">
      <c r="A28" s="95" t="str">
        <f t="shared" si="0"/>
        <v>2018COM_200202_P2T8</v>
      </c>
      <c r="B28" s="804" t="s">
        <v>424</v>
      </c>
      <c r="C28" s="804" t="s">
        <v>1419</v>
      </c>
      <c r="D28" s="804" t="s">
        <v>138</v>
      </c>
      <c r="E28" s="804" t="s">
        <v>453</v>
      </c>
      <c r="F28" s="804" t="s">
        <v>1413</v>
      </c>
      <c r="G28" s="66"/>
      <c r="H28" s="66">
        <v>0</v>
      </c>
      <c r="I28" s="94">
        <v>0</v>
      </c>
      <c r="J28" s="66"/>
    </row>
    <row r="29" spans="1:10">
      <c r="A29" s="95" t="str">
        <f t="shared" si="0"/>
        <v>2018COM_200202_P2T9</v>
      </c>
      <c r="B29" s="804" t="s">
        <v>424</v>
      </c>
      <c r="C29" s="804" t="s">
        <v>1420</v>
      </c>
      <c r="D29" s="804" t="s">
        <v>138</v>
      </c>
      <c r="E29" s="804" t="s">
        <v>453</v>
      </c>
      <c r="F29" s="804" t="s">
        <v>1415</v>
      </c>
      <c r="G29" s="66"/>
      <c r="H29" s="66">
        <v>0</v>
      </c>
      <c r="I29" s="94">
        <v>0</v>
      </c>
      <c r="J29" s="66"/>
    </row>
    <row r="30" spans="1:10">
      <c r="A30" s="95" t="str">
        <f t="shared" si="0"/>
        <v>2018COM_200202_P3T1</v>
      </c>
      <c r="B30" s="804" t="s">
        <v>424</v>
      </c>
      <c r="C30" s="804" t="s">
        <v>590</v>
      </c>
      <c r="D30" s="804" t="s">
        <v>138</v>
      </c>
      <c r="E30" s="804" t="s">
        <v>459</v>
      </c>
      <c r="F30" s="804" t="s">
        <v>524</v>
      </c>
      <c r="G30" s="66"/>
      <c r="H30" s="66">
        <v>17907875</v>
      </c>
      <c r="I30" s="94">
        <v>1</v>
      </c>
      <c r="J30" s="66"/>
    </row>
    <row r="31" spans="1:10">
      <c r="A31" s="95" t="str">
        <f t="shared" si="0"/>
        <v>2018COM_200202_P3T10</v>
      </c>
      <c r="B31" s="804" t="s">
        <v>424</v>
      </c>
      <c r="C31" s="804" t="s">
        <v>1421</v>
      </c>
      <c r="D31" s="804" t="s">
        <v>138</v>
      </c>
      <c r="E31" s="804" t="s">
        <v>459</v>
      </c>
      <c r="F31" s="804" t="s">
        <v>1422</v>
      </c>
      <c r="G31" s="66"/>
      <c r="H31" s="66">
        <v>0</v>
      </c>
      <c r="I31" s="94">
        <v>0</v>
      </c>
      <c r="J31" s="66"/>
    </row>
    <row r="32" spans="1:10">
      <c r="A32" s="95" t="str">
        <f t="shared" si="0"/>
        <v>2018COM_200202_P3T2</v>
      </c>
      <c r="B32" s="804" t="s">
        <v>424</v>
      </c>
      <c r="C32" s="804" t="s">
        <v>591</v>
      </c>
      <c r="D32" s="804" t="s">
        <v>138</v>
      </c>
      <c r="E32" s="804" t="s">
        <v>459</v>
      </c>
      <c r="F32" s="804" t="s">
        <v>525</v>
      </c>
      <c r="G32" s="66"/>
      <c r="H32" s="66">
        <v>17907875</v>
      </c>
      <c r="I32" s="94">
        <v>1</v>
      </c>
      <c r="J32" s="66"/>
    </row>
    <row r="33" spans="1:10">
      <c r="A33" s="95" t="str">
        <f t="shared" si="0"/>
        <v>2018COM_200202_P3T3</v>
      </c>
      <c r="B33" s="804" t="s">
        <v>424</v>
      </c>
      <c r="C33" s="804" t="s">
        <v>592</v>
      </c>
      <c r="D33" s="804" t="s">
        <v>138</v>
      </c>
      <c r="E33" s="804" t="s">
        <v>459</v>
      </c>
      <c r="F33" s="804" t="s">
        <v>526</v>
      </c>
      <c r="G33" s="66"/>
      <c r="H33" s="66">
        <v>17907875</v>
      </c>
      <c r="I33" s="94">
        <v>1</v>
      </c>
      <c r="J33" s="66"/>
    </row>
    <row r="34" spans="1:10">
      <c r="A34" s="95" t="str">
        <f t="shared" si="0"/>
        <v>2018COM_200202_P3T4</v>
      </c>
      <c r="B34" s="804" t="s">
        <v>424</v>
      </c>
      <c r="C34" s="804" t="s">
        <v>593</v>
      </c>
      <c r="D34" s="804" t="s">
        <v>138</v>
      </c>
      <c r="E34" s="804" t="s">
        <v>459</v>
      </c>
      <c r="F34" s="804" t="s">
        <v>527</v>
      </c>
      <c r="G34" s="66"/>
      <c r="H34" s="66">
        <v>17907875</v>
      </c>
      <c r="I34" s="94">
        <v>1</v>
      </c>
      <c r="J34" s="66"/>
    </row>
    <row r="35" spans="1:10">
      <c r="A35" s="95" t="str">
        <f t="shared" si="0"/>
        <v>2018COM_200202_P3T5</v>
      </c>
      <c r="B35" s="804" t="s">
        <v>424</v>
      </c>
      <c r="C35" s="804" t="s">
        <v>23</v>
      </c>
      <c r="D35" s="804" t="s">
        <v>138</v>
      </c>
      <c r="E35" s="804" t="s">
        <v>459</v>
      </c>
      <c r="F35" s="804" t="s">
        <v>528</v>
      </c>
      <c r="G35" s="66"/>
      <c r="H35" s="66">
        <v>0</v>
      </c>
      <c r="I35" s="94">
        <v>0</v>
      </c>
      <c r="J35" s="66"/>
    </row>
    <row r="36" spans="1:10">
      <c r="A36" s="95" t="str">
        <f t="shared" si="0"/>
        <v>2018COM_200202_P3T8</v>
      </c>
      <c r="B36" s="804" t="s">
        <v>424</v>
      </c>
      <c r="C36" s="804" t="s">
        <v>1423</v>
      </c>
      <c r="D36" s="804" t="s">
        <v>138</v>
      </c>
      <c r="E36" s="804" t="s">
        <v>459</v>
      </c>
      <c r="F36" s="804" t="s">
        <v>1424</v>
      </c>
      <c r="G36" s="66"/>
      <c r="H36" s="66">
        <v>0</v>
      </c>
      <c r="I36" s="94">
        <v>0</v>
      </c>
      <c r="J36" s="66"/>
    </row>
    <row r="37" spans="1:10">
      <c r="A37" s="95" t="str">
        <f t="shared" si="0"/>
        <v>2018COM_200202_P4T1</v>
      </c>
      <c r="B37" s="804" t="s">
        <v>424</v>
      </c>
      <c r="C37" s="804" t="s">
        <v>614</v>
      </c>
      <c r="D37" s="804" t="s">
        <v>138</v>
      </c>
      <c r="E37" s="804" t="s">
        <v>478</v>
      </c>
      <c r="F37" s="804" t="s">
        <v>541</v>
      </c>
      <c r="G37" s="66"/>
      <c r="H37" s="66">
        <v>44506775</v>
      </c>
      <c r="I37" s="94">
        <v>1</v>
      </c>
      <c r="J37" s="66"/>
    </row>
    <row r="38" spans="1:10">
      <c r="A38" s="95" t="str">
        <f t="shared" si="0"/>
        <v>2018COM_200202_P4T2</v>
      </c>
      <c r="B38" s="804" t="s">
        <v>424</v>
      </c>
      <c r="C38" s="804" t="s">
        <v>615</v>
      </c>
      <c r="D38" s="804" t="s">
        <v>138</v>
      </c>
      <c r="E38" s="804" t="s">
        <v>478</v>
      </c>
      <c r="F38" s="804" t="s">
        <v>542</v>
      </c>
      <c r="G38" s="66"/>
      <c r="H38" s="66">
        <v>44506775</v>
      </c>
      <c r="I38" s="94">
        <v>1</v>
      </c>
      <c r="J38" s="66"/>
    </row>
    <row r="39" spans="1:10">
      <c r="A39" s="95" t="str">
        <f t="shared" si="0"/>
        <v>2018COM_200202_P4T3</v>
      </c>
      <c r="B39" s="804" t="s">
        <v>424</v>
      </c>
      <c r="C39" s="804" t="s">
        <v>637</v>
      </c>
      <c r="D39" s="804" t="s">
        <v>138</v>
      </c>
      <c r="E39" s="804" t="s">
        <v>478</v>
      </c>
      <c r="F39" s="804" t="s">
        <v>638</v>
      </c>
      <c r="G39" s="66"/>
      <c r="H39" s="66">
        <v>44506775</v>
      </c>
      <c r="I39" s="94">
        <v>1</v>
      </c>
      <c r="J39" s="66"/>
    </row>
    <row r="40" spans="1:10">
      <c r="A40" s="95" t="str">
        <f t="shared" si="0"/>
        <v>2018COM_200202_P4T4</v>
      </c>
      <c r="B40" s="804" t="s">
        <v>424</v>
      </c>
      <c r="C40" s="804" t="s">
        <v>616</v>
      </c>
      <c r="D40" s="804" t="s">
        <v>138</v>
      </c>
      <c r="E40" s="804" t="s">
        <v>478</v>
      </c>
      <c r="F40" s="804" t="s">
        <v>543</v>
      </c>
      <c r="G40" s="66"/>
      <c r="H40" s="66">
        <v>44506775</v>
      </c>
      <c r="I40" s="94">
        <v>1</v>
      </c>
      <c r="J40" s="66"/>
    </row>
    <row r="41" spans="1:10">
      <c r="A41" s="95" t="str">
        <f t="shared" si="0"/>
        <v>2018COM_200202_P4T5</v>
      </c>
      <c r="B41" s="804" t="s">
        <v>424</v>
      </c>
      <c r="C41" s="804" t="s">
        <v>617</v>
      </c>
      <c r="D41" s="804" t="s">
        <v>138</v>
      </c>
      <c r="E41" s="804" t="s">
        <v>478</v>
      </c>
      <c r="F41" s="804" t="s">
        <v>544</v>
      </c>
      <c r="G41" s="66"/>
      <c r="H41" s="66">
        <v>44506775</v>
      </c>
      <c r="I41" s="94">
        <v>1</v>
      </c>
      <c r="J41" s="66"/>
    </row>
    <row r="42" spans="1:10">
      <c r="A42" s="95" t="str">
        <f t="shared" si="0"/>
        <v>2018COM_200202_P4T6</v>
      </c>
      <c r="B42" s="804" t="s">
        <v>424</v>
      </c>
      <c r="C42" s="804" t="s">
        <v>24</v>
      </c>
      <c r="D42" s="804" t="s">
        <v>138</v>
      </c>
      <c r="E42" s="804" t="s">
        <v>478</v>
      </c>
      <c r="F42" s="804" t="s">
        <v>1425</v>
      </c>
      <c r="G42" s="66"/>
      <c r="H42" s="66">
        <v>30598407.8125</v>
      </c>
      <c r="I42" s="94">
        <v>0.6875</v>
      </c>
      <c r="J42" s="66"/>
    </row>
    <row r="43" spans="1:10">
      <c r="A43" s="95" t="str">
        <f t="shared" si="0"/>
        <v>2018COM_200202_P4T8</v>
      </c>
      <c r="B43" s="804" t="s">
        <v>424</v>
      </c>
      <c r="C43" s="804" t="s">
        <v>1426</v>
      </c>
      <c r="D43" s="804" t="s">
        <v>138</v>
      </c>
      <c r="E43" s="804" t="s">
        <v>478</v>
      </c>
      <c r="F43" s="804" t="s">
        <v>539</v>
      </c>
      <c r="G43" s="66"/>
      <c r="H43" s="66">
        <v>0</v>
      </c>
      <c r="I43" s="94">
        <v>0</v>
      </c>
      <c r="J43" s="66"/>
    </row>
    <row r="44" spans="1:10">
      <c r="A44" s="95" t="str">
        <f t="shared" si="0"/>
        <v>2018COM_200202_P4T9</v>
      </c>
      <c r="B44" s="804" t="s">
        <v>424</v>
      </c>
      <c r="C44" s="804" t="s">
        <v>1427</v>
      </c>
      <c r="D44" s="804" t="s">
        <v>138</v>
      </c>
      <c r="E44" s="804" t="s">
        <v>478</v>
      </c>
      <c r="F44" s="804" t="s">
        <v>1428</v>
      </c>
      <c r="G44" s="66"/>
      <c r="H44" s="66">
        <v>0</v>
      </c>
      <c r="I44" s="94">
        <v>0</v>
      </c>
      <c r="J44" s="66"/>
    </row>
    <row r="45" spans="1:10">
      <c r="A45" s="95" t="str">
        <f t="shared" si="0"/>
        <v>2018COM_200203_P1T1</v>
      </c>
      <c r="B45" s="804" t="s">
        <v>424</v>
      </c>
      <c r="C45" s="804" t="s">
        <v>639</v>
      </c>
      <c r="D45" s="804" t="s">
        <v>640</v>
      </c>
      <c r="E45" s="804" t="s">
        <v>641</v>
      </c>
      <c r="F45" s="804" t="s">
        <v>485</v>
      </c>
      <c r="G45" s="66"/>
      <c r="H45" s="66"/>
      <c r="I45" s="94"/>
      <c r="J45" s="66">
        <v>0</v>
      </c>
    </row>
    <row r="46" spans="1:10">
      <c r="A46" s="95" t="str">
        <f t="shared" si="0"/>
        <v>2018COM_200701_P1T1</v>
      </c>
      <c r="B46" s="804" t="s">
        <v>424</v>
      </c>
      <c r="C46" s="804" t="s">
        <v>642</v>
      </c>
      <c r="D46" s="804" t="s">
        <v>139</v>
      </c>
      <c r="E46" s="804" t="s">
        <v>643</v>
      </c>
      <c r="F46" s="804" t="s">
        <v>644</v>
      </c>
      <c r="G46" s="66"/>
      <c r="H46" s="66">
        <v>437077.25790000003</v>
      </c>
      <c r="I46" s="94">
        <v>0.8598481992927961</v>
      </c>
      <c r="J46" s="66">
        <v>0</v>
      </c>
    </row>
    <row r="47" spans="1:10">
      <c r="A47" s="95" t="str">
        <f t="shared" si="0"/>
        <v>2018COM_200701_P1T2</v>
      </c>
      <c r="B47" s="804" t="s">
        <v>424</v>
      </c>
      <c r="C47" s="804" t="s">
        <v>645</v>
      </c>
      <c r="D47" s="804" t="s">
        <v>139</v>
      </c>
      <c r="E47" s="804" t="s">
        <v>643</v>
      </c>
      <c r="F47" s="804" t="s">
        <v>646</v>
      </c>
      <c r="G47" s="66"/>
      <c r="H47" s="66">
        <v>437077.25790000003</v>
      </c>
      <c r="I47" s="94">
        <v>0.8598481992927961</v>
      </c>
      <c r="J47" s="66">
        <v>0</v>
      </c>
    </row>
    <row r="48" spans="1:10">
      <c r="A48" s="95" t="str">
        <f t="shared" si="0"/>
        <v>2018COM_200701_P1T3</v>
      </c>
      <c r="B48" s="804" t="s">
        <v>424</v>
      </c>
      <c r="C48" s="804" t="s">
        <v>71</v>
      </c>
      <c r="D48" s="804" t="s">
        <v>139</v>
      </c>
      <c r="E48" s="804" t="s">
        <v>643</v>
      </c>
      <c r="F48" s="804" t="s">
        <v>1176</v>
      </c>
      <c r="G48" s="66"/>
      <c r="H48" s="66">
        <v>437077.25790000003</v>
      </c>
      <c r="I48" s="94">
        <v>0.8598481992927961</v>
      </c>
      <c r="J48" s="66">
        <v>0</v>
      </c>
    </row>
    <row r="49" spans="1:10">
      <c r="A49" s="95" t="str">
        <f t="shared" si="0"/>
        <v>2018COM_200701_P1T4</v>
      </c>
      <c r="B49" s="804" t="s">
        <v>424</v>
      </c>
      <c r="C49" s="804" t="s">
        <v>1845</v>
      </c>
      <c r="D49" s="804" t="s">
        <v>139</v>
      </c>
      <c r="E49" s="804" t="s">
        <v>643</v>
      </c>
      <c r="F49" s="804" t="s">
        <v>1848</v>
      </c>
      <c r="G49" s="66"/>
      <c r="H49" s="66">
        <v>0</v>
      </c>
      <c r="I49" s="94">
        <v>0</v>
      </c>
      <c r="J49" s="66">
        <v>0</v>
      </c>
    </row>
    <row r="50" spans="1:10">
      <c r="A50" s="95" t="str">
        <f t="shared" si="0"/>
        <v>2018COM_200702_P1T1</v>
      </c>
      <c r="B50" s="804" t="s">
        <v>424</v>
      </c>
      <c r="C50" s="804" t="s">
        <v>647</v>
      </c>
      <c r="D50" s="804" t="s">
        <v>648</v>
      </c>
      <c r="E50" s="804" t="s">
        <v>649</v>
      </c>
      <c r="F50" s="804" t="s">
        <v>158</v>
      </c>
      <c r="G50" s="66"/>
      <c r="H50" s="66"/>
      <c r="I50" s="94"/>
      <c r="J50" s="66">
        <v>0</v>
      </c>
    </row>
    <row r="51" spans="1:10">
      <c r="A51" s="95" t="str">
        <f t="shared" si="0"/>
        <v>2018COM_200801_P1T1</v>
      </c>
      <c r="B51" s="804" t="s">
        <v>424</v>
      </c>
      <c r="C51" s="804" t="s">
        <v>650</v>
      </c>
      <c r="D51" s="804" t="s">
        <v>651</v>
      </c>
      <c r="E51" s="804" t="s">
        <v>652</v>
      </c>
      <c r="F51" s="804" t="s">
        <v>158</v>
      </c>
      <c r="G51" s="66"/>
      <c r="H51" s="66"/>
      <c r="I51" s="94"/>
      <c r="J51" s="66">
        <v>0</v>
      </c>
    </row>
    <row r="52" spans="1:10">
      <c r="A52" s="95" t="str">
        <f t="shared" si="0"/>
        <v>2018COM_200802_P1T1</v>
      </c>
      <c r="B52" s="804" t="s">
        <v>424</v>
      </c>
      <c r="C52" s="804" t="s">
        <v>25</v>
      </c>
      <c r="D52" s="804" t="s">
        <v>653</v>
      </c>
      <c r="E52" s="804" t="s">
        <v>654</v>
      </c>
      <c r="F52" s="804" t="s">
        <v>485</v>
      </c>
      <c r="G52" s="66"/>
      <c r="H52" s="66"/>
      <c r="I52" s="94"/>
      <c r="J52" s="66">
        <v>0</v>
      </c>
    </row>
    <row r="53" spans="1:10">
      <c r="A53" s="95" t="str">
        <f t="shared" si="0"/>
        <v>2018COM_200803_P1T1</v>
      </c>
      <c r="B53" s="804" t="s">
        <v>424</v>
      </c>
      <c r="C53" s="804" t="s">
        <v>26</v>
      </c>
      <c r="D53" s="804" t="s">
        <v>140</v>
      </c>
      <c r="E53" s="804" t="s">
        <v>655</v>
      </c>
      <c r="F53" s="804" t="s">
        <v>485</v>
      </c>
      <c r="G53" s="66"/>
      <c r="H53" s="66"/>
      <c r="I53" s="94"/>
      <c r="J53" s="66">
        <v>0</v>
      </c>
    </row>
    <row r="54" spans="1:10">
      <c r="A54" s="95" t="str">
        <f t="shared" si="0"/>
        <v>2018COM_200803_P2T1</v>
      </c>
      <c r="B54" s="804" t="s">
        <v>424</v>
      </c>
      <c r="C54" s="804" t="s">
        <v>109</v>
      </c>
      <c r="D54" s="804" t="s">
        <v>140</v>
      </c>
      <c r="E54" s="804" t="s">
        <v>656</v>
      </c>
      <c r="F54" s="804" t="s">
        <v>485</v>
      </c>
      <c r="G54" s="66"/>
      <c r="H54" s="66"/>
      <c r="I54" s="94"/>
      <c r="J54" s="66">
        <v>0</v>
      </c>
    </row>
    <row r="55" spans="1:10">
      <c r="A55" s="95" t="str">
        <f t="shared" si="0"/>
        <v>2018COM_200803_P3T1</v>
      </c>
      <c r="B55" s="804" t="s">
        <v>424</v>
      </c>
      <c r="C55" s="804" t="s">
        <v>110</v>
      </c>
      <c r="D55" s="804" t="s">
        <v>140</v>
      </c>
      <c r="E55" s="804" t="s">
        <v>657</v>
      </c>
      <c r="F55" s="804" t="s">
        <v>485</v>
      </c>
      <c r="G55" s="66"/>
      <c r="H55" s="66"/>
      <c r="I55" s="94"/>
      <c r="J55" s="66">
        <v>0</v>
      </c>
    </row>
    <row r="56" spans="1:10">
      <c r="A56" s="95" t="str">
        <f t="shared" si="0"/>
        <v>2018COM_200803_P4T1</v>
      </c>
      <c r="B56" s="804" t="s">
        <v>424</v>
      </c>
      <c r="C56" s="804" t="s">
        <v>111</v>
      </c>
      <c r="D56" s="804" t="s">
        <v>140</v>
      </c>
      <c r="E56" s="804" t="s">
        <v>658</v>
      </c>
      <c r="F56" s="804" t="s">
        <v>485</v>
      </c>
      <c r="G56" s="66"/>
      <c r="H56" s="66"/>
      <c r="I56" s="94"/>
      <c r="J56" s="66">
        <v>0</v>
      </c>
    </row>
    <row r="57" spans="1:10">
      <c r="A57" s="95" t="str">
        <f t="shared" si="0"/>
        <v>2018COM_200901_P1T1</v>
      </c>
      <c r="B57" s="804" t="s">
        <v>424</v>
      </c>
      <c r="C57" s="804" t="s">
        <v>659</v>
      </c>
      <c r="D57" s="804" t="s">
        <v>660</v>
      </c>
      <c r="E57" s="804" t="s">
        <v>661</v>
      </c>
      <c r="F57" s="804" t="s">
        <v>158</v>
      </c>
      <c r="G57" s="66"/>
      <c r="H57" s="66"/>
      <c r="I57" s="94"/>
      <c r="J57" s="66">
        <v>0</v>
      </c>
    </row>
    <row r="58" spans="1:10">
      <c r="A58" s="95" t="str">
        <f t="shared" si="0"/>
        <v>2018COM_201101_P1T1</v>
      </c>
      <c r="B58" s="804" t="s">
        <v>424</v>
      </c>
      <c r="C58" s="804" t="s">
        <v>662</v>
      </c>
      <c r="D58" s="804" t="s">
        <v>663</v>
      </c>
      <c r="E58" s="804" t="s">
        <v>664</v>
      </c>
      <c r="F58" s="804" t="s">
        <v>665</v>
      </c>
      <c r="G58" s="66"/>
      <c r="H58" s="66"/>
      <c r="I58" s="94"/>
      <c r="J58" s="66">
        <v>0</v>
      </c>
    </row>
    <row r="59" spans="1:10">
      <c r="A59" s="95" t="str">
        <f t="shared" si="0"/>
        <v>2018COM_201201_P1T1</v>
      </c>
      <c r="B59" s="804" t="s">
        <v>424</v>
      </c>
      <c r="C59" s="804" t="s">
        <v>27</v>
      </c>
      <c r="D59" s="804" t="s">
        <v>141</v>
      </c>
      <c r="E59" s="804" t="s">
        <v>428</v>
      </c>
      <c r="F59" s="804" t="s">
        <v>485</v>
      </c>
      <c r="G59" s="66">
        <v>1570</v>
      </c>
      <c r="H59" s="66"/>
      <c r="I59" s="94"/>
      <c r="J59" s="66">
        <v>4.1871230400000004</v>
      </c>
    </row>
    <row r="60" spans="1:10">
      <c r="A60" s="95" t="str">
        <f t="shared" si="0"/>
        <v>2018COM_201304_P12T1</v>
      </c>
      <c r="B60" s="804" t="s">
        <v>424</v>
      </c>
      <c r="C60" s="804" t="s">
        <v>1429</v>
      </c>
      <c r="D60" s="804" t="s">
        <v>142</v>
      </c>
      <c r="E60" s="804" t="s">
        <v>1430</v>
      </c>
      <c r="F60" s="804" t="s">
        <v>484</v>
      </c>
      <c r="G60" s="66"/>
      <c r="H60" s="66">
        <v>0</v>
      </c>
      <c r="I60" s="94"/>
      <c r="J60" s="66"/>
    </row>
    <row r="61" spans="1:10">
      <c r="A61" s="95" t="str">
        <f t="shared" si="0"/>
        <v>2018COM_201304_P2T1</v>
      </c>
      <c r="B61" s="804" t="s">
        <v>424</v>
      </c>
      <c r="C61" s="804" t="s">
        <v>560</v>
      </c>
      <c r="D61" s="804" t="s">
        <v>142</v>
      </c>
      <c r="E61" s="804" t="s">
        <v>441</v>
      </c>
      <c r="F61" s="804" t="s">
        <v>484</v>
      </c>
      <c r="G61" s="66"/>
      <c r="H61" s="66">
        <v>3809013.4821729399</v>
      </c>
      <c r="I61" s="94">
        <v>1</v>
      </c>
      <c r="J61" s="66"/>
    </row>
    <row r="62" spans="1:10">
      <c r="A62" s="95" t="str">
        <f t="shared" si="0"/>
        <v>2018COM_201304_P4T1</v>
      </c>
      <c r="B62" s="804" t="s">
        <v>424</v>
      </c>
      <c r="C62" s="804" t="s">
        <v>607</v>
      </c>
      <c r="D62" s="804" t="s">
        <v>142</v>
      </c>
      <c r="E62" s="804" t="s">
        <v>469</v>
      </c>
      <c r="F62" s="804" t="s">
        <v>484</v>
      </c>
      <c r="G62" s="66"/>
      <c r="H62" s="66">
        <v>192371.91176595999</v>
      </c>
      <c r="I62" s="94">
        <v>1</v>
      </c>
      <c r="J62" s="66"/>
    </row>
    <row r="63" spans="1:10">
      <c r="A63" s="95" t="str">
        <f t="shared" si="0"/>
        <v>2018COM_201304_P7T1</v>
      </c>
      <c r="B63" s="804" t="s">
        <v>424</v>
      </c>
      <c r="C63" s="804" t="s">
        <v>122</v>
      </c>
      <c r="D63" s="804" t="s">
        <v>142</v>
      </c>
      <c r="E63" s="804" t="s">
        <v>1233</v>
      </c>
      <c r="F63" s="804" t="s">
        <v>484</v>
      </c>
      <c r="G63" s="66"/>
      <c r="H63" s="66">
        <v>2.38414036</v>
      </c>
      <c r="I63" s="94"/>
      <c r="J63" s="66"/>
    </row>
    <row r="64" spans="1:10">
      <c r="A64" s="95" t="str">
        <f t="shared" si="0"/>
        <v>2018COM_201305_P1T1</v>
      </c>
      <c r="B64" s="804" t="s">
        <v>424</v>
      </c>
      <c r="C64" s="804" t="s">
        <v>28</v>
      </c>
      <c r="D64" s="804" t="s">
        <v>161</v>
      </c>
      <c r="E64" s="804" t="s">
        <v>666</v>
      </c>
      <c r="F64" s="804" t="s">
        <v>485</v>
      </c>
      <c r="G64" s="66"/>
      <c r="H64" s="66"/>
      <c r="I64" s="94"/>
      <c r="J64" s="66">
        <v>0</v>
      </c>
    </row>
    <row r="65" spans="1:10">
      <c r="A65" s="95" t="str">
        <f t="shared" si="0"/>
        <v>2018COM_201401_P1T1</v>
      </c>
      <c r="B65" s="804" t="s">
        <v>424</v>
      </c>
      <c r="C65" s="804" t="s">
        <v>29</v>
      </c>
      <c r="D65" s="804" t="s">
        <v>143</v>
      </c>
      <c r="E65" s="804" t="s">
        <v>667</v>
      </c>
      <c r="F65" s="804" t="s">
        <v>668</v>
      </c>
      <c r="G65" s="66"/>
      <c r="H65" s="66">
        <v>3.4754353600000001</v>
      </c>
      <c r="I65" s="94">
        <v>3.1468570707109546E-2</v>
      </c>
      <c r="J65" s="66">
        <v>0</v>
      </c>
    </row>
    <row r="66" spans="1:10">
      <c r="A66" s="95" t="str">
        <f t="shared" si="0"/>
        <v>2018COM_201403_P1T1</v>
      </c>
      <c r="B66" s="804" t="s">
        <v>424</v>
      </c>
      <c r="C66" s="804" t="s">
        <v>30</v>
      </c>
      <c r="D66" s="804" t="s">
        <v>144</v>
      </c>
      <c r="E66" s="804" t="s">
        <v>473</v>
      </c>
      <c r="F66" s="804" t="s">
        <v>158</v>
      </c>
      <c r="G66" s="66"/>
      <c r="H66" s="66">
        <v>818535.45147732005</v>
      </c>
      <c r="I66" s="94">
        <v>0.43725019597064424</v>
      </c>
      <c r="J66" s="66">
        <v>7132.1688665499996</v>
      </c>
    </row>
    <row r="67" spans="1:10">
      <c r="A67" s="95" t="str">
        <f t="shared" si="0"/>
        <v>2018COM_201403_P2T1</v>
      </c>
      <c r="B67" s="804" t="s">
        <v>424</v>
      </c>
      <c r="C67" s="804" t="s">
        <v>31</v>
      </c>
      <c r="D67" s="804" t="s">
        <v>144</v>
      </c>
      <c r="E67" s="804" t="s">
        <v>471</v>
      </c>
      <c r="F67" s="804" t="s">
        <v>158</v>
      </c>
      <c r="G67" s="66"/>
      <c r="H67" s="66">
        <v>44059.123143309997</v>
      </c>
      <c r="I67" s="94">
        <v>2.3535767685977659E-2</v>
      </c>
      <c r="J67" s="66">
        <v>37.005521450000003</v>
      </c>
    </row>
    <row r="68" spans="1:10">
      <c r="A68" s="95" t="str">
        <f t="shared" si="0"/>
        <v>2018COM_201403_P3T1</v>
      </c>
      <c r="B68" s="804" t="s">
        <v>424</v>
      </c>
      <c r="C68" s="804" t="s">
        <v>93</v>
      </c>
      <c r="D68" s="804" t="s">
        <v>144</v>
      </c>
      <c r="E68" s="804" t="s">
        <v>474</v>
      </c>
      <c r="F68" s="804" t="s">
        <v>158</v>
      </c>
      <c r="G68" s="66"/>
      <c r="H68" s="66">
        <v>203002.90381429001</v>
      </c>
      <c r="I68" s="94">
        <v>0.45030007385606052</v>
      </c>
      <c r="J68" s="66">
        <v>1768.8311334499999</v>
      </c>
    </row>
    <row r="69" spans="1:10">
      <c r="A69" s="95" t="str">
        <f t="shared" si="0"/>
        <v>2018COM_201403_P4T1</v>
      </c>
      <c r="B69" s="804" t="s">
        <v>424</v>
      </c>
      <c r="C69" s="804" t="s">
        <v>94</v>
      </c>
      <c r="D69" s="804" t="s">
        <v>144</v>
      </c>
      <c r="E69" s="804" t="s">
        <v>472</v>
      </c>
      <c r="F69" s="804" t="s">
        <v>158</v>
      </c>
      <c r="G69" s="66"/>
      <c r="H69" s="66">
        <v>3565.25443215</v>
      </c>
      <c r="I69" s="94">
        <v>7.9084303916236911E-3</v>
      </c>
      <c r="J69" s="66">
        <v>2.9944785500000002</v>
      </c>
    </row>
    <row r="70" spans="1:10">
      <c r="A70" s="95" t="str">
        <f t="shared" si="0"/>
        <v>2018COM_201405_P1T1</v>
      </c>
      <c r="B70" s="804" t="s">
        <v>424</v>
      </c>
      <c r="C70" s="804" t="s">
        <v>574</v>
      </c>
      <c r="D70" s="804" t="s">
        <v>145</v>
      </c>
      <c r="E70" s="804" t="s">
        <v>448</v>
      </c>
      <c r="F70" s="804" t="s">
        <v>485</v>
      </c>
      <c r="G70" s="66">
        <v>28.449690409999999</v>
      </c>
      <c r="H70" s="66">
        <v>5.1770389300000001</v>
      </c>
      <c r="I70" s="94">
        <v>1.2282417390272835E-3</v>
      </c>
      <c r="J70" s="66">
        <v>5.1770389300000001</v>
      </c>
    </row>
    <row r="71" spans="1:10">
      <c r="A71" s="95" t="str">
        <f t="shared" ref="A71:A134" si="1">B71&amp;C71</f>
        <v>2018COM_201405_P2T1</v>
      </c>
      <c r="B71" s="804" t="s">
        <v>424</v>
      </c>
      <c r="C71" s="804" t="s">
        <v>553</v>
      </c>
      <c r="D71" s="804" t="s">
        <v>145</v>
      </c>
      <c r="E71" s="804" t="s">
        <v>432</v>
      </c>
      <c r="F71" s="804" t="s">
        <v>485</v>
      </c>
      <c r="G71" s="66">
        <v>6.6241570799999998</v>
      </c>
      <c r="H71" s="66">
        <v>3.0587124399999999</v>
      </c>
      <c r="I71" s="94">
        <v>4.5652424477611939E-4</v>
      </c>
      <c r="J71" s="66">
        <v>3.0587124399999999</v>
      </c>
    </row>
    <row r="72" spans="1:10">
      <c r="A72" s="95" t="str">
        <f t="shared" si="1"/>
        <v>2018COM_201602_P1T1</v>
      </c>
      <c r="B72" s="804" t="s">
        <v>424</v>
      </c>
      <c r="C72" s="804" t="s">
        <v>1431</v>
      </c>
      <c r="D72" s="804" t="s">
        <v>1432</v>
      </c>
      <c r="E72" s="804" t="s">
        <v>445</v>
      </c>
      <c r="F72" s="804" t="s">
        <v>518</v>
      </c>
      <c r="G72" s="66"/>
      <c r="H72" s="66">
        <v>0</v>
      </c>
      <c r="I72" s="94">
        <v>0</v>
      </c>
      <c r="J72" s="66"/>
    </row>
    <row r="73" spans="1:10">
      <c r="A73" s="95" t="str">
        <f t="shared" si="1"/>
        <v>2018COM_201602_P1T2</v>
      </c>
      <c r="B73" s="804" t="s">
        <v>424</v>
      </c>
      <c r="C73" s="804" t="s">
        <v>1433</v>
      </c>
      <c r="D73" s="804" t="s">
        <v>1432</v>
      </c>
      <c r="E73" s="804" t="s">
        <v>445</v>
      </c>
      <c r="F73" s="804" t="s">
        <v>1413</v>
      </c>
      <c r="G73" s="66"/>
      <c r="H73" s="66">
        <v>0</v>
      </c>
      <c r="I73" s="94">
        <v>0</v>
      </c>
      <c r="J73" s="66"/>
    </row>
    <row r="74" spans="1:10">
      <c r="A74" s="95" t="str">
        <f t="shared" si="1"/>
        <v>2018COM_201602_P1T3</v>
      </c>
      <c r="B74" s="804" t="s">
        <v>424</v>
      </c>
      <c r="C74" s="804" t="s">
        <v>1434</v>
      </c>
      <c r="D74" s="804" t="s">
        <v>1432</v>
      </c>
      <c r="E74" s="804" t="s">
        <v>445</v>
      </c>
      <c r="F74" s="804" t="s">
        <v>1415</v>
      </c>
      <c r="G74" s="66"/>
      <c r="H74" s="66">
        <v>0</v>
      </c>
      <c r="I74" s="94">
        <v>0</v>
      </c>
      <c r="J74" s="66"/>
    </row>
    <row r="75" spans="1:10">
      <c r="A75" s="95" t="str">
        <f t="shared" si="1"/>
        <v>2018COM_201602_P1T4</v>
      </c>
      <c r="B75" s="804" t="s">
        <v>424</v>
      </c>
      <c r="C75" s="804" t="s">
        <v>1435</v>
      </c>
      <c r="D75" s="804" t="s">
        <v>1432</v>
      </c>
      <c r="E75" s="804" t="s">
        <v>445</v>
      </c>
      <c r="F75" s="804" t="s">
        <v>1410</v>
      </c>
      <c r="G75" s="66"/>
      <c r="H75" s="66">
        <v>0</v>
      </c>
      <c r="I75" s="94">
        <v>0</v>
      </c>
      <c r="J75" s="66"/>
    </row>
    <row r="76" spans="1:10">
      <c r="A76" s="95" t="str">
        <f t="shared" si="1"/>
        <v>2018COM_201602_P2T1</v>
      </c>
      <c r="B76" s="804" t="s">
        <v>424</v>
      </c>
      <c r="C76" s="804" t="s">
        <v>1436</v>
      </c>
      <c r="D76" s="804" t="s">
        <v>1432</v>
      </c>
      <c r="E76" s="804" t="s">
        <v>453</v>
      </c>
      <c r="F76" s="804" t="s">
        <v>508</v>
      </c>
      <c r="G76" s="66"/>
      <c r="H76" s="66">
        <v>0</v>
      </c>
      <c r="I76" s="94">
        <v>0</v>
      </c>
      <c r="J76" s="66"/>
    </row>
    <row r="77" spans="1:10">
      <c r="A77" s="95" t="str">
        <f t="shared" si="1"/>
        <v>2018COM_201602_P2T2</v>
      </c>
      <c r="B77" s="804" t="s">
        <v>424</v>
      </c>
      <c r="C77" s="804" t="s">
        <v>1437</v>
      </c>
      <c r="D77" s="804" t="s">
        <v>1432</v>
      </c>
      <c r="E77" s="804" t="s">
        <v>453</v>
      </c>
      <c r="F77" s="804" t="s">
        <v>518</v>
      </c>
      <c r="G77" s="66"/>
      <c r="H77" s="66">
        <v>0</v>
      </c>
      <c r="I77" s="94">
        <v>0</v>
      </c>
      <c r="J77" s="66"/>
    </row>
    <row r="78" spans="1:10">
      <c r="A78" s="95" t="str">
        <f t="shared" si="1"/>
        <v>2018COM_201602_P2T3</v>
      </c>
      <c r="B78" s="804" t="s">
        <v>424</v>
      </c>
      <c r="C78" s="804" t="s">
        <v>1438</v>
      </c>
      <c r="D78" s="804" t="s">
        <v>1432</v>
      </c>
      <c r="E78" s="804" t="s">
        <v>453</v>
      </c>
      <c r="F78" s="804" t="s">
        <v>1413</v>
      </c>
      <c r="G78" s="66"/>
      <c r="H78" s="66">
        <v>0</v>
      </c>
      <c r="I78" s="94">
        <v>0</v>
      </c>
      <c r="J78" s="66"/>
    </row>
    <row r="79" spans="1:10">
      <c r="A79" s="95" t="str">
        <f t="shared" si="1"/>
        <v>2018COM_201602_P2T4</v>
      </c>
      <c r="B79" s="804" t="s">
        <v>424</v>
      </c>
      <c r="C79" s="804" t="s">
        <v>1439</v>
      </c>
      <c r="D79" s="804" t="s">
        <v>1432</v>
      </c>
      <c r="E79" s="804" t="s">
        <v>453</v>
      </c>
      <c r="F79" s="804" t="s">
        <v>1415</v>
      </c>
      <c r="G79" s="66"/>
      <c r="H79" s="66">
        <v>0</v>
      </c>
      <c r="I79" s="94">
        <v>0</v>
      </c>
      <c r="J79" s="66"/>
    </row>
    <row r="80" spans="1:10">
      <c r="A80" s="95" t="str">
        <f t="shared" si="1"/>
        <v>2018COM_201602_P2T5</v>
      </c>
      <c r="B80" s="804" t="s">
        <v>424</v>
      </c>
      <c r="C80" s="804" t="s">
        <v>1440</v>
      </c>
      <c r="D80" s="804" t="s">
        <v>1432</v>
      </c>
      <c r="E80" s="804" t="s">
        <v>453</v>
      </c>
      <c r="F80" s="804" t="s">
        <v>1410</v>
      </c>
      <c r="G80" s="66"/>
      <c r="H80" s="66">
        <v>0</v>
      </c>
      <c r="I80" s="94">
        <v>0</v>
      </c>
      <c r="J80" s="66"/>
    </row>
    <row r="81" spans="1:10">
      <c r="A81" s="95" t="str">
        <f t="shared" si="1"/>
        <v>2018COM_201602_P3T2</v>
      </c>
      <c r="B81" s="804" t="s">
        <v>424</v>
      </c>
      <c r="C81" s="804" t="s">
        <v>1441</v>
      </c>
      <c r="D81" s="804" t="s">
        <v>1432</v>
      </c>
      <c r="E81" s="804" t="s">
        <v>459</v>
      </c>
      <c r="F81" s="804" t="s">
        <v>1424</v>
      </c>
      <c r="G81" s="66"/>
      <c r="H81" s="66">
        <v>0</v>
      </c>
      <c r="I81" s="94">
        <v>0</v>
      </c>
      <c r="J81" s="66"/>
    </row>
    <row r="82" spans="1:10">
      <c r="A82" s="95" t="str">
        <f t="shared" si="1"/>
        <v>2018COM_201602_P3T4</v>
      </c>
      <c r="B82" s="804" t="s">
        <v>424</v>
      </c>
      <c r="C82" s="804" t="s">
        <v>1442</v>
      </c>
      <c r="D82" s="804" t="s">
        <v>1432</v>
      </c>
      <c r="E82" s="804" t="s">
        <v>459</v>
      </c>
      <c r="F82" s="804" t="s">
        <v>1422</v>
      </c>
      <c r="G82" s="66"/>
      <c r="H82" s="66">
        <v>0</v>
      </c>
      <c r="I82" s="94">
        <v>0</v>
      </c>
      <c r="J82" s="66"/>
    </row>
    <row r="83" spans="1:10">
      <c r="A83" s="95" t="str">
        <f t="shared" si="1"/>
        <v>2018COM_201602_P4T1</v>
      </c>
      <c r="B83" s="804" t="s">
        <v>424</v>
      </c>
      <c r="C83" s="804" t="s">
        <v>1443</v>
      </c>
      <c r="D83" s="804" t="s">
        <v>1432</v>
      </c>
      <c r="E83" s="804" t="s">
        <v>478</v>
      </c>
      <c r="F83" s="804" t="s">
        <v>539</v>
      </c>
      <c r="G83" s="66"/>
      <c r="H83" s="66">
        <v>0</v>
      </c>
      <c r="I83" s="94">
        <v>0</v>
      </c>
      <c r="J83" s="66"/>
    </row>
    <row r="84" spans="1:10">
      <c r="A84" s="95" t="str">
        <f t="shared" si="1"/>
        <v>2018COM_201602_P4T10</v>
      </c>
      <c r="B84" s="804" t="s">
        <v>424</v>
      </c>
      <c r="C84" s="804" t="s">
        <v>1444</v>
      </c>
      <c r="D84" s="804" t="s">
        <v>138</v>
      </c>
      <c r="E84" s="804" t="s">
        <v>478</v>
      </c>
      <c r="F84" s="804" t="s">
        <v>1445</v>
      </c>
      <c r="G84" s="66"/>
      <c r="H84" s="66">
        <v>0</v>
      </c>
      <c r="I84" s="94">
        <v>0</v>
      </c>
      <c r="J84" s="66"/>
    </row>
    <row r="85" spans="1:10">
      <c r="A85" s="95" t="str">
        <f t="shared" si="1"/>
        <v>2018COM_201602_P4T11</v>
      </c>
      <c r="B85" s="804" t="s">
        <v>424</v>
      </c>
      <c r="C85" s="804" t="s">
        <v>1446</v>
      </c>
      <c r="D85" s="804" t="s">
        <v>138</v>
      </c>
      <c r="E85" s="804" t="s">
        <v>478</v>
      </c>
      <c r="F85" s="804" t="s">
        <v>1447</v>
      </c>
      <c r="G85" s="66"/>
      <c r="H85" s="66">
        <v>0</v>
      </c>
      <c r="I85" s="94">
        <v>0</v>
      </c>
      <c r="J85" s="66"/>
    </row>
    <row r="86" spans="1:10">
      <c r="A86" s="95" t="str">
        <f t="shared" si="1"/>
        <v>2018COM_201602_P4T12</v>
      </c>
      <c r="B86" s="804" t="s">
        <v>424</v>
      </c>
      <c r="C86" s="804" t="s">
        <v>1448</v>
      </c>
      <c r="D86" s="804" t="s">
        <v>138</v>
      </c>
      <c r="E86" s="804" t="s">
        <v>478</v>
      </c>
      <c r="F86" s="804" t="s">
        <v>1449</v>
      </c>
      <c r="G86" s="66"/>
      <c r="H86" s="66">
        <v>0</v>
      </c>
      <c r="I86" s="94">
        <v>0</v>
      </c>
      <c r="J86" s="66"/>
    </row>
    <row r="87" spans="1:10">
      <c r="A87" s="95" t="str">
        <f t="shared" si="1"/>
        <v>2018COM_201602_P4T2</v>
      </c>
      <c r="B87" s="804" t="s">
        <v>424</v>
      </c>
      <c r="C87" s="804" t="s">
        <v>1450</v>
      </c>
      <c r="D87" s="804" t="s">
        <v>1432</v>
      </c>
      <c r="E87" s="804" t="s">
        <v>478</v>
      </c>
      <c r="F87" s="804" t="s">
        <v>1428</v>
      </c>
      <c r="G87" s="66"/>
      <c r="H87" s="66">
        <v>0</v>
      </c>
      <c r="I87" s="94">
        <v>0</v>
      </c>
      <c r="J87" s="66"/>
    </row>
    <row r="88" spans="1:10">
      <c r="A88" s="95" t="str">
        <f t="shared" si="1"/>
        <v>2018COM_201602_P4T3</v>
      </c>
      <c r="B88" s="804" t="s">
        <v>424</v>
      </c>
      <c r="C88" s="804" t="s">
        <v>1451</v>
      </c>
      <c r="D88" s="804" t="s">
        <v>1432</v>
      </c>
      <c r="E88" s="804" t="s">
        <v>478</v>
      </c>
      <c r="F88" s="804" t="s">
        <v>1445</v>
      </c>
      <c r="G88" s="66"/>
      <c r="H88" s="66">
        <v>0</v>
      </c>
      <c r="I88" s="94">
        <v>0</v>
      </c>
      <c r="J88" s="66"/>
    </row>
    <row r="89" spans="1:10">
      <c r="A89" s="95" t="str">
        <f t="shared" si="1"/>
        <v>2018COM_201602_P4T4</v>
      </c>
      <c r="B89" s="804" t="s">
        <v>424</v>
      </c>
      <c r="C89" s="804" t="s">
        <v>1452</v>
      </c>
      <c r="D89" s="804" t="s">
        <v>1432</v>
      </c>
      <c r="E89" s="804" t="s">
        <v>478</v>
      </c>
      <c r="F89" s="804" t="s">
        <v>1447</v>
      </c>
      <c r="G89" s="66"/>
      <c r="H89" s="66">
        <v>0</v>
      </c>
      <c r="I89" s="94">
        <v>0</v>
      </c>
      <c r="J89" s="66"/>
    </row>
    <row r="90" spans="1:10">
      <c r="A90" s="95" t="str">
        <f t="shared" si="1"/>
        <v>2018COM_201602_P4T5</v>
      </c>
      <c r="B90" s="804" t="s">
        <v>424</v>
      </c>
      <c r="C90" s="804" t="s">
        <v>1453</v>
      </c>
      <c r="D90" s="804" t="s">
        <v>1432</v>
      </c>
      <c r="E90" s="804" t="s">
        <v>478</v>
      </c>
      <c r="F90" s="804" t="s">
        <v>1449</v>
      </c>
      <c r="G90" s="66"/>
      <c r="H90" s="66">
        <v>0</v>
      </c>
      <c r="I90" s="94">
        <v>0</v>
      </c>
      <c r="J90" s="66"/>
    </row>
    <row r="91" spans="1:10">
      <c r="A91" s="95" t="str">
        <f t="shared" si="1"/>
        <v>2018IND_199801_P1T1</v>
      </c>
      <c r="B91" s="804" t="s">
        <v>424</v>
      </c>
      <c r="C91" s="804" t="s">
        <v>669</v>
      </c>
      <c r="D91" s="804" t="s">
        <v>670</v>
      </c>
      <c r="E91" s="804" t="s">
        <v>671</v>
      </c>
      <c r="F91" s="804" t="s">
        <v>485</v>
      </c>
      <c r="G91" s="66"/>
      <c r="H91" s="66"/>
      <c r="I91" s="94"/>
      <c r="J91" s="66">
        <v>1058</v>
      </c>
    </row>
    <row r="92" spans="1:10">
      <c r="A92" s="95" t="str">
        <f t="shared" si="1"/>
        <v>2018IND_199802_P1T1</v>
      </c>
      <c r="B92" s="804" t="s">
        <v>424</v>
      </c>
      <c r="C92" s="804" t="s">
        <v>672</v>
      </c>
      <c r="D92" s="804" t="s">
        <v>673</v>
      </c>
      <c r="E92" s="804" t="s">
        <v>674</v>
      </c>
      <c r="F92" s="804" t="s">
        <v>158</v>
      </c>
      <c r="G92" s="66"/>
      <c r="H92" s="66"/>
      <c r="I92" s="94"/>
      <c r="J92" s="66">
        <v>0</v>
      </c>
    </row>
    <row r="93" spans="1:10">
      <c r="A93" s="95" t="str">
        <f t="shared" si="1"/>
        <v>2018IND_199901_P1T1</v>
      </c>
      <c r="B93" s="804" t="s">
        <v>424</v>
      </c>
      <c r="C93" s="804" t="s">
        <v>675</v>
      </c>
      <c r="D93" s="804" t="s">
        <v>676</v>
      </c>
      <c r="E93" s="804" t="s">
        <v>677</v>
      </c>
      <c r="F93" s="804" t="s">
        <v>158</v>
      </c>
      <c r="G93" s="66"/>
      <c r="H93" s="66"/>
      <c r="I93" s="94"/>
      <c r="J93" s="66">
        <v>0</v>
      </c>
    </row>
    <row r="94" spans="1:10">
      <c r="A94" s="95" t="str">
        <f t="shared" si="1"/>
        <v>2018IND_199902_P1T1</v>
      </c>
      <c r="B94" s="804" t="s">
        <v>424</v>
      </c>
      <c r="C94" s="804" t="s">
        <v>34</v>
      </c>
      <c r="D94" s="804" t="s">
        <v>678</v>
      </c>
      <c r="E94" s="804" t="s">
        <v>679</v>
      </c>
      <c r="F94" s="804" t="s">
        <v>485</v>
      </c>
      <c r="G94" s="66"/>
      <c r="H94" s="66"/>
      <c r="I94" s="94"/>
      <c r="J94" s="66">
        <v>0</v>
      </c>
    </row>
    <row r="95" spans="1:10">
      <c r="A95" s="95" t="str">
        <f t="shared" si="1"/>
        <v>2018IND_199902_P2T1</v>
      </c>
      <c r="B95" s="804" t="s">
        <v>424</v>
      </c>
      <c r="C95" s="804" t="s">
        <v>35</v>
      </c>
      <c r="D95" s="804" t="s">
        <v>678</v>
      </c>
      <c r="E95" s="804" t="s">
        <v>680</v>
      </c>
      <c r="F95" s="804" t="s">
        <v>485</v>
      </c>
      <c r="G95" s="66"/>
      <c r="H95" s="66"/>
      <c r="I95" s="94"/>
      <c r="J95" s="66">
        <v>0</v>
      </c>
    </row>
    <row r="96" spans="1:10">
      <c r="A96" s="95" t="str">
        <f t="shared" si="1"/>
        <v>2018IND_200004_P1T1</v>
      </c>
      <c r="B96" s="804" t="s">
        <v>424</v>
      </c>
      <c r="C96" s="804" t="s">
        <v>681</v>
      </c>
      <c r="D96" s="804" t="s">
        <v>682</v>
      </c>
      <c r="E96" s="804" t="s">
        <v>683</v>
      </c>
      <c r="F96" s="804" t="s">
        <v>485</v>
      </c>
      <c r="G96" s="66"/>
      <c r="H96" s="66"/>
      <c r="I96" s="94"/>
      <c r="J96" s="66">
        <v>0</v>
      </c>
    </row>
    <row r="97" spans="1:10">
      <c r="A97" s="95" t="str">
        <f t="shared" si="1"/>
        <v>2018IND_200402_P1T1</v>
      </c>
      <c r="B97" s="804" t="s">
        <v>424</v>
      </c>
      <c r="C97" s="804" t="s">
        <v>36</v>
      </c>
      <c r="D97" s="804" t="s">
        <v>146</v>
      </c>
      <c r="E97" s="804" t="s">
        <v>456</v>
      </c>
      <c r="F97" s="804" t="s">
        <v>485</v>
      </c>
      <c r="G97" s="66">
        <v>74669.783686010007</v>
      </c>
      <c r="H97" s="66">
        <v>285.17340445000002</v>
      </c>
      <c r="I97" s="94">
        <v>0.48000000000067333</v>
      </c>
      <c r="J97" s="66">
        <v>0</v>
      </c>
    </row>
    <row r="98" spans="1:10">
      <c r="A98" s="95" t="str">
        <f t="shared" si="1"/>
        <v>2018IND_200402_P2T1</v>
      </c>
      <c r="B98" s="804" t="s">
        <v>424</v>
      </c>
      <c r="C98" s="804" t="s">
        <v>37</v>
      </c>
      <c r="D98" s="804" t="s">
        <v>146</v>
      </c>
      <c r="E98" s="804" t="s">
        <v>439</v>
      </c>
      <c r="F98" s="804" t="s">
        <v>485</v>
      </c>
      <c r="G98" s="66">
        <v>2564.1619047600002</v>
      </c>
      <c r="H98" s="66">
        <v>352.42857142999998</v>
      </c>
      <c r="I98" s="94">
        <v>0.1374439620118241</v>
      </c>
      <c r="J98" s="66">
        <v>50.792009270000001</v>
      </c>
    </row>
    <row r="99" spans="1:10">
      <c r="A99" s="95" t="str">
        <f t="shared" si="1"/>
        <v>2018IND_200402_P3T1</v>
      </c>
      <c r="B99" s="804" t="s">
        <v>424</v>
      </c>
      <c r="C99" s="804" t="s">
        <v>575</v>
      </c>
      <c r="D99" s="804" t="s">
        <v>146</v>
      </c>
      <c r="E99" s="804" t="s">
        <v>451</v>
      </c>
      <c r="F99" s="804" t="s">
        <v>485</v>
      </c>
      <c r="G99" s="66">
        <v>74669.783686010007</v>
      </c>
      <c r="H99" s="66">
        <v>74077.201683489999</v>
      </c>
      <c r="I99" s="94">
        <v>1</v>
      </c>
      <c r="J99" s="66">
        <v>0</v>
      </c>
    </row>
    <row r="100" spans="1:10">
      <c r="A100" s="95" t="str">
        <f t="shared" si="1"/>
        <v>2018IND_200602_P1T1</v>
      </c>
      <c r="B100" s="804" t="s">
        <v>424</v>
      </c>
      <c r="C100" s="804" t="s">
        <v>38</v>
      </c>
      <c r="D100" s="804" t="s">
        <v>684</v>
      </c>
      <c r="E100" s="804" t="s">
        <v>685</v>
      </c>
      <c r="F100" s="804" t="s">
        <v>485</v>
      </c>
      <c r="G100" s="66"/>
      <c r="H100" s="66"/>
      <c r="I100" s="94"/>
      <c r="J100" s="66">
        <v>0</v>
      </c>
    </row>
    <row r="101" spans="1:10">
      <c r="A101" s="95" t="str">
        <f t="shared" si="1"/>
        <v>2018IND_200603_P1T1</v>
      </c>
      <c r="B101" s="804" t="s">
        <v>424</v>
      </c>
      <c r="C101" s="804" t="s">
        <v>686</v>
      </c>
      <c r="D101" s="804" t="s">
        <v>687</v>
      </c>
      <c r="E101" s="804" t="s">
        <v>688</v>
      </c>
      <c r="F101" s="804" t="s">
        <v>158</v>
      </c>
      <c r="G101" s="66"/>
      <c r="H101" s="66"/>
      <c r="I101" s="94"/>
      <c r="J101" s="66">
        <v>0</v>
      </c>
    </row>
    <row r="102" spans="1:10">
      <c r="A102" s="95" t="str">
        <f t="shared" si="1"/>
        <v>2018IND_200702_P1T1</v>
      </c>
      <c r="B102" s="804" t="s">
        <v>424</v>
      </c>
      <c r="C102" s="804" t="s">
        <v>689</v>
      </c>
      <c r="D102" s="804" t="s">
        <v>690</v>
      </c>
      <c r="E102" s="804" t="s">
        <v>691</v>
      </c>
      <c r="F102" s="804" t="s">
        <v>158</v>
      </c>
      <c r="G102" s="66"/>
      <c r="H102" s="66"/>
      <c r="I102" s="94"/>
      <c r="J102" s="66">
        <v>0</v>
      </c>
    </row>
    <row r="103" spans="1:10">
      <c r="A103" s="95" t="str">
        <f t="shared" si="1"/>
        <v>2018IND_201301_P1T1</v>
      </c>
      <c r="B103" s="804" t="s">
        <v>424</v>
      </c>
      <c r="C103" s="804" t="s">
        <v>39</v>
      </c>
      <c r="D103" s="804" t="s">
        <v>147</v>
      </c>
      <c r="E103" s="804" t="s">
        <v>692</v>
      </c>
      <c r="F103" s="804" t="s">
        <v>485</v>
      </c>
      <c r="G103" s="66">
        <v>14.5</v>
      </c>
      <c r="H103" s="66">
        <v>5</v>
      </c>
      <c r="I103" s="94"/>
      <c r="J103" s="66">
        <v>4.4320089999999999E-2</v>
      </c>
    </row>
    <row r="104" spans="1:10">
      <c r="A104" s="95" t="str">
        <f t="shared" si="1"/>
        <v>2018IND_201302_P1T1</v>
      </c>
      <c r="B104" s="804" t="s">
        <v>424</v>
      </c>
      <c r="C104" s="804" t="s">
        <v>693</v>
      </c>
      <c r="D104" s="804" t="s">
        <v>694</v>
      </c>
      <c r="E104" s="804" t="s">
        <v>695</v>
      </c>
      <c r="F104" s="804" t="s">
        <v>485</v>
      </c>
      <c r="G104" s="66"/>
      <c r="H104" s="66"/>
      <c r="I104" s="94"/>
      <c r="J104" s="66">
        <v>0</v>
      </c>
    </row>
    <row r="105" spans="1:10">
      <c r="A105" s="95" t="str">
        <f t="shared" si="1"/>
        <v>2018OTH_201601_P1T0</v>
      </c>
      <c r="B105" s="804" t="s">
        <v>424</v>
      </c>
      <c r="C105" s="804" t="s">
        <v>1621</v>
      </c>
      <c r="D105" s="804" t="s">
        <v>1399</v>
      </c>
      <c r="E105" s="804" t="s">
        <v>1455</v>
      </c>
      <c r="F105" s="804" t="s">
        <v>1622</v>
      </c>
      <c r="G105" s="66"/>
      <c r="H105" s="66">
        <v>1240848.1433000001</v>
      </c>
      <c r="I105" s="94">
        <v>1</v>
      </c>
      <c r="J105" s="66"/>
    </row>
    <row r="106" spans="1:10">
      <c r="A106" s="95" t="str">
        <f t="shared" si="1"/>
        <v>2018OTH_201601_P1T1</v>
      </c>
      <c r="B106" s="804" t="s">
        <v>424</v>
      </c>
      <c r="C106" s="804" t="s">
        <v>1454</v>
      </c>
      <c r="D106" s="804" t="s">
        <v>1399</v>
      </c>
      <c r="E106" s="804" t="s">
        <v>1455</v>
      </c>
      <c r="F106" s="804" t="s">
        <v>1176</v>
      </c>
      <c r="G106" s="66"/>
      <c r="H106" s="66">
        <v>1195654.2879000001</v>
      </c>
      <c r="I106" s="94">
        <v>0.96357825440282463</v>
      </c>
      <c r="J106" s="66"/>
    </row>
    <row r="107" spans="1:10">
      <c r="A107" s="95" t="str">
        <f t="shared" si="1"/>
        <v>2018OTH_201601_P2T0</v>
      </c>
      <c r="B107" s="804" t="s">
        <v>424</v>
      </c>
      <c r="C107" s="804" t="s">
        <v>1623</v>
      </c>
      <c r="D107" s="804" t="s">
        <v>1399</v>
      </c>
      <c r="E107" s="804" t="s">
        <v>1608</v>
      </c>
      <c r="F107" s="804" t="s">
        <v>1622</v>
      </c>
      <c r="G107" s="66"/>
      <c r="H107" s="66">
        <v>245271.40624944001</v>
      </c>
      <c r="I107" s="94">
        <v>1</v>
      </c>
      <c r="J107" s="66"/>
    </row>
    <row r="108" spans="1:10">
      <c r="A108" s="95" t="str">
        <f t="shared" si="1"/>
        <v>2018OTH_201601_P2T1</v>
      </c>
      <c r="B108" s="804" t="s">
        <v>424</v>
      </c>
      <c r="C108" s="804" t="s">
        <v>1518</v>
      </c>
      <c r="D108" s="804" t="s">
        <v>1399</v>
      </c>
      <c r="E108" s="804" t="s">
        <v>1608</v>
      </c>
      <c r="F108" s="804" t="s">
        <v>1176</v>
      </c>
      <c r="G108" s="66"/>
      <c r="H108" s="66">
        <v>87818.843101609993</v>
      </c>
      <c r="I108" s="94">
        <v>0.35804761934743667</v>
      </c>
      <c r="J108" s="66"/>
    </row>
    <row r="109" spans="1:10">
      <c r="A109" s="95" t="str">
        <f t="shared" si="1"/>
        <v>2018OTH_201601_P3T0</v>
      </c>
      <c r="B109" s="804" t="s">
        <v>424</v>
      </c>
      <c r="C109" s="804" t="s">
        <v>1624</v>
      </c>
      <c r="D109" s="804" t="s">
        <v>1399</v>
      </c>
      <c r="E109" s="804" t="s">
        <v>1457</v>
      </c>
      <c r="F109" s="804" t="s">
        <v>1622</v>
      </c>
      <c r="G109" s="66"/>
      <c r="H109" s="66">
        <v>947836.48377435002</v>
      </c>
      <c r="I109" s="94">
        <v>1</v>
      </c>
      <c r="J109" s="66"/>
    </row>
    <row r="110" spans="1:10">
      <c r="A110" s="95" t="str">
        <f t="shared" si="1"/>
        <v>2018OTH_201601_P3T1</v>
      </c>
      <c r="B110" s="804" t="s">
        <v>424</v>
      </c>
      <c r="C110" s="804" t="s">
        <v>1456</v>
      </c>
      <c r="D110" s="804" t="s">
        <v>1399</v>
      </c>
      <c r="E110" s="804" t="s">
        <v>1457</v>
      </c>
      <c r="F110" s="804" t="s">
        <v>1176</v>
      </c>
      <c r="G110" s="66"/>
      <c r="H110" s="66">
        <v>910717.07597401994</v>
      </c>
      <c r="I110" s="94">
        <v>0.96083775162091456</v>
      </c>
      <c r="J110" s="66"/>
    </row>
    <row r="111" spans="1:10">
      <c r="A111" s="95" t="str">
        <f t="shared" si="1"/>
        <v>2018RES_199702_P1T1</v>
      </c>
      <c r="B111" s="804" t="s">
        <v>424</v>
      </c>
      <c r="C111" s="804" t="s">
        <v>550</v>
      </c>
      <c r="D111" s="804" t="s">
        <v>148</v>
      </c>
      <c r="E111" s="804" t="s">
        <v>148</v>
      </c>
      <c r="F111" s="804" t="s">
        <v>493</v>
      </c>
      <c r="G111" s="66">
        <v>4387821.5708642201</v>
      </c>
      <c r="H111" s="66">
        <v>399982.31279907998</v>
      </c>
      <c r="I111" s="94">
        <v>1</v>
      </c>
      <c r="J111" s="66">
        <v>0</v>
      </c>
    </row>
    <row r="112" spans="1:10">
      <c r="A112" s="95" t="str">
        <f t="shared" si="1"/>
        <v>2018RES_199702_P1T2</v>
      </c>
      <c r="B112" s="804" t="s">
        <v>424</v>
      </c>
      <c r="C112" s="804" t="s">
        <v>551</v>
      </c>
      <c r="D112" s="804" t="s">
        <v>148</v>
      </c>
      <c r="E112" s="804" t="s">
        <v>148</v>
      </c>
      <c r="F112" s="804" t="s">
        <v>494</v>
      </c>
      <c r="G112" s="66">
        <v>4388340.19454554</v>
      </c>
      <c r="H112" s="66">
        <v>399982.31279907998</v>
      </c>
      <c r="I112" s="94">
        <v>1</v>
      </c>
      <c r="J112" s="66">
        <v>0</v>
      </c>
    </row>
    <row r="113" spans="1:10">
      <c r="A113" s="95" t="str">
        <f t="shared" si="1"/>
        <v>2018RES_199702_P1T3</v>
      </c>
      <c r="B113" s="804" t="s">
        <v>424</v>
      </c>
      <c r="C113" s="804" t="s">
        <v>552</v>
      </c>
      <c r="D113" s="804" t="s">
        <v>148</v>
      </c>
      <c r="E113" s="804" t="s">
        <v>148</v>
      </c>
      <c r="F113" s="804" t="s">
        <v>496</v>
      </c>
      <c r="G113" s="66">
        <v>3050539.3095860998</v>
      </c>
      <c r="H113" s="66">
        <v>399982.31279907998</v>
      </c>
      <c r="I113" s="94">
        <v>1</v>
      </c>
      <c r="J113" s="66">
        <v>0</v>
      </c>
    </row>
    <row r="114" spans="1:10">
      <c r="A114" s="95" t="str">
        <f t="shared" si="1"/>
        <v>2018RES_199702_P1T4</v>
      </c>
      <c r="B114" s="804" t="s">
        <v>424</v>
      </c>
      <c r="C114" s="804" t="s">
        <v>40</v>
      </c>
      <c r="D114" s="804" t="s">
        <v>148</v>
      </c>
      <c r="E114" s="804" t="s">
        <v>148</v>
      </c>
      <c r="F114" s="804" t="s">
        <v>497</v>
      </c>
      <c r="G114" s="66">
        <v>2131396.3610938</v>
      </c>
      <c r="H114" s="66">
        <v>223457.88885228999</v>
      </c>
      <c r="I114" s="94">
        <v>0.5586694253766612</v>
      </c>
      <c r="J114" s="66">
        <v>0</v>
      </c>
    </row>
    <row r="115" spans="1:10">
      <c r="A115" s="95" t="str">
        <f t="shared" si="1"/>
        <v>2018RES_199702_P1T5</v>
      </c>
      <c r="B115" s="804" t="s">
        <v>424</v>
      </c>
      <c r="C115" s="804" t="s">
        <v>41</v>
      </c>
      <c r="D115" s="804" t="s">
        <v>148</v>
      </c>
      <c r="E115" s="804" t="s">
        <v>148</v>
      </c>
      <c r="F115" s="804" t="s">
        <v>495</v>
      </c>
      <c r="G115" s="66">
        <v>868715.75836516998</v>
      </c>
      <c r="H115" s="66">
        <v>223457.88885228999</v>
      </c>
      <c r="I115" s="94">
        <v>0.5586694253766612</v>
      </c>
      <c r="J115" s="66">
        <v>0</v>
      </c>
    </row>
    <row r="116" spans="1:10">
      <c r="A116" s="95" t="str">
        <f t="shared" si="1"/>
        <v>2018RES_199702_P1T6</v>
      </c>
      <c r="B116" s="804" t="s">
        <v>424</v>
      </c>
      <c r="C116" s="804" t="s">
        <v>42</v>
      </c>
      <c r="D116" s="804" t="s">
        <v>148</v>
      </c>
      <c r="E116" s="804" t="s">
        <v>148</v>
      </c>
      <c r="F116" s="804" t="s">
        <v>162</v>
      </c>
      <c r="G116" s="66">
        <v>411981.98983958998</v>
      </c>
      <c r="H116" s="66">
        <v>67611.453953889999</v>
      </c>
      <c r="I116" s="94">
        <v>0.16903610932379587</v>
      </c>
      <c r="J116" s="66">
        <v>0</v>
      </c>
    </row>
    <row r="117" spans="1:10">
      <c r="A117" s="95" t="str">
        <f t="shared" si="1"/>
        <v>2018RES_199702_P1T7</v>
      </c>
      <c r="B117" s="804" t="s">
        <v>424</v>
      </c>
      <c r="C117" s="804" t="s">
        <v>43</v>
      </c>
      <c r="D117" s="804" t="s">
        <v>148</v>
      </c>
      <c r="E117" s="804" t="s">
        <v>148</v>
      </c>
      <c r="F117" s="804" t="s">
        <v>163</v>
      </c>
      <c r="G117" s="66">
        <v>329956.52413238998</v>
      </c>
      <c r="H117" s="66">
        <v>67611.453953889999</v>
      </c>
      <c r="I117" s="94">
        <v>0.16903610932379587</v>
      </c>
      <c r="J117" s="66">
        <v>0</v>
      </c>
    </row>
    <row r="118" spans="1:10">
      <c r="A118" s="95" t="str">
        <f t="shared" si="1"/>
        <v>2018RES_199702_P1T8</v>
      </c>
      <c r="B118" s="804" t="s">
        <v>424</v>
      </c>
      <c r="C118" s="804" t="s">
        <v>44</v>
      </c>
      <c r="D118" s="804" t="s">
        <v>148</v>
      </c>
      <c r="E118" s="804" t="s">
        <v>148</v>
      </c>
      <c r="F118" s="804" t="s">
        <v>164</v>
      </c>
      <c r="G118" s="66">
        <v>173887.77092949001</v>
      </c>
      <c r="H118" s="66">
        <v>39428.264493629998</v>
      </c>
      <c r="I118" s="94">
        <v>9.8575020024537163E-2</v>
      </c>
      <c r="J118" s="66">
        <v>0</v>
      </c>
    </row>
    <row r="119" spans="1:10">
      <c r="A119" s="95" t="str">
        <f t="shared" si="1"/>
        <v>2018RES_199703_P1T1</v>
      </c>
      <c r="B119" s="804" t="s">
        <v>424</v>
      </c>
      <c r="C119" s="804" t="s">
        <v>45</v>
      </c>
      <c r="D119" s="804" t="s">
        <v>149</v>
      </c>
      <c r="E119" s="804" t="s">
        <v>1074</v>
      </c>
      <c r="F119" s="804" t="s">
        <v>158</v>
      </c>
      <c r="G119" s="66">
        <v>172016868.132157</v>
      </c>
      <c r="H119" s="66">
        <v>1659190.1522129399</v>
      </c>
      <c r="I119" s="94">
        <v>5.9030119529682165E-2</v>
      </c>
      <c r="J119" s="66">
        <v>0</v>
      </c>
    </row>
    <row r="120" spans="1:10">
      <c r="A120" s="95" t="str">
        <f t="shared" si="1"/>
        <v>2018RES_199703_P2T1</v>
      </c>
      <c r="B120" s="804" t="s">
        <v>424</v>
      </c>
      <c r="C120" s="804" t="s">
        <v>46</v>
      </c>
      <c r="D120" s="804" t="s">
        <v>149</v>
      </c>
      <c r="E120" s="804" t="s">
        <v>1075</v>
      </c>
      <c r="F120" s="804" t="s">
        <v>158</v>
      </c>
      <c r="G120" s="66">
        <v>36097982.258377798</v>
      </c>
      <c r="H120" s="66">
        <v>62794.399573150004</v>
      </c>
      <c r="I120" s="94">
        <v>3.053388295480494E-3</v>
      </c>
      <c r="J120" s="66">
        <v>0</v>
      </c>
    </row>
    <row r="121" spans="1:10">
      <c r="A121" s="95" t="str">
        <f t="shared" si="1"/>
        <v>2018RES_199703_P3T1</v>
      </c>
      <c r="B121" s="804" t="s">
        <v>424</v>
      </c>
      <c r="C121" s="804" t="s">
        <v>102</v>
      </c>
      <c r="D121" s="804" t="s">
        <v>149</v>
      </c>
      <c r="E121" s="804" t="s">
        <v>449</v>
      </c>
      <c r="F121" s="804" t="s">
        <v>158</v>
      </c>
      <c r="G121" s="66">
        <v>49085841.472071998</v>
      </c>
      <c r="H121" s="66">
        <v>16980262.881152499</v>
      </c>
      <c r="I121" s="94">
        <v>0.60411818752840352</v>
      </c>
      <c r="J121" s="66">
        <v>10592497.109999999</v>
      </c>
    </row>
    <row r="122" spans="1:10">
      <c r="A122" s="95" t="str">
        <f t="shared" si="1"/>
        <v>2018RES_199703_P4T1</v>
      </c>
      <c r="B122" s="804" t="s">
        <v>424</v>
      </c>
      <c r="C122" s="804" t="s">
        <v>103</v>
      </c>
      <c r="D122" s="804" t="s">
        <v>149</v>
      </c>
      <c r="E122" s="804" t="s">
        <v>450</v>
      </c>
      <c r="F122" s="804" t="s">
        <v>158</v>
      </c>
      <c r="G122" s="66">
        <v>34019034.252295002</v>
      </c>
      <c r="H122" s="66">
        <v>11582968.368548799</v>
      </c>
      <c r="I122" s="94">
        <v>0.56322379517695476</v>
      </c>
      <c r="J122" s="66">
        <v>5328631.22</v>
      </c>
    </row>
    <row r="123" spans="1:10">
      <c r="A123" s="95" t="str">
        <f t="shared" si="1"/>
        <v>2018RES_199703_P5T1</v>
      </c>
      <c r="B123" s="804" t="s">
        <v>424</v>
      </c>
      <c r="C123" s="804" t="s">
        <v>1458</v>
      </c>
      <c r="D123" s="804" t="s">
        <v>149</v>
      </c>
      <c r="E123" s="804" t="s">
        <v>1076</v>
      </c>
      <c r="F123" s="804" t="s">
        <v>158</v>
      </c>
      <c r="G123" s="66">
        <v>60328022.5974508</v>
      </c>
      <c r="H123" s="66">
        <v>9468065.0511717908</v>
      </c>
      <c r="I123" s="94">
        <v>0.33685169294191175</v>
      </c>
      <c r="J123" s="66"/>
    </row>
    <row r="124" spans="1:10">
      <c r="A124" s="95" t="str">
        <f t="shared" si="1"/>
        <v>2018RES_199703_P6T1</v>
      </c>
      <c r="B124" s="804" t="s">
        <v>424</v>
      </c>
      <c r="C124" s="804" t="s">
        <v>1459</v>
      </c>
      <c r="D124" s="804" t="s">
        <v>149</v>
      </c>
      <c r="E124" s="804" t="s">
        <v>1077</v>
      </c>
      <c r="F124" s="804" t="s">
        <v>158</v>
      </c>
      <c r="G124" s="66">
        <v>48867229.517416596</v>
      </c>
      <c r="H124" s="66">
        <v>8919718.4273407701</v>
      </c>
      <c r="I124" s="94">
        <v>0.43372281652756567</v>
      </c>
      <c r="J124" s="66"/>
    </row>
    <row r="125" spans="1:10">
      <c r="A125" s="95" t="str">
        <f t="shared" si="1"/>
        <v>2018RES_199705_P1T1</v>
      </c>
      <c r="B125" s="804" t="s">
        <v>424</v>
      </c>
      <c r="C125" s="804" t="s">
        <v>696</v>
      </c>
      <c r="D125" s="804" t="s">
        <v>697</v>
      </c>
      <c r="E125" s="804" t="s">
        <v>698</v>
      </c>
      <c r="F125" s="804" t="s">
        <v>699</v>
      </c>
      <c r="G125" s="66"/>
      <c r="H125" s="66"/>
      <c r="I125" s="94"/>
      <c r="J125" s="66">
        <v>0</v>
      </c>
    </row>
    <row r="126" spans="1:10">
      <c r="A126" s="95" t="str">
        <f t="shared" si="1"/>
        <v>2018RES_199706_P1T1</v>
      </c>
      <c r="B126" s="804" t="s">
        <v>424</v>
      </c>
      <c r="C126" s="804" t="s">
        <v>700</v>
      </c>
      <c r="D126" s="804" t="s">
        <v>701</v>
      </c>
      <c r="E126" s="804" t="s">
        <v>701</v>
      </c>
      <c r="F126" s="804" t="s">
        <v>158</v>
      </c>
      <c r="G126" s="66"/>
      <c r="H126" s="66"/>
      <c r="I126" s="94"/>
      <c r="J126" s="66">
        <v>0</v>
      </c>
    </row>
    <row r="127" spans="1:10">
      <c r="A127" s="95" t="str">
        <f t="shared" si="1"/>
        <v>2018RES_199802_P1T1</v>
      </c>
      <c r="B127" s="804" t="s">
        <v>424</v>
      </c>
      <c r="C127" s="804" t="s">
        <v>702</v>
      </c>
      <c r="D127" s="804" t="s">
        <v>703</v>
      </c>
      <c r="E127" s="804" t="s">
        <v>704</v>
      </c>
      <c r="F127" s="804" t="s">
        <v>158</v>
      </c>
      <c r="G127" s="66"/>
      <c r="H127" s="66"/>
      <c r="I127" s="94"/>
      <c r="J127" s="66">
        <v>0</v>
      </c>
    </row>
    <row r="128" spans="1:10">
      <c r="A128" s="95" t="str">
        <f t="shared" si="1"/>
        <v>2018RES_200005_P1T1</v>
      </c>
      <c r="B128" s="804" t="s">
        <v>424</v>
      </c>
      <c r="C128" s="804" t="s">
        <v>555</v>
      </c>
      <c r="D128" s="804" t="s">
        <v>438</v>
      </c>
      <c r="E128" s="804" t="s">
        <v>438</v>
      </c>
      <c r="F128" s="804" t="s">
        <v>498</v>
      </c>
      <c r="G128" s="66">
        <v>2938407.9463816201</v>
      </c>
      <c r="H128" s="66">
        <v>374356.81</v>
      </c>
      <c r="I128" s="94">
        <v>0.95000000000000007</v>
      </c>
      <c r="J128" s="66">
        <v>0</v>
      </c>
    </row>
    <row r="129" spans="1:10">
      <c r="A129" s="95" t="str">
        <f t="shared" si="1"/>
        <v>2018RES_200005_P1T2</v>
      </c>
      <c r="B129" s="804" t="s">
        <v>424</v>
      </c>
      <c r="C129" s="804" t="s">
        <v>556</v>
      </c>
      <c r="D129" s="804" t="s">
        <v>438</v>
      </c>
      <c r="E129" s="804" t="s">
        <v>438</v>
      </c>
      <c r="F129" s="804" t="s">
        <v>499</v>
      </c>
      <c r="G129" s="66">
        <v>4902203.4538380196</v>
      </c>
      <c r="H129" s="66">
        <v>374356.81</v>
      </c>
      <c r="I129" s="94">
        <v>0.95000000000000007</v>
      </c>
      <c r="J129" s="66">
        <v>0</v>
      </c>
    </row>
    <row r="130" spans="1:10">
      <c r="A130" s="95" t="str">
        <f t="shared" si="1"/>
        <v>2018RES_200005_P1T3</v>
      </c>
      <c r="B130" s="804" t="s">
        <v>424</v>
      </c>
      <c r="C130" s="804" t="s">
        <v>557</v>
      </c>
      <c r="D130" s="804" t="s">
        <v>438</v>
      </c>
      <c r="E130" s="804" t="s">
        <v>438</v>
      </c>
      <c r="F130" s="804" t="s">
        <v>500</v>
      </c>
      <c r="G130" s="66">
        <v>2725042.6584932702</v>
      </c>
      <c r="H130" s="66">
        <v>374356.81</v>
      </c>
      <c r="I130" s="94">
        <v>0.95000000000000007</v>
      </c>
      <c r="J130" s="66">
        <v>0</v>
      </c>
    </row>
    <row r="131" spans="1:10">
      <c r="A131" s="95" t="str">
        <f t="shared" si="1"/>
        <v>2018RES_200005_P1T4</v>
      </c>
      <c r="B131" s="804" t="s">
        <v>424</v>
      </c>
      <c r="C131" s="804" t="s">
        <v>558</v>
      </c>
      <c r="D131" s="804" t="s">
        <v>438</v>
      </c>
      <c r="E131" s="804" t="s">
        <v>438</v>
      </c>
      <c r="F131" s="804" t="s">
        <v>501</v>
      </c>
      <c r="G131" s="66">
        <v>2681349.1584932702</v>
      </c>
      <c r="H131" s="66">
        <v>374356.81</v>
      </c>
      <c r="I131" s="94">
        <v>0.95000000000000007</v>
      </c>
      <c r="J131" s="66">
        <v>0</v>
      </c>
    </row>
    <row r="132" spans="1:10">
      <c r="A132" s="95" t="str">
        <f t="shared" si="1"/>
        <v>2018RES_200006_P1T1</v>
      </c>
      <c r="B132" s="804" t="s">
        <v>424</v>
      </c>
      <c r="C132" s="804" t="s">
        <v>599</v>
      </c>
      <c r="D132" s="804" t="s">
        <v>463</v>
      </c>
      <c r="E132" s="804" t="s">
        <v>463</v>
      </c>
      <c r="F132" s="804" t="s">
        <v>532</v>
      </c>
      <c r="G132" s="66">
        <v>4079204.7718097302</v>
      </c>
      <c r="H132" s="66">
        <v>435019</v>
      </c>
      <c r="I132" s="94">
        <v>1</v>
      </c>
      <c r="J132" s="66">
        <v>0</v>
      </c>
    </row>
    <row r="133" spans="1:10">
      <c r="A133" s="95" t="str">
        <f t="shared" si="1"/>
        <v>2018RES_200006_P1T2</v>
      </c>
      <c r="B133" s="804" t="s">
        <v>424</v>
      </c>
      <c r="C133" s="804" t="s">
        <v>600</v>
      </c>
      <c r="D133" s="804" t="s">
        <v>463</v>
      </c>
      <c r="E133" s="804" t="s">
        <v>463</v>
      </c>
      <c r="F133" s="804" t="s">
        <v>533</v>
      </c>
      <c r="G133" s="66">
        <v>2880229.7932000002</v>
      </c>
      <c r="H133" s="66">
        <v>435019</v>
      </c>
      <c r="I133" s="94">
        <v>1</v>
      </c>
      <c r="J133" s="66">
        <v>5726</v>
      </c>
    </row>
    <row r="134" spans="1:10">
      <c r="A134" s="95" t="str">
        <f t="shared" si="1"/>
        <v>2018RES_200006_P1T3</v>
      </c>
      <c r="B134" s="804" t="s">
        <v>424</v>
      </c>
      <c r="C134" s="804" t="s">
        <v>596</v>
      </c>
      <c r="D134" s="804" t="s">
        <v>463</v>
      </c>
      <c r="E134" s="804" t="s">
        <v>463</v>
      </c>
      <c r="F134" s="804" t="s">
        <v>529</v>
      </c>
      <c r="G134" s="66">
        <v>0</v>
      </c>
      <c r="H134" s="66">
        <v>0</v>
      </c>
      <c r="I134" s="94">
        <v>0</v>
      </c>
      <c r="J134" s="66">
        <v>10680</v>
      </c>
    </row>
    <row r="135" spans="1:10">
      <c r="A135" s="95" t="str">
        <f t="shared" ref="A135:A198" si="2">B135&amp;C135</f>
        <v>2018RES_200006_P1T4</v>
      </c>
      <c r="B135" s="804" t="s">
        <v>424</v>
      </c>
      <c r="C135" s="804" t="s">
        <v>597</v>
      </c>
      <c r="D135" s="804" t="s">
        <v>463</v>
      </c>
      <c r="E135" s="804" t="s">
        <v>463</v>
      </c>
      <c r="F135" s="804" t="s">
        <v>530</v>
      </c>
      <c r="G135" s="66">
        <v>0</v>
      </c>
      <c r="H135" s="66">
        <v>0</v>
      </c>
      <c r="I135" s="94">
        <v>0</v>
      </c>
      <c r="J135" s="66">
        <v>277</v>
      </c>
    </row>
    <row r="136" spans="1:10">
      <c r="A136" s="95" t="str">
        <f t="shared" si="2"/>
        <v>2018RES_200006_P1T5</v>
      </c>
      <c r="B136" s="804" t="s">
        <v>424</v>
      </c>
      <c r="C136" s="804" t="s">
        <v>598</v>
      </c>
      <c r="D136" s="804" t="s">
        <v>463</v>
      </c>
      <c r="E136" s="804" t="s">
        <v>463</v>
      </c>
      <c r="F136" s="804" t="s">
        <v>531</v>
      </c>
      <c r="G136" s="66">
        <v>0</v>
      </c>
      <c r="H136" s="66">
        <v>0</v>
      </c>
      <c r="I136" s="94">
        <v>0</v>
      </c>
      <c r="J136" s="66">
        <v>124</v>
      </c>
    </row>
    <row r="137" spans="1:10">
      <c r="A137" s="95" t="str">
        <f t="shared" si="2"/>
        <v>2018RES_200401_P11T1</v>
      </c>
      <c r="B137" s="804" t="s">
        <v>424</v>
      </c>
      <c r="C137" s="804" t="s">
        <v>47</v>
      </c>
      <c r="D137" s="804" t="s">
        <v>624</v>
      </c>
      <c r="E137" s="804" t="s">
        <v>1460</v>
      </c>
      <c r="F137" s="804" t="s">
        <v>1461</v>
      </c>
      <c r="G137" s="66"/>
      <c r="H137" s="66">
        <v>0</v>
      </c>
      <c r="I137" s="94">
        <v>0</v>
      </c>
      <c r="J137" s="66">
        <v>0</v>
      </c>
    </row>
    <row r="138" spans="1:10">
      <c r="A138" s="95" t="str">
        <f t="shared" si="2"/>
        <v>2018RES_200401_P12T1</v>
      </c>
      <c r="B138" s="804" t="s">
        <v>424</v>
      </c>
      <c r="C138" s="804" t="s">
        <v>705</v>
      </c>
      <c r="D138" s="804" t="s">
        <v>624</v>
      </c>
      <c r="E138" s="804" t="s">
        <v>706</v>
      </c>
      <c r="F138" s="804" t="s">
        <v>1461</v>
      </c>
      <c r="G138" s="66"/>
      <c r="H138" s="66"/>
      <c r="I138" s="94"/>
      <c r="J138" s="66">
        <v>0</v>
      </c>
    </row>
    <row r="139" spans="1:10">
      <c r="A139" s="95" t="str">
        <f t="shared" si="2"/>
        <v>2018RES_200401_P13T1</v>
      </c>
      <c r="B139" s="804" t="s">
        <v>424</v>
      </c>
      <c r="C139" s="804" t="s">
        <v>586</v>
      </c>
      <c r="D139" s="804" t="s">
        <v>624</v>
      </c>
      <c r="E139" s="804" t="s">
        <v>457</v>
      </c>
      <c r="F139" s="804" t="s">
        <v>1461</v>
      </c>
      <c r="G139" s="66"/>
      <c r="H139" s="66">
        <v>0</v>
      </c>
      <c r="I139" s="94"/>
      <c r="J139" s="66">
        <v>0</v>
      </c>
    </row>
    <row r="140" spans="1:10">
      <c r="A140" s="95" t="str">
        <f t="shared" si="2"/>
        <v>2018RES_200401_P15T1</v>
      </c>
      <c r="B140" s="804" t="s">
        <v>424</v>
      </c>
      <c r="C140" s="804" t="s">
        <v>707</v>
      </c>
      <c r="D140" s="804" t="s">
        <v>624</v>
      </c>
      <c r="E140" s="804" t="s">
        <v>708</v>
      </c>
      <c r="F140" s="804" t="s">
        <v>1461</v>
      </c>
      <c r="G140" s="66"/>
      <c r="H140" s="66"/>
      <c r="I140" s="94"/>
      <c r="J140" s="66">
        <v>0</v>
      </c>
    </row>
    <row r="141" spans="1:10">
      <c r="A141" s="95" t="str">
        <f t="shared" si="2"/>
        <v>2018RES_200401_P1T1</v>
      </c>
      <c r="B141" s="804" t="s">
        <v>424</v>
      </c>
      <c r="C141" s="804" t="s">
        <v>563</v>
      </c>
      <c r="D141" s="804" t="s">
        <v>624</v>
      </c>
      <c r="E141" s="804" t="s">
        <v>444</v>
      </c>
      <c r="F141" s="804" t="s">
        <v>504</v>
      </c>
      <c r="G141" s="66"/>
      <c r="H141" s="66">
        <v>10275.845779519999</v>
      </c>
      <c r="I141" s="94">
        <v>0.97346019131489192</v>
      </c>
      <c r="J141" s="66">
        <v>0</v>
      </c>
    </row>
    <row r="142" spans="1:10">
      <c r="A142" s="95" t="str">
        <f t="shared" si="2"/>
        <v>2018RES_200401_P1T2</v>
      </c>
      <c r="B142" s="804" t="s">
        <v>424</v>
      </c>
      <c r="C142" s="804" t="s">
        <v>564</v>
      </c>
      <c r="D142" s="804" t="s">
        <v>624</v>
      </c>
      <c r="E142" s="804" t="s">
        <v>444</v>
      </c>
      <c r="F142" s="804" t="s">
        <v>505</v>
      </c>
      <c r="G142" s="66"/>
      <c r="H142" s="66">
        <v>10275.845779519999</v>
      </c>
      <c r="I142" s="94">
        <v>0.97346019131489192</v>
      </c>
      <c r="J142" s="66">
        <v>0</v>
      </c>
    </row>
    <row r="143" spans="1:10">
      <c r="A143" s="95" t="str">
        <f t="shared" si="2"/>
        <v>2018RES_200401_P1T3</v>
      </c>
      <c r="B143" s="804" t="s">
        <v>424</v>
      </c>
      <c r="C143" s="804" t="s">
        <v>565</v>
      </c>
      <c r="D143" s="804" t="s">
        <v>624</v>
      </c>
      <c r="E143" s="804" t="s">
        <v>444</v>
      </c>
      <c r="F143" s="804" t="s">
        <v>506</v>
      </c>
      <c r="G143" s="66"/>
      <c r="H143" s="66">
        <v>10275.845779519999</v>
      </c>
      <c r="I143" s="94">
        <v>0.97346019131489192</v>
      </c>
      <c r="J143" s="66">
        <v>0</v>
      </c>
    </row>
    <row r="144" spans="1:10">
      <c r="A144" s="95" t="str">
        <f t="shared" si="2"/>
        <v>2018RES_200401_P2T1</v>
      </c>
      <c r="B144" s="804" t="s">
        <v>424</v>
      </c>
      <c r="C144" s="804" t="s">
        <v>576</v>
      </c>
      <c r="D144" s="804" t="s">
        <v>624</v>
      </c>
      <c r="E144" s="804" t="s">
        <v>452</v>
      </c>
      <c r="F144" s="804" t="s">
        <v>515</v>
      </c>
      <c r="G144" s="66"/>
      <c r="H144" s="66">
        <v>2404.2036901900001</v>
      </c>
      <c r="I144" s="94">
        <v>0.94504862035770443</v>
      </c>
      <c r="J144" s="66">
        <v>0</v>
      </c>
    </row>
    <row r="145" spans="1:10">
      <c r="A145" s="95" t="str">
        <f t="shared" si="2"/>
        <v>2018RES_200401_P2T2</v>
      </c>
      <c r="B145" s="804" t="s">
        <v>424</v>
      </c>
      <c r="C145" s="804" t="s">
        <v>577</v>
      </c>
      <c r="D145" s="804" t="s">
        <v>624</v>
      </c>
      <c r="E145" s="804" t="s">
        <v>452</v>
      </c>
      <c r="F145" s="804" t="s">
        <v>516</v>
      </c>
      <c r="G145" s="66"/>
      <c r="H145" s="66">
        <v>2404.2036901900001</v>
      </c>
      <c r="I145" s="94">
        <v>0.94504862035770443</v>
      </c>
      <c r="J145" s="66">
        <v>0</v>
      </c>
    </row>
    <row r="146" spans="1:10">
      <c r="A146" s="95" t="str">
        <f t="shared" si="2"/>
        <v>2018RES_200401_P2T3</v>
      </c>
      <c r="B146" s="804" t="s">
        <v>424</v>
      </c>
      <c r="C146" s="804" t="s">
        <v>578</v>
      </c>
      <c r="D146" s="804" t="s">
        <v>624</v>
      </c>
      <c r="E146" s="804" t="s">
        <v>452</v>
      </c>
      <c r="F146" s="804" t="s">
        <v>517</v>
      </c>
      <c r="G146" s="66"/>
      <c r="H146" s="66">
        <v>2404.2036901900001</v>
      </c>
      <c r="I146" s="94">
        <v>0.94504862035770443</v>
      </c>
      <c r="J146" s="66">
        <v>0</v>
      </c>
    </row>
    <row r="147" spans="1:10">
      <c r="A147" s="95" t="str">
        <f t="shared" si="2"/>
        <v>2018RES_200401_P3T1</v>
      </c>
      <c r="B147" s="804" t="s">
        <v>424</v>
      </c>
      <c r="C147" s="804" t="s">
        <v>588</v>
      </c>
      <c r="D147" s="804" t="s">
        <v>624</v>
      </c>
      <c r="E147" s="804" t="s">
        <v>458</v>
      </c>
      <c r="F147" s="804" t="s">
        <v>523</v>
      </c>
      <c r="G147" s="66"/>
      <c r="H147" s="66">
        <v>8318.31</v>
      </c>
      <c r="I147" s="94">
        <v>0.90999999999999992</v>
      </c>
      <c r="J147" s="66">
        <v>0</v>
      </c>
    </row>
    <row r="148" spans="1:10">
      <c r="A148" s="95" t="str">
        <f t="shared" si="2"/>
        <v>2018RES_200401_P3T2</v>
      </c>
      <c r="B148" s="804" t="s">
        <v>424</v>
      </c>
      <c r="C148" s="804" t="s">
        <v>589</v>
      </c>
      <c r="D148" s="804" t="s">
        <v>624</v>
      </c>
      <c r="E148" s="804" t="s">
        <v>458</v>
      </c>
      <c r="F148" s="804" t="s">
        <v>1462</v>
      </c>
      <c r="G148" s="66"/>
      <c r="H148" s="66">
        <v>8318.31</v>
      </c>
      <c r="I148" s="94">
        <v>0.90999999999999992</v>
      </c>
      <c r="J148" s="66">
        <v>0</v>
      </c>
    </row>
    <row r="149" spans="1:10">
      <c r="A149" s="95" t="str">
        <f t="shared" si="2"/>
        <v>2018RES_200401_P4T1</v>
      </c>
      <c r="B149" s="804" t="s">
        <v>424</v>
      </c>
      <c r="C149" s="804" t="s">
        <v>610</v>
      </c>
      <c r="D149" s="804" t="s">
        <v>624</v>
      </c>
      <c r="E149" s="804" t="s">
        <v>477</v>
      </c>
      <c r="F149" s="804" t="s">
        <v>535</v>
      </c>
      <c r="G149" s="66"/>
      <c r="H149" s="66">
        <v>22739.52</v>
      </c>
      <c r="I149" s="94">
        <v>0.96</v>
      </c>
      <c r="J149" s="66">
        <v>0</v>
      </c>
    </row>
    <row r="150" spans="1:10">
      <c r="A150" s="95" t="str">
        <f t="shared" si="2"/>
        <v>2018RES_200401_P4T2</v>
      </c>
      <c r="B150" s="804" t="s">
        <v>424</v>
      </c>
      <c r="C150" s="804" t="s">
        <v>611</v>
      </c>
      <c r="D150" s="804" t="s">
        <v>624</v>
      </c>
      <c r="E150" s="804" t="s">
        <v>477</v>
      </c>
      <c r="F150" s="804" t="s">
        <v>536</v>
      </c>
      <c r="G150" s="66"/>
      <c r="H150" s="66">
        <v>22739.52</v>
      </c>
      <c r="I150" s="94">
        <v>0.96</v>
      </c>
      <c r="J150" s="66">
        <v>0</v>
      </c>
    </row>
    <row r="151" spans="1:10">
      <c r="A151" s="95" t="str">
        <f t="shared" si="2"/>
        <v>2018RES_200401_P4T3</v>
      </c>
      <c r="B151" s="804" t="s">
        <v>424</v>
      </c>
      <c r="C151" s="804" t="s">
        <v>612</v>
      </c>
      <c r="D151" s="804" t="s">
        <v>624</v>
      </c>
      <c r="E151" s="804" t="s">
        <v>477</v>
      </c>
      <c r="F151" s="804" t="s">
        <v>537</v>
      </c>
      <c r="G151" s="66"/>
      <c r="H151" s="66">
        <v>22739.52</v>
      </c>
      <c r="I151" s="94">
        <v>0.96</v>
      </c>
      <c r="J151" s="66">
        <v>0</v>
      </c>
    </row>
    <row r="152" spans="1:10">
      <c r="A152" s="95" t="str">
        <f t="shared" si="2"/>
        <v>2018RES_200401_P5T1</v>
      </c>
      <c r="B152" s="804" t="s">
        <v>424</v>
      </c>
      <c r="C152" s="804" t="s">
        <v>48</v>
      </c>
      <c r="D152" s="804" t="s">
        <v>624</v>
      </c>
      <c r="E152" s="804" t="s">
        <v>1463</v>
      </c>
      <c r="F152" s="804" t="s">
        <v>1461</v>
      </c>
      <c r="G152" s="66"/>
      <c r="H152" s="66">
        <v>0</v>
      </c>
      <c r="I152" s="94">
        <v>0</v>
      </c>
      <c r="J152" s="66">
        <v>0</v>
      </c>
    </row>
    <row r="153" spans="1:10">
      <c r="A153" s="95" t="str">
        <f t="shared" si="2"/>
        <v>2018RES_200401_P6T1</v>
      </c>
      <c r="B153" s="804" t="s">
        <v>424</v>
      </c>
      <c r="C153" s="804" t="s">
        <v>49</v>
      </c>
      <c r="D153" s="804" t="s">
        <v>624</v>
      </c>
      <c r="E153" s="804" t="s">
        <v>1464</v>
      </c>
      <c r="F153" s="804" t="s">
        <v>1461</v>
      </c>
      <c r="G153" s="66"/>
      <c r="H153" s="66">
        <v>0</v>
      </c>
      <c r="I153" s="94">
        <v>0</v>
      </c>
      <c r="J153" s="66">
        <v>0</v>
      </c>
    </row>
    <row r="154" spans="1:10">
      <c r="A154" s="95" t="str">
        <f t="shared" si="2"/>
        <v>2018RES_200401_P7T1</v>
      </c>
      <c r="B154" s="804" t="s">
        <v>424</v>
      </c>
      <c r="C154" s="804" t="s">
        <v>50</v>
      </c>
      <c r="D154" s="804" t="s">
        <v>624</v>
      </c>
      <c r="E154" s="804" t="s">
        <v>1465</v>
      </c>
      <c r="F154" s="804" t="s">
        <v>1461</v>
      </c>
      <c r="G154" s="66"/>
      <c r="H154" s="66">
        <v>0</v>
      </c>
      <c r="I154" s="94">
        <v>0</v>
      </c>
      <c r="J154" s="66">
        <v>0</v>
      </c>
    </row>
    <row r="155" spans="1:10">
      <c r="A155" s="95" t="str">
        <f t="shared" si="2"/>
        <v>2018RES_200601_P1T1</v>
      </c>
      <c r="B155" s="804" t="s">
        <v>424</v>
      </c>
      <c r="C155" s="804" t="s">
        <v>571</v>
      </c>
      <c r="D155" s="804" t="s">
        <v>150</v>
      </c>
      <c r="E155" s="804" t="s">
        <v>447</v>
      </c>
      <c r="F155" s="804" t="s">
        <v>504</v>
      </c>
      <c r="G155" s="66"/>
      <c r="H155" s="66">
        <v>593.80529706000004</v>
      </c>
      <c r="I155" s="94">
        <v>0.2270079512757289</v>
      </c>
      <c r="J155" s="66"/>
    </row>
    <row r="156" spans="1:10">
      <c r="A156" s="95" t="str">
        <f t="shared" si="2"/>
        <v>2018RES_200601_P1T2</v>
      </c>
      <c r="B156" s="804" t="s">
        <v>424</v>
      </c>
      <c r="C156" s="804" t="s">
        <v>572</v>
      </c>
      <c r="D156" s="804" t="s">
        <v>150</v>
      </c>
      <c r="E156" s="804" t="s">
        <v>447</v>
      </c>
      <c r="F156" s="804" t="s">
        <v>505</v>
      </c>
      <c r="G156" s="66"/>
      <c r="H156" s="66">
        <v>593.80529706000004</v>
      </c>
      <c r="I156" s="94">
        <v>0.2270079512757289</v>
      </c>
      <c r="J156" s="66"/>
    </row>
    <row r="157" spans="1:10">
      <c r="A157" s="95" t="str">
        <f t="shared" si="2"/>
        <v>2018RES_200601_P1T3</v>
      </c>
      <c r="B157" s="804" t="s">
        <v>424</v>
      </c>
      <c r="C157" s="804" t="s">
        <v>573</v>
      </c>
      <c r="D157" s="804" t="s">
        <v>150</v>
      </c>
      <c r="E157" s="804" t="s">
        <v>447</v>
      </c>
      <c r="F157" s="804" t="s">
        <v>506</v>
      </c>
      <c r="G157" s="66"/>
      <c r="H157" s="66">
        <v>560.81611389</v>
      </c>
      <c r="I157" s="94">
        <v>0.21439639842707728</v>
      </c>
      <c r="J157" s="66"/>
    </row>
    <row r="158" spans="1:10">
      <c r="A158" s="95" t="str">
        <f t="shared" si="2"/>
        <v>2018RES_200601_P2T1</v>
      </c>
      <c r="B158" s="804" t="s">
        <v>424</v>
      </c>
      <c r="C158" s="804" t="s">
        <v>583</v>
      </c>
      <c r="D158" s="804" t="s">
        <v>150</v>
      </c>
      <c r="E158" s="804" t="s">
        <v>455</v>
      </c>
      <c r="F158" s="804" t="s">
        <v>515</v>
      </c>
      <c r="G158" s="66"/>
      <c r="H158" s="66">
        <v>449.81045255999999</v>
      </c>
      <c r="I158" s="94">
        <v>0.47556148778056989</v>
      </c>
      <c r="J158" s="66"/>
    </row>
    <row r="159" spans="1:10">
      <c r="A159" s="95" t="str">
        <f t="shared" si="2"/>
        <v>2018RES_200601_P2T2</v>
      </c>
      <c r="B159" s="804" t="s">
        <v>424</v>
      </c>
      <c r="C159" s="804" t="s">
        <v>584</v>
      </c>
      <c r="D159" s="804" t="s">
        <v>150</v>
      </c>
      <c r="E159" s="804" t="s">
        <v>455</v>
      </c>
      <c r="F159" s="804" t="s">
        <v>516</v>
      </c>
      <c r="G159" s="66"/>
      <c r="H159" s="66">
        <v>449.81045255999999</v>
      </c>
      <c r="I159" s="94">
        <v>0.47556148778056989</v>
      </c>
      <c r="J159" s="66"/>
    </row>
    <row r="160" spans="1:10">
      <c r="A160" s="95" t="str">
        <f t="shared" si="2"/>
        <v>2018RES_200601_P2T3</v>
      </c>
      <c r="B160" s="804" t="s">
        <v>424</v>
      </c>
      <c r="C160" s="804" t="s">
        <v>585</v>
      </c>
      <c r="D160" s="804" t="s">
        <v>150</v>
      </c>
      <c r="E160" s="804" t="s">
        <v>455</v>
      </c>
      <c r="F160" s="804" t="s">
        <v>517</v>
      </c>
      <c r="G160" s="66"/>
      <c r="H160" s="66">
        <v>449.81045255999999</v>
      </c>
      <c r="I160" s="94">
        <v>0.47556148778056989</v>
      </c>
      <c r="J160" s="66"/>
    </row>
    <row r="161" spans="1:10">
      <c r="A161" s="95" t="str">
        <f t="shared" si="2"/>
        <v>2018RES_200601_P3T1</v>
      </c>
      <c r="B161" s="804" t="s">
        <v>424</v>
      </c>
      <c r="C161" s="804" t="s">
        <v>595</v>
      </c>
      <c r="D161" s="804" t="s">
        <v>150</v>
      </c>
      <c r="E161" s="804" t="s">
        <v>461</v>
      </c>
      <c r="F161" s="804" t="s">
        <v>523</v>
      </c>
      <c r="G161" s="66"/>
      <c r="H161" s="66">
        <v>1200.78626708</v>
      </c>
      <c r="I161" s="94">
        <v>0.40539140890118824</v>
      </c>
      <c r="J161" s="66"/>
    </row>
    <row r="162" spans="1:10">
      <c r="A162" s="95" t="str">
        <f t="shared" si="2"/>
        <v>2018RES_200601_P4T1</v>
      </c>
      <c r="B162" s="804" t="s">
        <v>424</v>
      </c>
      <c r="C162" s="804" t="s">
        <v>619</v>
      </c>
      <c r="D162" s="804" t="s">
        <v>150</v>
      </c>
      <c r="E162" s="804" t="s">
        <v>480</v>
      </c>
      <c r="F162" s="804" t="s">
        <v>535</v>
      </c>
      <c r="G162" s="66"/>
      <c r="H162" s="66">
        <v>12320.30991899</v>
      </c>
      <c r="I162" s="94">
        <v>2.7348755834398375</v>
      </c>
      <c r="J162" s="66"/>
    </row>
    <row r="163" spans="1:10">
      <c r="A163" s="95" t="str">
        <f t="shared" si="2"/>
        <v>2018RES_200601_P4T2</v>
      </c>
      <c r="B163" s="804" t="s">
        <v>424</v>
      </c>
      <c r="C163" s="804" t="s">
        <v>620</v>
      </c>
      <c r="D163" s="804" t="s">
        <v>150</v>
      </c>
      <c r="E163" s="804" t="s">
        <v>480</v>
      </c>
      <c r="F163" s="804" t="s">
        <v>536</v>
      </c>
      <c r="G163" s="66"/>
      <c r="H163" s="66">
        <v>0</v>
      </c>
      <c r="I163" s="94">
        <v>0</v>
      </c>
      <c r="J163" s="66"/>
    </row>
    <row r="164" spans="1:10">
      <c r="A164" s="95" t="str">
        <f t="shared" si="2"/>
        <v>2018RES_200601_P4T3</v>
      </c>
      <c r="B164" s="804" t="s">
        <v>424</v>
      </c>
      <c r="C164" s="804" t="s">
        <v>621</v>
      </c>
      <c r="D164" s="804" t="s">
        <v>150</v>
      </c>
      <c r="E164" s="804" t="s">
        <v>480</v>
      </c>
      <c r="F164" s="804" t="s">
        <v>537</v>
      </c>
      <c r="G164" s="66"/>
      <c r="H164" s="66">
        <v>2217.65578542</v>
      </c>
      <c r="I164" s="94">
        <v>0.4922776050195703</v>
      </c>
      <c r="J164" s="66"/>
    </row>
    <row r="165" spans="1:10">
      <c r="A165" s="95" t="str">
        <f t="shared" si="2"/>
        <v>2018RES_200804_P1T1</v>
      </c>
      <c r="B165" s="804" t="s">
        <v>424</v>
      </c>
      <c r="C165" s="804" t="s">
        <v>51</v>
      </c>
      <c r="D165" s="804" t="s">
        <v>151</v>
      </c>
      <c r="E165" s="804" t="s">
        <v>437</v>
      </c>
      <c r="F165" s="804" t="s">
        <v>158</v>
      </c>
      <c r="G165" s="66">
        <v>85632.271457990006</v>
      </c>
      <c r="H165" s="66"/>
      <c r="I165" s="94"/>
      <c r="J165" s="66">
        <v>10921.54561406</v>
      </c>
    </row>
    <row r="166" spans="1:10">
      <c r="A166" s="95" t="str">
        <f t="shared" si="2"/>
        <v>2018RES_200804_P2T1</v>
      </c>
      <c r="B166" s="804" t="s">
        <v>424</v>
      </c>
      <c r="C166" s="804" t="s">
        <v>52</v>
      </c>
      <c r="D166" s="804" t="s">
        <v>151</v>
      </c>
      <c r="E166" s="804" t="s">
        <v>435</v>
      </c>
      <c r="F166" s="804" t="s">
        <v>158</v>
      </c>
      <c r="G166" s="66">
        <v>10929.67308221</v>
      </c>
      <c r="H166" s="66"/>
      <c r="I166" s="94"/>
      <c r="J166" s="66">
        <v>1754.2</v>
      </c>
    </row>
    <row r="167" spans="1:10">
      <c r="A167" s="95" t="str">
        <f t="shared" si="2"/>
        <v>2018RES_200804_P3T1</v>
      </c>
      <c r="B167" s="804" t="s">
        <v>424</v>
      </c>
      <c r="C167" s="804" t="s">
        <v>53</v>
      </c>
      <c r="D167" s="804" t="s">
        <v>151</v>
      </c>
      <c r="E167" s="804" t="s">
        <v>436</v>
      </c>
      <c r="F167" s="804" t="s">
        <v>158</v>
      </c>
      <c r="G167" s="66">
        <v>4458.3621880299997</v>
      </c>
      <c r="H167" s="66"/>
      <c r="I167" s="94"/>
      <c r="J167" s="66">
        <v>1196</v>
      </c>
    </row>
    <row r="168" spans="1:10">
      <c r="A168" s="95" t="str">
        <f t="shared" si="2"/>
        <v>2018RES_201101_P1T1</v>
      </c>
      <c r="B168" s="804" t="s">
        <v>424</v>
      </c>
      <c r="C168" s="804" t="s">
        <v>54</v>
      </c>
      <c r="D168" s="804" t="s">
        <v>152</v>
      </c>
      <c r="E168" s="804" t="s">
        <v>430</v>
      </c>
      <c r="F168" s="804" t="s">
        <v>487</v>
      </c>
      <c r="G168" s="66">
        <v>382238.81456621003</v>
      </c>
      <c r="H168" s="66">
        <v>123021.76061036999</v>
      </c>
      <c r="I168" s="94">
        <v>0.41819528172323767</v>
      </c>
      <c r="J168" s="66">
        <v>4816</v>
      </c>
    </row>
    <row r="169" spans="1:10">
      <c r="A169" s="95" t="str">
        <f t="shared" si="2"/>
        <v>2018RES_201101_P1T2</v>
      </c>
      <c r="B169" s="804" t="s">
        <v>424</v>
      </c>
      <c r="C169" s="804" t="s">
        <v>88</v>
      </c>
      <c r="D169" s="804" t="s">
        <v>152</v>
      </c>
      <c r="E169" s="804" t="s">
        <v>430</v>
      </c>
      <c r="F169" s="804" t="s">
        <v>488</v>
      </c>
      <c r="G169" s="66">
        <v>3283.2310056699998</v>
      </c>
      <c r="H169" s="66">
        <v>851.45081629000003</v>
      </c>
      <c r="I169" s="94">
        <v>2.8943880515546975E-3</v>
      </c>
      <c r="J169" s="66">
        <v>191</v>
      </c>
    </row>
    <row r="170" spans="1:10">
      <c r="A170" s="95" t="str">
        <f t="shared" si="2"/>
        <v>2018RES_201101_P1T3</v>
      </c>
      <c r="B170" s="804" t="s">
        <v>424</v>
      </c>
      <c r="C170" s="804" t="s">
        <v>89</v>
      </c>
      <c r="D170" s="804" t="s">
        <v>152</v>
      </c>
      <c r="E170" s="804" t="s">
        <v>430</v>
      </c>
      <c r="F170" s="804" t="s">
        <v>489</v>
      </c>
      <c r="G170" s="66">
        <v>1843</v>
      </c>
      <c r="H170" s="66">
        <v>280</v>
      </c>
      <c r="I170" s="94">
        <v>9.5182086731277176E-4</v>
      </c>
      <c r="J170" s="66">
        <v>99</v>
      </c>
    </row>
    <row r="171" spans="1:10">
      <c r="A171" s="95" t="str">
        <f t="shared" si="2"/>
        <v>2018RES_201101_P1T4</v>
      </c>
      <c r="B171" s="804" t="s">
        <v>424</v>
      </c>
      <c r="C171" s="804" t="s">
        <v>90</v>
      </c>
      <c r="D171" s="804" t="s">
        <v>152</v>
      </c>
      <c r="E171" s="804" t="s">
        <v>430</v>
      </c>
      <c r="F171" s="804" t="s">
        <v>490</v>
      </c>
      <c r="G171" s="66">
        <v>1346</v>
      </c>
      <c r="H171" s="66">
        <v>280</v>
      </c>
      <c r="I171" s="94">
        <v>9.5182086731277176E-4</v>
      </c>
      <c r="J171" s="66">
        <v>0</v>
      </c>
    </row>
    <row r="172" spans="1:10">
      <c r="A172" s="95" t="str">
        <f t="shared" si="2"/>
        <v>2018RES_201101_P1T5</v>
      </c>
      <c r="B172" s="804" t="s">
        <v>424</v>
      </c>
      <c r="C172" s="804" t="s">
        <v>91</v>
      </c>
      <c r="D172" s="804" t="s">
        <v>152</v>
      </c>
      <c r="E172" s="804" t="s">
        <v>430</v>
      </c>
      <c r="F172" s="804" t="s">
        <v>491</v>
      </c>
      <c r="G172" s="66">
        <v>942</v>
      </c>
      <c r="H172" s="66">
        <v>280</v>
      </c>
      <c r="I172" s="94">
        <v>9.5182086731277176E-4</v>
      </c>
      <c r="J172" s="66">
        <v>0</v>
      </c>
    </row>
    <row r="173" spans="1:10">
      <c r="A173" s="95" t="str">
        <f t="shared" si="2"/>
        <v>2018RES_201101_P1T6</v>
      </c>
      <c r="B173" s="804" t="s">
        <v>424</v>
      </c>
      <c r="C173" s="804" t="s">
        <v>117</v>
      </c>
      <c r="D173" s="804" t="s">
        <v>152</v>
      </c>
      <c r="E173" s="804" t="s">
        <v>430</v>
      </c>
      <c r="F173" s="804" t="s">
        <v>492</v>
      </c>
      <c r="G173" s="66">
        <v>942</v>
      </c>
      <c r="H173" s="66">
        <v>280</v>
      </c>
      <c r="I173" s="94">
        <v>9.5182086731277176E-4</v>
      </c>
      <c r="J173" s="66">
        <v>0</v>
      </c>
    </row>
    <row r="174" spans="1:10">
      <c r="A174" s="95" t="str">
        <f t="shared" si="2"/>
        <v>2018RES_201202_P1T1</v>
      </c>
      <c r="B174" s="804" t="s">
        <v>424</v>
      </c>
      <c r="C174" s="804" t="s">
        <v>55</v>
      </c>
      <c r="D174" s="804" t="s">
        <v>153</v>
      </c>
      <c r="E174" s="804" t="s">
        <v>1282</v>
      </c>
      <c r="F174" s="804" t="s">
        <v>158</v>
      </c>
      <c r="G174" s="66">
        <v>21782</v>
      </c>
      <c r="H174" s="66">
        <v>3776</v>
      </c>
      <c r="I174" s="94">
        <v>2.4153203697852853E-2</v>
      </c>
      <c r="J174" s="66">
        <v>3026</v>
      </c>
    </row>
    <row r="175" spans="1:10">
      <c r="A175" s="95" t="str">
        <f t="shared" si="2"/>
        <v>2018RES_201202_P1T2</v>
      </c>
      <c r="B175" s="804" t="s">
        <v>424</v>
      </c>
      <c r="C175" s="804" t="s">
        <v>56</v>
      </c>
      <c r="D175" s="804" t="s">
        <v>153</v>
      </c>
      <c r="E175" s="804" t="s">
        <v>1282</v>
      </c>
      <c r="F175" s="804" t="s">
        <v>160</v>
      </c>
      <c r="G175" s="66">
        <v>14100</v>
      </c>
      <c r="H175" s="66">
        <v>3772</v>
      </c>
      <c r="I175" s="94">
        <v>2.4127617676986481E-2</v>
      </c>
      <c r="J175" s="66">
        <v>3010</v>
      </c>
    </row>
    <row r="176" spans="1:10">
      <c r="A176" s="95" t="str">
        <f t="shared" si="2"/>
        <v>2018RES_201202_P1T3</v>
      </c>
      <c r="B176" s="804" t="s">
        <v>424</v>
      </c>
      <c r="C176" s="804" t="s">
        <v>1225</v>
      </c>
      <c r="D176" s="804" t="s">
        <v>153</v>
      </c>
      <c r="E176" s="804" t="s">
        <v>1282</v>
      </c>
      <c r="F176" s="804" t="s">
        <v>1296</v>
      </c>
      <c r="G176" s="66">
        <v>7167</v>
      </c>
      <c r="H176" s="66">
        <v>3221</v>
      </c>
      <c r="I176" s="94">
        <v>2.0603143302644077E-2</v>
      </c>
      <c r="J176" s="66">
        <v>2922</v>
      </c>
    </row>
    <row r="177" spans="1:10">
      <c r="A177" s="95" t="str">
        <f t="shared" si="2"/>
        <v>2018RES_201202_P1T4</v>
      </c>
      <c r="B177" s="804" t="s">
        <v>424</v>
      </c>
      <c r="C177" s="804" t="s">
        <v>1226</v>
      </c>
      <c r="D177" s="804" t="s">
        <v>153</v>
      </c>
      <c r="E177" s="804" t="s">
        <v>1282</v>
      </c>
      <c r="F177" s="804" t="s">
        <v>1297</v>
      </c>
      <c r="G177" s="66">
        <v>31</v>
      </c>
      <c r="H177" s="66">
        <v>23</v>
      </c>
      <c r="I177" s="94">
        <v>1.471196199816249E-4</v>
      </c>
      <c r="J177" s="66">
        <v>0</v>
      </c>
    </row>
    <row r="178" spans="1:10">
      <c r="A178" s="95" t="str">
        <f t="shared" si="2"/>
        <v>2018RES_201202_P1T5</v>
      </c>
      <c r="B178" s="804" t="s">
        <v>424</v>
      </c>
      <c r="C178" s="804" t="s">
        <v>1466</v>
      </c>
      <c r="D178" s="804" t="s">
        <v>153</v>
      </c>
      <c r="E178" s="804" t="s">
        <v>1282</v>
      </c>
      <c r="F178" s="804" t="s">
        <v>1467</v>
      </c>
      <c r="G178" s="66">
        <v>0</v>
      </c>
      <c r="H178" s="66">
        <v>0</v>
      </c>
      <c r="I178" s="94">
        <v>0</v>
      </c>
      <c r="J178" s="66">
        <v>0</v>
      </c>
    </row>
    <row r="179" spans="1:10">
      <c r="A179" s="95" t="str">
        <f t="shared" si="2"/>
        <v>2018RES_201202_P2T1</v>
      </c>
      <c r="B179" s="804" t="s">
        <v>424</v>
      </c>
      <c r="C179" s="804" t="s">
        <v>57</v>
      </c>
      <c r="D179" s="804" t="s">
        <v>153</v>
      </c>
      <c r="E179" s="804" t="s">
        <v>1283</v>
      </c>
      <c r="F179" s="804" t="s">
        <v>158</v>
      </c>
      <c r="G179" s="66">
        <v>6911</v>
      </c>
      <c r="H179" s="66">
        <v>1697</v>
      </c>
      <c r="I179" s="94">
        <v>9.7355261725382433E-2</v>
      </c>
      <c r="J179" s="66">
        <v>1371</v>
      </c>
    </row>
    <row r="180" spans="1:10">
      <c r="A180" s="95" t="str">
        <f t="shared" si="2"/>
        <v>2018RES_201202_P2T2</v>
      </c>
      <c r="B180" s="804" t="s">
        <v>424</v>
      </c>
      <c r="C180" s="804" t="s">
        <v>58</v>
      </c>
      <c r="D180" s="804" t="s">
        <v>153</v>
      </c>
      <c r="E180" s="804" t="s">
        <v>1283</v>
      </c>
      <c r="F180" s="804" t="s">
        <v>160</v>
      </c>
      <c r="G180" s="66">
        <v>6360</v>
      </c>
      <c r="H180" s="66">
        <v>1696</v>
      </c>
      <c r="I180" s="94">
        <v>9.7297892684884271E-2</v>
      </c>
      <c r="J180" s="66">
        <v>1365</v>
      </c>
    </row>
    <row r="181" spans="1:10">
      <c r="A181" s="95" t="str">
        <f t="shared" si="2"/>
        <v>2018RES_201202_P2T3</v>
      </c>
      <c r="B181" s="804" t="s">
        <v>424</v>
      </c>
      <c r="C181" s="804" t="s">
        <v>1217</v>
      </c>
      <c r="D181" s="804" t="s">
        <v>153</v>
      </c>
      <c r="E181" s="804" t="s">
        <v>1283</v>
      </c>
      <c r="F181" s="804" t="s">
        <v>1296</v>
      </c>
      <c r="G181" s="66">
        <v>3427</v>
      </c>
      <c r="H181" s="66">
        <v>1634</v>
      </c>
      <c r="I181" s="94">
        <v>9.3741012173998162E-2</v>
      </c>
      <c r="J181" s="66">
        <v>1273</v>
      </c>
    </row>
    <row r="182" spans="1:10">
      <c r="A182" s="95" t="str">
        <f t="shared" si="2"/>
        <v>2018RES_201202_P2T4</v>
      </c>
      <c r="B182" s="804" t="s">
        <v>424</v>
      </c>
      <c r="C182" s="804" t="s">
        <v>1218</v>
      </c>
      <c r="D182" s="804" t="s">
        <v>153</v>
      </c>
      <c r="E182" s="804" t="s">
        <v>1283</v>
      </c>
      <c r="F182" s="804" t="s">
        <v>1297</v>
      </c>
      <c r="G182" s="66">
        <v>24</v>
      </c>
      <c r="H182" s="66">
        <v>19</v>
      </c>
      <c r="I182" s="94">
        <v>1.090011769465095E-3</v>
      </c>
      <c r="J182" s="66">
        <v>0</v>
      </c>
    </row>
    <row r="183" spans="1:10">
      <c r="A183" s="95" t="str">
        <f t="shared" si="2"/>
        <v>2018RES_201202_P2T5</v>
      </c>
      <c r="B183" s="804" t="s">
        <v>424</v>
      </c>
      <c r="C183" s="804" t="s">
        <v>1468</v>
      </c>
      <c r="D183" s="804" t="s">
        <v>153</v>
      </c>
      <c r="E183" s="804" t="s">
        <v>1283</v>
      </c>
      <c r="F183" s="804" t="s">
        <v>1467</v>
      </c>
      <c r="G183" s="66">
        <v>0</v>
      </c>
      <c r="H183" s="66">
        <v>0</v>
      </c>
      <c r="I183" s="94">
        <v>0</v>
      </c>
      <c r="J183" s="66">
        <v>0</v>
      </c>
    </row>
    <row r="184" spans="1:10">
      <c r="A184" s="95" t="str">
        <f t="shared" si="2"/>
        <v>2018RES_201202_P3T1</v>
      </c>
      <c r="B184" s="804" t="s">
        <v>424</v>
      </c>
      <c r="C184" s="804" t="s">
        <v>1184</v>
      </c>
      <c r="D184" s="804" t="s">
        <v>153</v>
      </c>
      <c r="E184" s="804" t="s">
        <v>1284</v>
      </c>
      <c r="F184" s="804" t="s">
        <v>158</v>
      </c>
      <c r="G184" s="66">
        <v>13290</v>
      </c>
      <c r="H184" s="66">
        <v>4293</v>
      </c>
      <c r="I184" s="94">
        <v>0.39444619935656494</v>
      </c>
      <c r="J184" s="66">
        <v>854</v>
      </c>
    </row>
    <row r="185" spans="1:10">
      <c r="A185" s="95" t="str">
        <f t="shared" si="2"/>
        <v>2018RES_201202_P3T2</v>
      </c>
      <c r="B185" s="804" t="s">
        <v>424</v>
      </c>
      <c r="C185" s="804" t="s">
        <v>1185</v>
      </c>
      <c r="D185" s="804" t="s">
        <v>153</v>
      </c>
      <c r="E185" s="804" t="s">
        <v>1284</v>
      </c>
      <c r="F185" s="804" t="s">
        <v>160</v>
      </c>
      <c r="G185" s="66">
        <v>12062</v>
      </c>
      <c r="H185" s="66">
        <v>4287</v>
      </c>
      <c r="I185" s="94">
        <v>0.39389491186619935</v>
      </c>
      <c r="J185" s="66">
        <v>849</v>
      </c>
    </row>
    <row r="186" spans="1:10">
      <c r="A186" s="95" t="str">
        <f t="shared" si="2"/>
        <v>2018RES_201202_P3T3</v>
      </c>
      <c r="B186" s="804" t="s">
        <v>424</v>
      </c>
      <c r="C186" s="804" t="s">
        <v>1219</v>
      </c>
      <c r="D186" s="804" t="s">
        <v>153</v>
      </c>
      <c r="E186" s="804" t="s">
        <v>1284</v>
      </c>
      <c r="F186" s="804" t="s">
        <v>1296</v>
      </c>
      <c r="G186" s="66">
        <v>8432</v>
      </c>
      <c r="H186" s="66">
        <v>3661</v>
      </c>
      <c r="I186" s="94">
        <v>0.3363772503713916</v>
      </c>
      <c r="J186" s="66">
        <v>833</v>
      </c>
    </row>
    <row r="187" spans="1:10">
      <c r="A187" s="95" t="str">
        <f t="shared" si="2"/>
        <v>2018RES_201202_P3T4</v>
      </c>
      <c r="B187" s="804" t="s">
        <v>424</v>
      </c>
      <c r="C187" s="804" t="s">
        <v>1220</v>
      </c>
      <c r="D187" s="804" t="s">
        <v>153</v>
      </c>
      <c r="E187" s="804" t="s">
        <v>1284</v>
      </c>
      <c r="F187" s="804" t="s">
        <v>1297</v>
      </c>
      <c r="G187" s="66">
        <v>38</v>
      </c>
      <c r="H187" s="66">
        <v>27</v>
      </c>
      <c r="I187" s="94">
        <v>2.4807937066450626E-3</v>
      </c>
      <c r="J187" s="66">
        <v>0</v>
      </c>
    </row>
    <row r="188" spans="1:10">
      <c r="A188" s="95" t="str">
        <f t="shared" si="2"/>
        <v>2018RES_201202_P3T5</v>
      </c>
      <c r="B188" s="804" t="s">
        <v>424</v>
      </c>
      <c r="C188" s="804" t="s">
        <v>1469</v>
      </c>
      <c r="D188" s="804" t="s">
        <v>153</v>
      </c>
      <c r="E188" s="804" t="s">
        <v>1284</v>
      </c>
      <c r="F188" s="804" t="s">
        <v>1467</v>
      </c>
      <c r="G188" s="66">
        <v>0</v>
      </c>
      <c r="H188" s="66">
        <v>0</v>
      </c>
      <c r="I188" s="94">
        <v>0</v>
      </c>
      <c r="J188" s="66">
        <v>0</v>
      </c>
    </row>
    <row r="189" spans="1:10">
      <c r="A189" s="95" t="str">
        <f t="shared" si="2"/>
        <v>2018RES_201202_P4T1</v>
      </c>
      <c r="B189" s="804" t="s">
        <v>424</v>
      </c>
      <c r="C189" s="804" t="s">
        <v>1221</v>
      </c>
      <c r="D189" s="804" t="s">
        <v>153</v>
      </c>
      <c r="E189" s="804" t="s">
        <v>1285</v>
      </c>
      <c r="F189" s="804" t="s">
        <v>158</v>
      </c>
      <c r="G189" s="66">
        <v>5250</v>
      </c>
      <c r="H189" s="66">
        <v>1929</v>
      </c>
      <c r="I189" s="94">
        <v>0.3598487329157038</v>
      </c>
      <c r="J189" s="66">
        <v>506</v>
      </c>
    </row>
    <row r="190" spans="1:10">
      <c r="A190" s="95" t="str">
        <f t="shared" si="2"/>
        <v>2018RES_201202_P4T2</v>
      </c>
      <c r="B190" s="804" t="s">
        <v>424</v>
      </c>
      <c r="C190" s="804" t="s">
        <v>1222</v>
      </c>
      <c r="D190" s="804" t="s">
        <v>153</v>
      </c>
      <c r="E190" s="804" t="s">
        <v>1285</v>
      </c>
      <c r="F190" s="804" t="s">
        <v>160</v>
      </c>
      <c r="G190" s="66">
        <v>5049</v>
      </c>
      <c r="H190" s="66">
        <v>1928</v>
      </c>
      <c r="I190" s="94">
        <v>0.35966218613866091</v>
      </c>
      <c r="J190" s="66">
        <v>504</v>
      </c>
    </row>
    <row r="191" spans="1:10">
      <c r="A191" s="95" t="str">
        <f t="shared" si="2"/>
        <v>2018RES_201202_P4T3</v>
      </c>
      <c r="B191" s="804" t="s">
        <v>424</v>
      </c>
      <c r="C191" s="804" t="s">
        <v>1223</v>
      </c>
      <c r="D191" s="804" t="s">
        <v>153</v>
      </c>
      <c r="E191" s="804" t="s">
        <v>1285</v>
      </c>
      <c r="F191" s="804" t="s">
        <v>1296</v>
      </c>
      <c r="G191" s="66">
        <v>4023</v>
      </c>
      <c r="H191" s="66">
        <v>1857</v>
      </c>
      <c r="I191" s="94">
        <v>0.34641736496861686</v>
      </c>
      <c r="J191" s="66">
        <v>500</v>
      </c>
    </row>
    <row r="192" spans="1:10">
      <c r="A192" s="95" t="str">
        <f t="shared" si="2"/>
        <v>2018RES_201202_P4T4</v>
      </c>
      <c r="B192" s="804" t="s">
        <v>424</v>
      </c>
      <c r="C192" s="804" t="s">
        <v>1224</v>
      </c>
      <c r="D192" s="804" t="s">
        <v>153</v>
      </c>
      <c r="E192" s="804" t="s">
        <v>1285</v>
      </c>
      <c r="F192" s="804" t="s">
        <v>1297</v>
      </c>
      <c r="G192" s="66">
        <v>28</v>
      </c>
      <c r="H192" s="66">
        <v>22</v>
      </c>
      <c r="I192" s="94">
        <v>4.1040290949432264E-3</v>
      </c>
      <c r="J192" s="66">
        <v>9</v>
      </c>
    </row>
    <row r="193" spans="1:10">
      <c r="A193" s="95" t="str">
        <f t="shared" si="2"/>
        <v>2018RES_201202_P4T5</v>
      </c>
      <c r="B193" s="804" t="s">
        <v>424</v>
      </c>
      <c r="C193" s="804" t="s">
        <v>1470</v>
      </c>
      <c r="D193" s="804" t="s">
        <v>153</v>
      </c>
      <c r="E193" s="804" t="s">
        <v>1285</v>
      </c>
      <c r="F193" s="804" t="s">
        <v>1467</v>
      </c>
      <c r="G193" s="66">
        <v>0</v>
      </c>
      <c r="H193" s="66">
        <v>0</v>
      </c>
      <c r="I193" s="94">
        <v>0</v>
      </c>
      <c r="J193" s="66">
        <v>0</v>
      </c>
    </row>
    <row r="194" spans="1:10">
      <c r="A194" s="95" t="str">
        <f t="shared" si="2"/>
        <v>2018RES_201301_P10T1</v>
      </c>
      <c r="B194" s="804" t="s">
        <v>424</v>
      </c>
      <c r="C194" s="804" t="s">
        <v>59</v>
      </c>
      <c r="D194" s="804" t="s">
        <v>154</v>
      </c>
      <c r="E194" s="804" t="s">
        <v>460</v>
      </c>
      <c r="F194" s="804" t="s">
        <v>514</v>
      </c>
      <c r="G194" s="66"/>
      <c r="H194" s="66">
        <v>0</v>
      </c>
      <c r="I194" s="94">
        <v>0</v>
      </c>
      <c r="J194" s="66">
        <v>0</v>
      </c>
    </row>
    <row r="195" spans="1:10">
      <c r="A195" s="95" t="str">
        <f t="shared" si="2"/>
        <v>2018RES_201301_P11T1</v>
      </c>
      <c r="B195" s="804" t="s">
        <v>424</v>
      </c>
      <c r="C195" s="804" t="s">
        <v>618</v>
      </c>
      <c r="D195" s="804" t="s">
        <v>154</v>
      </c>
      <c r="E195" s="804" t="s">
        <v>1460</v>
      </c>
      <c r="F195" s="804" t="s">
        <v>1461</v>
      </c>
      <c r="G195" s="66"/>
      <c r="H195" s="66">
        <v>0</v>
      </c>
      <c r="I195" s="94">
        <v>0</v>
      </c>
      <c r="J195" s="66">
        <v>0</v>
      </c>
    </row>
    <row r="196" spans="1:10">
      <c r="A196" s="95" t="str">
        <f t="shared" si="2"/>
        <v>2018RES_201301_P12T1</v>
      </c>
      <c r="B196" s="804" t="s">
        <v>424</v>
      </c>
      <c r="C196" s="804" t="s">
        <v>60</v>
      </c>
      <c r="D196" s="804" t="s">
        <v>154</v>
      </c>
      <c r="E196" s="804" t="s">
        <v>479</v>
      </c>
      <c r="F196" s="804" t="s">
        <v>514</v>
      </c>
      <c r="G196" s="66"/>
      <c r="H196" s="66">
        <v>0</v>
      </c>
      <c r="I196" s="94">
        <v>0</v>
      </c>
      <c r="J196" s="66">
        <v>0</v>
      </c>
    </row>
    <row r="197" spans="1:10">
      <c r="A197" s="95" t="str">
        <f t="shared" si="2"/>
        <v>2018RES_201301_P13T1</v>
      </c>
      <c r="B197" s="804" t="s">
        <v>424</v>
      </c>
      <c r="C197" s="804" t="s">
        <v>81</v>
      </c>
      <c r="D197" s="804" t="s">
        <v>154</v>
      </c>
      <c r="E197" s="804" t="s">
        <v>1471</v>
      </c>
      <c r="F197" s="804" t="s">
        <v>1472</v>
      </c>
      <c r="G197" s="66"/>
      <c r="H197" s="66">
        <v>16</v>
      </c>
      <c r="I197" s="94">
        <v>1.5160128861095318E-3</v>
      </c>
      <c r="J197" s="66">
        <v>0</v>
      </c>
    </row>
    <row r="198" spans="1:10">
      <c r="A198" s="95" t="str">
        <f t="shared" si="2"/>
        <v>2018RES_201301_P13T2</v>
      </c>
      <c r="B198" s="804" t="s">
        <v>424</v>
      </c>
      <c r="C198" s="804" t="s">
        <v>82</v>
      </c>
      <c r="D198" s="804" t="s">
        <v>154</v>
      </c>
      <c r="E198" s="804" t="s">
        <v>1473</v>
      </c>
      <c r="F198" s="804" t="s">
        <v>1472</v>
      </c>
      <c r="G198" s="66"/>
      <c r="H198" s="66">
        <v>0</v>
      </c>
      <c r="I198" s="94">
        <v>0</v>
      </c>
      <c r="J198" s="66">
        <v>0</v>
      </c>
    </row>
    <row r="199" spans="1:10">
      <c r="A199" s="95" t="str">
        <f t="shared" ref="A199:A262" si="3">B199&amp;C199</f>
        <v>2018RES_201301_P13T3</v>
      </c>
      <c r="B199" s="804" t="s">
        <v>424</v>
      </c>
      <c r="C199" s="804" t="s">
        <v>83</v>
      </c>
      <c r="D199" s="804" t="s">
        <v>154</v>
      </c>
      <c r="E199" s="804" t="s">
        <v>1474</v>
      </c>
      <c r="F199" s="804" t="s">
        <v>1472</v>
      </c>
      <c r="G199" s="66"/>
      <c r="H199" s="66">
        <v>0</v>
      </c>
      <c r="I199" s="94">
        <v>0</v>
      </c>
      <c r="J199" s="66">
        <v>0</v>
      </c>
    </row>
    <row r="200" spans="1:10">
      <c r="A200" s="95" t="str">
        <f t="shared" si="3"/>
        <v>2018RES_201301_P13T4</v>
      </c>
      <c r="B200" s="804" t="s">
        <v>424</v>
      </c>
      <c r="C200" s="804" t="s">
        <v>84</v>
      </c>
      <c r="D200" s="804" t="s">
        <v>154</v>
      </c>
      <c r="E200" s="804" t="s">
        <v>1475</v>
      </c>
      <c r="F200" s="804" t="s">
        <v>1472</v>
      </c>
      <c r="G200" s="66"/>
      <c r="H200" s="66">
        <v>36</v>
      </c>
      <c r="I200" s="94">
        <v>1.5179625569235959E-3</v>
      </c>
      <c r="J200" s="66">
        <v>4</v>
      </c>
    </row>
    <row r="201" spans="1:10">
      <c r="A201" s="95" t="str">
        <f t="shared" si="3"/>
        <v>2018RES_201301_P14T1</v>
      </c>
      <c r="B201" s="804" t="s">
        <v>424</v>
      </c>
      <c r="C201" s="804" t="s">
        <v>76</v>
      </c>
      <c r="D201" s="804" t="s">
        <v>154</v>
      </c>
      <c r="E201" s="804" t="s">
        <v>1476</v>
      </c>
      <c r="F201" s="804" t="s">
        <v>1472</v>
      </c>
      <c r="G201" s="66"/>
      <c r="H201" s="66">
        <v>1198</v>
      </c>
      <c r="I201" s="94">
        <v>5.0514420644290771E-2</v>
      </c>
      <c r="J201" s="66">
        <v>79</v>
      </c>
    </row>
    <row r="202" spans="1:10">
      <c r="A202" s="95" t="str">
        <f t="shared" si="3"/>
        <v>2018RES_201301_P15T1</v>
      </c>
      <c r="B202" s="804" t="s">
        <v>424</v>
      </c>
      <c r="C202" s="804" t="s">
        <v>77</v>
      </c>
      <c r="D202" s="804" t="s">
        <v>154</v>
      </c>
      <c r="E202" s="804" t="s">
        <v>1477</v>
      </c>
      <c r="F202" s="804" t="s">
        <v>1472</v>
      </c>
      <c r="G202" s="66"/>
      <c r="H202" s="66">
        <v>1588.8</v>
      </c>
      <c r="I202" s="94">
        <v>0.15054007959067653</v>
      </c>
      <c r="J202" s="66">
        <v>0</v>
      </c>
    </row>
    <row r="203" spans="1:10">
      <c r="A203" s="95" t="str">
        <f t="shared" si="3"/>
        <v>2018RES_201301_P15T2</v>
      </c>
      <c r="B203" s="804" t="s">
        <v>424</v>
      </c>
      <c r="C203" s="804" t="s">
        <v>78</v>
      </c>
      <c r="D203" s="804" t="s">
        <v>154</v>
      </c>
      <c r="E203" s="804" t="s">
        <v>1478</v>
      </c>
      <c r="F203" s="804" t="s">
        <v>1472</v>
      </c>
      <c r="G203" s="66"/>
      <c r="H203" s="66">
        <v>205</v>
      </c>
      <c r="I203" s="94">
        <v>8.0581761006289304E-2</v>
      </c>
      <c r="J203" s="66">
        <v>0</v>
      </c>
    </row>
    <row r="204" spans="1:10">
      <c r="A204" s="95" t="str">
        <f t="shared" si="3"/>
        <v>2018RES_201301_P15T3</v>
      </c>
      <c r="B204" s="804" t="s">
        <v>424</v>
      </c>
      <c r="C204" s="804" t="s">
        <v>79</v>
      </c>
      <c r="D204" s="804" t="s">
        <v>154</v>
      </c>
      <c r="E204" s="804" t="s">
        <v>1479</v>
      </c>
      <c r="F204" s="804" t="s">
        <v>1472</v>
      </c>
      <c r="G204" s="66"/>
      <c r="H204" s="66">
        <v>93.1</v>
      </c>
      <c r="I204" s="94">
        <v>1.022066088483917E-2</v>
      </c>
      <c r="J204" s="66">
        <v>0</v>
      </c>
    </row>
    <row r="205" spans="1:10">
      <c r="A205" s="95" t="str">
        <f t="shared" si="3"/>
        <v>2018RES_201301_P15T4</v>
      </c>
      <c r="B205" s="804" t="s">
        <v>424</v>
      </c>
      <c r="C205" s="804" t="s">
        <v>80</v>
      </c>
      <c r="D205" s="804" t="s">
        <v>154</v>
      </c>
      <c r="E205" s="804" t="s">
        <v>1480</v>
      </c>
      <c r="F205" s="804" t="s">
        <v>1472</v>
      </c>
      <c r="G205" s="66"/>
      <c r="H205" s="66">
        <v>766.4</v>
      </c>
      <c r="I205" s="94">
        <v>3.2315736211840106E-2</v>
      </c>
      <c r="J205" s="66">
        <v>18</v>
      </c>
    </row>
    <row r="206" spans="1:10">
      <c r="A206" s="95" t="str">
        <f t="shared" si="3"/>
        <v>2018RES_201301_P17T1</v>
      </c>
      <c r="B206" s="804" t="s">
        <v>424</v>
      </c>
      <c r="C206" s="804" t="s">
        <v>118</v>
      </c>
      <c r="D206" s="804" t="s">
        <v>154</v>
      </c>
      <c r="E206" s="804" t="s">
        <v>706</v>
      </c>
      <c r="F206" s="804" t="s">
        <v>1461</v>
      </c>
      <c r="G206" s="66"/>
      <c r="H206" s="66">
        <v>0</v>
      </c>
      <c r="I206" s="94">
        <v>0</v>
      </c>
      <c r="J206" s="66">
        <v>0</v>
      </c>
    </row>
    <row r="207" spans="1:10">
      <c r="A207" s="95" t="str">
        <f t="shared" si="3"/>
        <v>2018RES_201301_P18T1</v>
      </c>
      <c r="B207" s="804" t="s">
        <v>424</v>
      </c>
      <c r="C207" s="804" t="s">
        <v>119</v>
      </c>
      <c r="D207" s="804" t="s">
        <v>154</v>
      </c>
      <c r="E207" s="804" t="s">
        <v>708</v>
      </c>
      <c r="F207" s="804" t="s">
        <v>1461</v>
      </c>
      <c r="G207" s="66"/>
      <c r="H207" s="66">
        <v>0</v>
      </c>
      <c r="I207" s="94">
        <v>0</v>
      </c>
      <c r="J207" s="66">
        <v>0</v>
      </c>
    </row>
    <row r="208" spans="1:10">
      <c r="A208" s="95" t="str">
        <f t="shared" si="3"/>
        <v>2018Res_201301_P19T1</v>
      </c>
      <c r="B208" s="804" t="s">
        <v>424</v>
      </c>
      <c r="C208" s="804" t="s">
        <v>1088</v>
      </c>
      <c r="D208" s="804" t="s">
        <v>154</v>
      </c>
      <c r="E208" s="804" t="s">
        <v>1089</v>
      </c>
      <c r="F208" s="804" t="s">
        <v>1472</v>
      </c>
      <c r="G208" s="66"/>
      <c r="H208" s="66">
        <v>3466</v>
      </c>
      <c r="I208" s="94">
        <v>0.38050279942913601</v>
      </c>
      <c r="J208" s="66">
        <v>3466</v>
      </c>
    </row>
    <row r="209" spans="1:10">
      <c r="A209" s="95" t="str">
        <f t="shared" si="3"/>
        <v>2018RES_201301_P1T4</v>
      </c>
      <c r="B209" s="804" t="s">
        <v>424</v>
      </c>
      <c r="C209" s="804" t="s">
        <v>61</v>
      </c>
      <c r="D209" s="804" t="s">
        <v>154</v>
      </c>
      <c r="E209" s="804" t="s">
        <v>444</v>
      </c>
      <c r="F209" s="804" t="s">
        <v>507</v>
      </c>
      <c r="G209" s="66"/>
      <c r="H209" s="66">
        <v>5137</v>
      </c>
      <c r="I209" s="94">
        <v>0.48673488724654157</v>
      </c>
      <c r="J209" s="66"/>
    </row>
    <row r="210" spans="1:10">
      <c r="A210" s="95" t="str">
        <f t="shared" si="3"/>
        <v>2018RES_201301_P1T5</v>
      </c>
      <c r="B210" s="804" t="s">
        <v>424</v>
      </c>
      <c r="C210" s="804" t="s">
        <v>62</v>
      </c>
      <c r="D210" s="804" t="s">
        <v>154</v>
      </c>
      <c r="E210" s="804" t="s">
        <v>444</v>
      </c>
      <c r="F210" s="804" t="s">
        <v>508</v>
      </c>
      <c r="G210" s="66"/>
      <c r="H210" s="66">
        <v>0</v>
      </c>
      <c r="I210" s="94">
        <v>0</v>
      </c>
      <c r="J210" s="66"/>
    </row>
    <row r="211" spans="1:10">
      <c r="A211" s="95" t="str">
        <f t="shared" si="3"/>
        <v>2018Res_201301_P20T3</v>
      </c>
      <c r="B211" s="804" t="s">
        <v>424</v>
      </c>
      <c r="C211" s="804" t="s">
        <v>709</v>
      </c>
      <c r="D211" s="804" t="s">
        <v>154</v>
      </c>
      <c r="E211" s="804" t="s">
        <v>1481</v>
      </c>
      <c r="F211" s="804" t="s">
        <v>1472</v>
      </c>
      <c r="G211" s="66"/>
      <c r="H211" s="66">
        <v>1401</v>
      </c>
      <c r="I211" s="94">
        <v>5.9074042840276605E-2</v>
      </c>
      <c r="J211" s="66">
        <v>268</v>
      </c>
    </row>
    <row r="212" spans="1:10">
      <c r="A212" s="95" t="str">
        <f t="shared" si="3"/>
        <v>2018RES_201301_P21T1</v>
      </c>
      <c r="B212" s="804" t="s">
        <v>424</v>
      </c>
      <c r="C212" s="804" t="s">
        <v>1212</v>
      </c>
      <c r="D212" s="804" t="s">
        <v>154</v>
      </c>
      <c r="E212" s="804" t="s">
        <v>1482</v>
      </c>
      <c r="F212" s="804" t="s">
        <v>1472</v>
      </c>
      <c r="G212" s="66"/>
      <c r="H212" s="66">
        <v>414</v>
      </c>
      <c r="I212" s="94">
        <v>3.922683342808414E-2</v>
      </c>
      <c r="J212" s="66">
        <v>414</v>
      </c>
    </row>
    <row r="213" spans="1:10">
      <c r="A213" s="95" t="str">
        <f t="shared" si="3"/>
        <v>2018RES_201301_P22T1</v>
      </c>
      <c r="B213" s="804" t="s">
        <v>424</v>
      </c>
      <c r="C213" s="804" t="s">
        <v>1213</v>
      </c>
      <c r="D213" s="804" t="s">
        <v>154</v>
      </c>
      <c r="E213" s="804" t="s">
        <v>1483</v>
      </c>
      <c r="F213" s="804" t="s">
        <v>1472</v>
      </c>
      <c r="G213" s="66"/>
      <c r="H213" s="66">
        <v>0</v>
      </c>
      <c r="I213" s="94">
        <v>0</v>
      </c>
      <c r="J213" s="66">
        <v>0</v>
      </c>
    </row>
    <row r="214" spans="1:10">
      <c r="A214" s="95" t="str">
        <f t="shared" si="3"/>
        <v>2018RES_201301_P23T1</v>
      </c>
      <c r="B214" s="804" t="s">
        <v>424</v>
      </c>
      <c r="C214" s="804" t="s">
        <v>1214</v>
      </c>
      <c r="D214" s="804" t="s">
        <v>154</v>
      </c>
      <c r="E214" s="804" t="s">
        <v>1484</v>
      </c>
      <c r="F214" s="804" t="s">
        <v>1472</v>
      </c>
      <c r="G214" s="66"/>
      <c r="H214" s="66">
        <v>17</v>
      </c>
      <c r="I214" s="94">
        <v>1.8662860906795476E-3</v>
      </c>
      <c r="J214" s="66">
        <v>0</v>
      </c>
    </row>
    <row r="215" spans="1:10">
      <c r="A215" s="95" t="str">
        <f t="shared" si="3"/>
        <v>2018RES_201301_P24T1</v>
      </c>
      <c r="B215" s="804" t="s">
        <v>424</v>
      </c>
      <c r="C215" s="804" t="s">
        <v>1215</v>
      </c>
      <c r="D215" s="804" t="s">
        <v>154</v>
      </c>
      <c r="E215" s="804" t="s">
        <v>1485</v>
      </c>
      <c r="F215" s="804" t="s">
        <v>1472</v>
      </c>
      <c r="G215" s="66"/>
      <c r="H215" s="66">
        <v>359</v>
      </c>
      <c r="I215" s="94">
        <v>1.5137459942654748E-2</v>
      </c>
      <c r="J215" s="66">
        <v>333</v>
      </c>
    </row>
    <row r="216" spans="1:10">
      <c r="A216" s="95" t="str">
        <f t="shared" si="3"/>
        <v>2018RES_201301_P25T1</v>
      </c>
      <c r="B216" s="804" t="s">
        <v>424</v>
      </c>
      <c r="C216" s="804" t="s">
        <v>1216</v>
      </c>
      <c r="D216" s="804" t="s">
        <v>154</v>
      </c>
      <c r="E216" s="804" t="s">
        <v>1486</v>
      </c>
      <c r="F216" s="804" t="s">
        <v>1472</v>
      </c>
      <c r="G216" s="66"/>
      <c r="H216" s="66">
        <v>301</v>
      </c>
      <c r="I216" s="94">
        <v>1.2691853600944511E-2</v>
      </c>
      <c r="J216" s="66">
        <v>0</v>
      </c>
    </row>
    <row r="217" spans="1:10">
      <c r="A217" s="95" t="str">
        <f t="shared" si="3"/>
        <v>2018RES_201301_P26T5</v>
      </c>
      <c r="B217" s="804" t="s">
        <v>424</v>
      </c>
      <c r="C217" s="804" t="s">
        <v>1211</v>
      </c>
      <c r="D217" s="804" t="s">
        <v>154</v>
      </c>
      <c r="E217" s="804" t="s">
        <v>1487</v>
      </c>
      <c r="F217" s="804" t="s">
        <v>1472</v>
      </c>
      <c r="G217" s="66"/>
      <c r="H217" s="66">
        <v>145</v>
      </c>
      <c r="I217" s="94">
        <v>1.5918322538149083E-2</v>
      </c>
      <c r="J217" s="66">
        <v>2</v>
      </c>
    </row>
    <row r="218" spans="1:10">
      <c r="A218" s="95" t="str">
        <f t="shared" si="3"/>
        <v>2018RES_201301_P2T4</v>
      </c>
      <c r="B218" s="804" t="s">
        <v>424</v>
      </c>
      <c r="C218" s="804" t="s">
        <v>63</v>
      </c>
      <c r="D218" s="804" t="s">
        <v>154</v>
      </c>
      <c r="E218" s="804" t="s">
        <v>452</v>
      </c>
      <c r="F218" s="804" t="s">
        <v>508</v>
      </c>
      <c r="G218" s="66"/>
      <c r="H218" s="66">
        <v>0</v>
      </c>
      <c r="I218" s="94">
        <v>0</v>
      </c>
      <c r="J218" s="66"/>
    </row>
    <row r="219" spans="1:10">
      <c r="A219" s="95" t="str">
        <f t="shared" si="3"/>
        <v>2018RES_201301_P2T5</v>
      </c>
      <c r="B219" s="804" t="s">
        <v>424</v>
      </c>
      <c r="C219" s="804" t="s">
        <v>64</v>
      </c>
      <c r="D219" s="804" t="s">
        <v>154</v>
      </c>
      <c r="E219" s="804" t="s">
        <v>452</v>
      </c>
      <c r="F219" s="804" t="s">
        <v>518</v>
      </c>
      <c r="G219" s="66"/>
      <c r="H219" s="66">
        <v>0</v>
      </c>
      <c r="I219" s="94">
        <v>0</v>
      </c>
      <c r="J219" s="66"/>
    </row>
    <row r="220" spans="1:10">
      <c r="A220" s="95" t="str">
        <f t="shared" si="3"/>
        <v>2018Res_201301_P3T3</v>
      </c>
      <c r="B220" s="804" t="s">
        <v>424</v>
      </c>
      <c r="C220" s="804" t="s">
        <v>587</v>
      </c>
      <c r="D220" s="804" t="s">
        <v>154</v>
      </c>
      <c r="E220" s="804" t="s">
        <v>458</v>
      </c>
      <c r="F220" s="804" t="s">
        <v>1288</v>
      </c>
      <c r="G220" s="66"/>
      <c r="H220" s="66">
        <v>4145</v>
      </c>
      <c r="I220" s="94">
        <v>0.45504446152157207</v>
      </c>
      <c r="J220" s="66"/>
    </row>
    <row r="221" spans="1:10">
      <c r="A221" s="95" t="str">
        <f t="shared" si="3"/>
        <v>2018RES_201301_P3T4</v>
      </c>
      <c r="B221" s="804" t="s">
        <v>424</v>
      </c>
      <c r="C221" s="804" t="s">
        <v>65</v>
      </c>
      <c r="D221" s="804" t="s">
        <v>154</v>
      </c>
      <c r="E221" s="804" t="s">
        <v>458</v>
      </c>
      <c r="F221" s="804" t="s">
        <v>1488</v>
      </c>
      <c r="G221" s="66"/>
      <c r="H221" s="66">
        <v>0</v>
      </c>
      <c r="I221" s="94">
        <v>0</v>
      </c>
      <c r="J221" s="66"/>
    </row>
    <row r="222" spans="1:10">
      <c r="A222" s="95" t="str">
        <f t="shared" si="3"/>
        <v>2018RES_201301_P3T5</v>
      </c>
      <c r="B222" s="804" t="s">
        <v>424</v>
      </c>
      <c r="C222" s="804" t="s">
        <v>66</v>
      </c>
      <c r="D222" s="804" t="s">
        <v>154</v>
      </c>
      <c r="E222" s="804" t="s">
        <v>458</v>
      </c>
      <c r="F222" s="804" t="s">
        <v>1489</v>
      </c>
      <c r="G222" s="66"/>
      <c r="H222" s="66">
        <v>0</v>
      </c>
      <c r="I222" s="94">
        <v>0</v>
      </c>
      <c r="J222" s="66"/>
    </row>
    <row r="223" spans="1:10">
      <c r="A223" s="95" t="str">
        <f t="shared" si="3"/>
        <v>2018RES_201301_P4T4</v>
      </c>
      <c r="B223" s="804" t="s">
        <v>424</v>
      </c>
      <c r="C223" s="804" t="s">
        <v>67</v>
      </c>
      <c r="D223" s="804" t="s">
        <v>154</v>
      </c>
      <c r="E223" s="804" t="s">
        <v>477</v>
      </c>
      <c r="F223" s="804" t="s">
        <v>538</v>
      </c>
      <c r="G223" s="66"/>
      <c r="H223" s="66">
        <v>22767</v>
      </c>
      <c r="I223" s="94">
        <v>0.95998482037443078</v>
      </c>
      <c r="J223" s="66"/>
    </row>
    <row r="224" spans="1:10">
      <c r="A224" s="95" t="str">
        <f t="shared" si="3"/>
        <v>2018RES_201301_P4T5</v>
      </c>
      <c r="B224" s="804" t="s">
        <v>424</v>
      </c>
      <c r="C224" s="804" t="s">
        <v>68</v>
      </c>
      <c r="D224" s="804" t="s">
        <v>154</v>
      </c>
      <c r="E224" s="804" t="s">
        <v>477</v>
      </c>
      <c r="F224" s="804" t="s">
        <v>539</v>
      </c>
      <c r="G224" s="66"/>
      <c r="H224" s="66">
        <v>0</v>
      </c>
      <c r="I224" s="94">
        <v>0</v>
      </c>
      <c r="J224" s="66"/>
    </row>
    <row r="225" spans="1:10">
      <c r="A225" s="95" t="str">
        <f t="shared" si="3"/>
        <v>2018RES_201301_P4T6</v>
      </c>
      <c r="B225" s="804" t="s">
        <v>424</v>
      </c>
      <c r="C225" s="804" t="s">
        <v>613</v>
      </c>
      <c r="D225" s="804" t="s">
        <v>154</v>
      </c>
      <c r="E225" s="804" t="s">
        <v>477</v>
      </c>
      <c r="F225" s="804" t="s">
        <v>540</v>
      </c>
      <c r="G225" s="66"/>
      <c r="H225" s="66">
        <v>0</v>
      </c>
      <c r="I225" s="94">
        <v>0</v>
      </c>
      <c r="J225" s="66"/>
    </row>
    <row r="226" spans="1:10">
      <c r="A226" s="95" t="str">
        <f t="shared" si="3"/>
        <v>2018RES_201301_P5T1</v>
      </c>
      <c r="B226" s="804" t="s">
        <v>424</v>
      </c>
      <c r="C226" s="804" t="s">
        <v>570</v>
      </c>
      <c r="D226" s="804" t="s">
        <v>154</v>
      </c>
      <c r="E226" s="804" t="s">
        <v>1463</v>
      </c>
      <c r="F226" s="804" t="s">
        <v>1461</v>
      </c>
      <c r="G226" s="66"/>
      <c r="H226" s="66">
        <v>0</v>
      </c>
      <c r="I226" s="94">
        <v>0</v>
      </c>
      <c r="J226" s="66">
        <v>0</v>
      </c>
    </row>
    <row r="227" spans="1:10">
      <c r="A227" s="95" t="str">
        <f t="shared" si="3"/>
        <v>2018RES_201301_P6T1</v>
      </c>
      <c r="B227" s="804" t="s">
        <v>424</v>
      </c>
      <c r="C227" s="804" t="s">
        <v>582</v>
      </c>
      <c r="D227" s="804" t="s">
        <v>154</v>
      </c>
      <c r="E227" s="804" t="s">
        <v>1464</v>
      </c>
      <c r="F227" s="804" t="s">
        <v>1461</v>
      </c>
      <c r="G227" s="66"/>
      <c r="H227" s="66">
        <v>0</v>
      </c>
      <c r="I227" s="94">
        <v>0</v>
      </c>
      <c r="J227" s="66">
        <v>0</v>
      </c>
    </row>
    <row r="228" spans="1:10">
      <c r="A228" s="95" t="str">
        <f t="shared" si="3"/>
        <v>2018RES_201301_P7T1</v>
      </c>
      <c r="B228" s="804" t="s">
        <v>424</v>
      </c>
      <c r="C228" s="804" t="s">
        <v>594</v>
      </c>
      <c r="D228" s="804" t="s">
        <v>154</v>
      </c>
      <c r="E228" s="804" t="s">
        <v>1465</v>
      </c>
      <c r="F228" s="804" t="s">
        <v>1461</v>
      </c>
      <c r="G228" s="66"/>
      <c r="H228" s="66">
        <v>0</v>
      </c>
      <c r="I228" s="94">
        <v>0</v>
      </c>
      <c r="J228" s="66">
        <v>0</v>
      </c>
    </row>
    <row r="229" spans="1:10">
      <c r="A229" s="95" t="str">
        <f t="shared" si="3"/>
        <v>2018RES_201301_P8T1</v>
      </c>
      <c r="B229" s="804" t="s">
        <v>424</v>
      </c>
      <c r="C229" s="804" t="s">
        <v>69</v>
      </c>
      <c r="D229" s="804" t="s">
        <v>154</v>
      </c>
      <c r="E229" s="804" t="s">
        <v>446</v>
      </c>
      <c r="F229" s="804" t="s">
        <v>514</v>
      </c>
      <c r="G229" s="66"/>
      <c r="H229" s="66">
        <v>0</v>
      </c>
      <c r="I229" s="94">
        <v>0</v>
      </c>
      <c r="J229" s="66">
        <v>0</v>
      </c>
    </row>
    <row r="230" spans="1:10">
      <c r="A230" s="95" t="str">
        <f t="shared" si="3"/>
        <v>2018RES_201301_P9T1</v>
      </c>
      <c r="B230" s="804" t="s">
        <v>424</v>
      </c>
      <c r="C230" s="804" t="s">
        <v>70</v>
      </c>
      <c r="D230" s="804" t="s">
        <v>154</v>
      </c>
      <c r="E230" s="804" t="s">
        <v>454</v>
      </c>
      <c r="F230" s="804" t="s">
        <v>514</v>
      </c>
      <c r="G230" s="66"/>
      <c r="H230" s="66">
        <v>0</v>
      </c>
      <c r="I230" s="94">
        <v>0</v>
      </c>
      <c r="J230" s="66">
        <v>0</v>
      </c>
    </row>
    <row r="231" spans="1:10">
      <c r="A231" s="95" t="str">
        <f t="shared" si="3"/>
        <v>2018RES_201402_P2T1</v>
      </c>
      <c r="B231" s="804" t="s">
        <v>424</v>
      </c>
      <c r="C231" s="804" t="s">
        <v>605</v>
      </c>
      <c r="D231" s="804" t="s">
        <v>625</v>
      </c>
      <c r="E231" s="804" t="s">
        <v>467</v>
      </c>
      <c r="F231" s="804" t="s">
        <v>484</v>
      </c>
      <c r="G231" s="66"/>
      <c r="H231" s="66">
        <v>50092.74147619</v>
      </c>
      <c r="I231" s="94">
        <v>1</v>
      </c>
      <c r="J231" s="66"/>
    </row>
    <row r="232" spans="1:10">
      <c r="A232" s="95" t="str">
        <f t="shared" si="3"/>
        <v>2018RES_201402_P3T1</v>
      </c>
      <c r="B232" s="804" t="s">
        <v>424</v>
      </c>
      <c r="C232" s="804" t="s">
        <v>547</v>
      </c>
      <c r="D232" s="804" t="s">
        <v>625</v>
      </c>
      <c r="E232" s="804" t="s">
        <v>427</v>
      </c>
      <c r="F232" s="804" t="s">
        <v>484</v>
      </c>
      <c r="G232" s="66"/>
      <c r="H232" s="66">
        <v>23858341.550998099</v>
      </c>
      <c r="I232" s="94">
        <v>1</v>
      </c>
      <c r="J232" s="66"/>
    </row>
    <row r="233" spans="1:10">
      <c r="A233" s="95" t="str">
        <f t="shared" si="3"/>
        <v>2018RES_201402_P4T1</v>
      </c>
      <c r="B233" s="804" t="s">
        <v>424</v>
      </c>
      <c r="C233" s="804" t="s">
        <v>606</v>
      </c>
      <c r="D233" s="804" t="s">
        <v>625</v>
      </c>
      <c r="E233" s="804" t="s">
        <v>468</v>
      </c>
      <c r="F233" s="804" t="s">
        <v>484</v>
      </c>
      <c r="G233" s="66"/>
      <c r="H233" s="66">
        <v>54361.397217860002</v>
      </c>
      <c r="I233" s="94">
        <v>1</v>
      </c>
      <c r="J233" s="66"/>
    </row>
    <row r="234" spans="1:10">
      <c r="A234" s="95" t="str">
        <f t="shared" si="3"/>
        <v>2018RES_201402_P6T1</v>
      </c>
      <c r="B234" s="804" t="s">
        <v>424</v>
      </c>
      <c r="C234" s="804" t="s">
        <v>549</v>
      </c>
      <c r="D234" s="804" t="s">
        <v>625</v>
      </c>
      <c r="E234" s="804" t="s">
        <v>430</v>
      </c>
      <c r="F234" s="804" t="s">
        <v>484</v>
      </c>
      <c r="G234" s="66"/>
      <c r="H234" s="66">
        <v>256031</v>
      </c>
      <c r="I234" s="94">
        <v>1</v>
      </c>
      <c r="J234" s="66"/>
    </row>
    <row r="235" spans="1:10">
      <c r="A235" s="95" t="str">
        <f t="shared" si="3"/>
        <v>2018RES_201402_P7T1</v>
      </c>
      <c r="B235" s="804" t="s">
        <v>424</v>
      </c>
      <c r="C235" s="804" t="s">
        <v>559</v>
      </c>
      <c r="D235" s="804" t="s">
        <v>625</v>
      </c>
      <c r="E235" s="804" t="s">
        <v>440</v>
      </c>
      <c r="F235" s="804" t="s">
        <v>484</v>
      </c>
      <c r="G235" s="66"/>
      <c r="H235" s="66">
        <v>11077688.252084799</v>
      </c>
      <c r="I235" s="94">
        <v>1</v>
      </c>
      <c r="J235" s="66"/>
    </row>
    <row r="236" spans="1:10">
      <c r="A236" s="95" t="str">
        <f t="shared" si="3"/>
        <v>2018RES_201402_P8T1</v>
      </c>
      <c r="B236" s="804" t="s">
        <v>424</v>
      </c>
      <c r="C236" s="804" t="s">
        <v>561</v>
      </c>
      <c r="D236" s="804" t="s">
        <v>625</v>
      </c>
      <c r="E236" s="804" t="s">
        <v>441</v>
      </c>
      <c r="F236" s="804" t="s">
        <v>484</v>
      </c>
      <c r="G236" s="66"/>
      <c r="H236" s="66">
        <v>1588342.36523028</v>
      </c>
      <c r="I236" s="94">
        <v>1</v>
      </c>
      <c r="J236" s="66"/>
    </row>
    <row r="237" spans="1:10">
      <c r="A237" s="95" t="str">
        <f t="shared" si="3"/>
        <v>2018RES_201403_P10T1</v>
      </c>
      <c r="B237" s="804" t="s">
        <v>424</v>
      </c>
      <c r="C237" s="804" t="s">
        <v>114</v>
      </c>
      <c r="D237" s="804" t="s">
        <v>155</v>
      </c>
      <c r="E237" s="804" t="s">
        <v>1490</v>
      </c>
      <c r="F237" s="804" t="s">
        <v>646</v>
      </c>
      <c r="G237" s="66"/>
      <c r="H237" s="66">
        <v>973.41975298</v>
      </c>
      <c r="I237" s="94">
        <v>3.7398514423915508E-2</v>
      </c>
      <c r="J237" s="66"/>
    </row>
    <row r="238" spans="1:10">
      <c r="A238" s="95" t="str">
        <f t="shared" si="3"/>
        <v>2018RES_201403_P10T2</v>
      </c>
      <c r="B238" s="804" t="s">
        <v>424</v>
      </c>
      <c r="C238" s="804" t="s">
        <v>554</v>
      </c>
      <c r="D238" s="804" t="s">
        <v>155</v>
      </c>
      <c r="E238" s="804" t="s">
        <v>1490</v>
      </c>
      <c r="F238" s="804" t="s">
        <v>1491</v>
      </c>
      <c r="G238" s="66"/>
      <c r="H238" s="66">
        <v>0</v>
      </c>
      <c r="I238" s="94">
        <v>0</v>
      </c>
      <c r="J238" s="66"/>
    </row>
    <row r="239" spans="1:10">
      <c r="A239" s="95" t="str">
        <f t="shared" si="3"/>
        <v>2018RES_201403_P11T1</v>
      </c>
      <c r="B239" s="804" t="s">
        <v>424</v>
      </c>
      <c r="C239" s="804" t="s">
        <v>371</v>
      </c>
      <c r="D239" s="804" t="s">
        <v>155</v>
      </c>
      <c r="E239" s="804" t="s">
        <v>431</v>
      </c>
      <c r="F239" s="804" t="s">
        <v>1492</v>
      </c>
      <c r="G239" s="66"/>
      <c r="H239" s="66">
        <v>105924.99387983</v>
      </c>
      <c r="I239" s="94">
        <v>0.39159975999316066</v>
      </c>
      <c r="J239" s="66">
        <v>2042.58844432</v>
      </c>
    </row>
    <row r="240" spans="1:10">
      <c r="A240" s="95" t="str">
        <f t="shared" si="3"/>
        <v>2018RES_201403_P11T2</v>
      </c>
      <c r="B240" s="804" t="s">
        <v>424</v>
      </c>
      <c r="C240" s="804" t="s">
        <v>372</v>
      </c>
      <c r="D240" s="804" t="s">
        <v>155</v>
      </c>
      <c r="E240" s="804" t="s">
        <v>431</v>
      </c>
      <c r="F240" s="804" t="s">
        <v>1493</v>
      </c>
      <c r="G240" s="66"/>
      <c r="H240" s="66">
        <v>281.32075773999998</v>
      </c>
      <c r="I240" s="94">
        <v>1.040029715149745E-3</v>
      </c>
      <c r="J240" s="66">
        <v>0</v>
      </c>
    </row>
    <row r="241" spans="1:10">
      <c r="A241" s="95" t="str">
        <f t="shared" si="3"/>
        <v>2018RES_201403_P11T3</v>
      </c>
      <c r="B241" s="804" t="s">
        <v>424</v>
      </c>
      <c r="C241" s="804" t="s">
        <v>373</v>
      </c>
      <c r="D241" s="804" t="s">
        <v>155</v>
      </c>
      <c r="E241" s="804" t="s">
        <v>431</v>
      </c>
      <c r="F241" s="804" t="s">
        <v>166</v>
      </c>
      <c r="G241" s="66"/>
      <c r="H241" s="66">
        <v>0</v>
      </c>
      <c r="I241" s="94">
        <v>0</v>
      </c>
      <c r="J241" s="66">
        <v>0</v>
      </c>
    </row>
    <row r="242" spans="1:10">
      <c r="A242" s="95" t="str">
        <f t="shared" si="3"/>
        <v>2018RES_201403_P12T1</v>
      </c>
      <c r="B242" s="804" t="s">
        <v>424</v>
      </c>
      <c r="C242" s="804" t="s">
        <v>601</v>
      </c>
      <c r="D242" s="804" t="s">
        <v>155</v>
      </c>
      <c r="E242" s="804" t="s">
        <v>464</v>
      </c>
      <c r="F242" s="804" t="s">
        <v>646</v>
      </c>
      <c r="G242" s="66"/>
      <c r="H242" s="66">
        <v>119050.58760278999</v>
      </c>
      <c r="I242" s="94">
        <v>0.7652738233469395</v>
      </c>
      <c r="J242" s="66">
        <v>5402.0016925999998</v>
      </c>
    </row>
    <row r="243" spans="1:10">
      <c r="A243" s="95" t="str">
        <f t="shared" si="3"/>
        <v>2018RES_201403_P12T2</v>
      </c>
      <c r="B243" s="804" t="s">
        <v>424</v>
      </c>
      <c r="C243" s="804" t="s">
        <v>602</v>
      </c>
      <c r="D243" s="804" t="s">
        <v>155</v>
      </c>
      <c r="E243" s="804" t="s">
        <v>464</v>
      </c>
      <c r="F243" s="804" t="s">
        <v>1493</v>
      </c>
      <c r="G243" s="66"/>
      <c r="H243" s="66">
        <v>1818.71844629</v>
      </c>
      <c r="I243" s="94">
        <v>1.1690976474872401E-2</v>
      </c>
      <c r="J243" s="66">
        <v>1</v>
      </c>
    </row>
    <row r="244" spans="1:10">
      <c r="A244" s="95" t="str">
        <f t="shared" si="3"/>
        <v>2018RES_201403_P13T1</v>
      </c>
      <c r="B244" s="804" t="s">
        <v>424</v>
      </c>
      <c r="C244" s="804" t="s">
        <v>603</v>
      </c>
      <c r="D244" s="804" t="s">
        <v>155</v>
      </c>
      <c r="E244" s="804" t="s">
        <v>466</v>
      </c>
      <c r="F244" s="804" t="s">
        <v>646</v>
      </c>
      <c r="G244" s="66"/>
      <c r="H244" s="66">
        <v>11711.067642579999</v>
      </c>
      <c r="I244" s="94">
        <v>0.14345118256914671</v>
      </c>
      <c r="J244" s="66">
        <v>425.27886556999999</v>
      </c>
    </row>
    <row r="245" spans="1:10">
      <c r="A245" s="95" t="str">
        <f t="shared" si="3"/>
        <v>2018RES_201403_P13T2</v>
      </c>
      <c r="B245" s="804" t="s">
        <v>424</v>
      </c>
      <c r="C245" s="804" t="s">
        <v>604</v>
      </c>
      <c r="D245" s="804" t="s">
        <v>155</v>
      </c>
      <c r="E245" s="804" t="s">
        <v>466</v>
      </c>
      <c r="F245" s="804" t="s">
        <v>1493</v>
      </c>
      <c r="G245" s="66"/>
      <c r="H245" s="66">
        <v>250.38090579000001</v>
      </c>
      <c r="I245" s="94">
        <v>3.0669652097062646E-3</v>
      </c>
      <c r="J245" s="66">
        <v>0</v>
      </c>
    </row>
    <row r="246" spans="1:10">
      <c r="A246" s="95" t="str">
        <f t="shared" si="3"/>
        <v>2018RES_201403_P2T0</v>
      </c>
      <c r="B246" s="804" t="s">
        <v>424</v>
      </c>
      <c r="C246" s="804" t="s">
        <v>1670</v>
      </c>
      <c r="D246" s="804" t="s">
        <v>155</v>
      </c>
      <c r="E246" s="804" t="s">
        <v>426</v>
      </c>
      <c r="F246" s="804" t="s">
        <v>1622</v>
      </c>
      <c r="G246" s="66"/>
      <c r="H246" s="66">
        <v>4728.3206866099999</v>
      </c>
      <c r="I246" s="94">
        <v>0.13076469721535441</v>
      </c>
      <c r="J246" s="66"/>
    </row>
    <row r="247" spans="1:10">
      <c r="A247" s="95" t="str">
        <f t="shared" si="3"/>
        <v>2018RES_201403_P2T1</v>
      </c>
      <c r="B247" s="804" t="s">
        <v>424</v>
      </c>
      <c r="C247" s="804" t="s">
        <v>545</v>
      </c>
      <c r="D247" s="804" t="s">
        <v>155</v>
      </c>
      <c r="E247" s="804" t="s">
        <v>426</v>
      </c>
      <c r="F247" s="804" t="s">
        <v>1494</v>
      </c>
      <c r="G247" s="66"/>
      <c r="H247" s="66">
        <v>31430.679313389999</v>
      </c>
      <c r="I247" s="94">
        <v>0.86923530278464556</v>
      </c>
      <c r="J247" s="66"/>
    </row>
    <row r="248" spans="1:10">
      <c r="A248" s="95" t="str">
        <f t="shared" si="3"/>
        <v>2018RES_201403_P2T2</v>
      </c>
      <c r="B248" s="804" t="s">
        <v>424</v>
      </c>
      <c r="C248" s="804" t="s">
        <v>546</v>
      </c>
      <c r="D248" s="804" t="s">
        <v>155</v>
      </c>
      <c r="E248" s="804" t="s">
        <v>426</v>
      </c>
      <c r="F248" s="804" t="s">
        <v>1495</v>
      </c>
      <c r="G248" s="66"/>
      <c r="H248" s="66">
        <v>22810.484529249999</v>
      </c>
      <c r="I248" s="94">
        <v>0.63083836746729716</v>
      </c>
      <c r="J248" s="66"/>
    </row>
    <row r="249" spans="1:10">
      <c r="A249" s="95" t="str">
        <f t="shared" si="3"/>
        <v>2018RES_201403_P2T3</v>
      </c>
      <c r="B249" s="804" t="s">
        <v>424</v>
      </c>
      <c r="C249" s="804" t="s">
        <v>87</v>
      </c>
      <c r="D249" s="804" t="s">
        <v>155</v>
      </c>
      <c r="E249" s="804" t="s">
        <v>426</v>
      </c>
      <c r="F249" s="804" t="s">
        <v>1496</v>
      </c>
      <c r="G249" s="66"/>
      <c r="H249" s="66">
        <v>20112.011934580001</v>
      </c>
      <c r="I249" s="94">
        <v>0.55621040223955309</v>
      </c>
      <c r="J249" s="66"/>
    </row>
    <row r="250" spans="1:10">
      <c r="A250" s="95" t="str">
        <f t="shared" si="3"/>
        <v>2018RES_201403_P3T1</v>
      </c>
      <c r="B250" s="804" t="s">
        <v>424</v>
      </c>
      <c r="C250" s="804" t="s">
        <v>120</v>
      </c>
      <c r="D250" s="804" t="s">
        <v>155</v>
      </c>
      <c r="E250" s="804" t="s">
        <v>768</v>
      </c>
      <c r="F250" s="804" t="s">
        <v>1497</v>
      </c>
      <c r="G250" s="66"/>
      <c r="H250" s="66">
        <v>21922</v>
      </c>
      <c r="I250" s="94">
        <v>0.40074584574886202</v>
      </c>
      <c r="J250" s="66"/>
    </row>
    <row r="251" spans="1:10">
      <c r="A251" s="95" t="str">
        <f t="shared" si="3"/>
        <v>2018RES_201403_P4T1</v>
      </c>
      <c r="B251" s="804" t="s">
        <v>424</v>
      </c>
      <c r="C251" s="804" t="s">
        <v>121</v>
      </c>
      <c r="D251" s="804" t="s">
        <v>155</v>
      </c>
      <c r="E251" s="804" t="s">
        <v>774</v>
      </c>
      <c r="F251" s="804" t="s">
        <v>1498</v>
      </c>
      <c r="G251" s="66"/>
      <c r="H251" s="66">
        <v>42007</v>
      </c>
      <c r="I251" s="94">
        <v>0.3804085994240487</v>
      </c>
      <c r="J251" s="66"/>
    </row>
    <row r="252" spans="1:10">
      <c r="A252" s="95" t="str">
        <f t="shared" si="3"/>
        <v>2018RES_201403_P4T2</v>
      </c>
      <c r="B252" s="804" t="s">
        <v>424</v>
      </c>
      <c r="C252" s="804" t="s">
        <v>562</v>
      </c>
      <c r="D252" s="804" t="s">
        <v>155</v>
      </c>
      <c r="E252" s="804" t="s">
        <v>774</v>
      </c>
      <c r="F252" s="804" t="s">
        <v>1499</v>
      </c>
      <c r="G252" s="66"/>
      <c r="H252" s="66">
        <v>42007</v>
      </c>
      <c r="I252" s="94">
        <v>0.3804085994240487</v>
      </c>
      <c r="J252" s="66"/>
    </row>
    <row r="253" spans="1:10">
      <c r="A253" s="95" t="str">
        <f t="shared" si="3"/>
        <v>2018RES_201403_P4T3</v>
      </c>
      <c r="B253" s="804" t="s">
        <v>424</v>
      </c>
      <c r="C253" s="804" t="s">
        <v>92</v>
      </c>
      <c r="D253" s="804" t="s">
        <v>155</v>
      </c>
      <c r="E253" s="804" t="s">
        <v>774</v>
      </c>
      <c r="F253" s="804" t="s">
        <v>1500</v>
      </c>
      <c r="G253" s="66"/>
      <c r="H253" s="66">
        <v>42007</v>
      </c>
      <c r="I253" s="94">
        <v>0.3804085994240487</v>
      </c>
      <c r="J253" s="66"/>
    </row>
    <row r="254" spans="1:10">
      <c r="A254" s="95" t="str">
        <f t="shared" si="3"/>
        <v>2018RES_201403_P5T1</v>
      </c>
      <c r="B254" s="804" t="s">
        <v>424</v>
      </c>
      <c r="C254" s="804" t="s">
        <v>116</v>
      </c>
      <c r="D254" s="804" t="s">
        <v>155</v>
      </c>
      <c r="E254" s="804" t="s">
        <v>1501</v>
      </c>
      <c r="F254" s="804" t="s">
        <v>646</v>
      </c>
      <c r="G254" s="66"/>
      <c r="H254" s="66">
        <v>17457.098021419999</v>
      </c>
      <c r="I254" s="94">
        <v>0.51513035381764427</v>
      </c>
      <c r="J254" s="66">
        <v>0</v>
      </c>
    </row>
    <row r="255" spans="1:10">
      <c r="A255" s="95" t="str">
        <f t="shared" si="3"/>
        <v>2018RES_201403_P5T2</v>
      </c>
      <c r="B255" s="804" t="s">
        <v>424</v>
      </c>
      <c r="C255" s="804" t="s">
        <v>608</v>
      </c>
      <c r="D255" s="804" t="s">
        <v>155</v>
      </c>
      <c r="E255" s="804" t="s">
        <v>1501</v>
      </c>
      <c r="F255" s="804" t="s">
        <v>1491</v>
      </c>
      <c r="G255" s="66"/>
      <c r="H255" s="66">
        <v>0</v>
      </c>
      <c r="I255" s="94">
        <v>0</v>
      </c>
      <c r="J255" s="66"/>
    </row>
    <row r="256" spans="1:10">
      <c r="A256" s="95" t="str">
        <f t="shared" si="3"/>
        <v>2018RES_201403_P5T3</v>
      </c>
      <c r="B256" s="804" t="s">
        <v>424</v>
      </c>
      <c r="C256" s="804" t="s">
        <v>609</v>
      </c>
      <c r="D256" s="804" t="s">
        <v>155</v>
      </c>
      <c r="E256" s="804" t="s">
        <v>1501</v>
      </c>
      <c r="F256" s="804" t="s">
        <v>483</v>
      </c>
      <c r="G256" s="66"/>
      <c r="H256" s="66">
        <v>0</v>
      </c>
      <c r="I256" s="94">
        <v>0</v>
      </c>
      <c r="J256" s="66"/>
    </row>
    <row r="257" spans="1:10">
      <c r="A257" s="95" t="str">
        <f t="shared" si="3"/>
        <v>2018RES_201403_P6T1</v>
      </c>
      <c r="B257" s="804" t="s">
        <v>424</v>
      </c>
      <c r="C257" s="804" t="s">
        <v>95</v>
      </c>
      <c r="D257" s="804" t="s">
        <v>155</v>
      </c>
      <c r="E257" s="804" t="s">
        <v>465</v>
      </c>
      <c r="F257" s="804" t="s">
        <v>646</v>
      </c>
      <c r="G257" s="66"/>
      <c r="H257" s="66">
        <v>36532.701908249997</v>
      </c>
      <c r="I257" s="94">
        <v>0.18468115111720546</v>
      </c>
      <c r="J257" s="66">
        <v>101</v>
      </c>
    </row>
    <row r="258" spans="1:10">
      <c r="A258" s="95" t="str">
        <f t="shared" si="3"/>
        <v>2018RES_201403_P6T2</v>
      </c>
      <c r="B258" s="804" t="s">
        <v>424</v>
      </c>
      <c r="C258" s="804" t="s">
        <v>96</v>
      </c>
      <c r="D258" s="804" t="s">
        <v>155</v>
      </c>
      <c r="E258" s="804" t="s">
        <v>465</v>
      </c>
      <c r="F258" s="804" t="s">
        <v>1493</v>
      </c>
      <c r="G258" s="66"/>
      <c r="H258" s="66">
        <v>33451.840729800002</v>
      </c>
      <c r="I258" s="94">
        <v>0.16910669428405328</v>
      </c>
      <c r="J258" s="66">
        <v>0</v>
      </c>
    </row>
    <row r="259" spans="1:10">
      <c r="A259" s="95" t="str">
        <f t="shared" si="3"/>
        <v>2018RES_201403_P7T1</v>
      </c>
      <c r="B259" s="804" t="s">
        <v>424</v>
      </c>
      <c r="C259" s="804" t="s">
        <v>86</v>
      </c>
      <c r="D259" s="804" t="s">
        <v>155</v>
      </c>
      <c r="E259" s="804" t="s">
        <v>1090</v>
      </c>
      <c r="F259" s="804" t="s">
        <v>1091</v>
      </c>
      <c r="G259" s="66"/>
      <c r="H259" s="66">
        <v>175505.75388676001</v>
      </c>
      <c r="I259" s="94">
        <v>0.22157494337013312</v>
      </c>
      <c r="J259" s="66">
        <v>0</v>
      </c>
    </row>
    <row r="260" spans="1:10">
      <c r="A260" s="95" t="str">
        <f t="shared" si="3"/>
        <v>2018RES_201403_P7T2</v>
      </c>
      <c r="B260" s="804" t="s">
        <v>424</v>
      </c>
      <c r="C260" s="804" t="s">
        <v>1092</v>
      </c>
      <c r="D260" s="804" t="s">
        <v>155</v>
      </c>
      <c r="E260" s="804" t="s">
        <v>1090</v>
      </c>
      <c r="F260" s="804" t="s">
        <v>1093</v>
      </c>
      <c r="G260" s="66"/>
      <c r="H260" s="66">
        <v>58008.951735019997</v>
      </c>
      <c r="I260" s="94">
        <v>7.323594760284087E-2</v>
      </c>
      <c r="J260" s="66">
        <v>0</v>
      </c>
    </row>
    <row r="261" spans="1:10">
      <c r="A261" s="95" t="str">
        <f t="shared" si="3"/>
        <v>2018RES_201403_P8T1</v>
      </c>
      <c r="B261" s="804" t="s">
        <v>424</v>
      </c>
      <c r="C261" s="804" t="s">
        <v>97</v>
      </c>
      <c r="D261" s="804" t="s">
        <v>155</v>
      </c>
      <c r="E261" s="804" t="s">
        <v>157</v>
      </c>
      <c r="F261" s="804" t="s">
        <v>1492</v>
      </c>
      <c r="G261" s="66"/>
      <c r="H261" s="66">
        <v>102942.48386895</v>
      </c>
      <c r="I261" s="94">
        <v>0.99910209025040042</v>
      </c>
      <c r="J261" s="66">
        <v>17370.411555679999</v>
      </c>
    </row>
    <row r="262" spans="1:10">
      <c r="A262" s="95" t="str">
        <f t="shared" si="3"/>
        <v>2018RES_201403_P8T2</v>
      </c>
      <c r="B262" s="804" t="s">
        <v>424</v>
      </c>
      <c r="C262" s="804" t="s">
        <v>98</v>
      </c>
      <c r="D262" s="804" t="s">
        <v>155</v>
      </c>
      <c r="E262" s="804" t="s">
        <v>157</v>
      </c>
      <c r="F262" s="804" t="s">
        <v>1493</v>
      </c>
      <c r="G262" s="66"/>
      <c r="H262" s="66">
        <v>96414.717784880006</v>
      </c>
      <c r="I262" s="94">
        <v>0.93574724884631444</v>
      </c>
      <c r="J262" s="66">
        <v>12788.711530619999</v>
      </c>
    </row>
    <row r="263" spans="1:10">
      <c r="A263" s="95" t="str">
        <f t="shared" ref="A263:A326" si="4">B263&amp;C263</f>
        <v>2018RES_201403_P8T3</v>
      </c>
      <c r="B263" s="804" t="s">
        <v>424</v>
      </c>
      <c r="C263" s="804" t="s">
        <v>99</v>
      </c>
      <c r="D263" s="804" t="s">
        <v>155</v>
      </c>
      <c r="E263" s="804" t="s">
        <v>157</v>
      </c>
      <c r="F263" s="804" t="s">
        <v>2332</v>
      </c>
      <c r="G263" s="66"/>
      <c r="H263" s="66">
        <v>78196.570350180002</v>
      </c>
      <c r="I263" s="94">
        <v>0.75893211384655701</v>
      </c>
      <c r="J263" s="66">
        <v>10842.64547161</v>
      </c>
    </row>
    <row r="264" spans="1:10">
      <c r="A264" s="95" t="str">
        <f t="shared" si="4"/>
        <v>2018RES_201403_P9T1</v>
      </c>
      <c r="B264" s="804" t="s">
        <v>424</v>
      </c>
      <c r="C264" s="804" t="s">
        <v>107</v>
      </c>
      <c r="D264" s="804" t="s">
        <v>155</v>
      </c>
      <c r="E264" s="804" t="s">
        <v>1503</v>
      </c>
      <c r="F264" s="804" t="s">
        <v>646</v>
      </c>
      <c r="G264" s="66"/>
      <c r="H264" s="66">
        <v>1738.13821072</v>
      </c>
      <c r="I264" s="94">
        <v>9.4187102634103001E-2</v>
      </c>
      <c r="J264" s="66"/>
    </row>
    <row r="265" spans="1:10">
      <c r="A265" s="95" t="str">
        <f t="shared" si="4"/>
        <v>2018RES_201403_P9T2</v>
      </c>
      <c r="B265" s="804" t="s">
        <v>424</v>
      </c>
      <c r="C265" s="804" t="s">
        <v>108</v>
      </c>
      <c r="D265" s="804" t="s">
        <v>155</v>
      </c>
      <c r="E265" s="804" t="s">
        <v>1503</v>
      </c>
      <c r="F265" s="804" t="s">
        <v>1491</v>
      </c>
      <c r="G265" s="66"/>
      <c r="H265" s="66">
        <v>196.10623978000001</v>
      </c>
      <c r="I265" s="94">
        <v>1.0626702997165944E-2</v>
      </c>
      <c r="J265" s="66"/>
    </row>
    <row r="266" spans="1:10">
      <c r="A266" s="95" t="str">
        <f t="shared" si="4"/>
        <v>2018RES_201601_P1T1</v>
      </c>
      <c r="B266" s="804" t="s">
        <v>424</v>
      </c>
      <c r="C266" s="804" t="s">
        <v>1504</v>
      </c>
      <c r="D266" s="804" t="s">
        <v>1396</v>
      </c>
      <c r="E266" s="804" t="s">
        <v>1505</v>
      </c>
      <c r="F266" s="804" t="s">
        <v>1506</v>
      </c>
      <c r="G266" s="66"/>
      <c r="H266" s="66"/>
      <c r="I266" s="94"/>
      <c r="J266" s="66">
        <v>0</v>
      </c>
    </row>
    <row r="267" spans="1:10">
      <c r="A267" s="95" t="str">
        <f t="shared" si="4"/>
        <v>2018RES_201601_P1T3</v>
      </c>
      <c r="B267" s="804" t="s">
        <v>424</v>
      </c>
      <c r="C267" s="804" t="s">
        <v>1507</v>
      </c>
      <c r="D267" s="804" t="s">
        <v>1396</v>
      </c>
      <c r="E267" s="804" t="s">
        <v>1505</v>
      </c>
      <c r="F267" s="804" t="s">
        <v>2459</v>
      </c>
      <c r="G267" s="66"/>
      <c r="H267" s="66"/>
      <c r="I267" s="94"/>
      <c r="J267" s="66">
        <v>12</v>
      </c>
    </row>
    <row r="268" spans="1:10">
      <c r="A268" s="95" t="str">
        <f t="shared" si="4"/>
        <v>2018RES_201601_P2T1</v>
      </c>
      <c r="B268" s="804" t="s">
        <v>424</v>
      </c>
      <c r="C268" s="804" t="s">
        <v>1508</v>
      </c>
      <c r="D268" s="804" t="s">
        <v>1396</v>
      </c>
      <c r="E268" s="804" t="s">
        <v>1509</v>
      </c>
      <c r="F268" s="804" t="s">
        <v>1506</v>
      </c>
      <c r="G268" s="66"/>
      <c r="H268" s="66"/>
      <c r="I268" s="94"/>
      <c r="J268" s="66">
        <v>0</v>
      </c>
    </row>
    <row r="269" spans="1:10">
      <c r="A269" s="95" t="str">
        <f t="shared" si="4"/>
        <v>2018RES_201601_P2T3</v>
      </c>
      <c r="B269" s="804" t="s">
        <v>424</v>
      </c>
      <c r="C269" s="804" t="s">
        <v>1510</v>
      </c>
      <c r="D269" s="804" t="s">
        <v>1396</v>
      </c>
      <c r="E269" s="804" t="s">
        <v>1509</v>
      </c>
      <c r="F269" s="804" t="s">
        <v>2459</v>
      </c>
      <c r="G269" s="66"/>
      <c r="H269" s="66"/>
      <c r="I269" s="94"/>
      <c r="J269" s="66">
        <v>2</v>
      </c>
    </row>
    <row r="270" spans="1:10">
      <c r="A270" s="95" t="str">
        <f t="shared" si="4"/>
        <v>2018RES_201601_P3T1</v>
      </c>
      <c r="B270" s="804" t="s">
        <v>424</v>
      </c>
      <c r="C270" s="804" t="s">
        <v>1511</v>
      </c>
      <c r="D270" s="804" t="s">
        <v>1396</v>
      </c>
      <c r="E270" s="804" t="s">
        <v>1512</v>
      </c>
      <c r="F270" s="804" t="s">
        <v>1506</v>
      </c>
      <c r="G270" s="66"/>
      <c r="H270" s="66"/>
      <c r="I270" s="94"/>
      <c r="J270" s="66">
        <v>0</v>
      </c>
    </row>
    <row r="271" spans="1:10">
      <c r="A271" s="95" t="str">
        <f t="shared" si="4"/>
        <v>2018RES_201601_P3T3</v>
      </c>
      <c r="B271" s="804" t="s">
        <v>424</v>
      </c>
      <c r="C271" s="804" t="s">
        <v>1513</v>
      </c>
      <c r="D271" s="804" t="s">
        <v>1396</v>
      </c>
      <c r="E271" s="804" t="s">
        <v>1512</v>
      </c>
      <c r="F271" s="804" t="s">
        <v>2459</v>
      </c>
      <c r="G271" s="66"/>
      <c r="H271" s="66"/>
      <c r="I271" s="94"/>
      <c r="J271" s="66">
        <v>6</v>
      </c>
    </row>
    <row r="272" spans="1:10">
      <c r="A272" s="95" t="str">
        <f t="shared" si="4"/>
        <v>2018RES_201601_P4T1</v>
      </c>
      <c r="B272" s="804" t="s">
        <v>424</v>
      </c>
      <c r="C272" s="804" t="s">
        <v>1514</v>
      </c>
      <c r="D272" s="804" t="s">
        <v>1396</v>
      </c>
      <c r="E272" s="804" t="s">
        <v>1515</v>
      </c>
      <c r="F272" s="804" t="s">
        <v>1506</v>
      </c>
      <c r="G272" s="66"/>
      <c r="H272" s="66"/>
      <c r="I272" s="94"/>
      <c r="J272" s="66">
        <v>0</v>
      </c>
    </row>
    <row r="273" spans="1:10">
      <c r="A273" s="95" t="str">
        <f t="shared" si="4"/>
        <v>2018RES_201601_P4T3</v>
      </c>
      <c r="B273" s="804" t="s">
        <v>424</v>
      </c>
      <c r="C273" s="804" t="s">
        <v>1516</v>
      </c>
      <c r="D273" s="804" t="s">
        <v>1396</v>
      </c>
      <c r="E273" s="804" t="s">
        <v>1515</v>
      </c>
      <c r="F273" s="804" t="s">
        <v>2459</v>
      </c>
      <c r="G273" s="66"/>
      <c r="H273" s="66"/>
      <c r="I273" s="94"/>
      <c r="J273" s="66">
        <v>8</v>
      </c>
    </row>
    <row r="274" spans="1:10">
      <c r="A274" s="95" t="str">
        <f t="shared" si="4"/>
        <v>2018Unknown</v>
      </c>
      <c r="B274" s="804" t="s">
        <v>424</v>
      </c>
      <c r="C274" s="804" t="s">
        <v>475</v>
      </c>
      <c r="D274" s="804" t="s">
        <v>475</v>
      </c>
      <c r="E274" s="804" t="s">
        <v>475</v>
      </c>
      <c r="F274" s="804" t="s">
        <v>475</v>
      </c>
      <c r="G274" s="66"/>
      <c r="H274" s="66">
        <v>546588.75556707999</v>
      </c>
      <c r="I274" s="94"/>
      <c r="J274" s="66">
        <v>0</v>
      </c>
    </row>
    <row r="275" spans="1:10">
      <c r="A275" s="95" t="str">
        <f t="shared" si="4"/>
        <v>2019AGR_200201_P1T1</v>
      </c>
      <c r="B275" s="804" t="s">
        <v>425</v>
      </c>
      <c r="C275" s="804" t="s">
        <v>629</v>
      </c>
      <c r="D275" s="804" t="s">
        <v>630</v>
      </c>
      <c r="E275" s="804" t="s">
        <v>631</v>
      </c>
      <c r="F275" s="804" t="s">
        <v>632</v>
      </c>
      <c r="G275" s="66"/>
      <c r="H275" s="66"/>
      <c r="I275" s="94"/>
      <c r="J275" s="66">
        <v>0</v>
      </c>
    </row>
    <row r="276" spans="1:10">
      <c r="A276" s="95" t="str">
        <f t="shared" si="4"/>
        <v>2019AGR_201401_P1T1</v>
      </c>
      <c r="B276" s="804" t="s">
        <v>425</v>
      </c>
      <c r="C276" s="804" t="s">
        <v>633</v>
      </c>
      <c r="D276" s="804" t="s">
        <v>634</v>
      </c>
      <c r="E276" s="804" t="s">
        <v>635</v>
      </c>
      <c r="F276" s="804" t="s">
        <v>636</v>
      </c>
      <c r="G276" s="66"/>
      <c r="H276" s="66"/>
      <c r="I276" s="94"/>
      <c r="J276" s="66">
        <v>0</v>
      </c>
    </row>
    <row r="277" spans="1:10">
      <c r="A277" s="95" t="str">
        <f t="shared" si="4"/>
        <v>2019COM_199701_P1T1</v>
      </c>
      <c r="B277" s="804" t="s">
        <v>425</v>
      </c>
      <c r="C277" s="804" t="s">
        <v>548</v>
      </c>
      <c r="D277" s="804" t="s">
        <v>623</v>
      </c>
      <c r="E277" s="804" t="s">
        <v>156</v>
      </c>
      <c r="F277" s="804" t="s">
        <v>485</v>
      </c>
      <c r="G277" s="66">
        <v>1577.25</v>
      </c>
      <c r="H277" s="66"/>
      <c r="I277" s="94"/>
      <c r="J277" s="66">
        <v>12.54174714</v>
      </c>
    </row>
    <row r="278" spans="1:10">
      <c r="A278" s="95" t="str">
        <f t="shared" si="4"/>
        <v>2019COM_200002_P1T1</v>
      </c>
      <c r="B278" s="804" t="s">
        <v>425</v>
      </c>
      <c r="C278" s="804" t="s">
        <v>19</v>
      </c>
      <c r="D278" s="804" t="s">
        <v>137</v>
      </c>
      <c r="E278" s="804" t="s">
        <v>434</v>
      </c>
      <c r="F278" s="804" t="s">
        <v>485</v>
      </c>
      <c r="G278" s="66"/>
      <c r="H278" s="66">
        <v>68.257080740000006</v>
      </c>
      <c r="I278" s="94">
        <v>0.27348641510103527</v>
      </c>
      <c r="J278" s="66">
        <v>31186139.5546863</v>
      </c>
    </row>
    <row r="279" spans="1:10">
      <c r="A279" s="95" t="str">
        <f t="shared" si="4"/>
        <v>2019COM_200002_P2T1</v>
      </c>
      <c r="B279" s="804" t="s">
        <v>425</v>
      </c>
      <c r="C279" s="804" t="s">
        <v>20</v>
      </c>
      <c r="D279" s="804" t="s">
        <v>137</v>
      </c>
      <c r="E279" s="804" t="s">
        <v>462</v>
      </c>
      <c r="F279" s="804" t="s">
        <v>485</v>
      </c>
      <c r="G279" s="66">
        <v>129.80906777000001</v>
      </c>
      <c r="H279" s="66"/>
      <c r="I279" s="94"/>
      <c r="J279" s="66">
        <v>2654952.8604597799</v>
      </c>
    </row>
    <row r="280" spans="1:10">
      <c r="A280" s="95" t="str">
        <f t="shared" si="4"/>
        <v>2019COM_200002_P3T1</v>
      </c>
      <c r="B280" s="804" t="s">
        <v>425</v>
      </c>
      <c r="C280" s="804" t="s">
        <v>1405</v>
      </c>
      <c r="D280" s="804" t="s">
        <v>137</v>
      </c>
      <c r="E280" s="804" t="s">
        <v>1406</v>
      </c>
      <c r="F280" s="804" t="s">
        <v>485</v>
      </c>
      <c r="G280" s="66"/>
      <c r="H280" s="66"/>
      <c r="I280" s="94"/>
      <c r="J280" s="66">
        <v>4223097.4453136902</v>
      </c>
    </row>
    <row r="281" spans="1:10">
      <c r="A281" s="95" t="str">
        <f t="shared" si="4"/>
        <v>2019COM_200002_P4T1</v>
      </c>
      <c r="B281" s="804" t="s">
        <v>425</v>
      </c>
      <c r="C281" s="804" t="s">
        <v>1407</v>
      </c>
      <c r="D281" s="804" t="s">
        <v>137</v>
      </c>
      <c r="E281" s="804" t="s">
        <v>1408</v>
      </c>
      <c r="F281" s="804" t="s">
        <v>485</v>
      </c>
      <c r="G281" s="66"/>
      <c r="H281" s="66"/>
      <c r="I281" s="94"/>
      <c r="J281" s="66">
        <v>429011.25954514003</v>
      </c>
    </row>
    <row r="282" spans="1:10">
      <c r="A282" s="95" t="str">
        <f t="shared" si="4"/>
        <v>2019COM_200202_P1T1</v>
      </c>
      <c r="B282" s="804" t="s">
        <v>425</v>
      </c>
      <c r="C282" s="804" t="s">
        <v>566</v>
      </c>
      <c r="D282" s="804" t="s">
        <v>138</v>
      </c>
      <c r="E282" s="804" t="s">
        <v>445</v>
      </c>
      <c r="F282" s="804" t="s">
        <v>509</v>
      </c>
      <c r="G282" s="66"/>
      <c r="H282" s="66">
        <v>7798400</v>
      </c>
      <c r="I282" s="94">
        <v>1</v>
      </c>
      <c r="J282" s="66"/>
    </row>
    <row r="283" spans="1:10">
      <c r="A283" s="95" t="str">
        <f t="shared" si="4"/>
        <v>2019COM_200202_P1T10</v>
      </c>
      <c r="B283" s="804" t="s">
        <v>425</v>
      </c>
      <c r="C283" s="804" t="s">
        <v>1409</v>
      </c>
      <c r="D283" s="804" t="s">
        <v>138</v>
      </c>
      <c r="E283" s="804" t="s">
        <v>445</v>
      </c>
      <c r="F283" s="804" t="s">
        <v>1410</v>
      </c>
      <c r="G283" s="66"/>
      <c r="H283" s="66">
        <v>0</v>
      </c>
      <c r="I283" s="94">
        <v>0</v>
      </c>
      <c r="J283" s="66"/>
    </row>
    <row r="284" spans="1:10">
      <c r="A284" s="95" t="str">
        <f t="shared" si="4"/>
        <v>2019COM_200202_P1T2</v>
      </c>
      <c r="B284" s="804" t="s">
        <v>425</v>
      </c>
      <c r="C284" s="804" t="s">
        <v>567</v>
      </c>
      <c r="D284" s="804" t="s">
        <v>138</v>
      </c>
      <c r="E284" s="804" t="s">
        <v>445</v>
      </c>
      <c r="F284" s="804" t="s">
        <v>510</v>
      </c>
      <c r="G284" s="66"/>
      <c r="H284" s="66">
        <v>7798400</v>
      </c>
      <c r="I284" s="94">
        <v>1</v>
      </c>
      <c r="J284" s="66"/>
    </row>
    <row r="285" spans="1:10">
      <c r="A285" s="95" t="str">
        <f t="shared" si="4"/>
        <v>2019COM_200202_P1T3</v>
      </c>
      <c r="B285" s="804" t="s">
        <v>425</v>
      </c>
      <c r="C285" s="804" t="s">
        <v>568</v>
      </c>
      <c r="D285" s="804" t="s">
        <v>138</v>
      </c>
      <c r="E285" s="804" t="s">
        <v>445</v>
      </c>
      <c r="F285" s="804" t="s">
        <v>511</v>
      </c>
      <c r="G285" s="66"/>
      <c r="H285" s="66">
        <v>7798400</v>
      </c>
      <c r="I285" s="94">
        <v>1</v>
      </c>
      <c r="J285" s="66"/>
    </row>
    <row r="286" spans="1:10">
      <c r="A286" s="95" t="str">
        <f t="shared" si="4"/>
        <v>2019COM_200202_P1T4</v>
      </c>
      <c r="B286" s="804" t="s">
        <v>425</v>
      </c>
      <c r="C286" s="804" t="s">
        <v>569</v>
      </c>
      <c r="D286" s="804" t="s">
        <v>138</v>
      </c>
      <c r="E286" s="804" t="s">
        <v>445</v>
      </c>
      <c r="F286" s="804" t="s">
        <v>512</v>
      </c>
      <c r="G286" s="66"/>
      <c r="H286" s="66">
        <v>7798400</v>
      </c>
      <c r="I286" s="94">
        <v>1</v>
      </c>
      <c r="J286" s="66"/>
    </row>
    <row r="287" spans="1:10">
      <c r="A287" s="95" t="str">
        <f t="shared" si="4"/>
        <v>2019COM_200202_P1T5</v>
      </c>
      <c r="B287" s="804" t="s">
        <v>425</v>
      </c>
      <c r="C287" s="804" t="s">
        <v>21</v>
      </c>
      <c r="D287" s="804" t="s">
        <v>138</v>
      </c>
      <c r="E287" s="804" t="s">
        <v>445</v>
      </c>
      <c r="F287" s="804" t="s">
        <v>513</v>
      </c>
      <c r="G287" s="66"/>
      <c r="H287" s="66">
        <v>0</v>
      </c>
      <c r="I287" s="94">
        <v>0</v>
      </c>
      <c r="J287" s="66"/>
    </row>
    <row r="288" spans="1:10">
      <c r="A288" s="95" t="str">
        <f t="shared" si="4"/>
        <v>2019COM_200202_P1T7</v>
      </c>
      <c r="B288" s="804" t="s">
        <v>425</v>
      </c>
      <c r="C288" s="804" t="s">
        <v>1411</v>
      </c>
      <c r="D288" s="804" t="s">
        <v>138</v>
      </c>
      <c r="E288" s="804" t="s">
        <v>445</v>
      </c>
      <c r="F288" s="804" t="s">
        <v>518</v>
      </c>
      <c r="G288" s="66"/>
      <c r="H288" s="66">
        <v>0</v>
      </c>
      <c r="I288" s="94">
        <v>0</v>
      </c>
      <c r="J288" s="66"/>
    </row>
    <row r="289" spans="1:10">
      <c r="A289" s="95" t="str">
        <f t="shared" si="4"/>
        <v>2019COM_200202_P1T8</v>
      </c>
      <c r="B289" s="804" t="s">
        <v>425</v>
      </c>
      <c r="C289" s="804" t="s">
        <v>1412</v>
      </c>
      <c r="D289" s="804" t="s">
        <v>138</v>
      </c>
      <c r="E289" s="804" t="s">
        <v>445</v>
      </c>
      <c r="F289" s="804" t="s">
        <v>1413</v>
      </c>
      <c r="G289" s="66"/>
      <c r="H289" s="66">
        <v>0</v>
      </c>
      <c r="I289" s="94">
        <v>0</v>
      </c>
      <c r="J289" s="66"/>
    </row>
    <row r="290" spans="1:10">
      <c r="A290" s="95" t="str">
        <f t="shared" si="4"/>
        <v>2019COM_200202_P1T9</v>
      </c>
      <c r="B290" s="804" t="s">
        <v>425</v>
      </c>
      <c r="C290" s="804" t="s">
        <v>1414</v>
      </c>
      <c r="D290" s="804" t="s">
        <v>138</v>
      </c>
      <c r="E290" s="804" t="s">
        <v>445</v>
      </c>
      <c r="F290" s="804" t="s">
        <v>1415</v>
      </c>
      <c r="G290" s="66"/>
      <c r="H290" s="66">
        <v>0</v>
      </c>
      <c r="I290" s="94">
        <v>0</v>
      </c>
      <c r="J290" s="66"/>
    </row>
    <row r="291" spans="1:10">
      <c r="A291" s="95" t="str">
        <f t="shared" si="4"/>
        <v>2019COM_200202_P2T1</v>
      </c>
      <c r="B291" s="804" t="s">
        <v>425</v>
      </c>
      <c r="C291" s="804" t="s">
        <v>579</v>
      </c>
      <c r="D291" s="804" t="s">
        <v>138</v>
      </c>
      <c r="E291" s="804" t="s">
        <v>453</v>
      </c>
      <c r="F291" s="804" t="s">
        <v>519</v>
      </c>
      <c r="G291" s="66"/>
      <c r="H291" s="66">
        <v>2150500</v>
      </c>
      <c r="I291" s="94">
        <v>1</v>
      </c>
      <c r="J291" s="66"/>
    </row>
    <row r="292" spans="1:10">
      <c r="A292" s="95" t="str">
        <f t="shared" si="4"/>
        <v>2019COM_200202_P2T10</v>
      </c>
      <c r="B292" s="804" t="s">
        <v>425</v>
      </c>
      <c r="C292" s="804" t="s">
        <v>1416</v>
      </c>
      <c r="D292" s="804" t="s">
        <v>138</v>
      </c>
      <c r="E292" s="804" t="s">
        <v>453</v>
      </c>
      <c r="F292" s="804" t="s">
        <v>1410</v>
      </c>
      <c r="G292" s="66"/>
      <c r="H292" s="66">
        <v>0</v>
      </c>
      <c r="I292" s="94">
        <v>0</v>
      </c>
      <c r="J292" s="66"/>
    </row>
    <row r="293" spans="1:10">
      <c r="A293" s="95" t="str">
        <f t="shared" si="4"/>
        <v>2019COM_200202_P2T2</v>
      </c>
      <c r="B293" s="804" t="s">
        <v>425</v>
      </c>
      <c r="C293" s="804" t="s">
        <v>580</v>
      </c>
      <c r="D293" s="804" t="s">
        <v>138</v>
      </c>
      <c r="E293" s="804" t="s">
        <v>453</v>
      </c>
      <c r="F293" s="804" t="s">
        <v>520</v>
      </c>
      <c r="G293" s="66"/>
      <c r="H293" s="66">
        <v>2150500</v>
      </c>
      <c r="I293" s="94">
        <v>1</v>
      </c>
      <c r="J293" s="66"/>
    </row>
    <row r="294" spans="1:10">
      <c r="A294" s="95" t="str">
        <f t="shared" si="4"/>
        <v>2019COM_200202_P2T3</v>
      </c>
      <c r="B294" s="804" t="s">
        <v>425</v>
      </c>
      <c r="C294" s="804" t="s">
        <v>581</v>
      </c>
      <c r="D294" s="804" t="s">
        <v>138</v>
      </c>
      <c r="E294" s="804" t="s">
        <v>453</v>
      </c>
      <c r="F294" s="804" t="s">
        <v>521</v>
      </c>
      <c r="G294" s="66"/>
      <c r="H294" s="66">
        <v>2150500</v>
      </c>
      <c r="I294" s="94">
        <v>1</v>
      </c>
      <c r="J294" s="66"/>
    </row>
    <row r="295" spans="1:10">
      <c r="A295" s="95" t="str">
        <f t="shared" si="4"/>
        <v>2019COM_200202_P2T6</v>
      </c>
      <c r="B295" s="804" t="s">
        <v>425</v>
      </c>
      <c r="C295" s="804" t="s">
        <v>1417</v>
      </c>
      <c r="D295" s="804" t="s">
        <v>138</v>
      </c>
      <c r="E295" s="804" t="s">
        <v>453</v>
      </c>
      <c r="F295" s="804" t="s">
        <v>508</v>
      </c>
      <c r="G295" s="66"/>
      <c r="H295" s="66">
        <v>2240.1041666699998</v>
      </c>
      <c r="I295" s="94">
        <v>1.0416666666682166E-3</v>
      </c>
      <c r="J295" s="66"/>
    </row>
    <row r="296" spans="1:10">
      <c r="A296" s="95" t="str">
        <f t="shared" si="4"/>
        <v>2019COM_200202_P2T7</v>
      </c>
      <c r="B296" s="804" t="s">
        <v>425</v>
      </c>
      <c r="C296" s="804" t="s">
        <v>1418</v>
      </c>
      <c r="D296" s="804" t="s">
        <v>138</v>
      </c>
      <c r="E296" s="804" t="s">
        <v>453</v>
      </c>
      <c r="F296" s="804" t="s">
        <v>518</v>
      </c>
      <c r="G296" s="66"/>
      <c r="H296" s="66">
        <v>0</v>
      </c>
      <c r="I296" s="94">
        <v>0</v>
      </c>
      <c r="J296" s="66"/>
    </row>
    <row r="297" spans="1:10">
      <c r="A297" s="95" t="str">
        <f t="shared" si="4"/>
        <v>2019COM_200202_P2T8</v>
      </c>
      <c r="B297" s="804" t="s">
        <v>425</v>
      </c>
      <c r="C297" s="804" t="s">
        <v>1419</v>
      </c>
      <c r="D297" s="804" t="s">
        <v>138</v>
      </c>
      <c r="E297" s="804" t="s">
        <v>453</v>
      </c>
      <c r="F297" s="804" t="s">
        <v>1413</v>
      </c>
      <c r="G297" s="66"/>
      <c r="H297" s="66">
        <v>0</v>
      </c>
      <c r="I297" s="94">
        <v>0</v>
      </c>
      <c r="J297" s="66"/>
    </row>
    <row r="298" spans="1:10">
      <c r="A298" s="95" t="str">
        <f t="shared" si="4"/>
        <v>2019COM_200202_P2T9</v>
      </c>
      <c r="B298" s="804" t="s">
        <v>425</v>
      </c>
      <c r="C298" s="804" t="s">
        <v>1420</v>
      </c>
      <c r="D298" s="804" t="s">
        <v>138</v>
      </c>
      <c r="E298" s="804" t="s">
        <v>453</v>
      </c>
      <c r="F298" s="804" t="s">
        <v>1415</v>
      </c>
      <c r="G298" s="66"/>
      <c r="H298" s="66">
        <v>0</v>
      </c>
      <c r="I298" s="94">
        <v>0</v>
      </c>
      <c r="J298" s="66"/>
    </row>
    <row r="299" spans="1:10">
      <c r="A299" s="95" t="str">
        <f t="shared" si="4"/>
        <v>2019COM_200202_P3T1</v>
      </c>
      <c r="B299" s="804" t="s">
        <v>425</v>
      </c>
      <c r="C299" s="804" t="s">
        <v>590</v>
      </c>
      <c r="D299" s="804" t="s">
        <v>138</v>
      </c>
      <c r="E299" s="804" t="s">
        <v>459</v>
      </c>
      <c r="F299" s="804" t="s">
        <v>524</v>
      </c>
      <c r="G299" s="66"/>
      <c r="H299" s="66">
        <v>14901500</v>
      </c>
      <c r="I299" s="94">
        <v>1</v>
      </c>
      <c r="J299" s="66"/>
    </row>
    <row r="300" spans="1:10">
      <c r="A300" s="95" t="str">
        <f t="shared" si="4"/>
        <v>2019COM_200202_P3T10</v>
      </c>
      <c r="B300" s="804" t="s">
        <v>425</v>
      </c>
      <c r="C300" s="804" t="s">
        <v>1421</v>
      </c>
      <c r="D300" s="804" t="s">
        <v>138</v>
      </c>
      <c r="E300" s="804" t="s">
        <v>459</v>
      </c>
      <c r="F300" s="804" t="s">
        <v>1422</v>
      </c>
      <c r="G300" s="66"/>
      <c r="H300" s="66">
        <v>0</v>
      </c>
      <c r="I300" s="94">
        <v>0</v>
      </c>
      <c r="J300" s="66"/>
    </row>
    <row r="301" spans="1:10">
      <c r="A301" s="95" t="str">
        <f t="shared" si="4"/>
        <v>2019COM_200202_P3T2</v>
      </c>
      <c r="B301" s="804" t="s">
        <v>425</v>
      </c>
      <c r="C301" s="804" t="s">
        <v>591</v>
      </c>
      <c r="D301" s="804" t="s">
        <v>138</v>
      </c>
      <c r="E301" s="804" t="s">
        <v>459</v>
      </c>
      <c r="F301" s="804" t="s">
        <v>525</v>
      </c>
      <c r="G301" s="66"/>
      <c r="H301" s="66">
        <v>14901500</v>
      </c>
      <c r="I301" s="94">
        <v>1</v>
      </c>
      <c r="J301" s="66"/>
    </row>
    <row r="302" spans="1:10">
      <c r="A302" s="95" t="str">
        <f t="shared" si="4"/>
        <v>2019COM_200202_P3T3</v>
      </c>
      <c r="B302" s="804" t="s">
        <v>425</v>
      </c>
      <c r="C302" s="804" t="s">
        <v>592</v>
      </c>
      <c r="D302" s="804" t="s">
        <v>138</v>
      </c>
      <c r="E302" s="804" t="s">
        <v>459</v>
      </c>
      <c r="F302" s="804" t="s">
        <v>526</v>
      </c>
      <c r="G302" s="66"/>
      <c r="H302" s="66">
        <v>14901500</v>
      </c>
      <c r="I302" s="94">
        <v>1</v>
      </c>
      <c r="J302" s="66"/>
    </row>
    <row r="303" spans="1:10">
      <c r="A303" s="95" t="str">
        <f t="shared" si="4"/>
        <v>2019COM_200202_P3T4</v>
      </c>
      <c r="B303" s="804" t="s">
        <v>425</v>
      </c>
      <c r="C303" s="804" t="s">
        <v>593</v>
      </c>
      <c r="D303" s="804" t="s">
        <v>138</v>
      </c>
      <c r="E303" s="804" t="s">
        <v>459</v>
      </c>
      <c r="F303" s="804" t="s">
        <v>527</v>
      </c>
      <c r="G303" s="66"/>
      <c r="H303" s="66">
        <v>14901500</v>
      </c>
      <c r="I303" s="94">
        <v>1</v>
      </c>
      <c r="J303" s="66"/>
    </row>
    <row r="304" spans="1:10">
      <c r="A304" s="95" t="str">
        <f t="shared" si="4"/>
        <v>2019COM_200202_P3T5</v>
      </c>
      <c r="B304" s="804" t="s">
        <v>425</v>
      </c>
      <c r="C304" s="804" t="s">
        <v>23</v>
      </c>
      <c r="D304" s="804" t="s">
        <v>138</v>
      </c>
      <c r="E304" s="804" t="s">
        <v>459</v>
      </c>
      <c r="F304" s="804" t="s">
        <v>528</v>
      </c>
      <c r="G304" s="66"/>
      <c r="H304" s="66">
        <v>62089.583333330003</v>
      </c>
      <c r="I304" s="94">
        <v>4.1666666666664428E-3</v>
      </c>
      <c r="J304" s="66"/>
    </row>
    <row r="305" spans="1:10">
      <c r="A305" s="95" t="str">
        <f t="shared" si="4"/>
        <v>2019COM_200202_P3T8</v>
      </c>
      <c r="B305" s="804" t="s">
        <v>425</v>
      </c>
      <c r="C305" s="804" t="s">
        <v>1423</v>
      </c>
      <c r="D305" s="804" t="s">
        <v>138</v>
      </c>
      <c r="E305" s="804" t="s">
        <v>459</v>
      </c>
      <c r="F305" s="804" t="s">
        <v>1424</v>
      </c>
      <c r="G305" s="66"/>
      <c r="H305" s="66">
        <v>0</v>
      </c>
      <c r="I305" s="94">
        <v>0</v>
      </c>
      <c r="J305" s="66"/>
    </row>
    <row r="306" spans="1:10">
      <c r="A306" s="95" t="str">
        <f t="shared" si="4"/>
        <v>2019COM_200202_P4T1</v>
      </c>
      <c r="B306" s="804" t="s">
        <v>425</v>
      </c>
      <c r="C306" s="804" t="s">
        <v>614</v>
      </c>
      <c r="D306" s="804" t="s">
        <v>138</v>
      </c>
      <c r="E306" s="804" t="s">
        <v>478</v>
      </c>
      <c r="F306" s="804" t="s">
        <v>541</v>
      </c>
      <c r="G306" s="66"/>
      <c r="H306" s="66">
        <v>46788800</v>
      </c>
      <c r="I306" s="94">
        <v>1</v>
      </c>
      <c r="J306" s="66"/>
    </row>
    <row r="307" spans="1:10">
      <c r="A307" s="95" t="str">
        <f t="shared" si="4"/>
        <v>2019COM_200202_P4T2</v>
      </c>
      <c r="B307" s="804" t="s">
        <v>425</v>
      </c>
      <c r="C307" s="804" t="s">
        <v>615</v>
      </c>
      <c r="D307" s="804" t="s">
        <v>138</v>
      </c>
      <c r="E307" s="804" t="s">
        <v>478</v>
      </c>
      <c r="F307" s="804" t="s">
        <v>542</v>
      </c>
      <c r="G307" s="66"/>
      <c r="H307" s="66">
        <v>46788800</v>
      </c>
      <c r="I307" s="94">
        <v>1</v>
      </c>
      <c r="J307" s="66"/>
    </row>
    <row r="308" spans="1:10">
      <c r="A308" s="95" t="str">
        <f t="shared" si="4"/>
        <v>2019COM_200202_P4T3</v>
      </c>
      <c r="B308" s="804" t="s">
        <v>425</v>
      </c>
      <c r="C308" s="804" t="s">
        <v>637</v>
      </c>
      <c r="D308" s="804" t="s">
        <v>138</v>
      </c>
      <c r="E308" s="804" t="s">
        <v>478</v>
      </c>
      <c r="F308" s="804" t="s">
        <v>638</v>
      </c>
      <c r="G308" s="66"/>
      <c r="H308" s="66">
        <v>46788800</v>
      </c>
      <c r="I308" s="94">
        <v>1</v>
      </c>
      <c r="J308" s="66"/>
    </row>
    <row r="309" spans="1:10">
      <c r="A309" s="95" t="str">
        <f t="shared" si="4"/>
        <v>2019COM_200202_P4T4</v>
      </c>
      <c r="B309" s="804" t="s">
        <v>425</v>
      </c>
      <c r="C309" s="804" t="s">
        <v>616</v>
      </c>
      <c r="D309" s="804" t="s">
        <v>138</v>
      </c>
      <c r="E309" s="804" t="s">
        <v>478</v>
      </c>
      <c r="F309" s="804" t="s">
        <v>543</v>
      </c>
      <c r="G309" s="66"/>
      <c r="H309" s="66">
        <v>46788800</v>
      </c>
      <c r="I309" s="94">
        <v>1</v>
      </c>
      <c r="J309" s="66"/>
    </row>
    <row r="310" spans="1:10">
      <c r="A310" s="95" t="str">
        <f t="shared" si="4"/>
        <v>2019COM_200202_P4T5</v>
      </c>
      <c r="B310" s="804" t="s">
        <v>425</v>
      </c>
      <c r="C310" s="804" t="s">
        <v>617</v>
      </c>
      <c r="D310" s="804" t="s">
        <v>138</v>
      </c>
      <c r="E310" s="804" t="s">
        <v>478</v>
      </c>
      <c r="F310" s="804" t="s">
        <v>544</v>
      </c>
      <c r="G310" s="66"/>
      <c r="H310" s="66">
        <v>46788800</v>
      </c>
      <c r="I310" s="94">
        <v>1</v>
      </c>
      <c r="J310" s="66"/>
    </row>
    <row r="311" spans="1:10">
      <c r="A311" s="95" t="str">
        <f t="shared" si="4"/>
        <v>2019COM_200202_P4T6</v>
      </c>
      <c r="B311" s="804" t="s">
        <v>425</v>
      </c>
      <c r="C311" s="804" t="s">
        <v>24</v>
      </c>
      <c r="D311" s="804" t="s">
        <v>138</v>
      </c>
      <c r="E311" s="804" t="s">
        <v>478</v>
      </c>
      <c r="F311" s="804" t="s">
        <v>1425</v>
      </c>
      <c r="G311" s="66"/>
      <c r="H311" s="66">
        <v>45814033.333333299</v>
      </c>
      <c r="I311" s="94">
        <v>0.97916666666666596</v>
      </c>
      <c r="J311" s="66"/>
    </row>
    <row r="312" spans="1:10">
      <c r="A312" s="95" t="str">
        <f t="shared" si="4"/>
        <v>2019COM_200202_P4T8</v>
      </c>
      <c r="B312" s="804" t="s">
        <v>425</v>
      </c>
      <c r="C312" s="804" t="s">
        <v>1426</v>
      </c>
      <c r="D312" s="804" t="s">
        <v>138</v>
      </c>
      <c r="E312" s="804" t="s">
        <v>478</v>
      </c>
      <c r="F312" s="804" t="s">
        <v>539</v>
      </c>
      <c r="G312" s="66"/>
      <c r="H312" s="66">
        <v>0</v>
      </c>
      <c r="I312" s="94">
        <v>0</v>
      </c>
      <c r="J312" s="66"/>
    </row>
    <row r="313" spans="1:10">
      <c r="A313" s="95" t="str">
        <f t="shared" si="4"/>
        <v>2019COM_200202_P4T9</v>
      </c>
      <c r="B313" s="804" t="s">
        <v>425</v>
      </c>
      <c r="C313" s="804" t="s">
        <v>1427</v>
      </c>
      <c r="D313" s="804" t="s">
        <v>138</v>
      </c>
      <c r="E313" s="804" t="s">
        <v>478</v>
      </c>
      <c r="F313" s="804" t="s">
        <v>1428</v>
      </c>
      <c r="G313" s="66"/>
      <c r="H313" s="66">
        <v>0</v>
      </c>
      <c r="I313" s="94">
        <v>0</v>
      </c>
      <c r="J313" s="66"/>
    </row>
    <row r="314" spans="1:10">
      <c r="A314" s="95" t="str">
        <f t="shared" si="4"/>
        <v>2019COM_200203_P1T1</v>
      </c>
      <c r="B314" s="804" t="s">
        <v>425</v>
      </c>
      <c r="C314" s="804" t="s">
        <v>639</v>
      </c>
      <c r="D314" s="804" t="s">
        <v>640</v>
      </c>
      <c r="E314" s="804" t="s">
        <v>641</v>
      </c>
      <c r="F314" s="804" t="s">
        <v>485</v>
      </c>
      <c r="G314" s="66"/>
      <c r="H314" s="66"/>
      <c r="I314" s="94"/>
      <c r="J314" s="66">
        <v>0</v>
      </c>
    </row>
    <row r="315" spans="1:10">
      <c r="A315" s="95" t="str">
        <f t="shared" si="4"/>
        <v>2019COM_200701_P1T1</v>
      </c>
      <c r="B315" s="804" t="s">
        <v>425</v>
      </c>
      <c r="C315" s="804" t="s">
        <v>642</v>
      </c>
      <c r="D315" s="804" t="s">
        <v>139</v>
      </c>
      <c r="E315" s="804" t="s">
        <v>643</v>
      </c>
      <c r="F315" s="804" t="s">
        <v>644</v>
      </c>
      <c r="G315" s="66"/>
      <c r="H315" s="66">
        <v>406721.61663787003</v>
      </c>
      <c r="I315" s="94">
        <v>0.85984819929278855</v>
      </c>
      <c r="J315" s="66">
        <v>0</v>
      </c>
    </row>
    <row r="316" spans="1:10">
      <c r="A316" s="95" t="str">
        <f t="shared" si="4"/>
        <v>2019COM_200701_P1T2</v>
      </c>
      <c r="B316" s="804" t="s">
        <v>425</v>
      </c>
      <c r="C316" s="804" t="s">
        <v>645</v>
      </c>
      <c r="D316" s="804" t="s">
        <v>139</v>
      </c>
      <c r="E316" s="804" t="s">
        <v>643</v>
      </c>
      <c r="F316" s="804" t="s">
        <v>646</v>
      </c>
      <c r="G316" s="66"/>
      <c r="H316" s="66">
        <v>406721.61663787003</v>
      </c>
      <c r="I316" s="94">
        <v>0.85984819929278855</v>
      </c>
      <c r="J316" s="66">
        <v>0</v>
      </c>
    </row>
    <row r="317" spans="1:10">
      <c r="A317" s="95" t="str">
        <f t="shared" si="4"/>
        <v>2019COM_200701_P1T3</v>
      </c>
      <c r="B317" s="804" t="s">
        <v>425</v>
      </c>
      <c r="C317" s="804" t="s">
        <v>71</v>
      </c>
      <c r="D317" s="804" t="s">
        <v>139</v>
      </c>
      <c r="E317" s="804" t="s">
        <v>643</v>
      </c>
      <c r="F317" s="804" t="s">
        <v>1176</v>
      </c>
      <c r="G317" s="66"/>
      <c r="H317" s="66">
        <v>406721.61663787003</v>
      </c>
      <c r="I317" s="94">
        <v>0.85984819929278855</v>
      </c>
      <c r="J317" s="66">
        <v>0</v>
      </c>
    </row>
    <row r="318" spans="1:10">
      <c r="A318" s="95" t="str">
        <f t="shared" si="4"/>
        <v>2019COM_200701_P1T4</v>
      </c>
      <c r="B318" s="804" t="s">
        <v>425</v>
      </c>
      <c r="C318" s="804" t="s">
        <v>1845</v>
      </c>
      <c r="D318" s="804" t="s">
        <v>139</v>
      </c>
      <c r="E318" s="804" t="s">
        <v>643</v>
      </c>
      <c r="F318" s="804" t="s">
        <v>1848</v>
      </c>
      <c r="G318" s="66"/>
      <c r="H318" s="66">
        <v>406721.61663787003</v>
      </c>
      <c r="I318" s="94">
        <v>0.85984819929278855</v>
      </c>
      <c r="J318" s="66">
        <v>0</v>
      </c>
    </row>
    <row r="319" spans="1:10">
      <c r="A319" s="95" t="str">
        <f t="shared" si="4"/>
        <v>2019COM_200702_P1T1</v>
      </c>
      <c r="B319" s="804" t="s">
        <v>425</v>
      </c>
      <c r="C319" s="804" t="s">
        <v>647</v>
      </c>
      <c r="D319" s="804" t="s">
        <v>648</v>
      </c>
      <c r="E319" s="804" t="s">
        <v>649</v>
      </c>
      <c r="F319" s="804" t="s">
        <v>158</v>
      </c>
      <c r="G319" s="66"/>
      <c r="H319" s="66"/>
      <c r="I319" s="94"/>
      <c r="J319" s="66">
        <v>0</v>
      </c>
    </row>
    <row r="320" spans="1:10">
      <c r="A320" s="95" t="str">
        <f t="shared" si="4"/>
        <v>2019COM_200801_P1T1</v>
      </c>
      <c r="B320" s="804" t="s">
        <v>425</v>
      </c>
      <c r="C320" s="804" t="s">
        <v>650</v>
      </c>
      <c r="D320" s="804" t="s">
        <v>651</v>
      </c>
      <c r="E320" s="804" t="s">
        <v>652</v>
      </c>
      <c r="F320" s="804" t="s">
        <v>158</v>
      </c>
      <c r="G320" s="66"/>
      <c r="H320" s="66"/>
      <c r="I320" s="94"/>
      <c r="J320" s="66">
        <v>0</v>
      </c>
    </row>
    <row r="321" spans="1:10">
      <c r="A321" s="95" t="str">
        <f t="shared" si="4"/>
        <v>2019COM_200802_P1T1</v>
      </c>
      <c r="B321" s="804" t="s">
        <v>425</v>
      </c>
      <c r="C321" s="804" t="s">
        <v>25</v>
      </c>
      <c r="D321" s="804" t="s">
        <v>653</v>
      </c>
      <c r="E321" s="804" t="s">
        <v>654</v>
      </c>
      <c r="F321" s="804" t="s">
        <v>485</v>
      </c>
      <c r="G321" s="66"/>
      <c r="H321" s="66"/>
      <c r="I321" s="94"/>
      <c r="J321" s="66">
        <v>0</v>
      </c>
    </row>
    <row r="322" spans="1:10">
      <c r="A322" s="95" t="str">
        <f t="shared" si="4"/>
        <v>2019COM_200803_P1T1</v>
      </c>
      <c r="B322" s="804" t="s">
        <v>425</v>
      </c>
      <c r="C322" s="804" t="s">
        <v>26</v>
      </c>
      <c r="D322" s="804" t="s">
        <v>140</v>
      </c>
      <c r="E322" s="804" t="s">
        <v>655</v>
      </c>
      <c r="F322" s="804" t="s">
        <v>485</v>
      </c>
      <c r="G322" s="66"/>
      <c r="H322" s="66"/>
      <c r="I322" s="94"/>
      <c r="J322" s="66">
        <v>0</v>
      </c>
    </row>
    <row r="323" spans="1:10">
      <c r="A323" s="95" t="str">
        <f t="shared" si="4"/>
        <v>2019COM_200803_P2T1</v>
      </c>
      <c r="B323" s="804" t="s">
        <v>425</v>
      </c>
      <c r="C323" s="804" t="s">
        <v>109</v>
      </c>
      <c r="D323" s="804" t="s">
        <v>140</v>
      </c>
      <c r="E323" s="804" t="s">
        <v>656</v>
      </c>
      <c r="F323" s="804" t="s">
        <v>485</v>
      </c>
      <c r="G323" s="66"/>
      <c r="H323" s="66"/>
      <c r="I323" s="94"/>
      <c r="J323" s="66">
        <v>0</v>
      </c>
    </row>
    <row r="324" spans="1:10">
      <c r="A324" s="95" t="str">
        <f t="shared" si="4"/>
        <v>2019COM_200803_P3T1</v>
      </c>
      <c r="B324" s="804" t="s">
        <v>425</v>
      </c>
      <c r="C324" s="804" t="s">
        <v>110</v>
      </c>
      <c r="D324" s="804" t="s">
        <v>140</v>
      </c>
      <c r="E324" s="804" t="s">
        <v>657</v>
      </c>
      <c r="F324" s="804" t="s">
        <v>485</v>
      </c>
      <c r="G324" s="66"/>
      <c r="H324" s="66"/>
      <c r="I324" s="94"/>
      <c r="J324" s="66">
        <v>0</v>
      </c>
    </row>
    <row r="325" spans="1:10">
      <c r="A325" s="95" t="str">
        <f t="shared" si="4"/>
        <v>2019COM_200803_P4T1</v>
      </c>
      <c r="B325" s="804" t="s">
        <v>425</v>
      </c>
      <c r="C325" s="804" t="s">
        <v>111</v>
      </c>
      <c r="D325" s="804" t="s">
        <v>140</v>
      </c>
      <c r="E325" s="804" t="s">
        <v>658</v>
      </c>
      <c r="F325" s="804" t="s">
        <v>485</v>
      </c>
      <c r="G325" s="66"/>
      <c r="H325" s="66"/>
      <c r="I325" s="94"/>
      <c r="J325" s="66">
        <v>0</v>
      </c>
    </row>
    <row r="326" spans="1:10">
      <c r="A326" s="95" t="str">
        <f t="shared" si="4"/>
        <v>2019COM_200901_P1T1</v>
      </c>
      <c r="B326" s="804" t="s">
        <v>425</v>
      </c>
      <c r="C326" s="804" t="s">
        <v>659</v>
      </c>
      <c r="D326" s="804" t="s">
        <v>660</v>
      </c>
      <c r="E326" s="804" t="s">
        <v>661</v>
      </c>
      <c r="F326" s="804" t="s">
        <v>158</v>
      </c>
      <c r="G326" s="66"/>
      <c r="H326" s="66"/>
      <c r="I326" s="94"/>
      <c r="J326" s="66">
        <v>0</v>
      </c>
    </row>
    <row r="327" spans="1:10">
      <c r="A327" s="95" t="str">
        <f t="shared" ref="A327:A390" si="5">B327&amp;C327</f>
        <v>2019COM_201101_P1T1</v>
      </c>
      <c r="B327" s="804" t="s">
        <v>425</v>
      </c>
      <c r="C327" s="804" t="s">
        <v>662</v>
      </c>
      <c r="D327" s="804" t="s">
        <v>663</v>
      </c>
      <c r="E327" s="804" t="s">
        <v>664</v>
      </c>
      <c r="F327" s="804" t="s">
        <v>665</v>
      </c>
      <c r="G327" s="66"/>
      <c r="H327" s="66"/>
      <c r="I327" s="94"/>
      <c r="J327" s="66">
        <v>0</v>
      </c>
    </row>
    <row r="328" spans="1:10">
      <c r="A328" s="95" t="str">
        <f t="shared" si="5"/>
        <v>2019COM_201201_P1T1</v>
      </c>
      <c r="B328" s="804" t="s">
        <v>425</v>
      </c>
      <c r="C328" s="804" t="s">
        <v>27</v>
      </c>
      <c r="D328" s="804" t="s">
        <v>141</v>
      </c>
      <c r="E328" s="804" t="s">
        <v>428</v>
      </c>
      <c r="F328" s="804" t="s">
        <v>485</v>
      </c>
      <c r="G328" s="66">
        <v>1577.25</v>
      </c>
      <c r="H328" s="66"/>
      <c r="I328" s="94"/>
      <c r="J328" s="66">
        <v>27.697382409999999</v>
      </c>
    </row>
    <row r="329" spans="1:10">
      <c r="A329" s="95" t="str">
        <f t="shared" si="5"/>
        <v>2019COM_201304_P12T1</v>
      </c>
      <c r="B329" s="804" t="s">
        <v>425</v>
      </c>
      <c r="C329" s="804" t="s">
        <v>1429</v>
      </c>
      <c r="D329" s="804" t="s">
        <v>142</v>
      </c>
      <c r="E329" s="804" t="s">
        <v>1430</v>
      </c>
      <c r="F329" s="804" t="s">
        <v>484</v>
      </c>
      <c r="G329" s="66"/>
      <c r="H329" s="66">
        <v>1649.13920983</v>
      </c>
      <c r="I329" s="94">
        <v>0.18999999999993086</v>
      </c>
      <c r="J329" s="66"/>
    </row>
    <row r="330" spans="1:10">
      <c r="A330" s="95" t="str">
        <f t="shared" si="5"/>
        <v>2019COM_201304_P2T1</v>
      </c>
      <c r="B330" s="804" t="s">
        <v>425</v>
      </c>
      <c r="C330" s="804" t="s">
        <v>560</v>
      </c>
      <c r="D330" s="804" t="s">
        <v>142</v>
      </c>
      <c r="E330" s="804" t="s">
        <v>441</v>
      </c>
      <c r="F330" s="804" t="s">
        <v>484</v>
      </c>
      <c r="G330" s="66"/>
      <c r="H330" s="66">
        <v>3902987.4344545398</v>
      </c>
      <c r="I330" s="94">
        <v>1</v>
      </c>
      <c r="J330" s="66"/>
    </row>
    <row r="331" spans="1:10">
      <c r="A331" s="95" t="str">
        <f t="shared" si="5"/>
        <v>2019COM_201304_P4T1</v>
      </c>
      <c r="B331" s="804" t="s">
        <v>425</v>
      </c>
      <c r="C331" s="804" t="s">
        <v>607</v>
      </c>
      <c r="D331" s="804" t="s">
        <v>142</v>
      </c>
      <c r="E331" s="804" t="s">
        <v>469</v>
      </c>
      <c r="F331" s="804" t="s">
        <v>484</v>
      </c>
      <c r="G331" s="66"/>
      <c r="H331" s="66">
        <v>195885.01005496999</v>
      </c>
      <c r="I331" s="94">
        <v>1</v>
      </c>
      <c r="J331" s="66"/>
    </row>
    <row r="332" spans="1:10">
      <c r="A332" s="95" t="str">
        <f t="shared" si="5"/>
        <v>2019COM_201304_P7T1</v>
      </c>
      <c r="B332" s="804" t="s">
        <v>425</v>
      </c>
      <c r="C332" s="804" t="s">
        <v>122</v>
      </c>
      <c r="D332" s="804" t="s">
        <v>142</v>
      </c>
      <c r="E332" s="804" t="s">
        <v>1233</v>
      </c>
      <c r="F332" s="804" t="s">
        <v>484</v>
      </c>
      <c r="G332" s="66"/>
      <c r="H332" s="66">
        <v>2.4886671900000001</v>
      </c>
      <c r="I332" s="94"/>
      <c r="J332" s="66"/>
    </row>
    <row r="333" spans="1:10">
      <c r="A333" s="95" t="str">
        <f t="shared" si="5"/>
        <v>2019COM_201305_P1T1</v>
      </c>
      <c r="B333" s="804" t="s">
        <v>425</v>
      </c>
      <c r="C333" s="804" t="s">
        <v>28</v>
      </c>
      <c r="D333" s="804" t="s">
        <v>161</v>
      </c>
      <c r="E333" s="804" t="s">
        <v>666</v>
      </c>
      <c r="F333" s="804" t="s">
        <v>485</v>
      </c>
      <c r="G333" s="66"/>
      <c r="H333" s="66"/>
      <c r="I333" s="94"/>
      <c r="J333" s="66">
        <v>0</v>
      </c>
    </row>
    <row r="334" spans="1:10">
      <c r="A334" s="95" t="str">
        <f t="shared" si="5"/>
        <v>2019COM_201401_P1T1</v>
      </c>
      <c r="B334" s="804" t="s">
        <v>425</v>
      </c>
      <c r="C334" s="804" t="s">
        <v>29</v>
      </c>
      <c r="D334" s="804" t="s">
        <v>143</v>
      </c>
      <c r="E334" s="804" t="s">
        <v>667</v>
      </c>
      <c r="F334" s="804" t="s">
        <v>668</v>
      </c>
      <c r="G334" s="66"/>
      <c r="H334" s="66">
        <v>7.5159855799999997</v>
      </c>
      <c r="I334" s="94">
        <v>6.8260656414800128E-2</v>
      </c>
      <c r="J334" s="66">
        <v>1.9013269999999999E-2</v>
      </c>
    </row>
    <row r="335" spans="1:10">
      <c r="A335" s="95" t="str">
        <f t="shared" si="5"/>
        <v>2019COM_201403_P1T1</v>
      </c>
      <c r="B335" s="804" t="s">
        <v>425</v>
      </c>
      <c r="C335" s="804" t="s">
        <v>30</v>
      </c>
      <c r="D335" s="804" t="s">
        <v>144</v>
      </c>
      <c r="E335" s="804" t="s">
        <v>473</v>
      </c>
      <c r="F335" s="804" t="s">
        <v>158</v>
      </c>
      <c r="G335" s="66"/>
      <c r="H335" s="66">
        <v>725017.61114315002</v>
      </c>
      <c r="I335" s="94">
        <v>0.47085431689650153</v>
      </c>
      <c r="J335" s="66">
        <v>7132.1688665499996</v>
      </c>
    </row>
    <row r="336" spans="1:10">
      <c r="A336" s="95" t="str">
        <f t="shared" si="5"/>
        <v>2019COM_201403_P2T1</v>
      </c>
      <c r="B336" s="804" t="s">
        <v>425</v>
      </c>
      <c r="C336" s="804" t="s">
        <v>31</v>
      </c>
      <c r="D336" s="804" t="s">
        <v>144</v>
      </c>
      <c r="E336" s="804" t="s">
        <v>471</v>
      </c>
      <c r="F336" s="804" t="s">
        <v>158</v>
      </c>
      <c r="G336" s="66"/>
      <c r="H336" s="66">
        <v>36240.181839210003</v>
      </c>
      <c r="I336" s="94">
        <v>2.3535767685975675E-2</v>
      </c>
      <c r="J336" s="66">
        <v>37.005521450000003</v>
      </c>
    </row>
    <row r="337" spans="1:10">
      <c r="A337" s="95" t="str">
        <f t="shared" si="5"/>
        <v>2019COM_201403_P3T1</v>
      </c>
      <c r="B337" s="804" t="s">
        <v>425</v>
      </c>
      <c r="C337" s="804" t="s">
        <v>93</v>
      </c>
      <c r="D337" s="804" t="s">
        <v>144</v>
      </c>
      <c r="E337" s="804" t="s">
        <v>474</v>
      </c>
      <c r="F337" s="804" t="s">
        <v>158</v>
      </c>
      <c r="G337" s="66"/>
      <c r="H337" s="66">
        <v>179809.78113156001</v>
      </c>
      <c r="I337" s="94">
        <v>0.48490712097513822</v>
      </c>
      <c r="J337" s="66">
        <v>1768.8311334499999</v>
      </c>
    </row>
    <row r="338" spans="1:10">
      <c r="A338" s="95" t="str">
        <f t="shared" si="5"/>
        <v>2019COM_201403_P4T1</v>
      </c>
      <c r="B338" s="804" t="s">
        <v>425</v>
      </c>
      <c r="C338" s="804" t="s">
        <v>94</v>
      </c>
      <c r="D338" s="804" t="s">
        <v>144</v>
      </c>
      <c r="E338" s="804" t="s">
        <v>472</v>
      </c>
      <c r="F338" s="804" t="s">
        <v>158</v>
      </c>
      <c r="G338" s="66"/>
      <c r="H338" s="66">
        <v>2932.54744321</v>
      </c>
      <c r="I338" s="94">
        <v>7.9084303916121812E-3</v>
      </c>
      <c r="J338" s="66">
        <v>2.9944785500000002</v>
      </c>
    </row>
    <row r="339" spans="1:10">
      <c r="A339" s="95" t="str">
        <f t="shared" si="5"/>
        <v>2019COM_201405_P1T1</v>
      </c>
      <c r="B339" s="804" t="s">
        <v>425</v>
      </c>
      <c r="C339" s="804" t="s">
        <v>574</v>
      </c>
      <c r="D339" s="804" t="s">
        <v>145</v>
      </c>
      <c r="E339" s="804" t="s">
        <v>448</v>
      </c>
      <c r="F339" s="804" t="s">
        <v>485</v>
      </c>
      <c r="G339" s="66">
        <v>28.449690409999999</v>
      </c>
      <c r="H339" s="66">
        <v>0</v>
      </c>
      <c r="I339" s="94">
        <v>0</v>
      </c>
      <c r="J339" s="66">
        <v>0</v>
      </c>
    </row>
    <row r="340" spans="1:10">
      <c r="A340" s="95" t="str">
        <f t="shared" si="5"/>
        <v>2019COM_201405_P2T1</v>
      </c>
      <c r="B340" s="804" t="s">
        <v>425</v>
      </c>
      <c r="C340" s="804" t="s">
        <v>553</v>
      </c>
      <c r="D340" s="804" t="s">
        <v>145</v>
      </c>
      <c r="E340" s="804" t="s">
        <v>432</v>
      </c>
      <c r="F340" s="804" t="s">
        <v>485</v>
      </c>
      <c r="G340" s="66">
        <v>6.6241570799999998</v>
      </c>
      <c r="H340" s="66">
        <v>0</v>
      </c>
      <c r="I340" s="94">
        <v>0</v>
      </c>
      <c r="J340" s="66">
        <v>0</v>
      </c>
    </row>
    <row r="341" spans="1:10">
      <c r="A341" s="95" t="str">
        <f t="shared" si="5"/>
        <v>2019COM_201602_P1T1</v>
      </c>
      <c r="B341" s="804" t="s">
        <v>425</v>
      </c>
      <c r="C341" s="804" t="s">
        <v>1431</v>
      </c>
      <c r="D341" s="804" t="s">
        <v>1432</v>
      </c>
      <c r="E341" s="804" t="s">
        <v>445</v>
      </c>
      <c r="F341" s="804" t="s">
        <v>518</v>
      </c>
      <c r="G341" s="66"/>
      <c r="H341" s="66">
        <v>0</v>
      </c>
      <c r="I341" s="94">
        <v>0</v>
      </c>
      <c r="J341" s="66"/>
    </row>
    <row r="342" spans="1:10">
      <c r="A342" s="95" t="str">
        <f t="shared" si="5"/>
        <v>2019COM_201602_P1T2</v>
      </c>
      <c r="B342" s="804" t="s">
        <v>425</v>
      </c>
      <c r="C342" s="804" t="s">
        <v>1433</v>
      </c>
      <c r="D342" s="804" t="s">
        <v>1432</v>
      </c>
      <c r="E342" s="804" t="s">
        <v>445</v>
      </c>
      <c r="F342" s="804" t="s">
        <v>1413</v>
      </c>
      <c r="G342" s="66"/>
      <c r="H342" s="66">
        <v>0</v>
      </c>
      <c r="I342" s="94">
        <v>0</v>
      </c>
      <c r="J342" s="66"/>
    </row>
    <row r="343" spans="1:10">
      <c r="A343" s="95" t="str">
        <f t="shared" si="5"/>
        <v>2019COM_201602_P1T3</v>
      </c>
      <c r="B343" s="804" t="s">
        <v>425</v>
      </c>
      <c r="C343" s="804" t="s">
        <v>1434</v>
      </c>
      <c r="D343" s="804" t="s">
        <v>1432</v>
      </c>
      <c r="E343" s="804" t="s">
        <v>445</v>
      </c>
      <c r="F343" s="804" t="s">
        <v>1415</v>
      </c>
      <c r="G343" s="66"/>
      <c r="H343" s="66">
        <v>0</v>
      </c>
      <c r="I343" s="94">
        <v>0</v>
      </c>
      <c r="J343" s="66"/>
    </row>
    <row r="344" spans="1:10">
      <c r="A344" s="95" t="str">
        <f t="shared" si="5"/>
        <v>2019COM_201602_P1T4</v>
      </c>
      <c r="B344" s="804" t="s">
        <v>425</v>
      </c>
      <c r="C344" s="804" t="s">
        <v>1435</v>
      </c>
      <c r="D344" s="804" t="s">
        <v>1432</v>
      </c>
      <c r="E344" s="804" t="s">
        <v>445</v>
      </c>
      <c r="F344" s="804" t="s">
        <v>1410</v>
      </c>
      <c r="G344" s="66"/>
      <c r="H344" s="66">
        <v>0</v>
      </c>
      <c r="I344" s="94">
        <v>0</v>
      </c>
      <c r="J344" s="66"/>
    </row>
    <row r="345" spans="1:10">
      <c r="A345" s="95" t="str">
        <f t="shared" si="5"/>
        <v>2019COM_201602_P2T1</v>
      </c>
      <c r="B345" s="804" t="s">
        <v>425</v>
      </c>
      <c r="C345" s="804" t="s">
        <v>1436</v>
      </c>
      <c r="D345" s="804" t="s">
        <v>1432</v>
      </c>
      <c r="E345" s="804" t="s">
        <v>453</v>
      </c>
      <c r="F345" s="804" t="s">
        <v>508</v>
      </c>
      <c r="G345" s="66"/>
      <c r="H345" s="66">
        <v>0</v>
      </c>
      <c r="I345" s="94">
        <v>0</v>
      </c>
      <c r="J345" s="66"/>
    </row>
    <row r="346" spans="1:10">
      <c r="A346" s="95" t="str">
        <f t="shared" si="5"/>
        <v>2019COM_201602_P2T2</v>
      </c>
      <c r="B346" s="804" t="s">
        <v>425</v>
      </c>
      <c r="C346" s="804" t="s">
        <v>1437</v>
      </c>
      <c r="D346" s="804" t="s">
        <v>1432</v>
      </c>
      <c r="E346" s="804" t="s">
        <v>453</v>
      </c>
      <c r="F346" s="804" t="s">
        <v>518</v>
      </c>
      <c r="G346" s="66"/>
      <c r="H346" s="66">
        <v>0</v>
      </c>
      <c r="I346" s="94">
        <v>0</v>
      </c>
      <c r="J346" s="66"/>
    </row>
    <row r="347" spans="1:10">
      <c r="A347" s="95" t="str">
        <f t="shared" si="5"/>
        <v>2019COM_201602_P2T3</v>
      </c>
      <c r="B347" s="804" t="s">
        <v>425</v>
      </c>
      <c r="C347" s="804" t="s">
        <v>1438</v>
      </c>
      <c r="D347" s="804" t="s">
        <v>1432</v>
      </c>
      <c r="E347" s="804" t="s">
        <v>453</v>
      </c>
      <c r="F347" s="804" t="s">
        <v>1413</v>
      </c>
      <c r="G347" s="66"/>
      <c r="H347" s="66">
        <v>0</v>
      </c>
      <c r="I347" s="94">
        <v>0</v>
      </c>
      <c r="J347" s="66"/>
    </row>
    <row r="348" spans="1:10">
      <c r="A348" s="95" t="str">
        <f t="shared" si="5"/>
        <v>2019COM_201602_P2T4</v>
      </c>
      <c r="B348" s="804" t="s">
        <v>425</v>
      </c>
      <c r="C348" s="804" t="s">
        <v>1439</v>
      </c>
      <c r="D348" s="804" t="s">
        <v>1432</v>
      </c>
      <c r="E348" s="804" t="s">
        <v>453</v>
      </c>
      <c r="F348" s="804" t="s">
        <v>1415</v>
      </c>
      <c r="G348" s="66"/>
      <c r="H348" s="66">
        <v>0</v>
      </c>
      <c r="I348" s="94">
        <v>0</v>
      </c>
      <c r="J348" s="66"/>
    </row>
    <row r="349" spans="1:10">
      <c r="A349" s="95" t="str">
        <f t="shared" si="5"/>
        <v>2019COM_201602_P2T5</v>
      </c>
      <c r="B349" s="804" t="s">
        <v>425</v>
      </c>
      <c r="C349" s="804" t="s">
        <v>1440</v>
      </c>
      <c r="D349" s="804" t="s">
        <v>1432</v>
      </c>
      <c r="E349" s="804" t="s">
        <v>453</v>
      </c>
      <c r="F349" s="804" t="s">
        <v>1410</v>
      </c>
      <c r="G349" s="66"/>
      <c r="H349" s="66">
        <v>0</v>
      </c>
      <c r="I349" s="94">
        <v>0</v>
      </c>
      <c r="J349" s="66"/>
    </row>
    <row r="350" spans="1:10">
      <c r="A350" s="95" t="str">
        <f t="shared" si="5"/>
        <v>2019COM_201602_P3T2</v>
      </c>
      <c r="B350" s="804" t="s">
        <v>425</v>
      </c>
      <c r="C350" s="804" t="s">
        <v>1441</v>
      </c>
      <c r="D350" s="804" t="s">
        <v>1432</v>
      </c>
      <c r="E350" s="804" t="s">
        <v>459</v>
      </c>
      <c r="F350" s="804" t="s">
        <v>1424</v>
      </c>
      <c r="G350" s="66"/>
      <c r="H350" s="66">
        <v>0</v>
      </c>
      <c r="I350" s="94">
        <v>0</v>
      </c>
      <c r="J350" s="66"/>
    </row>
    <row r="351" spans="1:10">
      <c r="A351" s="95" t="str">
        <f t="shared" si="5"/>
        <v>2019COM_201602_P3T4</v>
      </c>
      <c r="B351" s="804" t="s">
        <v>425</v>
      </c>
      <c r="C351" s="804" t="s">
        <v>1442</v>
      </c>
      <c r="D351" s="804" t="s">
        <v>1432</v>
      </c>
      <c r="E351" s="804" t="s">
        <v>459</v>
      </c>
      <c r="F351" s="804" t="s">
        <v>1422</v>
      </c>
      <c r="G351" s="66"/>
      <c r="H351" s="66">
        <v>0</v>
      </c>
      <c r="I351" s="94">
        <v>0</v>
      </c>
      <c r="J351" s="66"/>
    </row>
    <row r="352" spans="1:10">
      <c r="A352" s="95" t="str">
        <f t="shared" si="5"/>
        <v>2019COM_201602_P4T1</v>
      </c>
      <c r="B352" s="804" t="s">
        <v>425</v>
      </c>
      <c r="C352" s="804" t="s">
        <v>1443</v>
      </c>
      <c r="D352" s="804" t="s">
        <v>1432</v>
      </c>
      <c r="E352" s="804" t="s">
        <v>478</v>
      </c>
      <c r="F352" s="804" t="s">
        <v>539</v>
      </c>
      <c r="G352" s="66"/>
      <c r="H352" s="66">
        <v>0</v>
      </c>
      <c r="I352" s="94">
        <v>0</v>
      </c>
      <c r="J352" s="66"/>
    </row>
    <row r="353" spans="1:10">
      <c r="A353" s="95" t="str">
        <f t="shared" si="5"/>
        <v>2019COM_201602_P4T10</v>
      </c>
      <c r="B353" s="804" t="s">
        <v>425</v>
      </c>
      <c r="C353" s="804" t="s">
        <v>1444</v>
      </c>
      <c r="D353" s="804" t="s">
        <v>138</v>
      </c>
      <c r="E353" s="804" t="s">
        <v>478</v>
      </c>
      <c r="F353" s="804" t="s">
        <v>1445</v>
      </c>
      <c r="G353" s="66"/>
      <c r="H353" s="66">
        <v>0</v>
      </c>
      <c r="I353" s="94">
        <v>0</v>
      </c>
      <c r="J353" s="66"/>
    </row>
    <row r="354" spans="1:10">
      <c r="A354" s="95" t="str">
        <f t="shared" si="5"/>
        <v>2019COM_201602_P4T11</v>
      </c>
      <c r="B354" s="804" t="s">
        <v>425</v>
      </c>
      <c r="C354" s="804" t="s">
        <v>1446</v>
      </c>
      <c r="D354" s="804" t="s">
        <v>138</v>
      </c>
      <c r="E354" s="804" t="s">
        <v>478</v>
      </c>
      <c r="F354" s="804" t="s">
        <v>1447</v>
      </c>
      <c r="G354" s="66"/>
      <c r="H354" s="66">
        <v>0</v>
      </c>
      <c r="I354" s="94">
        <v>0</v>
      </c>
      <c r="J354" s="66"/>
    </row>
    <row r="355" spans="1:10">
      <c r="A355" s="95" t="str">
        <f t="shared" si="5"/>
        <v>2019COM_201602_P4T12</v>
      </c>
      <c r="B355" s="804" t="s">
        <v>425</v>
      </c>
      <c r="C355" s="804" t="s">
        <v>1448</v>
      </c>
      <c r="D355" s="804" t="s">
        <v>138</v>
      </c>
      <c r="E355" s="804" t="s">
        <v>478</v>
      </c>
      <c r="F355" s="804" t="s">
        <v>1449</v>
      </c>
      <c r="G355" s="66"/>
      <c r="H355" s="66">
        <v>0</v>
      </c>
      <c r="I355" s="94">
        <v>0</v>
      </c>
      <c r="J355" s="66"/>
    </row>
    <row r="356" spans="1:10">
      <c r="A356" s="95" t="str">
        <f t="shared" si="5"/>
        <v>2019COM_201602_P4T2</v>
      </c>
      <c r="B356" s="804" t="s">
        <v>425</v>
      </c>
      <c r="C356" s="804" t="s">
        <v>1450</v>
      </c>
      <c r="D356" s="804" t="s">
        <v>1432</v>
      </c>
      <c r="E356" s="804" t="s">
        <v>478</v>
      </c>
      <c r="F356" s="804" t="s">
        <v>1428</v>
      </c>
      <c r="G356" s="66"/>
      <c r="H356" s="66">
        <v>0</v>
      </c>
      <c r="I356" s="94">
        <v>0</v>
      </c>
      <c r="J356" s="66"/>
    </row>
    <row r="357" spans="1:10">
      <c r="A357" s="95" t="str">
        <f t="shared" si="5"/>
        <v>2019COM_201602_P4T3</v>
      </c>
      <c r="B357" s="804" t="s">
        <v>425</v>
      </c>
      <c r="C357" s="804" t="s">
        <v>1451</v>
      </c>
      <c r="D357" s="804" t="s">
        <v>1432</v>
      </c>
      <c r="E357" s="804" t="s">
        <v>478</v>
      </c>
      <c r="F357" s="804" t="s">
        <v>1445</v>
      </c>
      <c r="G357" s="66"/>
      <c r="H357" s="66">
        <v>0</v>
      </c>
      <c r="I357" s="94">
        <v>0</v>
      </c>
      <c r="J357" s="66"/>
    </row>
    <row r="358" spans="1:10">
      <c r="A358" s="95" t="str">
        <f t="shared" si="5"/>
        <v>2019COM_201602_P4T4</v>
      </c>
      <c r="B358" s="804" t="s">
        <v>425</v>
      </c>
      <c r="C358" s="804" t="s">
        <v>1452</v>
      </c>
      <c r="D358" s="804" t="s">
        <v>1432</v>
      </c>
      <c r="E358" s="804" t="s">
        <v>478</v>
      </c>
      <c r="F358" s="804" t="s">
        <v>1447</v>
      </c>
      <c r="G358" s="66"/>
      <c r="H358" s="66">
        <v>0</v>
      </c>
      <c r="I358" s="94">
        <v>0</v>
      </c>
      <c r="J358" s="66"/>
    </row>
    <row r="359" spans="1:10">
      <c r="A359" s="95" t="str">
        <f t="shared" si="5"/>
        <v>2019COM_201602_P4T5</v>
      </c>
      <c r="B359" s="804" t="s">
        <v>425</v>
      </c>
      <c r="C359" s="804" t="s">
        <v>1453</v>
      </c>
      <c r="D359" s="804" t="s">
        <v>1432</v>
      </c>
      <c r="E359" s="804" t="s">
        <v>478</v>
      </c>
      <c r="F359" s="804" t="s">
        <v>1449</v>
      </c>
      <c r="G359" s="66"/>
      <c r="H359" s="66">
        <v>0</v>
      </c>
      <c r="I359" s="94">
        <v>0</v>
      </c>
      <c r="J359" s="66"/>
    </row>
    <row r="360" spans="1:10">
      <c r="A360" s="95" t="str">
        <f t="shared" si="5"/>
        <v>2019IND_199801_P1T1</v>
      </c>
      <c r="B360" s="804" t="s">
        <v>425</v>
      </c>
      <c r="C360" s="804" t="s">
        <v>669</v>
      </c>
      <c r="D360" s="804" t="s">
        <v>670</v>
      </c>
      <c r="E360" s="804" t="s">
        <v>671</v>
      </c>
      <c r="F360" s="804" t="s">
        <v>485</v>
      </c>
      <c r="G360" s="66"/>
      <c r="H360" s="66"/>
      <c r="I360" s="94"/>
      <c r="J360" s="66">
        <v>1058</v>
      </c>
    </row>
    <row r="361" spans="1:10">
      <c r="A361" s="95" t="str">
        <f t="shared" si="5"/>
        <v>2019IND_199802_P1T1</v>
      </c>
      <c r="B361" s="804" t="s">
        <v>425</v>
      </c>
      <c r="C361" s="804" t="s">
        <v>672</v>
      </c>
      <c r="D361" s="804" t="s">
        <v>673</v>
      </c>
      <c r="E361" s="804" t="s">
        <v>674</v>
      </c>
      <c r="F361" s="804" t="s">
        <v>158</v>
      </c>
      <c r="G361" s="66"/>
      <c r="H361" s="66"/>
      <c r="I361" s="94"/>
      <c r="J361" s="66">
        <v>0</v>
      </c>
    </row>
    <row r="362" spans="1:10">
      <c r="A362" s="95" t="str">
        <f t="shared" si="5"/>
        <v>2019IND_199901_P1T1</v>
      </c>
      <c r="B362" s="804" t="s">
        <v>425</v>
      </c>
      <c r="C362" s="804" t="s">
        <v>675</v>
      </c>
      <c r="D362" s="804" t="s">
        <v>676</v>
      </c>
      <c r="E362" s="804" t="s">
        <v>677</v>
      </c>
      <c r="F362" s="804" t="s">
        <v>158</v>
      </c>
      <c r="G362" s="66"/>
      <c r="H362" s="66"/>
      <c r="I362" s="94"/>
      <c r="J362" s="66">
        <v>0</v>
      </c>
    </row>
    <row r="363" spans="1:10">
      <c r="A363" s="95" t="str">
        <f t="shared" si="5"/>
        <v>2019IND_199902_P1T1</v>
      </c>
      <c r="B363" s="804" t="s">
        <v>425</v>
      </c>
      <c r="C363" s="804" t="s">
        <v>34</v>
      </c>
      <c r="D363" s="804" t="s">
        <v>678</v>
      </c>
      <c r="E363" s="804" t="s">
        <v>679</v>
      </c>
      <c r="F363" s="804" t="s">
        <v>485</v>
      </c>
      <c r="G363" s="66"/>
      <c r="H363" s="66"/>
      <c r="I363" s="94"/>
      <c r="J363" s="66">
        <v>0</v>
      </c>
    </row>
    <row r="364" spans="1:10">
      <c r="A364" s="95" t="str">
        <f t="shared" si="5"/>
        <v>2019IND_199902_P2T1</v>
      </c>
      <c r="B364" s="804" t="s">
        <v>425</v>
      </c>
      <c r="C364" s="804" t="s">
        <v>35</v>
      </c>
      <c r="D364" s="804" t="s">
        <v>678</v>
      </c>
      <c r="E364" s="804" t="s">
        <v>680</v>
      </c>
      <c r="F364" s="804" t="s">
        <v>485</v>
      </c>
      <c r="G364" s="66"/>
      <c r="H364" s="66"/>
      <c r="I364" s="94"/>
      <c r="J364" s="66">
        <v>0</v>
      </c>
    </row>
    <row r="365" spans="1:10">
      <c r="A365" s="95" t="str">
        <f t="shared" si="5"/>
        <v>2019IND_200004_P1T1</v>
      </c>
      <c r="B365" s="804" t="s">
        <v>425</v>
      </c>
      <c r="C365" s="804" t="s">
        <v>681</v>
      </c>
      <c r="D365" s="804" t="s">
        <v>682</v>
      </c>
      <c r="E365" s="804" t="s">
        <v>683</v>
      </c>
      <c r="F365" s="804" t="s">
        <v>485</v>
      </c>
      <c r="G365" s="66"/>
      <c r="H365" s="66"/>
      <c r="I365" s="94"/>
      <c r="J365" s="66">
        <v>0</v>
      </c>
    </row>
    <row r="366" spans="1:10">
      <c r="A366" s="95" t="str">
        <f t="shared" si="5"/>
        <v>2019IND_200402_P1T1</v>
      </c>
      <c r="B366" s="804" t="s">
        <v>425</v>
      </c>
      <c r="C366" s="804" t="s">
        <v>36</v>
      </c>
      <c r="D366" s="804" t="s">
        <v>146</v>
      </c>
      <c r="E366" s="804" t="s">
        <v>456</v>
      </c>
      <c r="F366" s="804" t="s">
        <v>485</v>
      </c>
      <c r="G366" s="66">
        <v>74669.783686010007</v>
      </c>
      <c r="H366" s="66">
        <v>285.17340445000002</v>
      </c>
      <c r="I366" s="94">
        <v>0.48000000000067333</v>
      </c>
      <c r="J366" s="66">
        <v>0</v>
      </c>
    </row>
    <row r="367" spans="1:10">
      <c r="A367" s="95" t="str">
        <f t="shared" si="5"/>
        <v>2019IND_200402_P2T1</v>
      </c>
      <c r="B367" s="804" t="s">
        <v>425</v>
      </c>
      <c r="C367" s="804" t="s">
        <v>37</v>
      </c>
      <c r="D367" s="804" t="s">
        <v>146</v>
      </c>
      <c r="E367" s="804" t="s">
        <v>439</v>
      </c>
      <c r="F367" s="804" t="s">
        <v>485</v>
      </c>
      <c r="G367" s="66">
        <v>2564.1619047600002</v>
      </c>
      <c r="H367" s="66">
        <v>352.42857142999998</v>
      </c>
      <c r="I367" s="94">
        <v>0.1374439620118241</v>
      </c>
      <c r="J367" s="66">
        <v>50.792009270000001</v>
      </c>
    </row>
    <row r="368" spans="1:10">
      <c r="A368" s="95" t="str">
        <f t="shared" si="5"/>
        <v>2019IND_200402_P3T1</v>
      </c>
      <c r="B368" s="804" t="s">
        <v>425</v>
      </c>
      <c r="C368" s="804" t="s">
        <v>575</v>
      </c>
      <c r="D368" s="804" t="s">
        <v>146</v>
      </c>
      <c r="E368" s="804" t="s">
        <v>451</v>
      </c>
      <c r="F368" s="804" t="s">
        <v>485</v>
      </c>
      <c r="G368" s="66">
        <v>74669.783686010007</v>
      </c>
      <c r="H368" s="66">
        <v>74077.201683489999</v>
      </c>
      <c r="I368" s="94">
        <v>1</v>
      </c>
      <c r="J368" s="66">
        <v>0</v>
      </c>
    </row>
    <row r="369" spans="1:10">
      <c r="A369" s="95" t="str">
        <f t="shared" si="5"/>
        <v>2019IND_200602_P1T1</v>
      </c>
      <c r="B369" s="804" t="s">
        <v>425</v>
      </c>
      <c r="C369" s="804" t="s">
        <v>38</v>
      </c>
      <c r="D369" s="804" t="s">
        <v>684</v>
      </c>
      <c r="E369" s="804" t="s">
        <v>685</v>
      </c>
      <c r="F369" s="804" t="s">
        <v>485</v>
      </c>
      <c r="G369" s="66"/>
      <c r="H369" s="66"/>
      <c r="I369" s="94"/>
      <c r="J369" s="66">
        <v>0</v>
      </c>
    </row>
    <row r="370" spans="1:10">
      <c r="A370" s="95" t="str">
        <f t="shared" si="5"/>
        <v>2019IND_200603_P1T1</v>
      </c>
      <c r="B370" s="804" t="s">
        <v>425</v>
      </c>
      <c r="C370" s="804" t="s">
        <v>686</v>
      </c>
      <c r="D370" s="804" t="s">
        <v>687</v>
      </c>
      <c r="E370" s="804" t="s">
        <v>688</v>
      </c>
      <c r="F370" s="804" t="s">
        <v>158</v>
      </c>
      <c r="G370" s="66"/>
      <c r="H370" s="66"/>
      <c r="I370" s="94"/>
      <c r="J370" s="66">
        <v>0</v>
      </c>
    </row>
    <row r="371" spans="1:10">
      <c r="A371" s="95" t="str">
        <f t="shared" si="5"/>
        <v>2019IND_200702_P1T1</v>
      </c>
      <c r="B371" s="804" t="s">
        <v>425</v>
      </c>
      <c r="C371" s="804" t="s">
        <v>689</v>
      </c>
      <c r="D371" s="804" t="s">
        <v>690</v>
      </c>
      <c r="E371" s="804" t="s">
        <v>691</v>
      </c>
      <c r="F371" s="804" t="s">
        <v>158</v>
      </c>
      <c r="G371" s="66"/>
      <c r="H371" s="66"/>
      <c r="I371" s="94"/>
      <c r="J371" s="66">
        <v>0</v>
      </c>
    </row>
    <row r="372" spans="1:10">
      <c r="A372" s="95" t="str">
        <f t="shared" si="5"/>
        <v>2019IND_201301_P1T1</v>
      </c>
      <c r="B372" s="804" t="s">
        <v>425</v>
      </c>
      <c r="C372" s="804" t="s">
        <v>39</v>
      </c>
      <c r="D372" s="804" t="s">
        <v>147</v>
      </c>
      <c r="E372" s="804" t="s">
        <v>692</v>
      </c>
      <c r="F372" s="804" t="s">
        <v>485</v>
      </c>
      <c r="G372" s="66">
        <v>17.25</v>
      </c>
      <c r="H372" s="66">
        <v>6.25</v>
      </c>
      <c r="I372" s="94"/>
      <c r="J372" s="66">
        <v>7.8949850000000002E-2</v>
      </c>
    </row>
    <row r="373" spans="1:10">
      <c r="A373" s="95" t="str">
        <f t="shared" si="5"/>
        <v>2019IND_201302_P1T1</v>
      </c>
      <c r="B373" s="804" t="s">
        <v>425</v>
      </c>
      <c r="C373" s="804" t="s">
        <v>693</v>
      </c>
      <c r="D373" s="804" t="s">
        <v>694</v>
      </c>
      <c r="E373" s="804" t="s">
        <v>695</v>
      </c>
      <c r="F373" s="804" t="s">
        <v>485</v>
      </c>
      <c r="G373" s="66"/>
      <c r="H373" s="66"/>
      <c r="I373" s="94"/>
      <c r="J373" s="66">
        <v>0</v>
      </c>
    </row>
    <row r="374" spans="1:10">
      <c r="A374" s="95" t="str">
        <f t="shared" si="5"/>
        <v>2019OTH_201601_P1T0</v>
      </c>
      <c r="B374" s="804" t="s">
        <v>425</v>
      </c>
      <c r="C374" s="804" t="s">
        <v>1621</v>
      </c>
      <c r="D374" s="804" t="s">
        <v>1399</v>
      </c>
      <c r="E374" s="804" t="s">
        <v>1455</v>
      </c>
      <c r="F374" s="804" t="s">
        <v>1622</v>
      </c>
      <c r="G374" s="66"/>
      <c r="H374" s="66">
        <v>1307647.4686996299</v>
      </c>
      <c r="I374" s="94">
        <v>1</v>
      </c>
      <c r="J374" s="66"/>
    </row>
    <row r="375" spans="1:10">
      <c r="A375" s="95" t="str">
        <f t="shared" si="5"/>
        <v>2019OTH_201601_P1T1</v>
      </c>
      <c r="B375" s="804" t="s">
        <v>425</v>
      </c>
      <c r="C375" s="804" t="s">
        <v>1454</v>
      </c>
      <c r="D375" s="804" t="s">
        <v>1399</v>
      </c>
      <c r="E375" s="804" t="s">
        <v>1455</v>
      </c>
      <c r="F375" s="804" t="s">
        <v>1176</v>
      </c>
      <c r="G375" s="66"/>
      <c r="H375" s="66">
        <v>1260020.66526386</v>
      </c>
      <c r="I375" s="94">
        <v>0.96357825440282341</v>
      </c>
      <c r="J375" s="66"/>
    </row>
    <row r="376" spans="1:10">
      <c r="A376" s="95" t="str">
        <f t="shared" si="5"/>
        <v>2019OTH_201601_P2T0</v>
      </c>
      <c r="B376" s="804" t="s">
        <v>425</v>
      </c>
      <c r="C376" s="804" t="s">
        <v>1623</v>
      </c>
      <c r="D376" s="804" t="s">
        <v>1399</v>
      </c>
      <c r="E376" s="804" t="s">
        <v>1608</v>
      </c>
      <c r="F376" s="804" t="s">
        <v>1622</v>
      </c>
      <c r="G376" s="66"/>
      <c r="H376" s="66">
        <v>219921.25171857001</v>
      </c>
      <c r="I376" s="94">
        <v>1</v>
      </c>
      <c r="J376" s="66"/>
    </row>
    <row r="377" spans="1:10">
      <c r="A377" s="95" t="str">
        <f t="shared" si="5"/>
        <v>2019OTH_201601_P2T1</v>
      </c>
      <c r="B377" s="804" t="s">
        <v>425</v>
      </c>
      <c r="C377" s="804" t="s">
        <v>1518</v>
      </c>
      <c r="D377" s="804" t="s">
        <v>1399</v>
      </c>
      <c r="E377" s="804" t="s">
        <v>1608</v>
      </c>
      <c r="F377" s="804" t="s">
        <v>1176</v>
      </c>
      <c r="G377" s="66"/>
      <c r="H377" s="66">
        <v>78742.280621740007</v>
      </c>
      <c r="I377" s="94">
        <v>0.35804761934742596</v>
      </c>
      <c r="J377" s="66"/>
    </row>
    <row r="378" spans="1:10">
      <c r="A378" s="95" t="str">
        <f t="shared" si="5"/>
        <v>2019OTH_201601_P3T0</v>
      </c>
      <c r="B378" s="804" t="s">
        <v>425</v>
      </c>
      <c r="C378" s="804" t="s">
        <v>1624</v>
      </c>
      <c r="D378" s="804" t="s">
        <v>1399</v>
      </c>
      <c r="E378" s="804" t="s">
        <v>1457</v>
      </c>
      <c r="F378" s="804" t="s">
        <v>1622</v>
      </c>
      <c r="G378" s="66"/>
      <c r="H378" s="66">
        <v>937592.58702521003</v>
      </c>
      <c r="I378" s="94">
        <v>1</v>
      </c>
      <c r="J378" s="66"/>
    </row>
    <row r="379" spans="1:10">
      <c r="A379" s="95" t="str">
        <f t="shared" si="5"/>
        <v>2019OTH_201601_P3T1</v>
      </c>
      <c r="B379" s="804" t="s">
        <v>425</v>
      </c>
      <c r="C379" s="804" t="s">
        <v>1456</v>
      </c>
      <c r="D379" s="804" t="s">
        <v>1399</v>
      </c>
      <c r="E379" s="804" t="s">
        <v>1457</v>
      </c>
      <c r="F379" s="804" t="s">
        <v>1176</v>
      </c>
      <c r="G379" s="66"/>
      <c r="H379" s="66">
        <v>900874.35325374</v>
      </c>
      <c r="I379" s="94">
        <v>0.96083775162091511</v>
      </c>
      <c r="J379" s="66"/>
    </row>
    <row r="380" spans="1:10">
      <c r="A380" s="95" t="str">
        <f t="shared" si="5"/>
        <v>2019RES_199702_P1T1</v>
      </c>
      <c r="B380" s="804" t="s">
        <v>425</v>
      </c>
      <c r="C380" s="804" t="s">
        <v>550</v>
      </c>
      <c r="D380" s="804" t="s">
        <v>148</v>
      </c>
      <c r="E380" s="804" t="s">
        <v>148</v>
      </c>
      <c r="F380" s="804" t="s">
        <v>493</v>
      </c>
      <c r="G380" s="66">
        <v>4510028.1756447004</v>
      </c>
      <c r="H380" s="66">
        <v>373528</v>
      </c>
      <c r="I380" s="94">
        <v>1</v>
      </c>
      <c r="J380" s="66">
        <v>0</v>
      </c>
    </row>
    <row r="381" spans="1:10">
      <c r="A381" s="95" t="str">
        <f t="shared" si="5"/>
        <v>2019RES_199702_P1T2</v>
      </c>
      <c r="B381" s="804" t="s">
        <v>425</v>
      </c>
      <c r="C381" s="804" t="s">
        <v>551</v>
      </c>
      <c r="D381" s="804" t="s">
        <v>148</v>
      </c>
      <c r="E381" s="804" t="s">
        <v>148</v>
      </c>
      <c r="F381" s="804" t="s">
        <v>494</v>
      </c>
      <c r="G381" s="66">
        <v>4510692.1860314803</v>
      </c>
      <c r="H381" s="66">
        <v>373528</v>
      </c>
      <c r="I381" s="94">
        <v>1</v>
      </c>
      <c r="J381" s="66">
        <v>0</v>
      </c>
    </row>
    <row r="382" spans="1:10">
      <c r="A382" s="95" t="str">
        <f t="shared" si="5"/>
        <v>2019RES_199702_P1T3</v>
      </c>
      <c r="B382" s="804" t="s">
        <v>425</v>
      </c>
      <c r="C382" s="804" t="s">
        <v>552</v>
      </c>
      <c r="D382" s="804" t="s">
        <v>148</v>
      </c>
      <c r="E382" s="804" t="s">
        <v>148</v>
      </c>
      <c r="F382" s="804" t="s">
        <v>496</v>
      </c>
      <c r="G382" s="66">
        <v>3334362.5234579998</v>
      </c>
      <c r="H382" s="66">
        <v>373528</v>
      </c>
      <c r="I382" s="94">
        <v>1</v>
      </c>
      <c r="J382" s="66">
        <v>0</v>
      </c>
    </row>
    <row r="383" spans="1:10">
      <c r="A383" s="95" t="str">
        <f t="shared" si="5"/>
        <v>2019RES_199702_P1T4</v>
      </c>
      <c r="B383" s="804" t="s">
        <v>425</v>
      </c>
      <c r="C383" s="804" t="s">
        <v>40</v>
      </c>
      <c r="D383" s="804" t="s">
        <v>148</v>
      </c>
      <c r="E383" s="804" t="s">
        <v>148</v>
      </c>
      <c r="F383" s="804" t="s">
        <v>497</v>
      </c>
      <c r="G383" s="66">
        <v>2313945.3637158899</v>
      </c>
      <c r="H383" s="66">
        <v>208678.67312209</v>
      </c>
      <c r="I383" s="94">
        <v>0.55866942537665176</v>
      </c>
      <c r="J383" s="66">
        <v>0</v>
      </c>
    </row>
    <row r="384" spans="1:10">
      <c r="A384" s="95" t="str">
        <f t="shared" si="5"/>
        <v>2019RES_199702_P1T5</v>
      </c>
      <c r="B384" s="804" t="s">
        <v>425</v>
      </c>
      <c r="C384" s="804" t="s">
        <v>41</v>
      </c>
      <c r="D384" s="804" t="s">
        <v>148</v>
      </c>
      <c r="E384" s="804" t="s">
        <v>148</v>
      </c>
      <c r="F384" s="804" t="s">
        <v>495</v>
      </c>
      <c r="G384" s="66">
        <v>1077394.4314872499</v>
      </c>
      <c r="H384" s="66">
        <v>208678.67312209</v>
      </c>
      <c r="I384" s="94">
        <v>0.55866942537665176</v>
      </c>
      <c r="J384" s="66">
        <v>0</v>
      </c>
    </row>
    <row r="385" spans="1:10">
      <c r="A385" s="95" t="str">
        <f t="shared" si="5"/>
        <v>2019RES_199702_P1T6</v>
      </c>
      <c r="B385" s="804" t="s">
        <v>425</v>
      </c>
      <c r="C385" s="804" t="s">
        <v>42</v>
      </c>
      <c r="D385" s="804" t="s">
        <v>148</v>
      </c>
      <c r="E385" s="804" t="s">
        <v>148</v>
      </c>
      <c r="F385" s="804" t="s">
        <v>162</v>
      </c>
      <c r="G385" s="66">
        <v>475121.70968307997</v>
      </c>
      <c r="H385" s="66">
        <v>63139.719843500003</v>
      </c>
      <c r="I385" s="94">
        <v>0.16903610932379903</v>
      </c>
      <c r="J385" s="66">
        <v>0</v>
      </c>
    </row>
    <row r="386" spans="1:10">
      <c r="A386" s="95" t="str">
        <f t="shared" si="5"/>
        <v>2019RES_199702_P1T7</v>
      </c>
      <c r="B386" s="804" t="s">
        <v>425</v>
      </c>
      <c r="C386" s="804" t="s">
        <v>43</v>
      </c>
      <c r="D386" s="804" t="s">
        <v>148</v>
      </c>
      <c r="E386" s="804" t="s">
        <v>148</v>
      </c>
      <c r="F386" s="804" t="s">
        <v>163</v>
      </c>
      <c r="G386" s="66">
        <v>393096.24397587997</v>
      </c>
      <c r="H386" s="66">
        <v>63139.719843500003</v>
      </c>
      <c r="I386" s="94">
        <v>0.16903610932379903</v>
      </c>
      <c r="J386" s="66">
        <v>0</v>
      </c>
    </row>
    <row r="387" spans="1:10">
      <c r="A387" s="95" t="str">
        <f t="shared" si="5"/>
        <v>2019RES_199702_P1T8</v>
      </c>
      <c r="B387" s="804" t="s">
        <v>425</v>
      </c>
      <c r="C387" s="804" t="s">
        <v>44</v>
      </c>
      <c r="D387" s="804" t="s">
        <v>148</v>
      </c>
      <c r="E387" s="804" t="s">
        <v>148</v>
      </c>
      <c r="F387" s="804" t="s">
        <v>164</v>
      </c>
      <c r="G387" s="66">
        <v>210708.30100921</v>
      </c>
      <c r="H387" s="66">
        <v>36820.530079720003</v>
      </c>
      <c r="I387" s="94">
        <v>9.8575020024522939E-2</v>
      </c>
      <c r="J387" s="66">
        <v>0</v>
      </c>
    </row>
    <row r="388" spans="1:10">
      <c r="A388" s="95" t="str">
        <f t="shared" si="5"/>
        <v>2019RES_199703_P1T1</v>
      </c>
      <c r="B388" s="804" t="s">
        <v>425</v>
      </c>
      <c r="C388" s="804" t="s">
        <v>45</v>
      </c>
      <c r="D388" s="804" t="s">
        <v>149</v>
      </c>
      <c r="E388" s="804" t="s">
        <v>1074</v>
      </c>
      <c r="F388" s="804" t="s">
        <v>158</v>
      </c>
      <c r="G388" s="66">
        <v>172953251.21615699</v>
      </c>
      <c r="H388" s="66">
        <v>936383.08400000003</v>
      </c>
      <c r="I388" s="94">
        <v>3.4215876554058902E-2</v>
      </c>
      <c r="J388" s="66">
        <v>0</v>
      </c>
    </row>
    <row r="389" spans="1:10">
      <c r="A389" s="95" t="str">
        <f t="shared" si="5"/>
        <v>2019RES_199703_P2T1</v>
      </c>
      <c r="B389" s="804" t="s">
        <v>425</v>
      </c>
      <c r="C389" s="804" t="s">
        <v>46</v>
      </c>
      <c r="D389" s="804" t="s">
        <v>149</v>
      </c>
      <c r="E389" s="804" t="s">
        <v>1075</v>
      </c>
      <c r="F389" s="804" t="s">
        <v>158</v>
      </c>
      <c r="G389" s="66">
        <v>36158384.960492</v>
      </c>
      <c r="H389" s="66">
        <v>60402.702114139996</v>
      </c>
      <c r="I389" s="94">
        <v>3.1051803573817456E-3</v>
      </c>
      <c r="J389" s="66">
        <v>0</v>
      </c>
    </row>
    <row r="390" spans="1:10">
      <c r="A390" s="95" t="str">
        <f t="shared" si="5"/>
        <v>2019RES_199703_P3T1</v>
      </c>
      <c r="B390" s="804" t="s">
        <v>425</v>
      </c>
      <c r="C390" s="804" t="s">
        <v>102</v>
      </c>
      <c r="D390" s="804" t="s">
        <v>149</v>
      </c>
      <c r="E390" s="804" t="s">
        <v>449</v>
      </c>
      <c r="F390" s="804" t="s">
        <v>158</v>
      </c>
      <c r="G390" s="66">
        <v>66408928.526072003</v>
      </c>
      <c r="H390" s="66">
        <v>17323087.054000001</v>
      </c>
      <c r="I390" s="94">
        <v>0.63299371625008982</v>
      </c>
      <c r="J390" s="66">
        <v>10592497.109999999</v>
      </c>
    </row>
    <row r="391" spans="1:10">
      <c r="A391" s="95" t="str">
        <f t="shared" ref="A391:A454" si="6">B391&amp;C391</f>
        <v>2019RES_199703_P4T1</v>
      </c>
      <c r="B391" s="804" t="s">
        <v>425</v>
      </c>
      <c r="C391" s="804" t="s">
        <v>103</v>
      </c>
      <c r="D391" s="804" t="s">
        <v>149</v>
      </c>
      <c r="E391" s="804" t="s">
        <v>450</v>
      </c>
      <c r="F391" s="804" t="s">
        <v>158</v>
      </c>
      <c r="G391" s="66">
        <v>45723822.802294999</v>
      </c>
      <c r="H391" s="66">
        <v>11704788.550000001</v>
      </c>
      <c r="I391" s="94">
        <v>0.60171943010242346</v>
      </c>
      <c r="J391" s="66">
        <v>5328631.22</v>
      </c>
    </row>
    <row r="392" spans="1:10">
      <c r="A392" s="95" t="str">
        <f t="shared" si="6"/>
        <v>2019RES_199703_P5T1</v>
      </c>
      <c r="B392" s="804" t="s">
        <v>425</v>
      </c>
      <c r="C392" s="804" t="s">
        <v>1458</v>
      </c>
      <c r="D392" s="804" t="s">
        <v>149</v>
      </c>
      <c r="E392" s="804" t="s">
        <v>1076</v>
      </c>
      <c r="F392" s="804" t="s">
        <v>158</v>
      </c>
      <c r="G392" s="66">
        <v>69435470.343918204</v>
      </c>
      <c r="H392" s="66">
        <v>9107447.7464673501</v>
      </c>
      <c r="I392" s="94">
        <v>0.33279040719585318</v>
      </c>
      <c r="J392" s="66"/>
    </row>
    <row r="393" spans="1:10">
      <c r="A393" s="95" t="str">
        <f t="shared" si="6"/>
        <v>2019RES_199703_P6T1</v>
      </c>
      <c r="B393" s="804" t="s">
        <v>425</v>
      </c>
      <c r="C393" s="804" t="s">
        <v>1459</v>
      </c>
      <c r="D393" s="804" t="s">
        <v>149</v>
      </c>
      <c r="E393" s="804" t="s">
        <v>1077</v>
      </c>
      <c r="F393" s="804" t="s">
        <v>158</v>
      </c>
      <c r="G393" s="66">
        <v>56554274.580835097</v>
      </c>
      <c r="H393" s="66">
        <v>7687045.0634185104</v>
      </c>
      <c r="I393" s="94">
        <v>0.39517538954019232</v>
      </c>
      <c r="J393" s="66"/>
    </row>
    <row r="394" spans="1:10">
      <c r="A394" s="95" t="str">
        <f t="shared" si="6"/>
        <v>2019RES_199705_P1T1</v>
      </c>
      <c r="B394" s="804" t="s">
        <v>425</v>
      </c>
      <c r="C394" s="804" t="s">
        <v>696</v>
      </c>
      <c r="D394" s="804" t="s">
        <v>697</v>
      </c>
      <c r="E394" s="804" t="s">
        <v>698</v>
      </c>
      <c r="F394" s="804" t="s">
        <v>699</v>
      </c>
      <c r="G394" s="66"/>
      <c r="H394" s="66"/>
      <c r="I394" s="94"/>
      <c r="J394" s="66">
        <v>0</v>
      </c>
    </row>
    <row r="395" spans="1:10">
      <c r="A395" s="95" t="str">
        <f t="shared" si="6"/>
        <v>2019RES_199706_P1T1</v>
      </c>
      <c r="B395" s="804" t="s">
        <v>425</v>
      </c>
      <c r="C395" s="804" t="s">
        <v>700</v>
      </c>
      <c r="D395" s="804" t="s">
        <v>701</v>
      </c>
      <c r="E395" s="804" t="s">
        <v>701</v>
      </c>
      <c r="F395" s="804" t="s">
        <v>158</v>
      </c>
      <c r="G395" s="66"/>
      <c r="H395" s="66"/>
      <c r="I395" s="94"/>
      <c r="J395" s="66">
        <v>0</v>
      </c>
    </row>
    <row r="396" spans="1:10">
      <c r="A396" s="95" t="str">
        <f t="shared" si="6"/>
        <v>2019RES_199802_P1T1</v>
      </c>
      <c r="B396" s="804" t="s">
        <v>425</v>
      </c>
      <c r="C396" s="804" t="s">
        <v>702</v>
      </c>
      <c r="D396" s="804" t="s">
        <v>703</v>
      </c>
      <c r="E396" s="804" t="s">
        <v>704</v>
      </c>
      <c r="F396" s="804" t="s">
        <v>158</v>
      </c>
      <c r="G396" s="66"/>
      <c r="H396" s="66"/>
      <c r="I396" s="94"/>
      <c r="J396" s="66">
        <v>0</v>
      </c>
    </row>
    <row r="397" spans="1:10">
      <c r="A397" s="95" t="str">
        <f t="shared" si="6"/>
        <v>2019RES_200005_P1T1</v>
      </c>
      <c r="B397" s="804" t="s">
        <v>425</v>
      </c>
      <c r="C397" s="804" t="s">
        <v>555</v>
      </c>
      <c r="D397" s="804" t="s">
        <v>438</v>
      </c>
      <c r="E397" s="804" t="s">
        <v>438</v>
      </c>
      <c r="F397" s="804" t="s">
        <v>498</v>
      </c>
      <c r="G397" s="66">
        <v>3108222.3963816199</v>
      </c>
      <c r="H397" s="66">
        <v>378110.45</v>
      </c>
      <c r="I397" s="94">
        <v>0.95000000000000007</v>
      </c>
      <c r="J397" s="66">
        <v>0</v>
      </c>
    </row>
    <row r="398" spans="1:10">
      <c r="A398" s="95" t="str">
        <f t="shared" si="6"/>
        <v>2019RES_200005_P1T2</v>
      </c>
      <c r="B398" s="804" t="s">
        <v>425</v>
      </c>
      <c r="C398" s="804" t="s">
        <v>556</v>
      </c>
      <c r="D398" s="804" t="s">
        <v>438</v>
      </c>
      <c r="E398" s="804" t="s">
        <v>438</v>
      </c>
      <c r="F398" s="804" t="s">
        <v>499</v>
      </c>
      <c r="G398" s="66">
        <v>5005478.9038380198</v>
      </c>
      <c r="H398" s="66">
        <v>378110.45</v>
      </c>
      <c r="I398" s="94">
        <v>0.95000000000000007</v>
      </c>
      <c r="J398" s="66">
        <v>0</v>
      </c>
    </row>
    <row r="399" spans="1:10">
      <c r="A399" s="95" t="str">
        <f t="shared" si="6"/>
        <v>2019RES_200005_P1T3</v>
      </c>
      <c r="B399" s="804" t="s">
        <v>425</v>
      </c>
      <c r="C399" s="804" t="s">
        <v>557</v>
      </c>
      <c r="D399" s="804" t="s">
        <v>438</v>
      </c>
      <c r="E399" s="804" t="s">
        <v>438</v>
      </c>
      <c r="F399" s="804" t="s">
        <v>500</v>
      </c>
      <c r="G399" s="66">
        <v>2879039.6101665501</v>
      </c>
      <c r="H399" s="66">
        <v>378110.45</v>
      </c>
      <c r="I399" s="94">
        <v>0.95000000000000007</v>
      </c>
      <c r="J399" s="66">
        <v>0</v>
      </c>
    </row>
    <row r="400" spans="1:10">
      <c r="A400" s="95" t="str">
        <f t="shared" si="6"/>
        <v>2019RES_200005_P1T4</v>
      </c>
      <c r="B400" s="804" t="s">
        <v>425</v>
      </c>
      <c r="C400" s="804" t="s">
        <v>558</v>
      </c>
      <c r="D400" s="804" t="s">
        <v>438</v>
      </c>
      <c r="E400" s="804" t="s">
        <v>438</v>
      </c>
      <c r="F400" s="804" t="s">
        <v>501</v>
      </c>
      <c r="G400" s="66">
        <v>2849811.1101665501</v>
      </c>
      <c r="H400" s="66">
        <v>378110.45</v>
      </c>
      <c r="I400" s="94">
        <v>0.95000000000000007</v>
      </c>
      <c r="J400" s="66">
        <v>0</v>
      </c>
    </row>
    <row r="401" spans="1:10">
      <c r="A401" s="95" t="str">
        <f t="shared" si="6"/>
        <v>2019RES_200006_P1T1</v>
      </c>
      <c r="B401" s="804" t="s">
        <v>425</v>
      </c>
      <c r="C401" s="804" t="s">
        <v>599</v>
      </c>
      <c r="D401" s="804" t="s">
        <v>463</v>
      </c>
      <c r="E401" s="804" t="s">
        <v>463</v>
      </c>
      <c r="F401" s="804" t="s">
        <v>532</v>
      </c>
      <c r="G401" s="66">
        <v>4514223.7718097297</v>
      </c>
      <c r="H401" s="66">
        <v>435019</v>
      </c>
      <c r="I401" s="94">
        <v>1</v>
      </c>
      <c r="J401" s="66">
        <v>0</v>
      </c>
    </row>
    <row r="402" spans="1:10">
      <c r="A402" s="95" t="str">
        <f t="shared" si="6"/>
        <v>2019RES_200006_P1T2</v>
      </c>
      <c r="B402" s="804" t="s">
        <v>425</v>
      </c>
      <c r="C402" s="804" t="s">
        <v>600</v>
      </c>
      <c r="D402" s="804" t="s">
        <v>463</v>
      </c>
      <c r="E402" s="804" t="s">
        <v>463</v>
      </c>
      <c r="F402" s="804" t="s">
        <v>533</v>
      </c>
      <c r="G402" s="66">
        <v>3315248.7932000002</v>
      </c>
      <c r="H402" s="66">
        <v>435019</v>
      </c>
      <c r="I402" s="94">
        <v>1</v>
      </c>
      <c r="J402" s="66">
        <v>5726</v>
      </c>
    </row>
    <row r="403" spans="1:10">
      <c r="A403" s="95" t="str">
        <f t="shared" si="6"/>
        <v>2019RES_200006_P1T3</v>
      </c>
      <c r="B403" s="804" t="s">
        <v>425</v>
      </c>
      <c r="C403" s="804" t="s">
        <v>596</v>
      </c>
      <c r="D403" s="804" t="s">
        <v>463</v>
      </c>
      <c r="E403" s="804" t="s">
        <v>463</v>
      </c>
      <c r="F403" s="804" t="s">
        <v>529</v>
      </c>
      <c r="G403" s="66">
        <v>0</v>
      </c>
      <c r="H403" s="66">
        <v>0</v>
      </c>
      <c r="I403" s="94">
        <v>0</v>
      </c>
      <c r="J403" s="66">
        <v>10680</v>
      </c>
    </row>
    <row r="404" spans="1:10">
      <c r="A404" s="95" t="str">
        <f t="shared" si="6"/>
        <v>2019RES_200006_P1T4</v>
      </c>
      <c r="B404" s="804" t="s">
        <v>425</v>
      </c>
      <c r="C404" s="804" t="s">
        <v>597</v>
      </c>
      <c r="D404" s="804" t="s">
        <v>463</v>
      </c>
      <c r="E404" s="804" t="s">
        <v>463</v>
      </c>
      <c r="F404" s="804" t="s">
        <v>530</v>
      </c>
      <c r="G404" s="66">
        <v>0</v>
      </c>
      <c r="H404" s="66">
        <v>0</v>
      </c>
      <c r="I404" s="94">
        <v>0</v>
      </c>
      <c r="J404" s="66">
        <v>277</v>
      </c>
    </row>
    <row r="405" spans="1:10">
      <c r="A405" s="95" t="str">
        <f t="shared" si="6"/>
        <v>2019RES_200006_P1T5</v>
      </c>
      <c r="B405" s="804" t="s">
        <v>425</v>
      </c>
      <c r="C405" s="804" t="s">
        <v>598</v>
      </c>
      <c r="D405" s="804" t="s">
        <v>463</v>
      </c>
      <c r="E405" s="804" t="s">
        <v>463</v>
      </c>
      <c r="F405" s="804" t="s">
        <v>531</v>
      </c>
      <c r="G405" s="66">
        <v>0</v>
      </c>
      <c r="H405" s="66">
        <v>0</v>
      </c>
      <c r="I405" s="94">
        <v>0</v>
      </c>
      <c r="J405" s="66">
        <v>124</v>
      </c>
    </row>
    <row r="406" spans="1:10">
      <c r="A406" s="95" t="str">
        <f t="shared" si="6"/>
        <v>2019RES_200401_P11T1</v>
      </c>
      <c r="B406" s="804" t="s">
        <v>425</v>
      </c>
      <c r="C406" s="804" t="s">
        <v>47</v>
      </c>
      <c r="D406" s="804" t="s">
        <v>624</v>
      </c>
      <c r="E406" s="804" t="s">
        <v>1460</v>
      </c>
      <c r="F406" s="804" t="s">
        <v>1461</v>
      </c>
      <c r="G406" s="66"/>
      <c r="H406" s="66">
        <v>0</v>
      </c>
      <c r="I406" s="94">
        <v>0</v>
      </c>
      <c r="J406" s="66">
        <v>0</v>
      </c>
    </row>
    <row r="407" spans="1:10">
      <c r="A407" s="95" t="str">
        <f t="shared" si="6"/>
        <v>2019RES_200401_P12T1</v>
      </c>
      <c r="B407" s="804" t="s">
        <v>425</v>
      </c>
      <c r="C407" s="804" t="s">
        <v>705</v>
      </c>
      <c r="D407" s="804" t="s">
        <v>624</v>
      </c>
      <c r="E407" s="804" t="s">
        <v>706</v>
      </c>
      <c r="F407" s="804" t="s">
        <v>1461</v>
      </c>
      <c r="G407" s="66"/>
      <c r="H407" s="66"/>
      <c r="I407" s="94"/>
      <c r="J407" s="66">
        <v>0</v>
      </c>
    </row>
    <row r="408" spans="1:10">
      <c r="A408" s="95" t="str">
        <f t="shared" si="6"/>
        <v>2019RES_200401_P13T1</v>
      </c>
      <c r="B408" s="804" t="s">
        <v>425</v>
      </c>
      <c r="C408" s="804" t="s">
        <v>586</v>
      </c>
      <c r="D408" s="804" t="s">
        <v>624</v>
      </c>
      <c r="E408" s="804" t="s">
        <v>457</v>
      </c>
      <c r="F408" s="804" t="s">
        <v>1461</v>
      </c>
      <c r="G408" s="66"/>
      <c r="H408" s="66">
        <v>0</v>
      </c>
      <c r="I408" s="94"/>
      <c r="J408" s="66">
        <v>0</v>
      </c>
    </row>
    <row r="409" spans="1:10">
      <c r="A409" s="95" t="str">
        <f t="shared" si="6"/>
        <v>2019RES_200401_P15T1</v>
      </c>
      <c r="B409" s="804" t="s">
        <v>425</v>
      </c>
      <c r="C409" s="804" t="s">
        <v>707</v>
      </c>
      <c r="D409" s="804" t="s">
        <v>624</v>
      </c>
      <c r="E409" s="804" t="s">
        <v>708</v>
      </c>
      <c r="F409" s="804" t="s">
        <v>1461</v>
      </c>
      <c r="G409" s="66"/>
      <c r="H409" s="66"/>
      <c r="I409" s="94"/>
      <c r="J409" s="66">
        <v>0</v>
      </c>
    </row>
    <row r="410" spans="1:10">
      <c r="A410" s="95" t="str">
        <f t="shared" si="6"/>
        <v>2019RES_200401_P1T1</v>
      </c>
      <c r="B410" s="804" t="s">
        <v>425</v>
      </c>
      <c r="C410" s="804" t="s">
        <v>563</v>
      </c>
      <c r="D410" s="804" t="s">
        <v>624</v>
      </c>
      <c r="E410" s="804" t="s">
        <v>444</v>
      </c>
      <c r="F410" s="804" t="s">
        <v>504</v>
      </c>
      <c r="G410" s="66"/>
      <c r="H410" s="66">
        <v>13358.599513380001</v>
      </c>
      <c r="I410" s="94">
        <v>0.97346019131518358</v>
      </c>
      <c r="J410" s="66">
        <v>0</v>
      </c>
    </row>
    <row r="411" spans="1:10">
      <c r="A411" s="95" t="str">
        <f t="shared" si="6"/>
        <v>2019RES_200401_P1T2</v>
      </c>
      <c r="B411" s="804" t="s">
        <v>425</v>
      </c>
      <c r="C411" s="804" t="s">
        <v>564</v>
      </c>
      <c r="D411" s="804" t="s">
        <v>624</v>
      </c>
      <c r="E411" s="804" t="s">
        <v>444</v>
      </c>
      <c r="F411" s="804" t="s">
        <v>505</v>
      </c>
      <c r="G411" s="66"/>
      <c r="H411" s="66">
        <v>13358.599513380001</v>
      </c>
      <c r="I411" s="94">
        <v>0.97346019131518358</v>
      </c>
      <c r="J411" s="66">
        <v>0</v>
      </c>
    </row>
    <row r="412" spans="1:10">
      <c r="A412" s="95" t="str">
        <f t="shared" si="6"/>
        <v>2019RES_200401_P1T3</v>
      </c>
      <c r="B412" s="804" t="s">
        <v>425</v>
      </c>
      <c r="C412" s="804" t="s">
        <v>565</v>
      </c>
      <c r="D412" s="804" t="s">
        <v>624</v>
      </c>
      <c r="E412" s="804" t="s">
        <v>444</v>
      </c>
      <c r="F412" s="804" t="s">
        <v>506</v>
      </c>
      <c r="G412" s="66"/>
      <c r="H412" s="66">
        <v>13358.599513380001</v>
      </c>
      <c r="I412" s="94">
        <v>0.97346019131518358</v>
      </c>
      <c r="J412" s="66">
        <v>0</v>
      </c>
    </row>
    <row r="413" spans="1:10">
      <c r="A413" s="95" t="str">
        <f t="shared" si="6"/>
        <v>2019RES_200401_P2T1</v>
      </c>
      <c r="B413" s="804" t="s">
        <v>425</v>
      </c>
      <c r="C413" s="804" t="s">
        <v>576</v>
      </c>
      <c r="D413" s="804" t="s">
        <v>624</v>
      </c>
      <c r="E413" s="804" t="s">
        <v>452</v>
      </c>
      <c r="F413" s="804" t="s">
        <v>515</v>
      </c>
      <c r="G413" s="66"/>
      <c r="H413" s="66">
        <v>2140.7885167899999</v>
      </c>
      <c r="I413" s="94">
        <v>0.94504862035712578</v>
      </c>
      <c r="J413" s="66">
        <v>0</v>
      </c>
    </row>
    <row r="414" spans="1:10">
      <c r="A414" s="95" t="str">
        <f t="shared" si="6"/>
        <v>2019RES_200401_P2T2</v>
      </c>
      <c r="B414" s="804" t="s">
        <v>425</v>
      </c>
      <c r="C414" s="804" t="s">
        <v>577</v>
      </c>
      <c r="D414" s="804" t="s">
        <v>624</v>
      </c>
      <c r="E414" s="804" t="s">
        <v>452</v>
      </c>
      <c r="F414" s="804" t="s">
        <v>516</v>
      </c>
      <c r="G414" s="66"/>
      <c r="H414" s="66">
        <v>2140.7885167899999</v>
      </c>
      <c r="I414" s="94">
        <v>0.94504862035712578</v>
      </c>
      <c r="J414" s="66">
        <v>0</v>
      </c>
    </row>
    <row r="415" spans="1:10">
      <c r="A415" s="95" t="str">
        <f t="shared" si="6"/>
        <v>2019RES_200401_P2T3</v>
      </c>
      <c r="B415" s="804" t="s">
        <v>425</v>
      </c>
      <c r="C415" s="804" t="s">
        <v>578</v>
      </c>
      <c r="D415" s="804" t="s">
        <v>624</v>
      </c>
      <c r="E415" s="804" t="s">
        <v>452</v>
      </c>
      <c r="F415" s="804" t="s">
        <v>517</v>
      </c>
      <c r="G415" s="66"/>
      <c r="H415" s="66">
        <v>2140.7885167899999</v>
      </c>
      <c r="I415" s="94">
        <v>0.94504862035712578</v>
      </c>
      <c r="J415" s="66">
        <v>0</v>
      </c>
    </row>
    <row r="416" spans="1:10">
      <c r="A416" s="95" t="str">
        <f t="shared" si="6"/>
        <v>2019RES_200401_P3T1</v>
      </c>
      <c r="B416" s="804" t="s">
        <v>425</v>
      </c>
      <c r="C416" s="804" t="s">
        <v>588</v>
      </c>
      <c r="D416" s="804" t="s">
        <v>624</v>
      </c>
      <c r="E416" s="804" t="s">
        <v>458</v>
      </c>
      <c r="F416" s="804" t="s">
        <v>523</v>
      </c>
      <c r="G416" s="66"/>
      <c r="H416" s="66">
        <v>6654.6480000000001</v>
      </c>
      <c r="I416" s="94">
        <v>0.91</v>
      </c>
      <c r="J416" s="66">
        <v>0</v>
      </c>
    </row>
    <row r="417" spans="1:10">
      <c r="A417" s="95" t="str">
        <f t="shared" si="6"/>
        <v>2019RES_200401_P3T2</v>
      </c>
      <c r="B417" s="804" t="s">
        <v>425</v>
      </c>
      <c r="C417" s="804" t="s">
        <v>589</v>
      </c>
      <c r="D417" s="804" t="s">
        <v>624</v>
      </c>
      <c r="E417" s="804" t="s">
        <v>458</v>
      </c>
      <c r="F417" s="804" t="s">
        <v>1462</v>
      </c>
      <c r="G417" s="66"/>
      <c r="H417" s="66">
        <v>6654.6480000000001</v>
      </c>
      <c r="I417" s="94">
        <v>0.91</v>
      </c>
      <c r="J417" s="66">
        <v>0</v>
      </c>
    </row>
    <row r="418" spans="1:10">
      <c r="A418" s="95" t="str">
        <f t="shared" si="6"/>
        <v>2019RES_200401_P4T1</v>
      </c>
      <c r="B418" s="804" t="s">
        <v>425</v>
      </c>
      <c r="C418" s="804" t="s">
        <v>610</v>
      </c>
      <c r="D418" s="804" t="s">
        <v>624</v>
      </c>
      <c r="E418" s="804" t="s">
        <v>477</v>
      </c>
      <c r="F418" s="804" t="s">
        <v>535</v>
      </c>
      <c r="G418" s="66"/>
      <c r="H418" s="66">
        <v>18191.616000000002</v>
      </c>
      <c r="I418" s="94">
        <v>0.96000000000000019</v>
      </c>
      <c r="J418" s="66">
        <v>0</v>
      </c>
    </row>
    <row r="419" spans="1:10">
      <c r="A419" s="95" t="str">
        <f t="shared" si="6"/>
        <v>2019RES_200401_P4T2</v>
      </c>
      <c r="B419" s="804" t="s">
        <v>425</v>
      </c>
      <c r="C419" s="804" t="s">
        <v>611</v>
      </c>
      <c r="D419" s="804" t="s">
        <v>624</v>
      </c>
      <c r="E419" s="804" t="s">
        <v>477</v>
      </c>
      <c r="F419" s="804" t="s">
        <v>536</v>
      </c>
      <c r="G419" s="66"/>
      <c r="H419" s="66">
        <v>18191.616000000002</v>
      </c>
      <c r="I419" s="94">
        <v>0.96000000000000019</v>
      </c>
      <c r="J419" s="66">
        <v>0</v>
      </c>
    </row>
    <row r="420" spans="1:10">
      <c r="A420" s="95" t="str">
        <f t="shared" si="6"/>
        <v>2019RES_200401_P4T3</v>
      </c>
      <c r="B420" s="804" t="s">
        <v>425</v>
      </c>
      <c r="C420" s="804" t="s">
        <v>612</v>
      </c>
      <c r="D420" s="804" t="s">
        <v>624</v>
      </c>
      <c r="E420" s="804" t="s">
        <v>477</v>
      </c>
      <c r="F420" s="804" t="s">
        <v>537</v>
      </c>
      <c r="G420" s="66"/>
      <c r="H420" s="66">
        <v>18191.616000000002</v>
      </c>
      <c r="I420" s="94">
        <v>0.96000000000000019</v>
      </c>
      <c r="J420" s="66">
        <v>0</v>
      </c>
    </row>
    <row r="421" spans="1:10">
      <c r="A421" s="95" t="str">
        <f t="shared" si="6"/>
        <v>2019RES_200401_P5T1</v>
      </c>
      <c r="B421" s="804" t="s">
        <v>425</v>
      </c>
      <c r="C421" s="804" t="s">
        <v>48</v>
      </c>
      <c r="D421" s="804" t="s">
        <v>624</v>
      </c>
      <c r="E421" s="804" t="s">
        <v>1463</v>
      </c>
      <c r="F421" s="804" t="s">
        <v>1461</v>
      </c>
      <c r="G421" s="66"/>
      <c r="H421" s="66">
        <v>0</v>
      </c>
      <c r="I421" s="94">
        <v>0</v>
      </c>
      <c r="J421" s="66">
        <v>0</v>
      </c>
    </row>
    <row r="422" spans="1:10">
      <c r="A422" s="95" t="str">
        <f t="shared" si="6"/>
        <v>2019RES_200401_P6T1</v>
      </c>
      <c r="B422" s="804" t="s">
        <v>425</v>
      </c>
      <c r="C422" s="804" t="s">
        <v>49</v>
      </c>
      <c r="D422" s="804" t="s">
        <v>624</v>
      </c>
      <c r="E422" s="804" t="s">
        <v>1464</v>
      </c>
      <c r="F422" s="804" t="s">
        <v>1461</v>
      </c>
      <c r="G422" s="66"/>
      <c r="H422" s="66">
        <v>0</v>
      </c>
      <c r="I422" s="94">
        <v>0</v>
      </c>
      <c r="J422" s="66">
        <v>0</v>
      </c>
    </row>
    <row r="423" spans="1:10">
      <c r="A423" s="95" t="str">
        <f t="shared" si="6"/>
        <v>2019RES_200401_P7T1</v>
      </c>
      <c r="B423" s="804" t="s">
        <v>425</v>
      </c>
      <c r="C423" s="804" t="s">
        <v>50</v>
      </c>
      <c r="D423" s="804" t="s">
        <v>624</v>
      </c>
      <c r="E423" s="804" t="s">
        <v>1465</v>
      </c>
      <c r="F423" s="804" t="s">
        <v>1461</v>
      </c>
      <c r="G423" s="66"/>
      <c r="H423" s="66">
        <v>0</v>
      </c>
      <c r="I423" s="94">
        <v>0</v>
      </c>
      <c r="J423" s="66">
        <v>0</v>
      </c>
    </row>
    <row r="424" spans="1:10">
      <c r="A424" s="95" t="str">
        <f t="shared" si="6"/>
        <v>2019RES_200601_P1T1</v>
      </c>
      <c r="B424" s="804" t="s">
        <v>425</v>
      </c>
      <c r="C424" s="804" t="s">
        <v>571</v>
      </c>
      <c r="D424" s="804" t="s">
        <v>150</v>
      </c>
      <c r="E424" s="804" t="s">
        <v>447</v>
      </c>
      <c r="F424" s="804" t="s">
        <v>504</v>
      </c>
      <c r="G424" s="66"/>
      <c r="H424" s="66">
        <v>433.60107224000001</v>
      </c>
      <c r="I424" s="94">
        <v>0.2002952331362898</v>
      </c>
      <c r="J424" s="66"/>
    </row>
    <row r="425" spans="1:10">
      <c r="A425" s="95" t="str">
        <f t="shared" si="6"/>
        <v>2019RES_200601_P1T2</v>
      </c>
      <c r="B425" s="804" t="s">
        <v>425</v>
      </c>
      <c r="C425" s="804" t="s">
        <v>572</v>
      </c>
      <c r="D425" s="804" t="s">
        <v>150</v>
      </c>
      <c r="E425" s="804" t="s">
        <v>447</v>
      </c>
      <c r="F425" s="804" t="s">
        <v>505</v>
      </c>
      <c r="G425" s="66"/>
      <c r="H425" s="66">
        <v>433.60107224000001</v>
      </c>
      <c r="I425" s="94">
        <v>0.2002952331362898</v>
      </c>
      <c r="J425" s="66"/>
    </row>
    <row r="426" spans="1:10">
      <c r="A426" s="95" t="str">
        <f t="shared" si="6"/>
        <v>2019RES_200601_P1T3</v>
      </c>
      <c r="B426" s="804" t="s">
        <v>425</v>
      </c>
      <c r="C426" s="804" t="s">
        <v>573</v>
      </c>
      <c r="D426" s="804" t="s">
        <v>150</v>
      </c>
      <c r="E426" s="804" t="s">
        <v>447</v>
      </c>
      <c r="F426" s="804" t="s">
        <v>506</v>
      </c>
      <c r="G426" s="66"/>
      <c r="H426" s="66">
        <v>409.51212378999998</v>
      </c>
      <c r="I426" s="94">
        <v>0.18916772018786651</v>
      </c>
      <c r="J426" s="66"/>
    </row>
    <row r="427" spans="1:10">
      <c r="A427" s="95" t="str">
        <f t="shared" si="6"/>
        <v>2019RES_200601_P2T1</v>
      </c>
      <c r="B427" s="804" t="s">
        <v>425</v>
      </c>
      <c r="C427" s="804" t="s">
        <v>583</v>
      </c>
      <c r="D427" s="804" t="s">
        <v>150</v>
      </c>
      <c r="E427" s="804" t="s">
        <v>455</v>
      </c>
      <c r="F427" s="804" t="s">
        <v>515</v>
      </c>
      <c r="G427" s="66"/>
      <c r="H427" s="66">
        <v>305.81820391999997</v>
      </c>
      <c r="I427" s="94">
        <v>0.41513637680290277</v>
      </c>
      <c r="J427" s="66"/>
    </row>
    <row r="428" spans="1:10">
      <c r="A428" s="95" t="str">
        <f t="shared" si="6"/>
        <v>2019RES_200601_P2T2</v>
      </c>
      <c r="B428" s="804" t="s">
        <v>425</v>
      </c>
      <c r="C428" s="804" t="s">
        <v>584</v>
      </c>
      <c r="D428" s="804" t="s">
        <v>150</v>
      </c>
      <c r="E428" s="804" t="s">
        <v>455</v>
      </c>
      <c r="F428" s="804" t="s">
        <v>516</v>
      </c>
      <c r="G428" s="66"/>
      <c r="H428" s="66">
        <v>305.81820391999997</v>
      </c>
      <c r="I428" s="94">
        <v>0.41513637680290277</v>
      </c>
      <c r="J428" s="66"/>
    </row>
    <row r="429" spans="1:10">
      <c r="A429" s="95" t="str">
        <f t="shared" si="6"/>
        <v>2019RES_200601_P2T3</v>
      </c>
      <c r="B429" s="804" t="s">
        <v>425</v>
      </c>
      <c r="C429" s="804" t="s">
        <v>585</v>
      </c>
      <c r="D429" s="804" t="s">
        <v>150</v>
      </c>
      <c r="E429" s="804" t="s">
        <v>455</v>
      </c>
      <c r="F429" s="804" t="s">
        <v>517</v>
      </c>
      <c r="G429" s="66"/>
      <c r="H429" s="66">
        <v>305.81820391999997</v>
      </c>
      <c r="I429" s="94">
        <v>0.41513637680290277</v>
      </c>
      <c r="J429" s="66"/>
    </row>
    <row r="430" spans="1:10">
      <c r="A430" s="95" t="str">
        <f t="shared" si="6"/>
        <v>2019RES_200601_P3T1</v>
      </c>
      <c r="B430" s="804" t="s">
        <v>425</v>
      </c>
      <c r="C430" s="804" t="s">
        <v>595</v>
      </c>
      <c r="D430" s="804" t="s">
        <v>150</v>
      </c>
      <c r="E430" s="804" t="s">
        <v>461</v>
      </c>
      <c r="F430" s="804" t="s">
        <v>523</v>
      </c>
      <c r="G430" s="66"/>
      <c r="H430" s="66">
        <v>824.37911322000002</v>
      </c>
      <c r="I430" s="94">
        <v>0.24597541169307291</v>
      </c>
      <c r="J430" s="66"/>
    </row>
    <row r="431" spans="1:10">
      <c r="A431" s="95" t="str">
        <f t="shared" si="6"/>
        <v>2019RES_200601_P4T1</v>
      </c>
      <c r="B431" s="804" t="s">
        <v>425</v>
      </c>
      <c r="C431" s="804" t="s">
        <v>619</v>
      </c>
      <c r="D431" s="804" t="s">
        <v>150</v>
      </c>
      <c r="E431" s="804" t="s">
        <v>480</v>
      </c>
      <c r="F431" s="804" t="s">
        <v>535</v>
      </c>
      <c r="G431" s="66"/>
      <c r="H431" s="66">
        <v>8222.1070747100002</v>
      </c>
      <c r="I431" s="94">
        <v>1.7606072175807301</v>
      </c>
      <c r="J431" s="66"/>
    </row>
    <row r="432" spans="1:10">
      <c r="A432" s="95" t="str">
        <f t="shared" si="6"/>
        <v>2019RES_200601_P4T2</v>
      </c>
      <c r="B432" s="804" t="s">
        <v>425</v>
      </c>
      <c r="C432" s="804" t="s">
        <v>620</v>
      </c>
      <c r="D432" s="804" t="s">
        <v>150</v>
      </c>
      <c r="E432" s="804" t="s">
        <v>480</v>
      </c>
      <c r="F432" s="804" t="s">
        <v>536</v>
      </c>
      <c r="G432" s="66"/>
      <c r="H432" s="66">
        <v>0</v>
      </c>
      <c r="I432" s="94">
        <v>0</v>
      </c>
      <c r="J432" s="66"/>
    </row>
    <row r="433" spans="1:10">
      <c r="A433" s="95" t="str">
        <f t="shared" si="6"/>
        <v>2019RES_200601_P4T3</v>
      </c>
      <c r="B433" s="804" t="s">
        <v>425</v>
      </c>
      <c r="C433" s="804" t="s">
        <v>621</v>
      </c>
      <c r="D433" s="804" t="s">
        <v>150</v>
      </c>
      <c r="E433" s="804" t="s">
        <v>480</v>
      </c>
      <c r="F433" s="804" t="s">
        <v>537</v>
      </c>
      <c r="G433" s="66"/>
      <c r="H433" s="66">
        <v>1479.9792734499999</v>
      </c>
      <c r="I433" s="94">
        <v>0.31690929916500249</v>
      </c>
      <c r="J433" s="66"/>
    </row>
    <row r="434" spans="1:10">
      <c r="A434" s="95" t="str">
        <f t="shared" si="6"/>
        <v>2019RES_200804_P1T1</v>
      </c>
      <c r="B434" s="804" t="s">
        <v>425</v>
      </c>
      <c r="C434" s="804" t="s">
        <v>51</v>
      </c>
      <c r="D434" s="804" t="s">
        <v>151</v>
      </c>
      <c r="E434" s="804" t="s">
        <v>437</v>
      </c>
      <c r="F434" s="804" t="s">
        <v>158</v>
      </c>
      <c r="G434" s="66">
        <v>99973.319603020005</v>
      </c>
      <c r="H434" s="66"/>
      <c r="I434" s="94"/>
      <c r="J434" s="66">
        <v>7505.31099455</v>
      </c>
    </row>
    <row r="435" spans="1:10">
      <c r="A435" s="95" t="str">
        <f t="shared" si="6"/>
        <v>2019RES_200804_P2T1</v>
      </c>
      <c r="B435" s="804" t="s">
        <v>425</v>
      </c>
      <c r="C435" s="804" t="s">
        <v>52</v>
      </c>
      <c r="D435" s="804" t="s">
        <v>151</v>
      </c>
      <c r="E435" s="804" t="s">
        <v>435</v>
      </c>
      <c r="F435" s="804" t="s">
        <v>158</v>
      </c>
      <c r="G435" s="66">
        <v>13155.879000000001</v>
      </c>
      <c r="H435" s="66"/>
      <c r="I435" s="94"/>
      <c r="J435" s="66">
        <v>1366.7441245800001</v>
      </c>
    </row>
    <row r="436" spans="1:10">
      <c r="A436" s="95" t="str">
        <f t="shared" si="6"/>
        <v>2019RES_200804_P3T1</v>
      </c>
      <c r="B436" s="804" t="s">
        <v>425</v>
      </c>
      <c r="C436" s="804" t="s">
        <v>53</v>
      </c>
      <c r="D436" s="804" t="s">
        <v>151</v>
      </c>
      <c r="E436" s="804" t="s">
        <v>436</v>
      </c>
      <c r="F436" s="804" t="s">
        <v>158</v>
      </c>
      <c r="G436" s="66">
        <v>6740.59584</v>
      </c>
      <c r="H436" s="66"/>
      <c r="I436" s="94"/>
      <c r="J436" s="66">
        <v>1401.1414711499999</v>
      </c>
    </row>
    <row r="437" spans="1:10">
      <c r="A437" s="95" t="str">
        <f t="shared" si="6"/>
        <v>2019RES_201101_P1T1</v>
      </c>
      <c r="B437" s="804" t="s">
        <v>425</v>
      </c>
      <c r="C437" s="804" t="s">
        <v>54</v>
      </c>
      <c r="D437" s="804" t="s">
        <v>152</v>
      </c>
      <c r="E437" s="804" t="s">
        <v>430</v>
      </c>
      <c r="F437" s="804" t="s">
        <v>487</v>
      </c>
      <c r="G437" s="66">
        <v>508405.96875408001</v>
      </c>
      <c r="H437" s="66">
        <v>126167.15418786999</v>
      </c>
      <c r="I437" s="94">
        <v>0.42506204914867135</v>
      </c>
      <c r="J437" s="66">
        <v>25233.430837569998</v>
      </c>
    </row>
    <row r="438" spans="1:10">
      <c r="A438" s="95" t="str">
        <f t="shared" si="6"/>
        <v>2019RES_201101_P1T2</v>
      </c>
      <c r="B438" s="804" t="s">
        <v>425</v>
      </c>
      <c r="C438" s="804" t="s">
        <v>88</v>
      </c>
      <c r="D438" s="804" t="s">
        <v>152</v>
      </c>
      <c r="E438" s="804" t="s">
        <v>430</v>
      </c>
      <c r="F438" s="804" t="s">
        <v>488</v>
      </c>
      <c r="G438" s="66">
        <v>4767.3337906699999</v>
      </c>
      <c r="H438" s="66">
        <v>1484.102785</v>
      </c>
      <c r="I438" s="94">
        <v>5.000000000000001E-3</v>
      </c>
      <c r="J438" s="66">
        <v>742.05139250000002</v>
      </c>
    </row>
    <row r="439" spans="1:10">
      <c r="A439" s="95" t="str">
        <f t="shared" si="6"/>
        <v>2019RES_201101_P1T3</v>
      </c>
      <c r="B439" s="804" t="s">
        <v>425</v>
      </c>
      <c r="C439" s="804" t="s">
        <v>89</v>
      </c>
      <c r="D439" s="804" t="s">
        <v>152</v>
      </c>
      <c r="E439" s="804" t="s">
        <v>430</v>
      </c>
      <c r="F439" s="804" t="s">
        <v>489</v>
      </c>
      <c r="G439" s="66">
        <v>2125.52</v>
      </c>
      <c r="H439" s="66">
        <v>282.52</v>
      </c>
      <c r="I439" s="94">
        <v>9.5182086731277176E-4</v>
      </c>
      <c r="J439" s="66">
        <v>141.26</v>
      </c>
    </row>
    <row r="440" spans="1:10">
      <c r="A440" s="95" t="str">
        <f t="shared" si="6"/>
        <v>2019RES_201101_P1T4</v>
      </c>
      <c r="B440" s="804" t="s">
        <v>425</v>
      </c>
      <c r="C440" s="804" t="s">
        <v>90</v>
      </c>
      <c r="D440" s="804" t="s">
        <v>152</v>
      </c>
      <c r="E440" s="804" t="s">
        <v>430</v>
      </c>
      <c r="F440" s="804" t="s">
        <v>490</v>
      </c>
      <c r="G440" s="66">
        <v>1628.52</v>
      </c>
      <c r="H440" s="66">
        <v>282.52</v>
      </c>
      <c r="I440" s="94">
        <v>9.5182086731277176E-4</v>
      </c>
      <c r="J440" s="66">
        <v>141.26</v>
      </c>
    </row>
    <row r="441" spans="1:10">
      <c r="A441" s="95" t="str">
        <f t="shared" si="6"/>
        <v>2019RES_201101_P1T5</v>
      </c>
      <c r="B441" s="804" t="s">
        <v>425</v>
      </c>
      <c r="C441" s="804" t="s">
        <v>91</v>
      </c>
      <c r="D441" s="804" t="s">
        <v>152</v>
      </c>
      <c r="E441" s="804" t="s">
        <v>430</v>
      </c>
      <c r="F441" s="804" t="s">
        <v>491</v>
      </c>
      <c r="G441" s="66">
        <v>1224.52</v>
      </c>
      <c r="H441" s="66">
        <v>282.52</v>
      </c>
      <c r="I441" s="94">
        <v>9.5182086731277176E-4</v>
      </c>
      <c r="J441" s="66">
        <v>141.26</v>
      </c>
    </row>
    <row r="442" spans="1:10">
      <c r="A442" s="95" t="str">
        <f t="shared" si="6"/>
        <v>2019RES_201101_P1T6</v>
      </c>
      <c r="B442" s="804" t="s">
        <v>425</v>
      </c>
      <c r="C442" s="804" t="s">
        <v>117</v>
      </c>
      <c r="D442" s="804" t="s">
        <v>152</v>
      </c>
      <c r="E442" s="804" t="s">
        <v>430</v>
      </c>
      <c r="F442" s="804" t="s">
        <v>492</v>
      </c>
      <c r="G442" s="66">
        <v>1224.52</v>
      </c>
      <c r="H442" s="66">
        <v>282.52</v>
      </c>
      <c r="I442" s="94">
        <v>9.5182086731277176E-4</v>
      </c>
      <c r="J442" s="66">
        <v>141.26</v>
      </c>
    </row>
    <row r="443" spans="1:10">
      <c r="A443" s="95" t="str">
        <f t="shared" si="6"/>
        <v>2019RES_201202_P1T1</v>
      </c>
      <c r="B443" s="804" t="s">
        <v>425</v>
      </c>
      <c r="C443" s="804" t="s">
        <v>55</v>
      </c>
      <c r="D443" s="804" t="s">
        <v>153</v>
      </c>
      <c r="E443" s="804" t="s">
        <v>1282</v>
      </c>
      <c r="F443" s="804" t="s">
        <v>158</v>
      </c>
      <c r="G443" s="66">
        <v>26332</v>
      </c>
      <c r="H443" s="66">
        <v>4550</v>
      </c>
      <c r="I443" s="94">
        <v>2.8942746525726551E-2</v>
      </c>
      <c r="J443" s="66">
        <v>3646.2658898300001</v>
      </c>
    </row>
    <row r="444" spans="1:10">
      <c r="A444" s="95" t="str">
        <f t="shared" si="6"/>
        <v>2019RES_201202_P1T2</v>
      </c>
      <c r="B444" s="804" t="s">
        <v>425</v>
      </c>
      <c r="C444" s="804" t="s">
        <v>56</v>
      </c>
      <c r="D444" s="804" t="s">
        <v>153</v>
      </c>
      <c r="E444" s="804" t="s">
        <v>1282</v>
      </c>
      <c r="F444" s="804" t="s">
        <v>160</v>
      </c>
      <c r="G444" s="66">
        <v>18644</v>
      </c>
      <c r="H444" s="66">
        <v>4544</v>
      </c>
      <c r="I444" s="94">
        <v>2.8904580266571746E-2</v>
      </c>
      <c r="J444" s="66">
        <v>3626.0445387099999</v>
      </c>
    </row>
    <row r="445" spans="1:10">
      <c r="A445" s="95" t="str">
        <f t="shared" si="6"/>
        <v>2019RES_201202_P1T3</v>
      </c>
      <c r="B445" s="804" t="s">
        <v>425</v>
      </c>
      <c r="C445" s="804" t="s">
        <v>1225</v>
      </c>
      <c r="D445" s="804" t="s">
        <v>153</v>
      </c>
      <c r="E445" s="804" t="s">
        <v>1282</v>
      </c>
      <c r="F445" s="804" t="s">
        <v>1296</v>
      </c>
      <c r="G445" s="66">
        <v>11047.608388140001</v>
      </c>
      <c r="H445" s="66">
        <v>3880.60838814</v>
      </c>
      <c r="I445" s="94">
        <v>2.4684717570009736E-2</v>
      </c>
      <c r="J445" s="66">
        <v>3520.3780534399998</v>
      </c>
    </row>
    <row r="446" spans="1:10">
      <c r="A446" s="95" t="str">
        <f t="shared" si="6"/>
        <v>2019RES_201202_P1T4</v>
      </c>
      <c r="B446" s="804" t="s">
        <v>425</v>
      </c>
      <c r="C446" s="804" t="s">
        <v>1226</v>
      </c>
      <c r="D446" s="804" t="s">
        <v>153</v>
      </c>
      <c r="E446" s="804" t="s">
        <v>1282</v>
      </c>
      <c r="F446" s="804" t="s">
        <v>1297</v>
      </c>
      <c r="G446" s="66">
        <v>59.094800839999998</v>
      </c>
      <c r="H446" s="66">
        <v>28.094800840000001</v>
      </c>
      <c r="I446" s="94">
        <v>1.7871224162700866E-4</v>
      </c>
      <c r="J446" s="66">
        <v>0</v>
      </c>
    </row>
    <row r="447" spans="1:10">
      <c r="A447" s="95" t="str">
        <f t="shared" si="6"/>
        <v>2019RES_201202_P1T5</v>
      </c>
      <c r="B447" s="804" t="s">
        <v>425</v>
      </c>
      <c r="C447" s="804" t="s">
        <v>1466</v>
      </c>
      <c r="D447" s="804" t="s">
        <v>153</v>
      </c>
      <c r="E447" s="804" t="s">
        <v>1282</v>
      </c>
      <c r="F447" s="804" t="s">
        <v>1467</v>
      </c>
      <c r="G447" s="66">
        <v>0</v>
      </c>
      <c r="H447" s="66">
        <v>0</v>
      </c>
      <c r="I447" s="94">
        <v>0</v>
      </c>
      <c r="J447" s="66">
        <v>0</v>
      </c>
    </row>
    <row r="448" spans="1:10">
      <c r="A448" s="95" t="str">
        <f t="shared" si="6"/>
        <v>2019RES_201202_P2T1</v>
      </c>
      <c r="B448" s="804" t="s">
        <v>425</v>
      </c>
      <c r="C448" s="804" t="s">
        <v>57</v>
      </c>
      <c r="D448" s="804" t="s">
        <v>153</v>
      </c>
      <c r="E448" s="804" t="s">
        <v>1283</v>
      </c>
      <c r="F448" s="804" t="s">
        <v>158</v>
      </c>
      <c r="G448" s="66">
        <v>9321</v>
      </c>
      <c r="H448" s="66">
        <v>2410</v>
      </c>
      <c r="I448" s="94">
        <v>0.14553619747435725</v>
      </c>
      <c r="J448" s="66">
        <v>1947.0300530300001</v>
      </c>
    </row>
    <row r="449" spans="1:10">
      <c r="A449" s="95" t="str">
        <f t="shared" si="6"/>
        <v>2019RES_201202_P2T2</v>
      </c>
      <c r="B449" s="804" t="s">
        <v>425</v>
      </c>
      <c r="C449" s="804" t="s">
        <v>58</v>
      </c>
      <c r="D449" s="804" t="s">
        <v>153</v>
      </c>
      <c r="E449" s="804" t="s">
        <v>1283</v>
      </c>
      <c r="F449" s="804" t="s">
        <v>160</v>
      </c>
      <c r="G449" s="66">
        <v>8768.4500827400007</v>
      </c>
      <c r="H449" s="66">
        <v>2408.4500827400002</v>
      </c>
      <c r="I449" s="94">
        <v>0.14544260035219117</v>
      </c>
      <c r="J449" s="66">
        <v>1938.4046951299999</v>
      </c>
    </row>
    <row r="450" spans="1:10">
      <c r="A450" s="95" t="str">
        <f t="shared" si="6"/>
        <v>2019RES_201202_P2T3</v>
      </c>
      <c r="B450" s="804" t="s">
        <v>425</v>
      </c>
      <c r="C450" s="804" t="s">
        <v>1217</v>
      </c>
      <c r="D450" s="804" t="s">
        <v>153</v>
      </c>
      <c r="E450" s="804" t="s">
        <v>1283</v>
      </c>
      <c r="F450" s="804" t="s">
        <v>1296</v>
      </c>
      <c r="G450" s="66">
        <v>5746.8805846699997</v>
      </c>
      <c r="H450" s="66">
        <v>2319.8805846700002</v>
      </c>
      <c r="I450" s="94">
        <v>0.1400940244346309</v>
      </c>
      <c r="J450" s="66">
        <v>1807.3488275899999</v>
      </c>
    </row>
    <row r="451" spans="1:10">
      <c r="A451" s="95" t="str">
        <f t="shared" si="6"/>
        <v>2019RES_201202_P2T4</v>
      </c>
      <c r="B451" s="804" t="s">
        <v>425</v>
      </c>
      <c r="C451" s="804" t="s">
        <v>1218</v>
      </c>
      <c r="D451" s="804" t="s">
        <v>153</v>
      </c>
      <c r="E451" s="804" t="s">
        <v>1283</v>
      </c>
      <c r="F451" s="804" t="s">
        <v>1297</v>
      </c>
      <c r="G451" s="66">
        <v>51.273303919999996</v>
      </c>
      <c r="H451" s="66">
        <v>27.27330392</v>
      </c>
      <c r="I451" s="94">
        <v>1.6469929232694113E-3</v>
      </c>
      <c r="J451" s="66">
        <v>0</v>
      </c>
    </row>
    <row r="452" spans="1:10">
      <c r="A452" s="95" t="str">
        <f t="shared" si="6"/>
        <v>2019RES_201202_P2T5</v>
      </c>
      <c r="B452" s="804" t="s">
        <v>425</v>
      </c>
      <c r="C452" s="804" t="s">
        <v>1468</v>
      </c>
      <c r="D452" s="804" t="s">
        <v>153</v>
      </c>
      <c r="E452" s="804" t="s">
        <v>1283</v>
      </c>
      <c r="F452" s="804" t="s">
        <v>1467</v>
      </c>
      <c r="G452" s="66">
        <v>0</v>
      </c>
      <c r="H452" s="66">
        <v>0</v>
      </c>
      <c r="I452" s="94">
        <v>0</v>
      </c>
      <c r="J452" s="66">
        <v>0</v>
      </c>
    </row>
    <row r="453" spans="1:10">
      <c r="A453" s="95" t="str">
        <f t="shared" si="6"/>
        <v>2019RES_201202_P3T1</v>
      </c>
      <c r="B453" s="804" t="s">
        <v>425</v>
      </c>
      <c r="C453" s="804" t="s">
        <v>1184</v>
      </c>
      <c r="D453" s="804" t="s">
        <v>153</v>
      </c>
      <c r="E453" s="804" t="s">
        <v>1284</v>
      </c>
      <c r="F453" s="804" t="s">
        <v>158</v>
      </c>
      <c r="G453" s="66">
        <v>17470</v>
      </c>
      <c r="H453" s="66">
        <v>4180</v>
      </c>
      <c r="I453" s="94">
        <v>0.42636045115321758</v>
      </c>
      <c r="J453" s="66">
        <v>831.52108082999996</v>
      </c>
    </row>
    <row r="454" spans="1:10">
      <c r="A454" s="95" t="str">
        <f t="shared" si="6"/>
        <v>2019RES_201202_P3T2</v>
      </c>
      <c r="B454" s="804" t="s">
        <v>425</v>
      </c>
      <c r="C454" s="804" t="s">
        <v>1185</v>
      </c>
      <c r="D454" s="804" t="s">
        <v>153</v>
      </c>
      <c r="E454" s="804" t="s">
        <v>1284</v>
      </c>
      <c r="F454" s="804" t="s">
        <v>160</v>
      </c>
      <c r="G454" s="66">
        <v>16237</v>
      </c>
      <c r="H454" s="66">
        <v>4175</v>
      </c>
      <c r="I454" s="94">
        <v>0.42585045061356064</v>
      </c>
      <c r="J454" s="66">
        <v>826.81945415999996</v>
      </c>
    </row>
    <row r="455" spans="1:10">
      <c r="A455" s="95" t="str">
        <f t="shared" ref="A455:A518" si="7">B455&amp;C455</f>
        <v>2019RES_201202_P3T3</v>
      </c>
      <c r="B455" s="804" t="s">
        <v>425</v>
      </c>
      <c r="C455" s="804" t="s">
        <v>1219</v>
      </c>
      <c r="D455" s="804" t="s">
        <v>153</v>
      </c>
      <c r="E455" s="804" t="s">
        <v>1284</v>
      </c>
      <c r="F455" s="804" t="s">
        <v>1296</v>
      </c>
      <c r="G455" s="66">
        <v>11997</v>
      </c>
      <c r="H455" s="66">
        <v>3565</v>
      </c>
      <c r="I455" s="94">
        <v>0.36363038477541165</v>
      </c>
      <c r="J455" s="66">
        <v>811.15678776000004</v>
      </c>
    </row>
    <row r="456" spans="1:10">
      <c r="A456" s="95" t="str">
        <f t="shared" si="7"/>
        <v>2019RES_201202_P3T4</v>
      </c>
      <c r="B456" s="804" t="s">
        <v>425</v>
      </c>
      <c r="C456" s="804" t="s">
        <v>1220</v>
      </c>
      <c r="D456" s="804" t="s">
        <v>153</v>
      </c>
      <c r="E456" s="804" t="s">
        <v>1284</v>
      </c>
      <c r="F456" s="804" t="s">
        <v>1297</v>
      </c>
      <c r="G456" s="66">
        <v>64</v>
      </c>
      <c r="H456" s="66">
        <v>26</v>
      </c>
      <c r="I456" s="94">
        <v>2.6520028062161859E-3</v>
      </c>
      <c r="J456" s="66">
        <v>0</v>
      </c>
    </row>
    <row r="457" spans="1:10">
      <c r="A457" s="95" t="str">
        <f t="shared" si="7"/>
        <v>2019RES_201202_P3T5</v>
      </c>
      <c r="B457" s="804" t="s">
        <v>425</v>
      </c>
      <c r="C457" s="804" t="s">
        <v>1469</v>
      </c>
      <c r="D457" s="804" t="s">
        <v>153</v>
      </c>
      <c r="E457" s="804" t="s">
        <v>1284</v>
      </c>
      <c r="F457" s="804" t="s">
        <v>1467</v>
      </c>
      <c r="G457" s="66">
        <v>0</v>
      </c>
      <c r="H457" s="66">
        <v>0</v>
      </c>
      <c r="I457" s="94">
        <v>0</v>
      </c>
      <c r="J457" s="66">
        <v>0</v>
      </c>
    </row>
    <row r="458" spans="1:10">
      <c r="A458" s="95" t="str">
        <f t="shared" si="7"/>
        <v>2019RES_201202_P4T1</v>
      </c>
      <c r="B458" s="804" t="s">
        <v>425</v>
      </c>
      <c r="C458" s="804" t="s">
        <v>1221</v>
      </c>
      <c r="D458" s="804" t="s">
        <v>153</v>
      </c>
      <c r="E458" s="804" t="s">
        <v>1285</v>
      </c>
      <c r="F458" s="804" t="s">
        <v>158</v>
      </c>
      <c r="G458" s="66">
        <v>7463</v>
      </c>
      <c r="H458" s="66">
        <v>2213</v>
      </c>
      <c r="I458" s="94">
        <v>0.4582926667602113</v>
      </c>
      <c r="J458" s="66">
        <v>580.49663038000006</v>
      </c>
    </row>
    <row r="459" spans="1:10">
      <c r="A459" s="95" t="str">
        <f t="shared" si="7"/>
        <v>2019RES_201202_P4T2</v>
      </c>
      <c r="B459" s="804" t="s">
        <v>425</v>
      </c>
      <c r="C459" s="804" t="s">
        <v>1222</v>
      </c>
      <c r="D459" s="804" t="s">
        <v>153</v>
      </c>
      <c r="E459" s="804" t="s">
        <v>1285</v>
      </c>
      <c r="F459" s="804" t="s">
        <v>160</v>
      </c>
      <c r="G459" s="66">
        <v>7261</v>
      </c>
      <c r="H459" s="66">
        <v>2212</v>
      </c>
      <c r="I459" s="94">
        <v>0.4580855756319871</v>
      </c>
      <c r="J459" s="66">
        <v>578.24066389999996</v>
      </c>
    </row>
    <row r="460" spans="1:10">
      <c r="A460" s="95" t="str">
        <f t="shared" si="7"/>
        <v>2019RES_201202_P4T3</v>
      </c>
      <c r="B460" s="804" t="s">
        <v>425</v>
      </c>
      <c r="C460" s="804" t="s">
        <v>1223</v>
      </c>
      <c r="D460" s="804" t="s">
        <v>153</v>
      </c>
      <c r="E460" s="804" t="s">
        <v>1285</v>
      </c>
      <c r="F460" s="804" t="s">
        <v>1296</v>
      </c>
      <c r="G460" s="66">
        <v>6154</v>
      </c>
      <c r="H460" s="66">
        <v>2131</v>
      </c>
      <c r="I460" s="94">
        <v>0.44131119424582482</v>
      </c>
      <c r="J460" s="66">
        <v>573.77490576000002</v>
      </c>
    </row>
    <row r="461" spans="1:10">
      <c r="A461" s="95" t="str">
        <f t="shared" si="7"/>
        <v>2019RES_201202_P4T4</v>
      </c>
      <c r="B461" s="804" t="s">
        <v>425</v>
      </c>
      <c r="C461" s="804" t="s">
        <v>1224</v>
      </c>
      <c r="D461" s="804" t="s">
        <v>153</v>
      </c>
      <c r="E461" s="804" t="s">
        <v>1285</v>
      </c>
      <c r="F461" s="804" t="s">
        <v>1297</v>
      </c>
      <c r="G461" s="66">
        <v>53</v>
      </c>
      <c r="H461" s="66">
        <v>25</v>
      </c>
      <c r="I461" s="94">
        <v>5.1772782056056406E-3</v>
      </c>
      <c r="J461" s="66">
        <v>10.227272729999999</v>
      </c>
    </row>
    <row r="462" spans="1:10">
      <c r="A462" s="95" t="str">
        <f t="shared" si="7"/>
        <v>2019RES_201202_P4T5</v>
      </c>
      <c r="B462" s="804" t="s">
        <v>425</v>
      </c>
      <c r="C462" s="804" t="s">
        <v>1470</v>
      </c>
      <c r="D462" s="804" t="s">
        <v>153</v>
      </c>
      <c r="E462" s="804" t="s">
        <v>1285</v>
      </c>
      <c r="F462" s="804" t="s">
        <v>1467</v>
      </c>
      <c r="G462" s="66">
        <v>0</v>
      </c>
      <c r="H462" s="66">
        <v>0</v>
      </c>
      <c r="I462" s="94">
        <v>0</v>
      </c>
      <c r="J462" s="66">
        <v>0</v>
      </c>
    </row>
    <row r="463" spans="1:10">
      <c r="A463" s="95" t="str">
        <f t="shared" si="7"/>
        <v>2019RES_201301_P10T1</v>
      </c>
      <c r="B463" s="804" t="s">
        <v>425</v>
      </c>
      <c r="C463" s="804" t="s">
        <v>59</v>
      </c>
      <c r="D463" s="804" t="s">
        <v>154</v>
      </c>
      <c r="E463" s="804" t="s">
        <v>460</v>
      </c>
      <c r="F463" s="804" t="s">
        <v>514</v>
      </c>
      <c r="G463" s="66"/>
      <c r="H463" s="66">
        <v>0</v>
      </c>
      <c r="I463" s="94">
        <v>0</v>
      </c>
      <c r="J463" s="66">
        <v>0</v>
      </c>
    </row>
    <row r="464" spans="1:10">
      <c r="A464" s="95" t="str">
        <f t="shared" si="7"/>
        <v>2019RES_201301_P11T1</v>
      </c>
      <c r="B464" s="804" t="s">
        <v>425</v>
      </c>
      <c r="C464" s="804" t="s">
        <v>618</v>
      </c>
      <c r="D464" s="804" t="s">
        <v>154</v>
      </c>
      <c r="E464" s="804" t="s">
        <v>1460</v>
      </c>
      <c r="F464" s="804" t="s">
        <v>1461</v>
      </c>
      <c r="G464" s="66"/>
      <c r="H464" s="66">
        <v>0</v>
      </c>
      <c r="I464" s="94">
        <v>0</v>
      </c>
      <c r="J464" s="66">
        <v>0</v>
      </c>
    </row>
    <row r="465" spans="1:10">
      <c r="A465" s="95" t="str">
        <f t="shared" si="7"/>
        <v>2019RES_201301_P12T1</v>
      </c>
      <c r="B465" s="804" t="s">
        <v>425</v>
      </c>
      <c r="C465" s="804" t="s">
        <v>60</v>
      </c>
      <c r="D465" s="804" t="s">
        <v>154</v>
      </c>
      <c r="E465" s="804" t="s">
        <v>479</v>
      </c>
      <c r="F465" s="804" t="s">
        <v>514</v>
      </c>
      <c r="G465" s="66"/>
      <c r="H465" s="66">
        <v>0</v>
      </c>
      <c r="I465" s="94">
        <v>0</v>
      </c>
      <c r="J465" s="66">
        <v>0</v>
      </c>
    </row>
    <row r="466" spans="1:10">
      <c r="A466" s="95" t="str">
        <f t="shared" si="7"/>
        <v>2019RES_201301_P13T1</v>
      </c>
      <c r="B466" s="804" t="s">
        <v>425</v>
      </c>
      <c r="C466" s="804" t="s">
        <v>81</v>
      </c>
      <c r="D466" s="804" t="s">
        <v>154</v>
      </c>
      <c r="E466" s="804" t="s">
        <v>1471</v>
      </c>
      <c r="F466" s="804" t="s">
        <v>1472</v>
      </c>
      <c r="G466" s="66"/>
      <c r="H466" s="66">
        <v>9</v>
      </c>
      <c r="I466" s="94">
        <v>6.5596711418200893E-4</v>
      </c>
      <c r="J466" s="66">
        <v>0</v>
      </c>
    </row>
    <row r="467" spans="1:10">
      <c r="A467" s="95" t="str">
        <f t="shared" si="7"/>
        <v>2019RES_201301_P13T2</v>
      </c>
      <c r="B467" s="804" t="s">
        <v>425</v>
      </c>
      <c r="C467" s="804" t="s">
        <v>82</v>
      </c>
      <c r="D467" s="804" t="s">
        <v>154</v>
      </c>
      <c r="E467" s="804" t="s">
        <v>1473</v>
      </c>
      <c r="F467" s="804" t="s">
        <v>1472</v>
      </c>
      <c r="G467" s="66"/>
      <c r="H467" s="66">
        <v>0</v>
      </c>
      <c r="I467" s="94">
        <v>0</v>
      </c>
      <c r="J467" s="66">
        <v>0</v>
      </c>
    </row>
    <row r="468" spans="1:10">
      <c r="A468" s="95" t="str">
        <f t="shared" si="7"/>
        <v>2019RES_201301_P13T3</v>
      </c>
      <c r="B468" s="804" t="s">
        <v>425</v>
      </c>
      <c r="C468" s="804" t="s">
        <v>83</v>
      </c>
      <c r="D468" s="804" t="s">
        <v>154</v>
      </c>
      <c r="E468" s="804" t="s">
        <v>1474</v>
      </c>
      <c r="F468" s="804" t="s">
        <v>1472</v>
      </c>
      <c r="G468" s="66"/>
      <c r="H468" s="66">
        <v>0</v>
      </c>
      <c r="I468" s="94">
        <v>0</v>
      </c>
      <c r="J468" s="66">
        <v>0</v>
      </c>
    </row>
    <row r="469" spans="1:10">
      <c r="A469" s="95" t="str">
        <f t="shared" si="7"/>
        <v>2019RES_201301_P13T4</v>
      </c>
      <c r="B469" s="804" t="s">
        <v>425</v>
      </c>
      <c r="C469" s="804" t="s">
        <v>84</v>
      </c>
      <c r="D469" s="804" t="s">
        <v>154</v>
      </c>
      <c r="E469" s="804" t="s">
        <v>1475</v>
      </c>
      <c r="F469" s="804" t="s">
        <v>1472</v>
      </c>
      <c r="G469" s="66"/>
      <c r="H469" s="66">
        <v>86</v>
      </c>
      <c r="I469" s="94">
        <v>4.6967666721455907E-3</v>
      </c>
      <c r="J469" s="66">
        <v>0</v>
      </c>
    </row>
    <row r="470" spans="1:10">
      <c r="A470" s="95" t="str">
        <f t="shared" si="7"/>
        <v>2019RES_201301_P14T1</v>
      </c>
      <c r="B470" s="804" t="s">
        <v>425</v>
      </c>
      <c r="C470" s="804" t="s">
        <v>76</v>
      </c>
      <c r="D470" s="804" t="s">
        <v>154</v>
      </c>
      <c r="E470" s="804" t="s">
        <v>1476</v>
      </c>
      <c r="F470" s="804" t="s">
        <v>1472</v>
      </c>
      <c r="G470" s="66"/>
      <c r="H470" s="66">
        <v>1200</v>
      </c>
      <c r="I470" s="94">
        <v>6.5536279146217541E-2</v>
      </c>
      <c r="J470" s="66">
        <v>144</v>
      </c>
    </row>
    <row r="471" spans="1:10">
      <c r="A471" s="95" t="str">
        <f t="shared" si="7"/>
        <v>2019RES_201301_P15T1</v>
      </c>
      <c r="B471" s="804" t="s">
        <v>425</v>
      </c>
      <c r="C471" s="804" t="s">
        <v>77</v>
      </c>
      <c r="D471" s="804" t="s">
        <v>154</v>
      </c>
      <c r="E471" s="804" t="s">
        <v>1477</v>
      </c>
      <c r="F471" s="804" t="s">
        <v>1472</v>
      </c>
      <c r="G471" s="66"/>
      <c r="H471" s="66">
        <v>1260</v>
      </c>
      <c r="I471" s="94">
        <v>9.1835395985481252E-2</v>
      </c>
      <c r="J471" s="66">
        <v>0</v>
      </c>
    </row>
    <row r="472" spans="1:10">
      <c r="A472" s="95" t="str">
        <f t="shared" si="7"/>
        <v>2019RES_201301_P15T2</v>
      </c>
      <c r="B472" s="804" t="s">
        <v>425</v>
      </c>
      <c r="C472" s="804" t="s">
        <v>78</v>
      </c>
      <c r="D472" s="804" t="s">
        <v>154</v>
      </c>
      <c r="E472" s="804" t="s">
        <v>1478</v>
      </c>
      <c r="F472" s="804" t="s">
        <v>1472</v>
      </c>
      <c r="G472" s="66"/>
      <c r="H472" s="66">
        <v>94</v>
      </c>
      <c r="I472" s="94">
        <v>4.1496191527957464E-2</v>
      </c>
      <c r="J472" s="66">
        <v>0</v>
      </c>
    </row>
    <row r="473" spans="1:10">
      <c r="A473" s="95" t="str">
        <f t="shared" si="7"/>
        <v>2019RES_201301_P15T3</v>
      </c>
      <c r="B473" s="804" t="s">
        <v>425</v>
      </c>
      <c r="C473" s="804" t="s">
        <v>79</v>
      </c>
      <c r="D473" s="804" t="s">
        <v>154</v>
      </c>
      <c r="E473" s="804" t="s">
        <v>1479</v>
      </c>
      <c r="F473" s="804" t="s">
        <v>1472</v>
      </c>
      <c r="G473" s="66"/>
      <c r="H473" s="66">
        <v>75</v>
      </c>
      <c r="I473" s="94">
        <v>1.124425245856654E-2</v>
      </c>
      <c r="J473" s="66">
        <v>2</v>
      </c>
    </row>
    <row r="474" spans="1:10">
      <c r="A474" s="95" t="str">
        <f t="shared" si="7"/>
        <v>2019RES_201301_P15T4</v>
      </c>
      <c r="B474" s="804" t="s">
        <v>425</v>
      </c>
      <c r="C474" s="804" t="s">
        <v>80</v>
      </c>
      <c r="D474" s="804" t="s">
        <v>154</v>
      </c>
      <c r="E474" s="804" t="s">
        <v>1480</v>
      </c>
      <c r="F474" s="804" t="s">
        <v>1472</v>
      </c>
      <c r="G474" s="66"/>
      <c r="H474" s="66">
        <v>1074</v>
      </c>
      <c r="I474" s="94">
        <v>5.8654969835864698E-2</v>
      </c>
      <c r="J474" s="66">
        <v>107.4</v>
      </c>
    </row>
    <row r="475" spans="1:10">
      <c r="A475" s="95" t="str">
        <f t="shared" si="7"/>
        <v>2019RES_201301_P17T1</v>
      </c>
      <c r="B475" s="804" t="s">
        <v>425</v>
      </c>
      <c r="C475" s="804" t="s">
        <v>118</v>
      </c>
      <c r="D475" s="804" t="s">
        <v>154</v>
      </c>
      <c r="E475" s="804" t="s">
        <v>706</v>
      </c>
      <c r="F475" s="804" t="s">
        <v>1461</v>
      </c>
      <c r="G475" s="66"/>
      <c r="H475" s="66">
        <v>0</v>
      </c>
      <c r="I475" s="94">
        <v>0</v>
      </c>
      <c r="J475" s="66">
        <v>0</v>
      </c>
    </row>
    <row r="476" spans="1:10">
      <c r="A476" s="95" t="str">
        <f t="shared" si="7"/>
        <v>2019RES_201301_P18T1</v>
      </c>
      <c r="B476" s="804" t="s">
        <v>425</v>
      </c>
      <c r="C476" s="804" t="s">
        <v>119</v>
      </c>
      <c r="D476" s="804" t="s">
        <v>154</v>
      </c>
      <c r="E476" s="804" t="s">
        <v>708</v>
      </c>
      <c r="F476" s="804" t="s">
        <v>1461</v>
      </c>
      <c r="G476" s="66"/>
      <c r="H476" s="66">
        <v>0</v>
      </c>
      <c r="I476" s="94">
        <v>0</v>
      </c>
      <c r="J476" s="66">
        <v>0</v>
      </c>
    </row>
    <row r="477" spans="1:10">
      <c r="A477" s="95" t="str">
        <f t="shared" si="7"/>
        <v>2019Res_201301_P19T1</v>
      </c>
      <c r="B477" s="804" t="s">
        <v>425</v>
      </c>
      <c r="C477" s="804" t="s">
        <v>1088</v>
      </c>
      <c r="D477" s="804" t="s">
        <v>154</v>
      </c>
      <c r="E477" s="804" t="s">
        <v>1089</v>
      </c>
      <c r="F477" s="804" t="s">
        <v>1472</v>
      </c>
      <c r="G477" s="66"/>
      <c r="H477" s="66">
        <v>3276</v>
      </c>
      <c r="I477" s="94">
        <v>0.4911489473901865</v>
      </c>
      <c r="J477" s="66">
        <v>3276</v>
      </c>
    </row>
    <row r="478" spans="1:10">
      <c r="A478" s="95" t="str">
        <f t="shared" si="7"/>
        <v>2019RES_201301_P1T4</v>
      </c>
      <c r="B478" s="804" t="s">
        <v>425</v>
      </c>
      <c r="C478" s="804" t="s">
        <v>61</v>
      </c>
      <c r="D478" s="804" t="s">
        <v>154</v>
      </c>
      <c r="E478" s="804" t="s">
        <v>444</v>
      </c>
      <c r="F478" s="804" t="s">
        <v>507</v>
      </c>
      <c r="G478" s="66"/>
      <c r="H478" s="66">
        <v>13355</v>
      </c>
      <c r="I478" s="94">
        <v>0.9733823122111922</v>
      </c>
      <c r="J478" s="66"/>
    </row>
    <row r="479" spans="1:10">
      <c r="A479" s="95" t="str">
        <f t="shared" si="7"/>
        <v>2019RES_201301_P1T5</v>
      </c>
      <c r="B479" s="804" t="s">
        <v>425</v>
      </c>
      <c r="C479" s="804" t="s">
        <v>62</v>
      </c>
      <c r="D479" s="804" t="s">
        <v>154</v>
      </c>
      <c r="E479" s="804" t="s">
        <v>444</v>
      </c>
      <c r="F479" s="804" t="s">
        <v>508</v>
      </c>
      <c r="G479" s="66"/>
      <c r="H479" s="66">
        <v>0</v>
      </c>
      <c r="I479" s="94">
        <v>0</v>
      </c>
      <c r="J479" s="66"/>
    </row>
    <row r="480" spans="1:10">
      <c r="A480" s="95" t="str">
        <f t="shared" si="7"/>
        <v>2019Res_201301_P20T3</v>
      </c>
      <c r="B480" s="804" t="s">
        <v>425</v>
      </c>
      <c r="C480" s="804" t="s">
        <v>709</v>
      </c>
      <c r="D480" s="804" t="s">
        <v>154</v>
      </c>
      <c r="E480" s="804" t="s">
        <v>1481</v>
      </c>
      <c r="F480" s="804" t="s">
        <v>1472</v>
      </c>
      <c r="G480" s="66"/>
      <c r="H480" s="66">
        <v>698</v>
      </c>
      <c r="I480" s="94">
        <v>3.8120269036716538E-2</v>
      </c>
      <c r="J480" s="66">
        <v>698</v>
      </c>
    </row>
    <row r="481" spans="1:10">
      <c r="A481" s="95" t="str">
        <f t="shared" si="7"/>
        <v>2019RES_201301_P21T1</v>
      </c>
      <c r="B481" s="804" t="s">
        <v>425</v>
      </c>
      <c r="C481" s="804" t="s">
        <v>1212</v>
      </c>
      <c r="D481" s="804" t="s">
        <v>154</v>
      </c>
      <c r="E481" s="804" t="s">
        <v>1482</v>
      </c>
      <c r="F481" s="804" t="s">
        <v>1472</v>
      </c>
      <c r="G481" s="66"/>
      <c r="H481" s="66">
        <v>350</v>
      </c>
      <c r="I481" s="94">
        <v>2.5509832218189237E-2</v>
      </c>
      <c r="J481" s="66">
        <v>0</v>
      </c>
    </row>
    <row r="482" spans="1:10">
      <c r="A482" s="95" t="str">
        <f t="shared" si="7"/>
        <v>2019RES_201301_P22T1</v>
      </c>
      <c r="B482" s="804" t="s">
        <v>425</v>
      </c>
      <c r="C482" s="804" t="s">
        <v>1213</v>
      </c>
      <c r="D482" s="804" t="s">
        <v>154</v>
      </c>
      <c r="E482" s="804" t="s">
        <v>1483</v>
      </c>
      <c r="F482" s="804" t="s">
        <v>1472</v>
      </c>
      <c r="G482" s="66"/>
      <c r="H482" s="66">
        <v>5</v>
      </c>
      <c r="I482" s="94">
        <v>2.2072442302105036E-3</v>
      </c>
      <c r="J482" s="66">
        <v>0</v>
      </c>
    </row>
    <row r="483" spans="1:10">
      <c r="A483" s="95" t="str">
        <f t="shared" si="7"/>
        <v>2019RES_201301_P23T1</v>
      </c>
      <c r="B483" s="804" t="s">
        <v>425</v>
      </c>
      <c r="C483" s="804" t="s">
        <v>1214</v>
      </c>
      <c r="D483" s="804" t="s">
        <v>154</v>
      </c>
      <c r="E483" s="804" t="s">
        <v>1484</v>
      </c>
      <c r="F483" s="804" t="s">
        <v>1472</v>
      </c>
      <c r="G483" s="66"/>
      <c r="H483" s="66">
        <v>40</v>
      </c>
      <c r="I483" s="94">
        <v>5.9969346445688217E-3</v>
      </c>
      <c r="J483" s="66">
        <v>0</v>
      </c>
    </row>
    <row r="484" spans="1:10">
      <c r="A484" s="95" t="str">
        <f t="shared" si="7"/>
        <v>2019RES_201301_P24T1</v>
      </c>
      <c r="B484" s="804" t="s">
        <v>425</v>
      </c>
      <c r="C484" s="804" t="s">
        <v>1215</v>
      </c>
      <c r="D484" s="804" t="s">
        <v>154</v>
      </c>
      <c r="E484" s="804" t="s">
        <v>1485</v>
      </c>
      <c r="F484" s="804" t="s">
        <v>1472</v>
      </c>
      <c r="G484" s="66"/>
      <c r="H484" s="66">
        <v>450</v>
      </c>
      <c r="I484" s="94">
        <v>2.4576104679831578E-2</v>
      </c>
      <c r="J484" s="66">
        <v>0</v>
      </c>
    </row>
    <row r="485" spans="1:10">
      <c r="A485" s="95" t="str">
        <f t="shared" si="7"/>
        <v>2019RES_201301_P25T1</v>
      </c>
      <c r="B485" s="804" t="s">
        <v>425</v>
      </c>
      <c r="C485" s="804" t="s">
        <v>1216</v>
      </c>
      <c r="D485" s="804" t="s">
        <v>154</v>
      </c>
      <c r="E485" s="804" t="s">
        <v>1486</v>
      </c>
      <c r="F485" s="804" t="s">
        <v>1472</v>
      </c>
      <c r="G485" s="66"/>
      <c r="H485" s="66">
        <v>137</v>
      </c>
      <c r="I485" s="94">
        <v>7.4820585358598363E-3</v>
      </c>
      <c r="J485" s="66">
        <v>0</v>
      </c>
    </row>
    <row r="486" spans="1:10">
      <c r="A486" s="95" t="str">
        <f t="shared" si="7"/>
        <v>2019RES_201301_P26T5</v>
      </c>
      <c r="B486" s="804" t="s">
        <v>425</v>
      </c>
      <c r="C486" s="804" t="s">
        <v>1211</v>
      </c>
      <c r="D486" s="804" t="s">
        <v>154</v>
      </c>
      <c r="E486" s="804" t="s">
        <v>1487</v>
      </c>
      <c r="F486" s="804" t="s">
        <v>1472</v>
      </c>
      <c r="G486" s="66"/>
      <c r="H486" s="66">
        <v>85</v>
      </c>
      <c r="I486" s="94">
        <v>1.2743486119708745E-2</v>
      </c>
      <c r="J486" s="66">
        <v>2</v>
      </c>
    </row>
    <row r="487" spans="1:10">
      <c r="A487" s="95" t="str">
        <f t="shared" si="7"/>
        <v>2019RES_201301_P2T4</v>
      </c>
      <c r="B487" s="804" t="s">
        <v>425</v>
      </c>
      <c r="C487" s="804" t="s">
        <v>63</v>
      </c>
      <c r="D487" s="804" t="s">
        <v>154</v>
      </c>
      <c r="E487" s="804" t="s">
        <v>452</v>
      </c>
      <c r="F487" s="804" t="s">
        <v>508</v>
      </c>
      <c r="G487" s="66"/>
      <c r="H487" s="66">
        <v>0</v>
      </c>
      <c r="I487" s="94">
        <v>0</v>
      </c>
      <c r="J487" s="66"/>
    </row>
    <row r="488" spans="1:10">
      <c r="A488" s="95" t="str">
        <f t="shared" si="7"/>
        <v>2019RES_201301_P2T5</v>
      </c>
      <c r="B488" s="804" t="s">
        <v>425</v>
      </c>
      <c r="C488" s="804" t="s">
        <v>64</v>
      </c>
      <c r="D488" s="804" t="s">
        <v>154</v>
      </c>
      <c r="E488" s="804" t="s">
        <v>452</v>
      </c>
      <c r="F488" s="804" t="s">
        <v>518</v>
      </c>
      <c r="G488" s="66"/>
      <c r="H488" s="66">
        <v>0</v>
      </c>
      <c r="I488" s="94">
        <v>0</v>
      </c>
      <c r="J488" s="66"/>
    </row>
    <row r="489" spans="1:10">
      <c r="A489" s="95" t="str">
        <f t="shared" si="7"/>
        <v>2019Res_201301_P3T3</v>
      </c>
      <c r="B489" s="804" t="s">
        <v>425</v>
      </c>
      <c r="C489" s="804" t="s">
        <v>587</v>
      </c>
      <c r="D489" s="804" t="s">
        <v>154</v>
      </c>
      <c r="E489" s="804" t="s">
        <v>458</v>
      </c>
      <c r="F489" s="804" t="s">
        <v>1288</v>
      </c>
      <c r="G489" s="66"/>
      <c r="H489" s="66">
        <v>6069</v>
      </c>
      <c r="I489" s="94">
        <v>0.90988490894720442</v>
      </c>
      <c r="J489" s="66"/>
    </row>
    <row r="490" spans="1:10">
      <c r="A490" s="95" t="str">
        <f t="shared" si="7"/>
        <v>2019RES_201301_P3T4</v>
      </c>
      <c r="B490" s="804" t="s">
        <v>425</v>
      </c>
      <c r="C490" s="804" t="s">
        <v>65</v>
      </c>
      <c r="D490" s="804" t="s">
        <v>154</v>
      </c>
      <c r="E490" s="804" t="s">
        <v>458</v>
      </c>
      <c r="F490" s="804" t="s">
        <v>1488</v>
      </c>
      <c r="G490" s="66"/>
      <c r="H490" s="66">
        <v>0</v>
      </c>
      <c r="I490" s="94">
        <v>0</v>
      </c>
      <c r="J490" s="66"/>
    </row>
    <row r="491" spans="1:10">
      <c r="A491" s="95" t="str">
        <f t="shared" si="7"/>
        <v>2019RES_201301_P3T5</v>
      </c>
      <c r="B491" s="804" t="s">
        <v>425</v>
      </c>
      <c r="C491" s="804" t="s">
        <v>66</v>
      </c>
      <c r="D491" s="804" t="s">
        <v>154</v>
      </c>
      <c r="E491" s="804" t="s">
        <v>458</v>
      </c>
      <c r="F491" s="804" t="s">
        <v>1489</v>
      </c>
      <c r="G491" s="66"/>
      <c r="H491" s="66">
        <v>0</v>
      </c>
      <c r="I491" s="94">
        <v>0</v>
      </c>
      <c r="J491" s="66"/>
    </row>
    <row r="492" spans="1:10">
      <c r="A492" s="95" t="str">
        <f t="shared" si="7"/>
        <v>2019RES_201301_P4T4</v>
      </c>
      <c r="B492" s="804" t="s">
        <v>425</v>
      </c>
      <c r="C492" s="804" t="s">
        <v>67</v>
      </c>
      <c r="D492" s="804" t="s">
        <v>154</v>
      </c>
      <c r="E492" s="804" t="s">
        <v>477</v>
      </c>
      <c r="F492" s="804" t="s">
        <v>538</v>
      </c>
      <c r="G492" s="66"/>
      <c r="H492" s="66">
        <v>17577</v>
      </c>
      <c r="I492" s="94">
        <v>0.95994264879422142</v>
      </c>
      <c r="J492" s="66"/>
    </row>
    <row r="493" spans="1:10">
      <c r="A493" s="95" t="str">
        <f t="shared" si="7"/>
        <v>2019RES_201301_P4T5</v>
      </c>
      <c r="B493" s="804" t="s">
        <v>425</v>
      </c>
      <c r="C493" s="804" t="s">
        <v>68</v>
      </c>
      <c r="D493" s="804" t="s">
        <v>154</v>
      </c>
      <c r="E493" s="804" t="s">
        <v>477</v>
      </c>
      <c r="F493" s="804" t="s">
        <v>539</v>
      </c>
      <c r="G493" s="66"/>
      <c r="H493" s="66">
        <v>0</v>
      </c>
      <c r="I493" s="94">
        <v>0</v>
      </c>
      <c r="J493" s="66"/>
    </row>
    <row r="494" spans="1:10">
      <c r="A494" s="95" t="str">
        <f t="shared" si="7"/>
        <v>2019RES_201301_P4T6</v>
      </c>
      <c r="B494" s="804" t="s">
        <v>425</v>
      </c>
      <c r="C494" s="804" t="s">
        <v>613</v>
      </c>
      <c r="D494" s="804" t="s">
        <v>154</v>
      </c>
      <c r="E494" s="804" t="s">
        <v>477</v>
      </c>
      <c r="F494" s="804" t="s">
        <v>540</v>
      </c>
      <c r="G494" s="66"/>
      <c r="H494" s="66">
        <v>0</v>
      </c>
      <c r="I494" s="94">
        <v>0</v>
      </c>
      <c r="J494" s="66"/>
    </row>
    <row r="495" spans="1:10">
      <c r="A495" s="95" t="str">
        <f t="shared" si="7"/>
        <v>2019RES_201301_P5T1</v>
      </c>
      <c r="B495" s="804" t="s">
        <v>425</v>
      </c>
      <c r="C495" s="804" t="s">
        <v>570</v>
      </c>
      <c r="D495" s="804" t="s">
        <v>154</v>
      </c>
      <c r="E495" s="804" t="s">
        <v>1463</v>
      </c>
      <c r="F495" s="804" t="s">
        <v>1461</v>
      </c>
      <c r="G495" s="66"/>
      <c r="H495" s="66">
        <v>0</v>
      </c>
      <c r="I495" s="94">
        <v>0</v>
      </c>
      <c r="J495" s="66">
        <v>0</v>
      </c>
    </row>
    <row r="496" spans="1:10">
      <c r="A496" s="95" t="str">
        <f t="shared" si="7"/>
        <v>2019RES_201301_P6T1</v>
      </c>
      <c r="B496" s="804" t="s">
        <v>425</v>
      </c>
      <c r="C496" s="804" t="s">
        <v>582</v>
      </c>
      <c r="D496" s="804" t="s">
        <v>154</v>
      </c>
      <c r="E496" s="804" t="s">
        <v>1464</v>
      </c>
      <c r="F496" s="804" t="s">
        <v>1461</v>
      </c>
      <c r="G496" s="66"/>
      <c r="H496" s="66">
        <v>0</v>
      </c>
      <c r="I496" s="94">
        <v>0</v>
      </c>
      <c r="J496" s="66">
        <v>0</v>
      </c>
    </row>
    <row r="497" spans="1:10">
      <c r="A497" s="95" t="str">
        <f t="shared" si="7"/>
        <v>2019RES_201301_P7T1</v>
      </c>
      <c r="B497" s="804" t="s">
        <v>425</v>
      </c>
      <c r="C497" s="804" t="s">
        <v>594</v>
      </c>
      <c r="D497" s="804" t="s">
        <v>154</v>
      </c>
      <c r="E497" s="804" t="s">
        <v>1465</v>
      </c>
      <c r="F497" s="804" t="s">
        <v>1461</v>
      </c>
      <c r="G497" s="66"/>
      <c r="H497" s="66">
        <v>0</v>
      </c>
      <c r="I497" s="94">
        <v>0</v>
      </c>
      <c r="J497" s="66">
        <v>0</v>
      </c>
    </row>
    <row r="498" spans="1:10">
      <c r="A498" s="95" t="str">
        <f t="shared" si="7"/>
        <v>2019RES_201301_P8T1</v>
      </c>
      <c r="B498" s="804" t="s">
        <v>425</v>
      </c>
      <c r="C498" s="804" t="s">
        <v>69</v>
      </c>
      <c r="D498" s="804" t="s">
        <v>154</v>
      </c>
      <c r="E498" s="804" t="s">
        <v>446</v>
      </c>
      <c r="F498" s="804" t="s">
        <v>514</v>
      </c>
      <c r="G498" s="66"/>
      <c r="H498" s="66">
        <v>0</v>
      </c>
      <c r="I498" s="94">
        <v>0</v>
      </c>
      <c r="J498" s="66">
        <v>0</v>
      </c>
    </row>
    <row r="499" spans="1:10">
      <c r="A499" s="95" t="str">
        <f t="shared" si="7"/>
        <v>2019RES_201301_P9T1</v>
      </c>
      <c r="B499" s="804" t="s">
        <v>425</v>
      </c>
      <c r="C499" s="804" t="s">
        <v>70</v>
      </c>
      <c r="D499" s="804" t="s">
        <v>154</v>
      </c>
      <c r="E499" s="804" t="s">
        <v>454</v>
      </c>
      <c r="F499" s="804" t="s">
        <v>514</v>
      </c>
      <c r="G499" s="66"/>
      <c r="H499" s="66">
        <v>0</v>
      </c>
      <c r="I499" s="94">
        <v>0</v>
      </c>
      <c r="J499" s="66">
        <v>0</v>
      </c>
    </row>
    <row r="500" spans="1:10">
      <c r="A500" s="95" t="str">
        <f t="shared" si="7"/>
        <v>2019RES_201402_P2T1</v>
      </c>
      <c r="B500" s="804" t="s">
        <v>425</v>
      </c>
      <c r="C500" s="804" t="s">
        <v>605</v>
      </c>
      <c r="D500" s="804" t="s">
        <v>625</v>
      </c>
      <c r="E500" s="804" t="s">
        <v>467</v>
      </c>
      <c r="F500" s="804" t="s">
        <v>484</v>
      </c>
      <c r="G500" s="66"/>
      <c r="H500" s="66">
        <v>53245.82612731</v>
      </c>
      <c r="I500" s="94">
        <v>1</v>
      </c>
      <c r="J500" s="66"/>
    </row>
    <row r="501" spans="1:10">
      <c r="A501" s="95" t="str">
        <f t="shared" si="7"/>
        <v>2019RES_201402_P3T1</v>
      </c>
      <c r="B501" s="804" t="s">
        <v>425</v>
      </c>
      <c r="C501" s="804" t="s">
        <v>547</v>
      </c>
      <c r="D501" s="804" t="s">
        <v>625</v>
      </c>
      <c r="E501" s="804" t="s">
        <v>427</v>
      </c>
      <c r="F501" s="804" t="s">
        <v>484</v>
      </c>
      <c r="G501" s="66"/>
      <c r="H501" s="66">
        <v>24704706.021596201</v>
      </c>
      <c r="I501" s="94">
        <v>1</v>
      </c>
      <c r="J501" s="66"/>
    </row>
    <row r="502" spans="1:10">
      <c r="A502" s="95" t="str">
        <f t="shared" si="7"/>
        <v>2019RES_201402_P4T1</v>
      </c>
      <c r="B502" s="804" t="s">
        <v>425</v>
      </c>
      <c r="C502" s="804" t="s">
        <v>606</v>
      </c>
      <c r="D502" s="804" t="s">
        <v>625</v>
      </c>
      <c r="E502" s="804" t="s">
        <v>468</v>
      </c>
      <c r="F502" s="804" t="s">
        <v>484</v>
      </c>
      <c r="G502" s="66"/>
      <c r="H502" s="66">
        <v>55597.910219960002</v>
      </c>
      <c r="I502" s="94">
        <v>1</v>
      </c>
      <c r="J502" s="66"/>
    </row>
    <row r="503" spans="1:10">
      <c r="A503" s="95" t="str">
        <f t="shared" si="7"/>
        <v>2019RES_201402_P5T1</v>
      </c>
      <c r="B503" s="804" t="s">
        <v>425</v>
      </c>
      <c r="C503" s="804" t="s">
        <v>622</v>
      </c>
      <c r="D503" s="804" t="s">
        <v>625</v>
      </c>
      <c r="E503" s="804" t="s">
        <v>481</v>
      </c>
      <c r="F503" s="804" t="s">
        <v>484</v>
      </c>
      <c r="G503" s="66"/>
      <c r="H503" s="66">
        <v>156950.36151578999</v>
      </c>
      <c r="I503" s="94">
        <v>1</v>
      </c>
      <c r="J503" s="66"/>
    </row>
    <row r="504" spans="1:10">
      <c r="A504" s="95" t="str">
        <f t="shared" si="7"/>
        <v>2019RES_201402_P6T1</v>
      </c>
      <c r="B504" s="804" t="s">
        <v>425</v>
      </c>
      <c r="C504" s="804" t="s">
        <v>549</v>
      </c>
      <c r="D504" s="804" t="s">
        <v>625</v>
      </c>
      <c r="E504" s="804" t="s">
        <v>430</v>
      </c>
      <c r="F504" s="804" t="s">
        <v>484</v>
      </c>
      <c r="G504" s="66"/>
      <c r="H504" s="66">
        <v>258591</v>
      </c>
      <c r="I504" s="94">
        <v>1</v>
      </c>
      <c r="J504" s="66"/>
    </row>
    <row r="505" spans="1:10">
      <c r="A505" s="95" t="str">
        <f t="shared" si="7"/>
        <v>2019RES_201402_P7T1</v>
      </c>
      <c r="B505" s="804" t="s">
        <v>425</v>
      </c>
      <c r="C505" s="804" t="s">
        <v>559</v>
      </c>
      <c r="D505" s="804" t="s">
        <v>625</v>
      </c>
      <c r="E505" s="804" t="s">
        <v>440</v>
      </c>
      <c r="F505" s="804" t="s">
        <v>484</v>
      </c>
      <c r="G505" s="66"/>
      <c r="H505" s="66">
        <v>11160770.913975401</v>
      </c>
      <c r="I505" s="94">
        <v>1</v>
      </c>
      <c r="J505" s="66"/>
    </row>
    <row r="506" spans="1:10">
      <c r="A506" s="95" t="str">
        <f t="shared" si="7"/>
        <v>2019RES_201402_P8T1</v>
      </c>
      <c r="B506" s="804" t="s">
        <v>425</v>
      </c>
      <c r="C506" s="804" t="s">
        <v>561</v>
      </c>
      <c r="D506" s="804" t="s">
        <v>625</v>
      </c>
      <c r="E506" s="804" t="s">
        <v>441</v>
      </c>
      <c r="F506" s="804" t="s">
        <v>484</v>
      </c>
      <c r="G506" s="66"/>
      <c r="H506" s="66">
        <v>1608806.89093022</v>
      </c>
      <c r="I506" s="94">
        <v>1</v>
      </c>
      <c r="J506" s="66"/>
    </row>
    <row r="507" spans="1:10">
      <c r="A507" s="95" t="str">
        <f t="shared" si="7"/>
        <v>2019RES_201403_P10T1</v>
      </c>
      <c r="B507" s="804" t="s">
        <v>425</v>
      </c>
      <c r="C507" s="804" t="s">
        <v>114</v>
      </c>
      <c r="D507" s="804" t="s">
        <v>155</v>
      </c>
      <c r="E507" s="804" t="s">
        <v>1490</v>
      </c>
      <c r="F507" s="804" t="s">
        <v>646</v>
      </c>
      <c r="G507" s="66"/>
      <c r="H507" s="66">
        <v>330.73503803</v>
      </c>
      <c r="I507" s="94">
        <v>1.3517816574201844E-2</v>
      </c>
      <c r="J507" s="66"/>
    </row>
    <row r="508" spans="1:10">
      <c r="A508" s="95" t="str">
        <f t="shared" si="7"/>
        <v>2019RES_201403_P10T2</v>
      </c>
      <c r="B508" s="804" t="s">
        <v>425</v>
      </c>
      <c r="C508" s="804" t="s">
        <v>554</v>
      </c>
      <c r="D508" s="804" t="s">
        <v>155</v>
      </c>
      <c r="E508" s="804" t="s">
        <v>1490</v>
      </c>
      <c r="F508" s="804" t="s">
        <v>1491</v>
      </c>
      <c r="G508" s="66"/>
      <c r="H508" s="66">
        <v>304.44104067000001</v>
      </c>
      <c r="I508" s="94">
        <v>1.2443127193142719E-2</v>
      </c>
      <c r="J508" s="66"/>
    </row>
    <row r="509" spans="1:10">
      <c r="A509" s="95" t="str">
        <f t="shared" si="7"/>
        <v>2019RES_201403_P11T1</v>
      </c>
      <c r="B509" s="804" t="s">
        <v>425</v>
      </c>
      <c r="C509" s="804" t="s">
        <v>371</v>
      </c>
      <c r="D509" s="804" t="s">
        <v>155</v>
      </c>
      <c r="E509" s="804" t="s">
        <v>431</v>
      </c>
      <c r="F509" s="804" t="s">
        <v>1492</v>
      </c>
      <c r="G509" s="66"/>
      <c r="H509" s="66">
        <v>114293.31991576</v>
      </c>
      <c r="I509" s="94">
        <v>0.42253707088819303</v>
      </c>
      <c r="J509" s="66">
        <v>2042.58844432</v>
      </c>
    </row>
    <row r="510" spans="1:10">
      <c r="A510" s="95" t="str">
        <f t="shared" si="7"/>
        <v>2019RES_201403_P11T2</v>
      </c>
      <c r="B510" s="804" t="s">
        <v>425</v>
      </c>
      <c r="C510" s="804" t="s">
        <v>372</v>
      </c>
      <c r="D510" s="804" t="s">
        <v>155</v>
      </c>
      <c r="E510" s="804" t="s">
        <v>431</v>
      </c>
      <c r="F510" s="804" t="s">
        <v>1493</v>
      </c>
      <c r="G510" s="66"/>
      <c r="H510" s="66">
        <v>1099.4419992999999</v>
      </c>
      <c r="I510" s="94">
        <v>4.0645857722750676E-3</v>
      </c>
      <c r="J510" s="66">
        <v>0</v>
      </c>
    </row>
    <row r="511" spans="1:10">
      <c r="A511" s="95" t="str">
        <f t="shared" si="7"/>
        <v>2019RES_201403_P11T3</v>
      </c>
      <c r="B511" s="804" t="s">
        <v>425</v>
      </c>
      <c r="C511" s="804" t="s">
        <v>373</v>
      </c>
      <c r="D511" s="804" t="s">
        <v>155</v>
      </c>
      <c r="E511" s="804" t="s">
        <v>431</v>
      </c>
      <c r="F511" s="804" t="s">
        <v>166</v>
      </c>
      <c r="G511" s="66"/>
      <c r="H511" s="66">
        <v>0</v>
      </c>
      <c r="I511" s="94">
        <v>0</v>
      </c>
      <c r="J511" s="66">
        <v>0</v>
      </c>
    </row>
    <row r="512" spans="1:10">
      <c r="A512" s="95" t="str">
        <f t="shared" si="7"/>
        <v>2019RES_201403_P12T1</v>
      </c>
      <c r="B512" s="804" t="s">
        <v>425</v>
      </c>
      <c r="C512" s="804" t="s">
        <v>601</v>
      </c>
      <c r="D512" s="804" t="s">
        <v>155</v>
      </c>
      <c r="E512" s="804" t="s">
        <v>464</v>
      </c>
      <c r="F512" s="804" t="s">
        <v>646</v>
      </c>
      <c r="G512" s="66"/>
      <c r="H512" s="66">
        <v>143688.48971108001</v>
      </c>
      <c r="I512" s="94">
        <v>0.9236497030911639</v>
      </c>
      <c r="J512" s="66">
        <v>6494.2150718599996</v>
      </c>
    </row>
    <row r="513" spans="1:10">
      <c r="A513" s="95" t="str">
        <f t="shared" si="7"/>
        <v>2019RES_201403_P12T2</v>
      </c>
      <c r="B513" s="804" t="s">
        <v>425</v>
      </c>
      <c r="C513" s="804" t="s">
        <v>602</v>
      </c>
      <c r="D513" s="804" t="s">
        <v>155</v>
      </c>
      <c r="E513" s="804" t="s">
        <v>464</v>
      </c>
      <c r="F513" s="804" t="s">
        <v>1493</v>
      </c>
      <c r="G513" s="66"/>
      <c r="H513" s="66">
        <v>3990.7899954499999</v>
      </c>
      <c r="I513" s="94">
        <v>2.5653356102554543E-2</v>
      </c>
      <c r="J513" s="66">
        <v>534.22003789999997</v>
      </c>
    </row>
    <row r="514" spans="1:10">
      <c r="A514" s="95" t="str">
        <f t="shared" si="7"/>
        <v>2019RES_201403_P13T1</v>
      </c>
      <c r="B514" s="804" t="s">
        <v>425</v>
      </c>
      <c r="C514" s="804" t="s">
        <v>603</v>
      </c>
      <c r="D514" s="804" t="s">
        <v>155</v>
      </c>
      <c r="E514" s="804" t="s">
        <v>466</v>
      </c>
      <c r="F514" s="804" t="s">
        <v>646</v>
      </c>
      <c r="G514" s="66"/>
      <c r="H514" s="66">
        <v>23039.578011080001</v>
      </c>
      <c r="I514" s="94">
        <v>0.28221634546510205</v>
      </c>
      <c r="J514" s="66">
        <v>425.27886556999999</v>
      </c>
    </row>
    <row r="515" spans="1:10">
      <c r="A515" s="95" t="str">
        <f t="shared" si="7"/>
        <v>2019RES_201403_P13T2</v>
      </c>
      <c r="B515" s="804" t="s">
        <v>425</v>
      </c>
      <c r="C515" s="804" t="s">
        <v>604</v>
      </c>
      <c r="D515" s="804" t="s">
        <v>155</v>
      </c>
      <c r="E515" s="804" t="s">
        <v>466</v>
      </c>
      <c r="F515" s="804" t="s">
        <v>1493</v>
      </c>
      <c r="G515" s="66"/>
      <c r="H515" s="66">
        <v>9349.3812368700001</v>
      </c>
      <c r="I515" s="94">
        <v>0.11452241893321738</v>
      </c>
      <c r="J515" s="66">
        <v>0</v>
      </c>
    </row>
    <row r="516" spans="1:10">
      <c r="A516" s="95" t="str">
        <f t="shared" si="7"/>
        <v>2019RES_201403_P2T0</v>
      </c>
      <c r="B516" s="804" t="s">
        <v>425</v>
      </c>
      <c r="C516" s="804" t="s">
        <v>1670</v>
      </c>
      <c r="D516" s="804" t="s">
        <v>155</v>
      </c>
      <c r="E516" s="804" t="s">
        <v>426</v>
      </c>
      <c r="F516" s="804" t="s">
        <v>1622</v>
      </c>
      <c r="G516" s="66"/>
      <c r="H516" s="66">
        <v>4728.3206866099999</v>
      </c>
      <c r="I516" s="94">
        <v>0.13076469721535441</v>
      </c>
      <c r="J516" s="66"/>
    </row>
    <row r="517" spans="1:10">
      <c r="A517" s="95" t="str">
        <f t="shared" si="7"/>
        <v>2019RES_201403_P2T1</v>
      </c>
      <c r="B517" s="804" t="s">
        <v>425</v>
      </c>
      <c r="C517" s="804" t="s">
        <v>545</v>
      </c>
      <c r="D517" s="804" t="s">
        <v>155</v>
      </c>
      <c r="E517" s="804" t="s">
        <v>426</v>
      </c>
      <c r="F517" s="804" t="s">
        <v>1494</v>
      </c>
      <c r="G517" s="66"/>
      <c r="H517" s="66">
        <v>31430.679313389999</v>
      </c>
      <c r="I517" s="94">
        <v>0.86923530278464556</v>
      </c>
      <c r="J517" s="66"/>
    </row>
    <row r="518" spans="1:10">
      <c r="A518" s="95" t="str">
        <f t="shared" si="7"/>
        <v>2019RES_201403_P2T2</v>
      </c>
      <c r="B518" s="804" t="s">
        <v>425</v>
      </c>
      <c r="C518" s="804" t="s">
        <v>546</v>
      </c>
      <c r="D518" s="804" t="s">
        <v>155</v>
      </c>
      <c r="E518" s="804" t="s">
        <v>426</v>
      </c>
      <c r="F518" s="804" t="s">
        <v>1495</v>
      </c>
      <c r="G518" s="66"/>
      <c r="H518" s="66">
        <v>26630.730517029999</v>
      </c>
      <c r="I518" s="94">
        <v>0.73648968492021349</v>
      </c>
      <c r="J518" s="66"/>
    </row>
    <row r="519" spans="1:10">
      <c r="A519" s="95" t="str">
        <f t="shared" ref="A519:A582" si="8">B519&amp;C519</f>
        <v>2019RES_201403_P2T3</v>
      </c>
      <c r="B519" s="804" t="s">
        <v>425</v>
      </c>
      <c r="C519" s="804" t="s">
        <v>87</v>
      </c>
      <c r="D519" s="804" t="s">
        <v>155</v>
      </c>
      <c r="E519" s="804" t="s">
        <v>426</v>
      </c>
      <c r="F519" s="804" t="s">
        <v>1496</v>
      </c>
      <c r="G519" s="66"/>
      <c r="H519" s="66">
        <v>11764.87626684</v>
      </c>
      <c r="I519" s="94">
        <v>0.32536508937857794</v>
      </c>
      <c r="J519" s="66"/>
    </row>
    <row r="520" spans="1:10">
      <c r="A520" s="95" t="str">
        <f t="shared" si="8"/>
        <v>2019RES_201403_P3T1</v>
      </c>
      <c r="B520" s="804" t="s">
        <v>425</v>
      </c>
      <c r="C520" s="804" t="s">
        <v>120</v>
      </c>
      <c r="D520" s="804" t="s">
        <v>155</v>
      </c>
      <c r="E520" s="804" t="s">
        <v>768</v>
      </c>
      <c r="F520" s="804" t="s">
        <v>1497</v>
      </c>
      <c r="G520" s="66"/>
      <c r="H520" s="66">
        <v>17858.04758613</v>
      </c>
      <c r="I520" s="94">
        <v>0.40781729765539609</v>
      </c>
      <c r="J520" s="66"/>
    </row>
    <row r="521" spans="1:10">
      <c r="A521" s="95" t="str">
        <f t="shared" si="8"/>
        <v>2019RES_201403_P4T1</v>
      </c>
      <c r="B521" s="804" t="s">
        <v>425</v>
      </c>
      <c r="C521" s="804" t="s">
        <v>121</v>
      </c>
      <c r="D521" s="804" t="s">
        <v>155</v>
      </c>
      <c r="E521" s="804" t="s">
        <v>774</v>
      </c>
      <c r="F521" s="804" t="s">
        <v>1498</v>
      </c>
      <c r="G521" s="66"/>
      <c r="H521" s="66">
        <v>41712.951000000001</v>
      </c>
      <c r="I521" s="94">
        <v>0.3804085994240487</v>
      </c>
      <c r="J521" s="66"/>
    </row>
    <row r="522" spans="1:10">
      <c r="A522" s="95" t="str">
        <f t="shared" si="8"/>
        <v>2019RES_201403_P4T2</v>
      </c>
      <c r="B522" s="804" t="s">
        <v>425</v>
      </c>
      <c r="C522" s="804" t="s">
        <v>562</v>
      </c>
      <c r="D522" s="804" t="s">
        <v>155</v>
      </c>
      <c r="E522" s="804" t="s">
        <v>774</v>
      </c>
      <c r="F522" s="804" t="s">
        <v>1499</v>
      </c>
      <c r="G522" s="66"/>
      <c r="H522" s="66">
        <v>41712.951000000001</v>
      </c>
      <c r="I522" s="94">
        <v>0.3804085994240487</v>
      </c>
      <c r="J522" s="66"/>
    </row>
    <row r="523" spans="1:10">
      <c r="A523" s="95" t="str">
        <f t="shared" si="8"/>
        <v>2019RES_201403_P4T3</v>
      </c>
      <c r="B523" s="804" t="s">
        <v>425</v>
      </c>
      <c r="C523" s="804" t="s">
        <v>92</v>
      </c>
      <c r="D523" s="804" t="s">
        <v>155</v>
      </c>
      <c r="E523" s="804" t="s">
        <v>774</v>
      </c>
      <c r="F523" s="804" t="s">
        <v>1500</v>
      </c>
      <c r="G523" s="66"/>
      <c r="H523" s="66">
        <v>41712.951000000001</v>
      </c>
      <c r="I523" s="94">
        <v>0.3804085994240487</v>
      </c>
      <c r="J523" s="66"/>
    </row>
    <row r="524" spans="1:10">
      <c r="A524" s="95" t="str">
        <f t="shared" si="8"/>
        <v>2019RES_201403_P5T1</v>
      </c>
      <c r="B524" s="804" t="s">
        <v>425</v>
      </c>
      <c r="C524" s="804" t="s">
        <v>116</v>
      </c>
      <c r="D524" s="804" t="s">
        <v>155</v>
      </c>
      <c r="E524" s="804" t="s">
        <v>1501</v>
      </c>
      <c r="F524" s="804" t="s">
        <v>646</v>
      </c>
      <c r="G524" s="66"/>
      <c r="H524" s="66">
        <v>16613.754851630001</v>
      </c>
      <c r="I524" s="94">
        <v>0.52153689250304924</v>
      </c>
      <c r="J524" s="66">
        <v>0</v>
      </c>
    </row>
    <row r="525" spans="1:10">
      <c r="A525" s="95" t="str">
        <f t="shared" si="8"/>
        <v>2019RES_201403_P5T2</v>
      </c>
      <c r="B525" s="804" t="s">
        <v>425</v>
      </c>
      <c r="C525" s="804" t="s">
        <v>608</v>
      </c>
      <c r="D525" s="804" t="s">
        <v>155</v>
      </c>
      <c r="E525" s="804" t="s">
        <v>1501</v>
      </c>
      <c r="F525" s="804" t="s">
        <v>1491</v>
      </c>
      <c r="G525" s="66"/>
      <c r="H525" s="66">
        <v>0</v>
      </c>
      <c r="I525" s="94">
        <v>0</v>
      </c>
      <c r="J525" s="66"/>
    </row>
    <row r="526" spans="1:10">
      <c r="A526" s="95" t="str">
        <f t="shared" si="8"/>
        <v>2019RES_201403_P5T3</v>
      </c>
      <c r="B526" s="804" t="s">
        <v>425</v>
      </c>
      <c r="C526" s="804" t="s">
        <v>609</v>
      </c>
      <c r="D526" s="804" t="s">
        <v>155</v>
      </c>
      <c r="E526" s="804" t="s">
        <v>1501</v>
      </c>
      <c r="F526" s="804" t="s">
        <v>483</v>
      </c>
      <c r="G526" s="66"/>
      <c r="H526" s="66">
        <v>0</v>
      </c>
      <c r="I526" s="94">
        <v>0</v>
      </c>
      <c r="J526" s="66"/>
    </row>
    <row r="527" spans="1:10">
      <c r="A527" s="95" t="str">
        <f t="shared" si="8"/>
        <v>2019RES_201403_P6T1</v>
      </c>
      <c r="B527" s="804" t="s">
        <v>425</v>
      </c>
      <c r="C527" s="804" t="s">
        <v>95</v>
      </c>
      <c r="D527" s="804" t="s">
        <v>155</v>
      </c>
      <c r="E527" s="804" t="s">
        <v>465</v>
      </c>
      <c r="F527" s="804" t="s">
        <v>646</v>
      </c>
      <c r="G527" s="66"/>
      <c r="H527" s="66">
        <v>36532.701908249997</v>
      </c>
      <c r="I527" s="94">
        <v>0.18468115111720546</v>
      </c>
      <c r="J527" s="66">
        <v>101</v>
      </c>
    </row>
    <row r="528" spans="1:10">
      <c r="A528" s="95" t="str">
        <f t="shared" si="8"/>
        <v>2019RES_201403_P6T2</v>
      </c>
      <c r="B528" s="804" t="s">
        <v>425</v>
      </c>
      <c r="C528" s="804" t="s">
        <v>96</v>
      </c>
      <c r="D528" s="804" t="s">
        <v>155</v>
      </c>
      <c r="E528" s="804" t="s">
        <v>465</v>
      </c>
      <c r="F528" s="804" t="s">
        <v>1493</v>
      </c>
      <c r="G528" s="66"/>
      <c r="H528" s="66">
        <v>35080.573464300003</v>
      </c>
      <c r="I528" s="94">
        <v>0.17734031021055027</v>
      </c>
      <c r="J528" s="66">
        <v>0</v>
      </c>
    </row>
    <row r="529" spans="1:10">
      <c r="A529" s="95" t="str">
        <f t="shared" si="8"/>
        <v>2019RES_201403_P7T1</v>
      </c>
      <c r="B529" s="804" t="s">
        <v>425</v>
      </c>
      <c r="C529" s="804" t="s">
        <v>86</v>
      </c>
      <c r="D529" s="804" t="s">
        <v>155</v>
      </c>
      <c r="E529" s="804" t="s">
        <v>1090</v>
      </c>
      <c r="F529" s="804" t="s">
        <v>1091</v>
      </c>
      <c r="G529" s="66"/>
      <c r="H529" s="66">
        <v>206567.21391270999</v>
      </c>
      <c r="I529" s="94">
        <v>0.21962716460270409</v>
      </c>
      <c r="J529" s="66">
        <v>0</v>
      </c>
    </row>
    <row r="530" spans="1:10">
      <c r="A530" s="95" t="str">
        <f t="shared" si="8"/>
        <v>2019RES_201403_P7T2</v>
      </c>
      <c r="B530" s="804" t="s">
        <v>425</v>
      </c>
      <c r="C530" s="804" t="s">
        <v>1092</v>
      </c>
      <c r="D530" s="804" t="s">
        <v>155</v>
      </c>
      <c r="E530" s="804" t="s">
        <v>1090</v>
      </c>
      <c r="F530" s="804" t="s">
        <v>1093</v>
      </c>
      <c r="G530" s="66"/>
      <c r="H530" s="66">
        <v>65374.513690569998</v>
      </c>
      <c r="I530" s="94">
        <v>6.9507734587580194E-2</v>
      </c>
      <c r="J530" s="66">
        <v>0</v>
      </c>
    </row>
    <row r="531" spans="1:10">
      <c r="A531" s="95" t="str">
        <f t="shared" si="8"/>
        <v>2019RES_201403_P8T1</v>
      </c>
      <c r="B531" s="804" t="s">
        <v>425</v>
      </c>
      <c r="C531" s="804" t="s">
        <v>97</v>
      </c>
      <c r="D531" s="804" t="s">
        <v>155</v>
      </c>
      <c r="E531" s="804" t="s">
        <v>157</v>
      </c>
      <c r="F531" s="804" t="s">
        <v>1492</v>
      </c>
      <c r="G531" s="66"/>
      <c r="H531" s="66">
        <v>102942.48386895</v>
      </c>
      <c r="I531" s="94">
        <v>0.99910209025040042</v>
      </c>
      <c r="J531" s="66">
        <v>17370.411555679999</v>
      </c>
    </row>
    <row r="532" spans="1:10">
      <c r="A532" s="95" t="str">
        <f t="shared" si="8"/>
        <v>2019RES_201403_P8T2</v>
      </c>
      <c r="B532" s="804" t="s">
        <v>425</v>
      </c>
      <c r="C532" s="804" t="s">
        <v>98</v>
      </c>
      <c r="D532" s="804" t="s">
        <v>155</v>
      </c>
      <c r="E532" s="804" t="s">
        <v>157</v>
      </c>
      <c r="F532" s="804" t="s">
        <v>1493</v>
      </c>
      <c r="G532" s="66"/>
      <c r="H532" s="66">
        <v>102942.48386895</v>
      </c>
      <c r="I532" s="94">
        <v>0.99910209025040042</v>
      </c>
      <c r="J532" s="66">
        <v>12788.711530619999</v>
      </c>
    </row>
    <row r="533" spans="1:10">
      <c r="A533" s="95" t="str">
        <f t="shared" si="8"/>
        <v>2019RES_201403_P8T3</v>
      </c>
      <c r="B533" s="804" t="s">
        <v>425</v>
      </c>
      <c r="C533" s="804" t="s">
        <v>99</v>
      </c>
      <c r="D533" s="804" t="s">
        <v>155</v>
      </c>
      <c r="E533" s="804" t="s">
        <v>157</v>
      </c>
      <c r="F533" s="804" t="s">
        <v>2332</v>
      </c>
      <c r="G533" s="66"/>
      <c r="H533" s="66">
        <v>95372.770488209993</v>
      </c>
      <c r="I533" s="94">
        <v>0.92563469198049197</v>
      </c>
      <c r="J533" s="66">
        <v>10842.64547161</v>
      </c>
    </row>
    <row r="534" spans="1:10">
      <c r="A534" s="95" t="str">
        <f t="shared" si="8"/>
        <v>2019RES_201403_P9T1</v>
      </c>
      <c r="B534" s="804" t="s">
        <v>425</v>
      </c>
      <c r="C534" s="804" t="s">
        <v>107</v>
      </c>
      <c r="D534" s="804" t="s">
        <v>155</v>
      </c>
      <c r="E534" s="804" t="s">
        <v>1503</v>
      </c>
      <c r="F534" s="804" t="s">
        <v>646</v>
      </c>
      <c r="G534" s="66"/>
      <c r="H534" s="66">
        <v>1825.47191907</v>
      </c>
      <c r="I534" s="94">
        <v>0.10523360138212959</v>
      </c>
      <c r="J534" s="66"/>
    </row>
    <row r="535" spans="1:10">
      <c r="A535" s="95" t="str">
        <f t="shared" si="8"/>
        <v>2019RES_201403_P9T2</v>
      </c>
      <c r="B535" s="804" t="s">
        <v>425</v>
      </c>
      <c r="C535" s="804" t="s">
        <v>108</v>
      </c>
      <c r="D535" s="804" t="s">
        <v>155</v>
      </c>
      <c r="E535" s="804" t="s">
        <v>1503</v>
      </c>
      <c r="F535" s="804" t="s">
        <v>1491</v>
      </c>
      <c r="G535" s="66"/>
      <c r="H535" s="66">
        <v>23.762813699999999</v>
      </c>
      <c r="I535" s="94">
        <v>1.3698630137775991E-3</v>
      </c>
      <c r="J535" s="66"/>
    </row>
    <row r="536" spans="1:10">
      <c r="A536" s="95" t="str">
        <f t="shared" si="8"/>
        <v>2019RES_201601_P1T1</v>
      </c>
      <c r="B536" s="804" t="s">
        <v>425</v>
      </c>
      <c r="C536" s="804" t="s">
        <v>1504</v>
      </c>
      <c r="D536" s="804" t="s">
        <v>1396</v>
      </c>
      <c r="E536" s="804" t="s">
        <v>1505</v>
      </c>
      <c r="F536" s="804" t="s">
        <v>1506</v>
      </c>
      <c r="G536" s="66"/>
      <c r="H536" s="66"/>
      <c r="I536" s="94"/>
      <c r="J536" s="66">
        <v>0</v>
      </c>
    </row>
    <row r="537" spans="1:10">
      <c r="A537" s="95" t="str">
        <f t="shared" si="8"/>
        <v>2019RES_201601_P1T3</v>
      </c>
      <c r="B537" s="804" t="s">
        <v>425</v>
      </c>
      <c r="C537" s="804" t="s">
        <v>1507</v>
      </c>
      <c r="D537" s="804" t="s">
        <v>1396</v>
      </c>
      <c r="E537" s="804" t="s">
        <v>1505</v>
      </c>
      <c r="F537" s="804" t="s">
        <v>2459</v>
      </c>
      <c r="G537" s="66"/>
      <c r="H537" s="66"/>
      <c r="I537" s="94"/>
      <c r="J537" s="66">
        <v>9.7859071499999999</v>
      </c>
    </row>
    <row r="538" spans="1:10">
      <c r="A538" s="95" t="str">
        <f t="shared" si="8"/>
        <v>2019RES_201601_P2T1</v>
      </c>
      <c r="B538" s="804" t="s">
        <v>425</v>
      </c>
      <c r="C538" s="804" t="s">
        <v>1508</v>
      </c>
      <c r="D538" s="804" t="s">
        <v>1396</v>
      </c>
      <c r="E538" s="804" t="s">
        <v>1509</v>
      </c>
      <c r="F538" s="804" t="s">
        <v>1506</v>
      </c>
      <c r="G538" s="66"/>
      <c r="H538" s="66"/>
      <c r="I538" s="94"/>
      <c r="J538" s="66">
        <v>0</v>
      </c>
    </row>
    <row r="539" spans="1:10">
      <c r="A539" s="95" t="str">
        <f t="shared" si="8"/>
        <v>2019RES_201601_P2T3</v>
      </c>
      <c r="B539" s="804" t="s">
        <v>425</v>
      </c>
      <c r="C539" s="804" t="s">
        <v>1510</v>
      </c>
      <c r="D539" s="804" t="s">
        <v>1396</v>
      </c>
      <c r="E539" s="804" t="s">
        <v>1509</v>
      </c>
      <c r="F539" s="804" t="s">
        <v>2459</v>
      </c>
      <c r="G539" s="66"/>
      <c r="H539" s="66"/>
      <c r="I539" s="94"/>
      <c r="J539" s="66">
        <v>6.1893771700000002</v>
      </c>
    </row>
    <row r="540" spans="1:10">
      <c r="A540" s="95" t="str">
        <f t="shared" si="8"/>
        <v>2019RES_201601_P3T1</v>
      </c>
      <c r="B540" s="804" t="s">
        <v>425</v>
      </c>
      <c r="C540" s="804" t="s">
        <v>1511</v>
      </c>
      <c r="D540" s="804" t="s">
        <v>1396</v>
      </c>
      <c r="E540" s="804" t="s">
        <v>1512</v>
      </c>
      <c r="F540" s="804" t="s">
        <v>1506</v>
      </c>
      <c r="G540" s="66"/>
      <c r="H540" s="66"/>
      <c r="I540" s="94"/>
      <c r="J540" s="66">
        <v>0</v>
      </c>
    </row>
    <row r="541" spans="1:10">
      <c r="A541" s="95" t="str">
        <f t="shared" si="8"/>
        <v>2019RES_201601_P3T3</v>
      </c>
      <c r="B541" s="804" t="s">
        <v>425</v>
      </c>
      <c r="C541" s="804" t="s">
        <v>1513</v>
      </c>
      <c r="D541" s="804" t="s">
        <v>1396</v>
      </c>
      <c r="E541" s="804" t="s">
        <v>1512</v>
      </c>
      <c r="F541" s="804" t="s">
        <v>2459</v>
      </c>
      <c r="G541" s="66"/>
      <c r="H541" s="66"/>
      <c r="I541" s="94"/>
      <c r="J541" s="66">
        <v>35.045257239999998</v>
      </c>
    </row>
    <row r="542" spans="1:10">
      <c r="A542" s="95" t="str">
        <f t="shared" si="8"/>
        <v>2019RES_201601_P4T1</v>
      </c>
      <c r="B542" s="804" t="s">
        <v>425</v>
      </c>
      <c r="C542" s="804" t="s">
        <v>1514</v>
      </c>
      <c r="D542" s="804" t="s">
        <v>1396</v>
      </c>
      <c r="E542" s="804" t="s">
        <v>1515</v>
      </c>
      <c r="F542" s="804" t="s">
        <v>1506</v>
      </c>
      <c r="G542" s="66"/>
      <c r="H542" s="66"/>
      <c r="I542" s="94"/>
      <c r="J542" s="66">
        <v>0</v>
      </c>
    </row>
    <row r="543" spans="1:10">
      <c r="A543" s="95" t="str">
        <f t="shared" si="8"/>
        <v>2019RES_201601_P4T3</v>
      </c>
      <c r="B543" s="804" t="s">
        <v>425</v>
      </c>
      <c r="C543" s="804" t="s">
        <v>1516</v>
      </c>
      <c r="D543" s="804" t="s">
        <v>1396</v>
      </c>
      <c r="E543" s="804" t="s">
        <v>1515</v>
      </c>
      <c r="F543" s="804" t="s">
        <v>2459</v>
      </c>
      <c r="G543" s="66"/>
      <c r="H543" s="66"/>
      <c r="I543" s="94"/>
      <c r="J543" s="66">
        <v>33.456092830000003</v>
      </c>
    </row>
    <row r="544" spans="1:10">
      <c r="A544" s="95" t="str">
        <f t="shared" si="8"/>
        <v>2019Unknown</v>
      </c>
      <c r="B544" s="804" t="s">
        <v>425</v>
      </c>
      <c r="C544" s="804" t="s">
        <v>475</v>
      </c>
      <c r="D544" s="804" t="s">
        <v>475</v>
      </c>
      <c r="E544" s="804" t="s">
        <v>475</v>
      </c>
      <c r="F544" s="804" t="s">
        <v>475</v>
      </c>
      <c r="G544" s="66"/>
      <c r="H544" s="66">
        <v>517616.42677034001</v>
      </c>
      <c r="I544" s="94"/>
      <c r="J544" s="66">
        <v>0</v>
      </c>
    </row>
    <row r="545" spans="1:1">
      <c r="A545" s="95" t="str">
        <f t="shared" si="8"/>
        <v/>
      </c>
    </row>
    <row r="546" spans="1:1">
      <c r="A546" s="95" t="str">
        <f t="shared" si="8"/>
        <v/>
      </c>
    </row>
    <row r="547" spans="1:1">
      <c r="A547" s="95" t="str">
        <f t="shared" si="8"/>
        <v/>
      </c>
    </row>
    <row r="548" spans="1:1">
      <c r="A548" s="95" t="str">
        <f t="shared" si="8"/>
        <v/>
      </c>
    </row>
    <row r="549" spans="1:1">
      <c r="A549" s="95" t="str">
        <f t="shared" si="8"/>
        <v/>
      </c>
    </row>
    <row r="550" spans="1:1">
      <c r="A550" s="95" t="str">
        <f t="shared" si="8"/>
        <v/>
      </c>
    </row>
    <row r="551" spans="1:1">
      <c r="A551" s="95" t="str">
        <f t="shared" si="8"/>
        <v/>
      </c>
    </row>
    <row r="552" spans="1:1">
      <c r="A552" s="95" t="str">
        <f t="shared" si="8"/>
        <v/>
      </c>
    </row>
    <row r="553" spans="1:1">
      <c r="A553" s="95" t="str">
        <f t="shared" si="8"/>
        <v/>
      </c>
    </row>
    <row r="554" spans="1:1">
      <c r="A554" s="95" t="str">
        <f t="shared" si="8"/>
        <v/>
      </c>
    </row>
    <row r="555" spans="1:1">
      <c r="A555" s="95" t="str">
        <f t="shared" si="8"/>
        <v/>
      </c>
    </row>
    <row r="556" spans="1:1">
      <c r="A556" s="95" t="str">
        <f t="shared" si="8"/>
        <v/>
      </c>
    </row>
    <row r="557" spans="1:1">
      <c r="A557" s="95" t="str">
        <f t="shared" si="8"/>
        <v/>
      </c>
    </row>
    <row r="558" spans="1:1">
      <c r="A558" s="95" t="str">
        <f t="shared" si="8"/>
        <v/>
      </c>
    </row>
    <row r="559" spans="1:1">
      <c r="A559" s="95" t="str">
        <f t="shared" si="8"/>
        <v/>
      </c>
    </row>
    <row r="560" spans="1:1">
      <c r="A560" s="95" t="str">
        <f t="shared" si="8"/>
        <v/>
      </c>
    </row>
    <row r="561" spans="1:1">
      <c r="A561" s="95" t="str">
        <f t="shared" si="8"/>
        <v/>
      </c>
    </row>
    <row r="562" spans="1:1">
      <c r="A562" s="95" t="str">
        <f t="shared" si="8"/>
        <v/>
      </c>
    </row>
    <row r="563" spans="1:1">
      <c r="A563" s="95" t="str">
        <f t="shared" si="8"/>
        <v/>
      </c>
    </row>
    <row r="564" spans="1:1">
      <c r="A564" s="95" t="str">
        <f t="shared" si="8"/>
        <v/>
      </c>
    </row>
    <row r="565" spans="1:1">
      <c r="A565" s="95" t="str">
        <f t="shared" si="8"/>
        <v/>
      </c>
    </row>
    <row r="566" spans="1:1">
      <c r="A566" s="95" t="str">
        <f t="shared" si="8"/>
        <v/>
      </c>
    </row>
    <row r="567" spans="1:1">
      <c r="A567" s="95" t="str">
        <f t="shared" si="8"/>
        <v/>
      </c>
    </row>
    <row r="568" spans="1:1">
      <c r="A568" s="95" t="str">
        <f t="shared" si="8"/>
        <v/>
      </c>
    </row>
    <row r="569" spans="1:1">
      <c r="A569" s="95" t="str">
        <f t="shared" si="8"/>
        <v/>
      </c>
    </row>
    <row r="570" spans="1:1">
      <c r="A570" s="95" t="str">
        <f t="shared" si="8"/>
        <v/>
      </c>
    </row>
    <row r="571" spans="1:1">
      <c r="A571" s="95" t="str">
        <f t="shared" si="8"/>
        <v/>
      </c>
    </row>
    <row r="572" spans="1:1">
      <c r="A572" s="95" t="str">
        <f t="shared" si="8"/>
        <v/>
      </c>
    </row>
    <row r="573" spans="1:1">
      <c r="A573" s="95" t="str">
        <f t="shared" si="8"/>
        <v/>
      </c>
    </row>
    <row r="574" spans="1:1">
      <c r="A574" s="95" t="str">
        <f t="shared" si="8"/>
        <v/>
      </c>
    </row>
    <row r="575" spans="1:1">
      <c r="A575" s="95" t="str">
        <f t="shared" si="8"/>
        <v/>
      </c>
    </row>
    <row r="576" spans="1:1">
      <c r="A576" s="95" t="str">
        <f t="shared" si="8"/>
        <v/>
      </c>
    </row>
    <row r="577" spans="1:1">
      <c r="A577" s="95" t="str">
        <f t="shared" si="8"/>
        <v/>
      </c>
    </row>
    <row r="578" spans="1:1">
      <c r="A578" s="95" t="str">
        <f t="shared" si="8"/>
        <v/>
      </c>
    </row>
    <row r="579" spans="1:1">
      <c r="A579" s="95" t="str">
        <f t="shared" si="8"/>
        <v/>
      </c>
    </row>
    <row r="580" spans="1:1">
      <c r="A580" s="95" t="str">
        <f t="shared" si="8"/>
        <v/>
      </c>
    </row>
    <row r="581" spans="1:1">
      <c r="A581" s="95" t="str">
        <f t="shared" si="8"/>
        <v/>
      </c>
    </row>
    <row r="582" spans="1:1">
      <c r="A582" s="95" t="str">
        <f t="shared" si="8"/>
        <v/>
      </c>
    </row>
    <row r="583" spans="1:1">
      <c r="A583" s="95" t="str">
        <f t="shared" ref="A583:A646" si="9">B583&amp;C583</f>
        <v/>
      </c>
    </row>
    <row r="584" spans="1:1">
      <c r="A584" s="95" t="str">
        <f t="shared" si="9"/>
        <v/>
      </c>
    </row>
    <row r="585" spans="1:1">
      <c r="A585" s="95" t="str">
        <f t="shared" si="9"/>
        <v/>
      </c>
    </row>
    <row r="586" spans="1:1">
      <c r="A586" s="95" t="str">
        <f t="shared" si="9"/>
        <v/>
      </c>
    </row>
    <row r="587" spans="1:1">
      <c r="A587" s="95" t="str">
        <f t="shared" si="9"/>
        <v/>
      </c>
    </row>
    <row r="588" spans="1:1">
      <c r="A588" s="95" t="str">
        <f t="shared" si="9"/>
        <v/>
      </c>
    </row>
    <row r="589" spans="1:1">
      <c r="A589" s="95" t="str">
        <f t="shared" si="9"/>
        <v/>
      </c>
    </row>
    <row r="590" spans="1:1">
      <c r="A590" s="95" t="str">
        <f t="shared" si="9"/>
        <v/>
      </c>
    </row>
    <row r="591" spans="1:1">
      <c r="A591" s="95" t="str">
        <f t="shared" si="9"/>
        <v/>
      </c>
    </row>
    <row r="592" spans="1:1">
      <c r="A592" s="95" t="str">
        <f t="shared" si="9"/>
        <v/>
      </c>
    </row>
    <row r="593" spans="1:1">
      <c r="A593" s="95" t="str">
        <f t="shared" si="9"/>
        <v/>
      </c>
    </row>
    <row r="594" spans="1:1">
      <c r="A594" s="95" t="str">
        <f t="shared" si="9"/>
        <v/>
      </c>
    </row>
    <row r="595" spans="1:1">
      <c r="A595" s="95" t="str">
        <f t="shared" si="9"/>
        <v/>
      </c>
    </row>
    <row r="596" spans="1:1">
      <c r="A596" s="95" t="str">
        <f t="shared" si="9"/>
        <v/>
      </c>
    </row>
    <row r="597" spans="1:1">
      <c r="A597" s="95" t="str">
        <f t="shared" si="9"/>
        <v/>
      </c>
    </row>
    <row r="598" spans="1:1">
      <c r="A598" s="95" t="str">
        <f t="shared" si="9"/>
        <v/>
      </c>
    </row>
    <row r="599" spans="1:1">
      <c r="A599" s="95" t="str">
        <f t="shared" si="9"/>
        <v/>
      </c>
    </row>
    <row r="600" spans="1:1">
      <c r="A600" s="95" t="str">
        <f t="shared" si="9"/>
        <v/>
      </c>
    </row>
    <row r="601" spans="1:1">
      <c r="A601" s="95" t="str">
        <f t="shared" si="9"/>
        <v/>
      </c>
    </row>
    <row r="602" spans="1:1">
      <c r="A602" s="95" t="str">
        <f t="shared" si="9"/>
        <v/>
      </c>
    </row>
    <row r="603" spans="1:1">
      <c r="A603" s="95" t="str">
        <f t="shared" si="9"/>
        <v/>
      </c>
    </row>
    <row r="604" spans="1:1">
      <c r="A604" s="95" t="str">
        <f t="shared" si="9"/>
        <v/>
      </c>
    </row>
    <row r="605" spans="1:1">
      <c r="A605" s="95" t="str">
        <f t="shared" si="9"/>
        <v/>
      </c>
    </row>
    <row r="606" spans="1:1">
      <c r="A606" s="95" t="str">
        <f t="shared" si="9"/>
        <v/>
      </c>
    </row>
    <row r="607" spans="1:1">
      <c r="A607" s="95" t="str">
        <f t="shared" si="9"/>
        <v/>
      </c>
    </row>
    <row r="608" spans="1:1">
      <c r="A608" s="95" t="str">
        <f t="shared" si="9"/>
        <v/>
      </c>
    </row>
    <row r="609" spans="1:1">
      <c r="A609" s="95" t="str">
        <f t="shared" si="9"/>
        <v/>
      </c>
    </row>
    <row r="610" spans="1:1">
      <c r="A610" s="95" t="str">
        <f t="shared" si="9"/>
        <v/>
      </c>
    </row>
    <row r="611" spans="1:1">
      <c r="A611" s="95" t="str">
        <f t="shared" si="9"/>
        <v/>
      </c>
    </row>
    <row r="612" spans="1:1">
      <c r="A612" s="95" t="str">
        <f t="shared" si="9"/>
        <v/>
      </c>
    </row>
    <row r="613" spans="1:1">
      <c r="A613" s="95" t="str">
        <f t="shared" si="9"/>
        <v/>
      </c>
    </row>
    <row r="614" spans="1:1">
      <c r="A614" s="95" t="str">
        <f t="shared" si="9"/>
        <v/>
      </c>
    </row>
    <row r="615" spans="1:1">
      <c r="A615" s="95" t="str">
        <f t="shared" si="9"/>
        <v/>
      </c>
    </row>
    <row r="616" spans="1:1">
      <c r="A616" s="95" t="str">
        <f t="shared" si="9"/>
        <v/>
      </c>
    </row>
    <row r="617" spans="1:1">
      <c r="A617" s="95" t="str">
        <f t="shared" si="9"/>
        <v/>
      </c>
    </row>
    <row r="618" spans="1:1">
      <c r="A618" s="95" t="str">
        <f t="shared" si="9"/>
        <v/>
      </c>
    </row>
    <row r="619" spans="1:1">
      <c r="A619" s="95" t="str">
        <f t="shared" si="9"/>
        <v/>
      </c>
    </row>
    <row r="620" spans="1:1">
      <c r="A620" s="95" t="str">
        <f t="shared" si="9"/>
        <v/>
      </c>
    </row>
    <row r="621" spans="1:1">
      <c r="A621" s="95" t="str">
        <f t="shared" si="9"/>
        <v/>
      </c>
    </row>
    <row r="622" spans="1:1">
      <c r="A622" s="95" t="str">
        <f t="shared" si="9"/>
        <v/>
      </c>
    </row>
    <row r="623" spans="1:1">
      <c r="A623" s="95" t="str">
        <f t="shared" si="9"/>
        <v/>
      </c>
    </row>
    <row r="624" spans="1:1">
      <c r="A624" s="95" t="str">
        <f t="shared" si="9"/>
        <v/>
      </c>
    </row>
    <row r="625" spans="1:1">
      <c r="A625" s="95" t="str">
        <f t="shared" si="9"/>
        <v/>
      </c>
    </row>
    <row r="626" spans="1:1">
      <c r="A626" s="95" t="str">
        <f t="shared" si="9"/>
        <v/>
      </c>
    </row>
    <row r="627" spans="1:1">
      <c r="A627" s="95" t="str">
        <f t="shared" si="9"/>
        <v/>
      </c>
    </row>
    <row r="628" spans="1:1">
      <c r="A628" s="95" t="str">
        <f t="shared" si="9"/>
        <v/>
      </c>
    </row>
    <row r="629" spans="1:1">
      <c r="A629" s="95" t="str">
        <f t="shared" si="9"/>
        <v/>
      </c>
    </row>
    <row r="630" spans="1:1">
      <c r="A630" s="95" t="str">
        <f t="shared" si="9"/>
        <v/>
      </c>
    </row>
    <row r="631" spans="1:1">
      <c r="A631" s="95" t="str">
        <f t="shared" si="9"/>
        <v/>
      </c>
    </row>
    <row r="632" spans="1:1">
      <c r="A632" s="95" t="str">
        <f t="shared" si="9"/>
        <v/>
      </c>
    </row>
    <row r="633" spans="1:1">
      <c r="A633" s="95" t="str">
        <f t="shared" si="9"/>
        <v/>
      </c>
    </row>
    <row r="634" spans="1:1">
      <c r="A634" s="95" t="str">
        <f t="shared" si="9"/>
        <v/>
      </c>
    </row>
    <row r="635" spans="1:1">
      <c r="A635" s="95" t="str">
        <f t="shared" si="9"/>
        <v/>
      </c>
    </row>
    <row r="636" spans="1:1">
      <c r="A636" s="95" t="str">
        <f t="shared" si="9"/>
        <v/>
      </c>
    </row>
    <row r="637" spans="1:1">
      <c r="A637" s="95" t="str">
        <f t="shared" si="9"/>
        <v/>
      </c>
    </row>
    <row r="638" spans="1:1">
      <c r="A638" s="95" t="str">
        <f t="shared" si="9"/>
        <v/>
      </c>
    </row>
    <row r="639" spans="1:1">
      <c r="A639" s="95" t="str">
        <f t="shared" si="9"/>
        <v/>
      </c>
    </row>
    <row r="640" spans="1:1">
      <c r="A640" s="95" t="str">
        <f t="shared" si="9"/>
        <v/>
      </c>
    </row>
    <row r="641" spans="1:1">
      <c r="A641" s="95" t="str">
        <f t="shared" si="9"/>
        <v/>
      </c>
    </row>
    <row r="642" spans="1:1">
      <c r="A642" s="95" t="str">
        <f t="shared" si="9"/>
        <v/>
      </c>
    </row>
    <row r="643" spans="1:1">
      <c r="A643" s="95" t="str">
        <f t="shared" si="9"/>
        <v/>
      </c>
    </row>
    <row r="644" spans="1:1">
      <c r="A644" s="95" t="str">
        <f t="shared" si="9"/>
        <v/>
      </c>
    </row>
    <row r="645" spans="1:1">
      <c r="A645" s="95" t="str">
        <f t="shared" si="9"/>
        <v/>
      </c>
    </row>
    <row r="646" spans="1:1">
      <c r="A646" s="95" t="str">
        <f t="shared" si="9"/>
        <v/>
      </c>
    </row>
    <row r="647" spans="1:1">
      <c r="A647" s="95" t="str">
        <f t="shared" ref="A647:A649" si="10">B647&amp;C647</f>
        <v/>
      </c>
    </row>
    <row r="648" spans="1:1">
      <c r="A648" s="95" t="str">
        <f t="shared" si="10"/>
        <v/>
      </c>
    </row>
    <row r="649" spans="1:1">
      <c r="A649" s="95" t="str">
        <f t="shared" si="10"/>
        <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filterMode="1">
    <tabColor theme="3"/>
    <pageSetUpPr fitToPage="1"/>
  </sheetPr>
  <dimension ref="A2:T213"/>
  <sheetViews>
    <sheetView workbookViewId="0"/>
  </sheetViews>
  <sheetFormatPr defaultColWidth="18.6640625" defaultRowHeight="12.75" customHeight="1"/>
  <cols>
    <col min="1" max="2" width="7" style="8" customWidth="1"/>
    <col min="3" max="4" width="7" style="10" customWidth="1"/>
    <col min="5" max="5" width="7" style="8" customWidth="1"/>
    <col min="6" max="6" width="23.44140625" style="1" customWidth="1"/>
    <col min="7" max="7" width="29.33203125" style="1" customWidth="1"/>
    <col min="8" max="8" width="41.6640625" style="1" customWidth="1"/>
    <col min="9" max="9" width="37.88671875" style="1" customWidth="1"/>
    <col min="10" max="10" width="8" style="1" customWidth="1"/>
    <col min="11" max="14" width="14.88671875" style="2" customWidth="1"/>
    <col min="15" max="15" width="14.33203125" style="1" customWidth="1"/>
    <col min="16" max="16" width="17.44140625" style="1" customWidth="1"/>
    <col min="17" max="17" width="22" style="1" customWidth="1"/>
    <col min="18" max="19" width="12.33203125" style="1" customWidth="1"/>
    <col min="20" max="20" width="12.33203125" style="3" customWidth="1"/>
    <col min="21" max="16384" width="18.6640625" style="1"/>
  </cols>
  <sheetData>
    <row r="2" spans="1:20" customFormat="1" ht="15.75" customHeight="1">
      <c r="A2" s="3019" t="s">
        <v>131</v>
      </c>
      <c r="B2" s="3020"/>
      <c r="C2" s="3020"/>
      <c r="D2" s="3020"/>
      <c r="E2" s="3021"/>
      <c r="F2" s="3163" t="s">
        <v>7</v>
      </c>
      <c r="G2" s="3163"/>
      <c r="H2" s="3163"/>
      <c r="I2" s="3163"/>
      <c r="J2" s="3163"/>
      <c r="K2" s="3164" t="s">
        <v>127</v>
      </c>
      <c r="L2" s="3165"/>
      <c r="M2" s="3165"/>
      <c r="N2" s="3165"/>
      <c r="O2" s="3166"/>
      <c r="P2" s="3167" t="s">
        <v>129</v>
      </c>
      <c r="Q2" s="3168"/>
      <c r="R2" s="3169" t="s">
        <v>130</v>
      </c>
      <c r="S2" s="3170"/>
      <c r="T2" s="3171"/>
    </row>
    <row r="3" spans="1:20" s="4" customFormat="1" ht="60" customHeight="1" thickBot="1">
      <c r="A3" s="56" t="s">
        <v>0</v>
      </c>
      <c r="B3" s="6" t="s">
        <v>11</v>
      </c>
      <c r="C3" s="7" t="s">
        <v>1</v>
      </c>
      <c r="D3" s="7" t="s">
        <v>2</v>
      </c>
      <c r="E3" s="57" t="s">
        <v>12</v>
      </c>
      <c r="F3" s="11" t="s">
        <v>3</v>
      </c>
      <c r="G3" s="11" t="s">
        <v>4</v>
      </c>
      <c r="H3" s="11" t="s">
        <v>5</v>
      </c>
      <c r="I3" s="11" t="s">
        <v>6</v>
      </c>
      <c r="J3" s="11" t="s">
        <v>8</v>
      </c>
      <c r="K3" s="26" t="s">
        <v>13</v>
      </c>
      <c r="L3" s="13" t="s">
        <v>14</v>
      </c>
      <c r="M3" s="13" t="s">
        <v>123</v>
      </c>
      <c r="N3" s="13" t="s">
        <v>124</v>
      </c>
      <c r="O3" s="27" t="s">
        <v>16</v>
      </c>
      <c r="P3" s="36" t="s">
        <v>128</v>
      </c>
      <c r="Q3" s="37" t="s">
        <v>125</v>
      </c>
      <c r="R3" s="44" t="s">
        <v>126</v>
      </c>
      <c r="S3" s="12" t="s">
        <v>18</v>
      </c>
      <c r="T3" s="45" t="s">
        <v>17</v>
      </c>
    </row>
    <row r="4" spans="1:20" ht="12.75" hidden="1" customHeight="1" thickTop="1">
      <c r="A4" s="58" t="s">
        <v>27</v>
      </c>
      <c r="B4" s="9" t="str">
        <f t="shared" ref="B4:B67" si="0">LEFT(A4,10)</f>
        <v>COM_201201</v>
      </c>
      <c r="C4" s="9">
        <v>0</v>
      </c>
      <c r="D4" s="9">
        <v>0</v>
      </c>
      <c r="E4" s="59" t="b">
        <v>1</v>
      </c>
      <c r="F4" s="53" t="str">
        <f t="shared" ref="F4:F47" si="1">IF(LEFT(A4,3)="Res","Residential",IF(LEFT(A4,3)="Ind","industrial",IF(LEFT(A4,3)="Com","Commercial",IF(LEFT(A4,3)="AGR","Agriculture",""))))</f>
        <v>Commercial</v>
      </c>
      <c r="G4" s="14" t="s">
        <v>141</v>
      </c>
      <c r="H4" s="14" t="s">
        <v>428</v>
      </c>
      <c r="I4" s="14" t="s">
        <v>485</v>
      </c>
      <c r="J4" s="23">
        <v>2019</v>
      </c>
      <c r="K4" s="28" t="e">
        <v>#VALUE!</v>
      </c>
      <c r="L4" s="15" t="e">
        <v>#VALUE!</v>
      </c>
      <c r="M4" s="16" t="e">
        <v>#VALUE!</v>
      </c>
      <c r="N4" s="16"/>
      <c r="O4" s="29" t="e">
        <v>#VALUE!</v>
      </c>
      <c r="P4" s="38">
        <v>39299.845042590001</v>
      </c>
      <c r="Q4" s="39" t="s">
        <v>1631</v>
      </c>
      <c r="R4" s="46" t="e">
        <f>(K4-M4)*O4*P4/8670000</f>
        <v>#VALUE!</v>
      </c>
      <c r="S4" s="17">
        <f>IFERROR((L4-M4/K4*L4)*O4*P4/8760/1000,0)</f>
        <v>0</v>
      </c>
      <c r="T4" s="47" t="e">
        <f>R4-S4</f>
        <v>#VALUE!</v>
      </c>
    </row>
    <row r="5" spans="1:20" ht="12.75" hidden="1" customHeight="1" thickTop="1">
      <c r="A5" s="58" t="s">
        <v>39</v>
      </c>
      <c r="B5" s="9" t="str">
        <f t="shared" si="0"/>
        <v>IND_201301</v>
      </c>
      <c r="C5" s="9">
        <v>0</v>
      </c>
      <c r="D5" s="9">
        <v>0</v>
      </c>
      <c r="E5" s="59" t="b">
        <v>1</v>
      </c>
      <c r="F5" s="54" t="str">
        <f t="shared" si="1"/>
        <v>industrial</v>
      </c>
      <c r="G5" s="18" t="s">
        <v>147</v>
      </c>
      <c r="H5" s="18" t="s">
        <v>692</v>
      </c>
      <c r="I5" s="18" t="s">
        <v>485</v>
      </c>
      <c r="J5" s="24">
        <v>2019</v>
      </c>
      <c r="K5" s="30" t="e">
        <v>#VALUE!</v>
      </c>
      <c r="L5" s="19" t="e">
        <v>#VALUE!</v>
      </c>
      <c r="M5" s="20" t="e">
        <v>#VALUE!</v>
      </c>
      <c r="N5" s="20"/>
      <c r="O5" s="31" t="e">
        <v>#VALUE!</v>
      </c>
      <c r="P5" s="40">
        <v>8760000</v>
      </c>
      <c r="Q5" s="41" t="s">
        <v>1631</v>
      </c>
      <c r="R5" s="48" t="e">
        <f t="shared" ref="R5:R68" si="2">(K5-M5)*O5*P5/8670000</f>
        <v>#VALUE!</v>
      </c>
      <c r="S5" s="21">
        <f t="shared" ref="S5:S68" si="3">IFERROR((L5-M5/K5*L5)*O5*P5/8760/1000,0)</f>
        <v>0</v>
      </c>
      <c r="T5" s="49" t="e">
        <f t="shared" ref="T5:T68" si="4">R5-S5</f>
        <v>#VALUE!</v>
      </c>
    </row>
    <row r="6" spans="1:20" ht="12.75" hidden="1" customHeight="1">
      <c r="A6" s="58" t="s">
        <v>40</v>
      </c>
      <c r="B6" s="9" t="str">
        <f t="shared" si="0"/>
        <v>RES_199702</v>
      </c>
      <c r="C6" s="9">
        <v>0</v>
      </c>
      <c r="D6" s="9">
        <v>1</v>
      </c>
      <c r="E6" s="59" t="b">
        <v>1</v>
      </c>
      <c r="F6" s="54" t="str">
        <f t="shared" si="1"/>
        <v>Residential</v>
      </c>
      <c r="G6" s="18" t="s">
        <v>148</v>
      </c>
      <c r="H6" s="18" t="s">
        <v>148</v>
      </c>
      <c r="I6" s="18" t="s">
        <v>497</v>
      </c>
      <c r="J6" s="24">
        <v>2019</v>
      </c>
      <c r="K6" s="30" t="e">
        <v>#VALUE!</v>
      </c>
      <c r="L6" s="19" t="e">
        <v>#VALUE!</v>
      </c>
      <c r="M6" s="20" t="e">
        <v>#VALUE!</v>
      </c>
      <c r="N6" s="20"/>
      <c r="O6" s="31" t="e">
        <v>#VALUE!</v>
      </c>
      <c r="P6" s="40">
        <v>0</v>
      </c>
      <c r="Q6" s="41" t="s">
        <v>1631</v>
      </c>
      <c r="R6" s="48" t="e">
        <f t="shared" si="2"/>
        <v>#VALUE!</v>
      </c>
      <c r="S6" s="21">
        <f t="shared" si="3"/>
        <v>0</v>
      </c>
      <c r="T6" s="49" t="e">
        <f t="shared" si="4"/>
        <v>#VALUE!</v>
      </c>
    </row>
    <row r="7" spans="1:20" ht="12.75" hidden="1" customHeight="1">
      <c r="A7" s="58" t="s">
        <v>41</v>
      </c>
      <c r="B7" s="9" t="str">
        <f t="shared" si="0"/>
        <v>RES_199702</v>
      </c>
      <c r="C7" s="9">
        <v>0</v>
      </c>
      <c r="D7" s="9">
        <v>1</v>
      </c>
      <c r="E7" s="59" t="b">
        <v>1</v>
      </c>
      <c r="F7" s="54" t="str">
        <f t="shared" si="1"/>
        <v>Residential</v>
      </c>
      <c r="G7" s="18" t="s">
        <v>148</v>
      </c>
      <c r="H7" s="18" t="s">
        <v>148</v>
      </c>
      <c r="I7" s="18" t="s">
        <v>495</v>
      </c>
      <c r="J7" s="24">
        <v>2019</v>
      </c>
      <c r="K7" s="30" t="e">
        <v>#VALUE!</v>
      </c>
      <c r="L7" s="19" t="e">
        <v>#VALUE!</v>
      </c>
      <c r="M7" s="20" t="e">
        <v>#VALUE!</v>
      </c>
      <c r="N7" s="20"/>
      <c r="O7" s="31" t="e">
        <v>#VALUE!</v>
      </c>
      <c r="P7" s="40">
        <v>0</v>
      </c>
      <c r="Q7" s="41" t="s">
        <v>1631</v>
      </c>
      <c r="R7" s="48" t="e">
        <f t="shared" si="2"/>
        <v>#VALUE!</v>
      </c>
      <c r="S7" s="21">
        <f t="shared" si="3"/>
        <v>0</v>
      </c>
      <c r="T7" s="49" t="e">
        <f t="shared" si="4"/>
        <v>#VALUE!</v>
      </c>
    </row>
    <row r="8" spans="1:20" ht="12.75" hidden="1" customHeight="1">
      <c r="A8" s="58" t="s">
        <v>42</v>
      </c>
      <c r="B8" s="9" t="str">
        <f t="shared" si="0"/>
        <v>RES_199702</v>
      </c>
      <c r="C8" s="9">
        <v>0</v>
      </c>
      <c r="D8" s="9">
        <v>1</v>
      </c>
      <c r="E8" s="59" t="b">
        <v>1</v>
      </c>
      <c r="F8" s="54" t="str">
        <f t="shared" si="1"/>
        <v>Residential</v>
      </c>
      <c r="G8" s="18" t="s">
        <v>148</v>
      </c>
      <c r="H8" s="18" t="s">
        <v>148</v>
      </c>
      <c r="I8" s="18" t="s">
        <v>162</v>
      </c>
      <c r="J8" s="24">
        <v>2019</v>
      </c>
      <c r="K8" s="30" t="e">
        <v>#VALUE!</v>
      </c>
      <c r="L8" s="19" t="e">
        <v>#VALUE!</v>
      </c>
      <c r="M8" s="20" t="e">
        <v>#VALUE!</v>
      </c>
      <c r="N8" s="20"/>
      <c r="O8" s="31" t="e">
        <v>#VALUE!</v>
      </c>
      <c r="P8" s="40">
        <v>0</v>
      </c>
      <c r="Q8" s="41" t="s">
        <v>1631</v>
      </c>
      <c r="R8" s="48" t="e">
        <f t="shared" si="2"/>
        <v>#VALUE!</v>
      </c>
      <c r="S8" s="21">
        <f t="shared" si="3"/>
        <v>0</v>
      </c>
      <c r="T8" s="49" t="e">
        <f t="shared" si="4"/>
        <v>#VALUE!</v>
      </c>
    </row>
    <row r="9" spans="1:20" ht="12.75" hidden="1" customHeight="1">
      <c r="A9" s="58" t="s">
        <v>43</v>
      </c>
      <c r="B9" s="9" t="str">
        <f t="shared" si="0"/>
        <v>RES_199702</v>
      </c>
      <c r="C9" s="9">
        <v>0</v>
      </c>
      <c r="D9" s="9">
        <v>1</v>
      </c>
      <c r="E9" s="59" t="b">
        <v>1</v>
      </c>
      <c r="F9" s="54" t="str">
        <f t="shared" si="1"/>
        <v>Residential</v>
      </c>
      <c r="G9" s="18" t="s">
        <v>148</v>
      </c>
      <c r="H9" s="18" t="s">
        <v>148</v>
      </c>
      <c r="I9" s="18" t="s">
        <v>163</v>
      </c>
      <c r="J9" s="24">
        <v>2019</v>
      </c>
      <c r="K9" s="30" t="e">
        <v>#VALUE!</v>
      </c>
      <c r="L9" s="19" t="e">
        <v>#VALUE!</v>
      </c>
      <c r="M9" s="20" t="e">
        <v>#VALUE!</v>
      </c>
      <c r="N9" s="20"/>
      <c r="O9" s="31" t="e">
        <v>#VALUE!</v>
      </c>
      <c r="P9" s="40">
        <v>0</v>
      </c>
      <c r="Q9" s="41" t="s">
        <v>1631</v>
      </c>
      <c r="R9" s="48" t="e">
        <f t="shared" si="2"/>
        <v>#VALUE!</v>
      </c>
      <c r="S9" s="21">
        <f t="shared" si="3"/>
        <v>0</v>
      </c>
      <c r="T9" s="49" t="e">
        <f t="shared" si="4"/>
        <v>#VALUE!</v>
      </c>
    </row>
    <row r="10" spans="1:20" ht="12.75" hidden="1" customHeight="1">
      <c r="A10" s="58" t="s">
        <v>44</v>
      </c>
      <c r="B10" s="9" t="str">
        <f t="shared" si="0"/>
        <v>RES_199702</v>
      </c>
      <c r="C10" s="9">
        <v>0</v>
      </c>
      <c r="D10" s="9">
        <v>1</v>
      </c>
      <c r="E10" s="59" t="b">
        <v>1</v>
      </c>
      <c r="F10" s="54" t="str">
        <f t="shared" si="1"/>
        <v>Residential</v>
      </c>
      <c r="G10" s="18" t="s">
        <v>148</v>
      </c>
      <c r="H10" s="18" t="s">
        <v>148</v>
      </c>
      <c r="I10" s="18" t="s">
        <v>164</v>
      </c>
      <c r="J10" s="24">
        <v>2019</v>
      </c>
      <c r="K10" s="30" t="e">
        <v>#VALUE!</v>
      </c>
      <c r="L10" s="19" t="e">
        <v>#VALUE!</v>
      </c>
      <c r="M10" s="20" t="e">
        <v>#VALUE!</v>
      </c>
      <c r="N10" s="20"/>
      <c r="O10" s="31" t="e">
        <v>#VALUE!</v>
      </c>
      <c r="P10" s="40">
        <v>0</v>
      </c>
      <c r="Q10" s="41" t="s">
        <v>1631</v>
      </c>
      <c r="R10" s="48" t="e">
        <f t="shared" si="2"/>
        <v>#VALUE!</v>
      </c>
      <c r="S10" s="21">
        <f t="shared" si="3"/>
        <v>0</v>
      </c>
      <c r="T10" s="49" t="e">
        <f t="shared" si="4"/>
        <v>#VALUE!</v>
      </c>
    </row>
    <row r="11" spans="1:20" ht="12.75" hidden="1" customHeight="1">
      <c r="A11" s="58" t="s">
        <v>100</v>
      </c>
      <c r="B11" s="9" t="str">
        <f t="shared" si="0"/>
        <v>RES_199702</v>
      </c>
      <c r="C11" s="9">
        <v>0</v>
      </c>
      <c r="D11" s="9">
        <v>0</v>
      </c>
      <c r="E11" s="59" t="b">
        <v>1</v>
      </c>
      <c r="F11" s="54" t="str">
        <f t="shared" si="1"/>
        <v>Residential</v>
      </c>
      <c r="G11" s="18" t="s">
        <v>148</v>
      </c>
      <c r="H11" s="18" t="s">
        <v>431</v>
      </c>
      <c r="I11" s="18" t="s">
        <v>1636</v>
      </c>
      <c r="J11" s="24">
        <v>2019</v>
      </c>
      <c r="K11" s="30" t="e">
        <v>#VALUE!</v>
      </c>
      <c r="L11" s="19" t="e">
        <v>#VALUE!</v>
      </c>
      <c r="M11" s="20" t="e">
        <v>#VALUE!</v>
      </c>
      <c r="N11" s="20"/>
      <c r="O11" s="31" t="e">
        <v>#VALUE!</v>
      </c>
      <c r="P11" s="40">
        <v>0</v>
      </c>
      <c r="Q11" s="41"/>
      <c r="R11" s="48" t="e">
        <f t="shared" si="2"/>
        <v>#VALUE!</v>
      </c>
      <c r="S11" s="21">
        <f t="shared" si="3"/>
        <v>0</v>
      </c>
      <c r="T11" s="49" t="e">
        <f t="shared" si="4"/>
        <v>#VALUE!</v>
      </c>
    </row>
    <row r="12" spans="1:20" ht="12.75" hidden="1" customHeight="1">
      <c r="A12" s="58" t="s">
        <v>101</v>
      </c>
      <c r="B12" s="9" t="str">
        <f t="shared" si="0"/>
        <v>RES_199702</v>
      </c>
      <c r="C12" s="9">
        <v>0</v>
      </c>
      <c r="D12" s="9">
        <v>0</v>
      </c>
      <c r="E12" s="59" t="b">
        <v>1</v>
      </c>
      <c r="F12" s="54" t="str">
        <f t="shared" si="1"/>
        <v>Residential</v>
      </c>
      <c r="G12" s="18" t="s">
        <v>148</v>
      </c>
      <c r="H12" s="18" t="s">
        <v>431</v>
      </c>
      <c r="I12" s="18" t="s">
        <v>1461</v>
      </c>
      <c r="J12" s="24">
        <v>2019</v>
      </c>
      <c r="K12" s="30" t="e">
        <v>#VALUE!</v>
      </c>
      <c r="L12" s="19" t="e">
        <v>#VALUE!</v>
      </c>
      <c r="M12" s="20" t="e">
        <v>#VALUE!</v>
      </c>
      <c r="N12" s="20"/>
      <c r="O12" s="31" t="e">
        <v>#VALUE!</v>
      </c>
      <c r="P12" s="40">
        <v>0</v>
      </c>
      <c r="Q12" s="41"/>
      <c r="R12" s="48" t="e">
        <f t="shared" si="2"/>
        <v>#VALUE!</v>
      </c>
      <c r="S12" s="21">
        <f t="shared" si="3"/>
        <v>0</v>
      </c>
      <c r="T12" s="49" t="e">
        <f t="shared" si="4"/>
        <v>#VALUE!</v>
      </c>
    </row>
    <row r="13" spans="1:20" ht="12.75" hidden="1" customHeight="1">
      <c r="A13" s="58" t="s">
        <v>26</v>
      </c>
      <c r="B13" s="9" t="str">
        <f t="shared" si="0"/>
        <v>COM_200803</v>
      </c>
      <c r="C13" s="9">
        <v>0</v>
      </c>
      <c r="D13" s="9">
        <v>0</v>
      </c>
      <c r="E13" s="59" t="b">
        <v>1</v>
      </c>
      <c r="F13" s="54" t="str">
        <f t="shared" si="1"/>
        <v>Commercial</v>
      </c>
      <c r="G13" s="18" t="s">
        <v>140</v>
      </c>
      <c r="H13" s="18" t="s">
        <v>655</v>
      </c>
      <c r="I13" s="18" t="s">
        <v>485</v>
      </c>
      <c r="J13" s="24">
        <v>2019</v>
      </c>
      <c r="K13" s="30" t="e">
        <v>#VALUE!</v>
      </c>
      <c r="L13" s="19" t="e">
        <v>#VALUE!</v>
      </c>
      <c r="M13" s="20" t="e">
        <v>#VALUE!</v>
      </c>
      <c r="N13" s="20"/>
      <c r="O13" s="31" t="e">
        <v>#VALUE!</v>
      </c>
      <c r="P13" s="40">
        <v>0</v>
      </c>
      <c r="Q13" s="41" t="s">
        <v>1631</v>
      </c>
      <c r="R13" s="48" t="e">
        <f t="shared" si="2"/>
        <v>#VALUE!</v>
      </c>
      <c r="S13" s="21">
        <f t="shared" si="3"/>
        <v>0</v>
      </c>
      <c r="T13" s="49" t="e">
        <f t="shared" si="4"/>
        <v>#VALUE!</v>
      </c>
    </row>
    <row r="14" spans="1:20" ht="12.75" hidden="1" customHeight="1">
      <c r="A14" s="58" t="s">
        <v>109</v>
      </c>
      <c r="B14" s="9" t="str">
        <f t="shared" si="0"/>
        <v>COM_200803</v>
      </c>
      <c r="C14" s="9">
        <v>0</v>
      </c>
      <c r="D14" s="9">
        <v>0</v>
      </c>
      <c r="E14" s="59" t="b">
        <v>1</v>
      </c>
      <c r="F14" s="54" t="str">
        <f t="shared" si="1"/>
        <v>Commercial</v>
      </c>
      <c r="G14" s="18" t="s">
        <v>140</v>
      </c>
      <c r="H14" s="18" t="s">
        <v>656</v>
      </c>
      <c r="I14" s="18" t="s">
        <v>485</v>
      </c>
      <c r="J14" s="24">
        <v>2019</v>
      </c>
      <c r="K14" s="30" t="e">
        <v>#VALUE!</v>
      </c>
      <c r="L14" s="19" t="e">
        <v>#VALUE!</v>
      </c>
      <c r="M14" s="20" t="e">
        <v>#VALUE!</v>
      </c>
      <c r="N14" s="20"/>
      <c r="O14" s="31" t="e">
        <v>#VALUE!</v>
      </c>
      <c r="P14" s="40">
        <v>8760000</v>
      </c>
      <c r="Q14" s="41"/>
      <c r="R14" s="48" t="e">
        <f t="shared" si="2"/>
        <v>#VALUE!</v>
      </c>
      <c r="S14" s="21">
        <f t="shared" si="3"/>
        <v>0</v>
      </c>
      <c r="T14" s="49" t="e">
        <f t="shared" si="4"/>
        <v>#VALUE!</v>
      </c>
    </row>
    <row r="15" spans="1:20" ht="12.75" hidden="1" customHeight="1">
      <c r="A15" s="58" t="s">
        <v>110</v>
      </c>
      <c r="B15" s="9" t="str">
        <f t="shared" si="0"/>
        <v>COM_200803</v>
      </c>
      <c r="C15" s="9">
        <v>0</v>
      </c>
      <c r="D15" s="9">
        <v>0</v>
      </c>
      <c r="E15" s="59" t="b">
        <v>1</v>
      </c>
      <c r="F15" s="54" t="str">
        <f t="shared" si="1"/>
        <v>Commercial</v>
      </c>
      <c r="G15" s="18" t="s">
        <v>140</v>
      </c>
      <c r="H15" s="18" t="s">
        <v>657</v>
      </c>
      <c r="I15" s="18" t="s">
        <v>485</v>
      </c>
      <c r="J15" s="24">
        <v>2019</v>
      </c>
      <c r="K15" s="30" t="e">
        <v>#VALUE!</v>
      </c>
      <c r="L15" s="19" t="e">
        <v>#VALUE!</v>
      </c>
      <c r="M15" s="20" t="e">
        <v>#VALUE!</v>
      </c>
      <c r="N15" s="20"/>
      <c r="O15" s="31" t="e">
        <v>#VALUE!</v>
      </c>
      <c r="P15" s="40">
        <v>8760000</v>
      </c>
      <c r="Q15" s="41"/>
      <c r="R15" s="48" t="e">
        <f t="shared" si="2"/>
        <v>#VALUE!</v>
      </c>
      <c r="S15" s="21">
        <f t="shared" si="3"/>
        <v>0</v>
      </c>
      <c r="T15" s="49" t="e">
        <f t="shared" si="4"/>
        <v>#VALUE!</v>
      </c>
    </row>
    <row r="16" spans="1:20" ht="12.75" hidden="1" customHeight="1">
      <c r="A16" s="58" t="s">
        <v>111</v>
      </c>
      <c r="B16" s="9" t="str">
        <f t="shared" si="0"/>
        <v>COM_200803</v>
      </c>
      <c r="C16" s="9">
        <v>0</v>
      </c>
      <c r="D16" s="9">
        <v>0</v>
      </c>
      <c r="E16" s="59" t="b">
        <v>1</v>
      </c>
      <c r="F16" s="54" t="str">
        <f t="shared" si="1"/>
        <v>Commercial</v>
      </c>
      <c r="G16" s="18" t="s">
        <v>140</v>
      </c>
      <c r="H16" s="18" t="s">
        <v>658</v>
      </c>
      <c r="I16" s="18" t="s">
        <v>485</v>
      </c>
      <c r="J16" s="24">
        <v>2019</v>
      </c>
      <c r="K16" s="30" t="e">
        <v>#VALUE!</v>
      </c>
      <c r="L16" s="19" t="e">
        <v>#VALUE!</v>
      </c>
      <c r="M16" s="20" t="e">
        <v>#VALUE!</v>
      </c>
      <c r="N16" s="20"/>
      <c r="O16" s="31" t="e">
        <v>#VALUE!</v>
      </c>
      <c r="P16" s="40">
        <v>8760000</v>
      </c>
      <c r="Q16" s="41"/>
      <c r="R16" s="48" t="e">
        <f t="shared" si="2"/>
        <v>#VALUE!</v>
      </c>
      <c r="S16" s="21">
        <f t="shared" si="3"/>
        <v>0</v>
      </c>
      <c r="T16" s="49" t="e">
        <f t="shared" si="4"/>
        <v>#VALUE!</v>
      </c>
    </row>
    <row r="17" spans="1:20" ht="12.75" hidden="1" customHeight="1">
      <c r="A17" s="58" t="s">
        <v>19</v>
      </c>
      <c r="B17" s="9" t="str">
        <f t="shared" si="0"/>
        <v>COM_200002</v>
      </c>
      <c r="C17" s="9">
        <v>0</v>
      </c>
      <c r="D17" s="9">
        <v>0</v>
      </c>
      <c r="E17" s="59" t="b">
        <v>1</v>
      </c>
      <c r="F17" s="54" t="str">
        <f t="shared" si="1"/>
        <v>Commercial</v>
      </c>
      <c r="G17" s="18" t="s">
        <v>137</v>
      </c>
      <c r="H17" s="18" t="s">
        <v>434</v>
      </c>
      <c r="I17" s="18" t="s">
        <v>485</v>
      </c>
      <c r="J17" s="24">
        <v>2019</v>
      </c>
      <c r="K17" s="30" t="e">
        <v>#VALUE!</v>
      </c>
      <c r="L17" s="19" t="e">
        <v>#VALUE!</v>
      </c>
      <c r="M17" s="20" t="e">
        <v>#VALUE!</v>
      </c>
      <c r="N17" s="20"/>
      <c r="O17" s="31" t="e">
        <v>#VALUE!</v>
      </c>
      <c r="P17" s="40">
        <v>0.43631310000000001</v>
      </c>
      <c r="Q17" s="41" t="s">
        <v>1631</v>
      </c>
      <c r="R17" s="48" t="e">
        <f t="shared" si="2"/>
        <v>#VALUE!</v>
      </c>
      <c r="S17" s="21">
        <f t="shared" si="3"/>
        <v>0</v>
      </c>
      <c r="T17" s="49" t="e">
        <f t="shared" si="4"/>
        <v>#VALUE!</v>
      </c>
    </row>
    <row r="18" spans="1:20" ht="12.75" hidden="1" customHeight="1">
      <c r="A18" s="58" t="s">
        <v>20</v>
      </c>
      <c r="B18" s="9" t="str">
        <f t="shared" si="0"/>
        <v>COM_200002</v>
      </c>
      <c r="C18" s="9">
        <v>0</v>
      </c>
      <c r="D18" s="9">
        <v>0</v>
      </c>
      <c r="E18" s="59" t="b">
        <v>1</v>
      </c>
      <c r="F18" s="54" t="str">
        <f t="shared" si="1"/>
        <v>Commercial</v>
      </c>
      <c r="G18" s="18" t="s">
        <v>137</v>
      </c>
      <c r="H18" s="18" t="s">
        <v>462</v>
      </c>
      <c r="I18" s="18" t="s">
        <v>485</v>
      </c>
      <c r="J18" s="24">
        <v>2019</v>
      </c>
      <c r="K18" s="30" t="e">
        <v>#VALUE!</v>
      </c>
      <c r="L18" s="19" t="e">
        <v>#VALUE!</v>
      </c>
      <c r="M18" s="20" t="e">
        <v>#VALUE!</v>
      </c>
      <c r="N18" s="20"/>
      <c r="O18" s="31" t="e">
        <v>#VALUE!</v>
      </c>
      <c r="P18" s="40">
        <v>0.43152249999999998</v>
      </c>
      <c r="Q18" s="41" t="s">
        <v>1631</v>
      </c>
      <c r="R18" s="48" t="e">
        <f t="shared" si="2"/>
        <v>#VALUE!</v>
      </c>
      <c r="S18" s="21">
        <f t="shared" si="3"/>
        <v>0</v>
      </c>
      <c r="T18" s="49" t="e">
        <f t="shared" si="4"/>
        <v>#VALUE!</v>
      </c>
    </row>
    <row r="19" spans="1:20" ht="12.75" hidden="1" customHeight="1">
      <c r="A19" s="58" t="s">
        <v>71</v>
      </c>
      <c r="B19" s="9" t="str">
        <f t="shared" si="0"/>
        <v>COM_200701</v>
      </c>
      <c r="C19" s="9">
        <v>0</v>
      </c>
      <c r="D19" s="9">
        <v>0</v>
      </c>
      <c r="E19" s="59" t="b">
        <v>1</v>
      </c>
      <c r="F19" s="54" t="str">
        <f t="shared" si="1"/>
        <v>Commercial</v>
      </c>
      <c r="G19" s="18" t="s">
        <v>139</v>
      </c>
      <c r="H19" s="18" t="s">
        <v>643</v>
      </c>
      <c r="I19" s="18" t="s">
        <v>1176</v>
      </c>
      <c r="J19" s="24">
        <v>2019</v>
      </c>
      <c r="K19" s="30" t="e">
        <v>#VALUE!</v>
      </c>
      <c r="L19" s="19" t="e">
        <v>#VALUE!</v>
      </c>
      <c r="M19" s="20" t="e">
        <v>#VALUE!</v>
      </c>
      <c r="N19" s="20"/>
      <c r="O19" s="31" t="e">
        <v>#VALUE!</v>
      </c>
      <c r="P19" s="40">
        <v>30.878850979999999</v>
      </c>
      <c r="Q19" s="41" t="s">
        <v>1631</v>
      </c>
      <c r="R19" s="48" t="e">
        <f t="shared" si="2"/>
        <v>#VALUE!</v>
      </c>
      <c r="S19" s="21">
        <f t="shared" si="3"/>
        <v>0</v>
      </c>
      <c r="T19" s="49" t="e">
        <f t="shared" si="4"/>
        <v>#VALUE!</v>
      </c>
    </row>
    <row r="20" spans="1:20" ht="12.75" hidden="1" customHeight="1" thickTop="1">
      <c r="A20" s="58" t="s">
        <v>36</v>
      </c>
      <c r="B20" s="9" t="str">
        <f t="shared" si="0"/>
        <v>IND_200402</v>
      </c>
      <c r="C20" s="9">
        <v>0</v>
      </c>
      <c r="D20" s="9">
        <v>0</v>
      </c>
      <c r="E20" s="59" t="b">
        <v>1</v>
      </c>
      <c r="F20" s="54" t="str">
        <f t="shared" si="1"/>
        <v>industrial</v>
      </c>
      <c r="G20" s="18" t="s">
        <v>146</v>
      </c>
      <c r="H20" s="18" t="s">
        <v>456</v>
      </c>
      <c r="I20" s="18" t="s">
        <v>485</v>
      </c>
      <c r="J20" s="24">
        <v>2019</v>
      </c>
      <c r="K20" s="30" t="e">
        <v>#VALUE!</v>
      </c>
      <c r="L20" s="19" t="e">
        <v>#VALUE!</v>
      </c>
      <c r="M20" s="20" t="e">
        <v>#VALUE!</v>
      </c>
      <c r="N20" s="20"/>
      <c r="O20" s="31" t="e">
        <v>#VALUE!</v>
      </c>
      <c r="P20" s="40">
        <v>0</v>
      </c>
      <c r="Q20" s="41" t="s">
        <v>1631</v>
      </c>
      <c r="R20" s="48" t="e">
        <f t="shared" si="2"/>
        <v>#VALUE!</v>
      </c>
      <c r="S20" s="21">
        <f t="shared" si="3"/>
        <v>0</v>
      </c>
      <c r="T20" s="49" t="e">
        <f t="shared" si="4"/>
        <v>#VALUE!</v>
      </c>
    </row>
    <row r="21" spans="1:20" ht="12.75" hidden="1" customHeight="1">
      <c r="A21" s="58" t="s">
        <v>37</v>
      </c>
      <c r="B21" s="9" t="str">
        <f t="shared" si="0"/>
        <v>IND_200402</v>
      </c>
      <c r="C21" s="9">
        <v>0</v>
      </c>
      <c r="D21" s="9">
        <v>0</v>
      </c>
      <c r="E21" s="59" t="b">
        <v>1</v>
      </c>
      <c r="F21" s="54" t="str">
        <f t="shared" si="1"/>
        <v>industrial</v>
      </c>
      <c r="G21" s="18" t="s">
        <v>146</v>
      </c>
      <c r="H21" s="18" t="s">
        <v>439</v>
      </c>
      <c r="I21" s="18" t="s">
        <v>485</v>
      </c>
      <c r="J21" s="24">
        <v>2019</v>
      </c>
      <c r="K21" s="30" t="e">
        <v>#VALUE!</v>
      </c>
      <c r="L21" s="19" t="e">
        <v>#VALUE!</v>
      </c>
      <c r="M21" s="20" t="e">
        <v>#VALUE!</v>
      </c>
      <c r="N21" s="20"/>
      <c r="O21" s="31" t="e">
        <v>#VALUE!</v>
      </c>
      <c r="P21" s="40">
        <v>4953.7021836800004</v>
      </c>
      <c r="Q21" s="41" t="s">
        <v>1631</v>
      </c>
      <c r="R21" s="48" t="e">
        <f t="shared" si="2"/>
        <v>#VALUE!</v>
      </c>
      <c r="S21" s="21">
        <f t="shared" si="3"/>
        <v>0</v>
      </c>
      <c r="T21" s="49" t="e">
        <f t="shared" si="4"/>
        <v>#VALUE!</v>
      </c>
    </row>
    <row r="22" spans="1:20" ht="12.75" hidden="1" customHeight="1" thickTop="1">
      <c r="A22" s="58" t="s">
        <v>51</v>
      </c>
      <c r="B22" s="9" t="str">
        <f t="shared" si="0"/>
        <v>RES_200804</v>
      </c>
      <c r="C22" s="9">
        <v>0</v>
      </c>
      <c r="D22" s="9">
        <v>0</v>
      </c>
      <c r="E22" s="59" t="b">
        <v>1</v>
      </c>
      <c r="F22" s="54" t="str">
        <f t="shared" si="1"/>
        <v>Residential</v>
      </c>
      <c r="G22" s="18" t="s">
        <v>151</v>
      </c>
      <c r="H22" s="18" t="s">
        <v>437</v>
      </c>
      <c r="I22" s="18" t="s">
        <v>158</v>
      </c>
      <c r="J22" s="24">
        <v>2019</v>
      </c>
      <c r="K22" s="30" t="e">
        <v>#VALUE!</v>
      </c>
      <c r="L22" s="19" t="e">
        <v>#VALUE!</v>
      </c>
      <c r="M22" s="20" t="e">
        <v>#VALUE!</v>
      </c>
      <c r="N22" s="20"/>
      <c r="O22" s="31" t="e">
        <v>#VALUE!</v>
      </c>
      <c r="P22" s="40">
        <v>2146.7983377599999</v>
      </c>
      <c r="Q22" s="41" t="s">
        <v>1631</v>
      </c>
      <c r="R22" s="48" t="e">
        <f t="shared" si="2"/>
        <v>#VALUE!</v>
      </c>
      <c r="S22" s="21">
        <f t="shared" si="3"/>
        <v>0</v>
      </c>
      <c r="T22" s="49" t="e">
        <f t="shared" si="4"/>
        <v>#VALUE!</v>
      </c>
    </row>
    <row r="23" spans="1:20" ht="12.75" hidden="1" customHeight="1">
      <c r="A23" s="58" t="s">
        <v>52</v>
      </c>
      <c r="B23" s="9" t="str">
        <f t="shared" si="0"/>
        <v>RES_200804</v>
      </c>
      <c r="C23" s="9">
        <v>0</v>
      </c>
      <c r="D23" s="9">
        <v>0</v>
      </c>
      <c r="E23" s="59" t="b">
        <v>1</v>
      </c>
      <c r="F23" s="54" t="str">
        <f t="shared" si="1"/>
        <v>Residential</v>
      </c>
      <c r="G23" s="18" t="s">
        <v>151</v>
      </c>
      <c r="H23" s="18" t="s">
        <v>435</v>
      </c>
      <c r="I23" s="18" t="s">
        <v>158</v>
      </c>
      <c r="J23" s="24">
        <v>2019</v>
      </c>
      <c r="K23" s="30" t="e">
        <v>#VALUE!</v>
      </c>
      <c r="L23" s="19" t="e">
        <v>#VALUE!</v>
      </c>
      <c r="M23" s="20" t="e">
        <v>#VALUE!</v>
      </c>
      <c r="N23" s="20"/>
      <c r="O23" s="31" t="e">
        <v>#VALUE!</v>
      </c>
      <c r="P23" s="40">
        <v>3793.5503881499999</v>
      </c>
      <c r="Q23" s="41" t="s">
        <v>1631</v>
      </c>
      <c r="R23" s="48" t="e">
        <f t="shared" si="2"/>
        <v>#VALUE!</v>
      </c>
      <c r="S23" s="21">
        <f t="shared" si="3"/>
        <v>0</v>
      </c>
      <c r="T23" s="49" t="e">
        <f t="shared" si="4"/>
        <v>#VALUE!</v>
      </c>
    </row>
    <row r="24" spans="1:20" ht="12.75" hidden="1" customHeight="1">
      <c r="A24" s="58" t="s">
        <v>53</v>
      </c>
      <c r="B24" s="9" t="str">
        <f t="shared" si="0"/>
        <v>RES_200804</v>
      </c>
      <c r="C24" s="9">
        <v>0</v>
      </c>
      <c r="D24" s="9">
        <v>0</v>
      </c>
      <c r="E24" s="59" t="b">
        <v>1</v>
      </c>
      <c r="F24" s="54" t="str">
        <f t="shared" si="1"/>
        <v>Residential</v>
      </c>
      <c r="G24" s="18" t="s">
        <v>151</v>
      </c>
      <c r="H24" s="18" t="s">
        <v>436</v>
      </c>
      <c r="I24" s="18" t="s">
        <v>158</v>
      </c>
      <c r="J24" s="24">
        <v>2019</v>
      </c>
      <c r="K24" s="30" t="e">
        <v>#VALUE!</v>
      </c>
      <c r="L24" s="19" t="e">
        <v>#VALUE!</v>
      </c>
      <c r="M24" s="20" t="e">
        <v>#VALUE!</v>
      </c>
      <c r="N24" s="20"/>
      <c r="O24" s="31" t="e">
        <v>#VALUE!</v>
      </c>
      <c r="P24" s="40">
        <v>5709.5283126900003</v>
      </c>
      <c r="Q24" s="41" t="s">
        <v>1631</v>
      </c>
      <c r="R24" s="48" t="e">
        <f t="shared" si="2"/>
        <v>#VALUE!</v>
      </c>
      <c r="S24" s="21">
        <f t="shared" si="3"/>
        <v>0</v>
      </c>
      <c r="T24" s="49" t="e">
        <f t="shared" si="4"/>
        <v>#VALUE!</v>
      </c>
    </row>
    <row r="25" spans="1:20" ht="12.75" hidden="1" customHeight="1">
      <c r="A25" s="58" t="s">
        <v>47</v>
      </c>
      <c r="B25" s="9" t="str">
        <f t="shared" si="0"/>
        <v>RES_200401</v>
      </c>
      <c r="C25" s="9">
        <v>0</v>
      </c>
      <c r="D25" s="9">
        <v>0</v>
      </c>
      <c r="E25" s="59" t="b">
        <v>1</v>
      </c>
      <c r="F25" s="54" t="str">
        <f t="shared" si="1"/>
        <v>Residential</v>
      </c>
      <c r="G25" s="18" t="s">
        <v>624</v>
      </c>
      <c r="H25" s="18" t="s">
        <v>1460</v>
      </c>
      <c r="I25" s="18" t="s">
        <v>1461</v>
      </c>
      <c r="J25" s="24">
        <v>2019</v>
      </c>
      <c r="K25" s="30" t="e">
        <v>#VALUE!</v>
      </c>
      <c r="L25" s="19" t="e">
        <v>#VALUE!</v>
      </c>
      <c r="M25" s="20" t="e">
        <v>#VALUE!</v>
      </c>
      <c r="N25" s="20"/>
      <c r="O25" s="31" t="e">
        <v>#VALUE!</v>
      </c>
      <c r="P25" s="40">
        <v>0</v>
      </c>
      <c r="Q25" s="41" t="s">
        <v>1631</v>
      </c>
      <c r="R25" s="48" t="e">
        <f t="shared" si="2"/>
        <v>#VALUE!</v>
      </c>
      <c r="S25" s="21">
        <f t="shared" si="3"/>
        <v>0</v>
      </c>
      <c r="T25" s="49" t="e">
        <f t="shared" si="4"/>
        <v>#VALUE!</v>
      </c>
    </row>
    <row r="26" spans="1:20" ht="12.75" hidden="1" customHeight="1">
      <c r="A26" s="58" t="s">
        <v>48</v>
      </c>
      <c r="B26" s="9" t="str">
        <f t="shared" si="0"/>
        <v>RES_200401</v>
      </c>
      <c r="C26" s="9">
        <v>0</v>
      </c>
      <c r="D26" s="9">
        <v>0</v>
      </c>
      <c r="E26" s="59" t="b">
        <v>1</v>
      </c>
      <c r="F26" s="54" t="str">
        <f t="shared" si="1"/>
        <v>Residential</v>
      </c>
      <c r="G26" s="18" t="s">
        <v>624</v>
      </c>
      <c r="H26" s="18" t="s">
        <v>1463</v>
      </c>
      <c r="I26" s="18" t="s">
        <v>1461</v>
      </c>
      <c r="J26" s="24">
        <v>2019</v>
      </c>
      <c r="K26" s="30" t="e">
        <v>#VALUE!</v>
      </c>
      <c r="L26" s="19" t="e">
        <v>#VALUE!</v>
      </c>
      <c r="M26" s="20" t="e">
        <v>#VALUE!</v>
      </c>
      <c r="N26" s="20"/>
      <c r="O26" s="31" t="e">
        <v>#VALUE!</v>
      </c>
      <c r="P26" s="40">
        <v>0</v>
      </c>
      <c r="Q26" s="41" t="s">
        <v>1631</v>
      </c>
      <c r="R26" s="48" t="e">
        <f t="shared" si="2"/>
        <v>#VALUE!</v>
      </c>
      <c r="S26" s="21">
        <f t="shared" si="3"/>
        <v>0</v>
      </c>
      <c r="T26" s="49" t="e">
        <f t="shared" si="4"/>
        <v>#VALUE!</v>
      </c>
    </row>
    <row r="27" spans="1:20" ht="12.75" hidden="1" customHeight="1">
      <c r="A27" s="58" t="s">
        <v>49</v>
      </c>
      <c r="B27" s="9" t="str">
        <f t="shared" si="0"/>
        <v>RES_200401</v>
      </c>
      <c r="C27" s="9">
        <v>0</v>
      </c>
      <c r="D27" s="9">
        <v>0</v>
      </c>
      <c r="E27" s="59" t="b">
        <v>1</v>
      </c>
      <c r="F27" s="54" t="str">
        <f t="shared" si="1"/>
        <v>Residential</v>
      </c>
      <c r="G27" s="18" t="s">
        <v>624</v>
      </c>
      <c r="H27" s="18" t="s">
        <v>1464</v>
      </c>
      <c r="I27" s="18" t="s">
        <v>1461</v>
      </c>
      <c r="J27" s="24">
        <v>2019</v>
      </c>
      <c r="K27" s="30" t="e">
        <v>#VALUE!</v>
      </c>
      <c r="L27" s="19" t="e">
        <v>#VALUE!</v>
      </c>
      <c r="M27" s="20" t="e">
        <v>#VALUE!</v>
      </c>
      <c r="N27" s="20"/>
      <c r="O27" s="31" t="e">
        <v>#VALUE!</v>
      </c>
      <c r="P27" s="40">
        <v>0</v>
      </c>
      <c r="Q27" s="41" t="s">
        <v>1631</v>
      </c>
      <c r="R27" s="48" t="e">
        <f t="shared" si="2"/>
        <v>#VALUE!</v>
      </c>
      <c r="S27" s="21">
        <f t="shared" si="3"/>
        <v>0</v>
      </c>
      <c r="T27" s="49" t="e">
        <f t="shared" si="4"/>
        <v>#VALUE!</v>
      </c>
    </row>
    <row r="28" spans="1:20" ht="12.75" hidden="1" customHeight="1">
      <c r="A28" s="58" t="s">
        <v>50</v>
      </c>
      <c r="B28" s="9" t="str">
        <f t="shared" si="0"/>
        <v>RES_200401</v>
      </c>
      <c r="C28" s="9">
        <v>0</v>
      </c>
      <c r="D28" s="9">
        <v>0</v>
      </c>
      <c r="E28" s="59" t="b">
        <v>1</v>
      </c>
      <c r="F28" s="54" t="str">
        <f t="shared" si="1"/>
        <v>Residential</v>
      </c>
      <c r="G28" s="18" t="s">
        <v>624</v>
      </c>
      <c r="H28" s="18" t="s">
        <v>1465</v>
      </c>
      <c r="I28" s="18" t="s">
        <v>1461</v>
      </c>
      <c r="J28" s="24">
        <v>2019</v>
      </c>
      <c r="K28" s="30" t="e">
        <v>#VALUE!</v>
      </c>
      <c r="L28" s="19" t="e">
        <v>#VALUE!</v>
      </c>
      <c r="M28" s="20" t="e">
        <v>#VALUE!</v>
      </c>
      <c r="N28" s="20"/>
      <c r="O28" s="31" t="e">
        <v>#VALUE!</v>
      </c>
      <c r="P28" s="40">
        <v>0</v>
      </c>
      <c r="Q28" s="41" t="s">
        <v>1631</v>
      </c>
      <c r="R28" s="48" t="e">
        <f t="shared" si="2"/>
        <v>#VALUE!</v>
      </c>
      <c r="S28" s="21">
        <f t="shared" si="3"/>
        <v>0</v>
      </c>
      <c r="T28" s="49" t="e">
        <f t="shared" si="4"/>
        <v>#VALUE!</v>
      </c>
    </row>
    <row r="29" spans="1:20" ht="12.75" hidden="1" customHeight="1">
      <c r="A29" s="58" t="s">
        <v>28</v>
      </c>
      <c r="B29" s="9" t="str">
        <f t="shared" si="0"/>
        <v>COM_201305</v>
      </c>
      <c r="C29" s="9">
        <v>0</v>
      </c>
      <c r="D29" s="9">
        <v>0</v>
      </c>
      <c r="E29" s="59" t="b">
        <v>1</v>
      </c>
      <c r="F29" s="54" t="str">
        <f t="shared" si="1"/>
        <v>Commercial</v>
      </c>
      <c r="G29" s="18" t="s">
        <v>161</v>
      </c>
      <c r="H29" s="18" t="s">
        <v>666</v>
      </c>
      <c r="I29" s="18" t="s">
        <v>485</v>
      </c>
      <c r="J29" s="24">
        <v>2019</v>
      </c>
      <c r="K29" s="30" t="e">
        <v>#VALUE!</v>
      </c>
      <c r="L29" s="19" t="e">
        <v>#VALUE!</v>
      </c>
      <c r="M29" s="20" t="e">
        <v>#VALUE!</v>
      </c>
      <c r="N29" s="20"/>
      <c r="O29" s="31" t="e">
        <v>#VALUE!</v>
      </c>
      <c r="P29" s="40">
        <v>0</v>
      </c>
      <c r="Q29" s="41" t="s">
        <v>1631</v>
      </c>
      <c r="R29" s="48" t="e">
        <f t="shared" si="2"/>
        <v>#VALUE!</v>
      </c>
      <c r="S29" s="21">
        <f t="shared" si="3"/>
        <v>0</v>
      </c>
      <c r="T29" s="49" t="e">
        <f t="shared" si="4"/>
        <v>#VALUE!</v>
      </c>
    </row>
    <row r="30" spans="1:20" ht="12.75" hidden="1" customHeight="1">
      <c r="A30" s="58" t="s">
        <v>38</v>
      </c>
      <c r="B30" s="9" t="str">
        <f t="shared" si="0"/>
        <v>IND_200602</v>
      </c>
      <c r="C30" s="9">
        <v>0</v>
      </c>
      <c r="D30" s="9">
        <v>0</v>
      </c>
      <c r="E30" s="59" t="b">
        <v>1</v>
      </c>
      <c r="F30" s="54" t="str">
        <f t="shared" si="1"/>
        <v>industrial</v>
      </c>
      <c r="G30" s="18" t="s">
        <v>684</v>
      </c>
      <c r="H30" s="18" t="s">
        <v>685</v>
      </c>
      <c r="I30" s="18" t="s">
        <v>485</v>
      </c>
      <c r="J30" s="24">
        <v>2019</v>
      </c>
      <c r="K30" s="30" t="e">
        <v>#VALUE!</v>
      </c>
      <c r="L30" s="19" t="e">
        <v>#VALUE!</v>
      </c>
      <c r="M30" s="20" t="e">
        <v>#VALUE!</v>
      </c>
      <c r="N30" s="20"/>
      <c r="O30" s="31" t="e">
        <v>#VALUE!</v>
      </c>
      <c r="P30" s="40">
        <v>0</v>
      </c>
      <c r="Q30" s="41" t="s">
        <v>1631</v>
      </c>
      <c r="R30" s="48" t="e">
        <f t="shared" si="2"/>
        <v>#VALUE!</v>
      </c>
      <c r="S30" s="21">
        <f t="shared" si="3"/>
        <v>0</v>
      </c>
      <c r="T30" s="49" t="e">
        <f t="shared" si="4"/>
        <v>#VALUE!</v>
      </c>
    </row>
    <row r="31" spans="1:20" ht="12.75" hidden="1" customHeight="1">
      <c r="A31" s="58" t="s">
        <v>25</v>
      </c>
      <c r="B31" s="9" t="str">
        <f t="shared" si="0"/>
        <v>COM_200802</v>
      </c>
      <c r="C31" s="9">
        <v>0</v>
      </c>
      <c r="D31" s="9">
        <v>0</v>
      </c>
      <c r="E31" s="59" t="b">
        <v>1</v>
      </c>
      <c r="F31" s="54" t="str">
        <f t="shared" si="1"/>
        <v>Commercial</v>
      </c>
      <c r="G31" s="18" t="s">
        <v>653</v>
      </c>
      <c r="H31" s="18" t="s">
        <v>654</v>
      </c>
      <c r="I31" s="18" t="s">
        <v>485</v>
      </c>
      <c r="J31" s="24">
        <v>2019</v>
      </c>
      <c r="K31" s="30" t="e">
        <v>#VALUE!</v>
      </c>
      <c r="L31" s="19" t="e">
        <v>#VALUE!</v>
      </c>
      <c r="M31" s="20" t="e">
        <v>#VALUE!</v>
      </c>
      <c r="N31" s="20"/>
      <c r="O31" s="31" t="e">
        <v>#VALUE!</v>
      </c>
      <c r="P31" s="40">
        <v>0</v>
      </c>
      <c r="Q31" s="41" t="s">
        <v>1631</v>
      </c>
      <c r="R31" s="48" t="e">
        <f t="shared" si="2"/>
        <v>#VALUE!</v>
      </c>
      <c r="S31" s="21">
        <f t="shared" si="3"/>
        <v>0</v>
      </c>
      <c r="T31" s="49" t="e">
        <f t="shared" si="4"/>
        <v>#VALUE!</v>
      </c>
    </row>
    <row r="32" spans="1:20" ht="12.75" hidden="1" customHeight="1" thickTop="1">
      <c r="A32" s="58" t="s">
        <v>55</v>
      </c>
      <c r="B32" s="9" t="str">
        <f t="shared" si="0"/>
        <v>RES_201202</v>
      </c>
      <c r="C32" s="9">
        <v>0</v>
      </c>
      <c r="D32" s="9">
        <v>0</v>
      </c>
      <c r="E32" s="59" t="b">
        <v>1</v>
      </c>
      <c r="F32" s="54" t="str">
        <f t="shared" si="1"/>
        <v>Residential</v>
      </c>
      <c r="G32" s="18" t="s">
        <v>153</v>
      </c>
      <c r="H32" s="18" t="s">
        <v>1637</v>
      </c>
      <c r="I32" s="18" t="s">
        <v>158</v>
      </c>
      <c r="J32" s="24">
        <v>2019</v>
      </c>
      <c r="K32" s="30" t="e">
        <v>#VALUE!</v>
      </c>
      <c r="L32" s="19" t="e">
        <v>#VALUE!</v>
      </c>
      <c r="M32" s="20" t="e">
        <v>#VALUE!</v>
      </c>
      <c r="N32" s="20"/>
      <c r="O32" s="31" t="e">
        <v>#VALUE!</v>
      </c>
      <c r="P32" s="40">
        <v>1083.3729312400001</v>
      </c>
      <c r="Q32" s="41" t="s">
        <v>1631</v>
      </c>
      <c r="R32" s="48" t="e">
        <f t="shared" si="2"/>
        <v>#VALUE!</v>
      </c>
      <c r="S32" s="21">
        <f t="shared" si="3"/>
        <v>0</v>
      </c>
      <c r="T32" s="49" t="e">
        <f t="shared" si="4"/>
        <v>#VALUE!</v>
      </c>
    </row>
    <row r="33" spans="1:20" ht="12.75" hidden="1" customHeight="1">
      <c r="A33" s="58" t="s">
        <v>56</v>
      </c>
      <c r="B33" s="9" t="str">
        <f t="shared" si="0"/>
        <v>RES_201202</v>
      </c>
      <c r="C33" s="9">
        <v>0</v>
      </c>
      <c r="D33" s="9">
        <v>0</v>
      </c>
      <c r="E33" s="59" t="b">
        <v>1</v>
      </c>
      <c r="F33" s="54" t="str">
        <f t="shared" si="1"/>
        <v>Residential</v>
      </c>
      <c r="G33" s="18" t="s">
        <v>153</v>
      </c>
      <c r="H33" s="18" t="s">
        <v>1637</v>
      </c>
      <c r="I33" s="18" t="s">
        <v>160</v>
      </c>
      <c r="J33" s="24">
        <v>2019</v>
      </c>
      <c r="K33" s="30" t="e">
        <v>#VALUE!</v>
      </c>
      <c r="L33" s="19" t="e">
        <v>#VALUE!</v>
      </c>
      <c r="M33" s="20" t="e">
        <v>#VALUE!</v>
      </c>
      <c r="N33" s="20"/>
      <c r="O33" s="31" t="e">
        <v>#VALUE!</v>
      </c>
      <c r="P33" s="40">
        <v>348.34607240000003</v>
      </c>
      <c r="Q33" s="41" t="s">
        <v>1631</v>
      </c>
      <c r="R33" s="48" t="e">
        <f t="shared" si="2"/>
        <v>#VALUE!</v>
      </c>
      <c r="S33" s="21">
        <f t="shared" si="3"/>
        <v>0</v>
      </c>
      <c r="T33" s="49" t="e">
        <f t="shared" si="4"/>
        <v>#VALUE!</v>
      </c>
    </row>
    <row r="34" spans="1:20" ht="12.75" hidden="1" customHeight="1">
      <c r="A34" s="58" t="s">
        <v>57</v>
      </c>
      <c r="B34" s="9" t="str">
        <f t="shared" si="0"/>
        <v>RES_201202</v>
      </c>
      <c r="C34" s="9">
        <v>0</v>
      </c>
      <c r="D34" s="9">
        <v>1</v>
      </c>
      <c r="E34" s="59" t="b">
        <v>1</v>
      </c>
      <c r="F34" s="54" t="str">
        <f t="shared" si="1"/>
        <v>Residential</v>
      </c>
      <c r="G34" s="18" t="s">
        <v>153</v>
      </c>
      <c r="H34" s="18" t="s">
        <v>1638</v>
      </c>
      <c r="I34" s="18" t="s">
        <v>158</v>
      </c>
      <c r="J34" s="24">
        <v>2019</v>
      </c>
      <c r="K34" s="30" t="e">
        <v>#VALUE!</v>
      </c>
      <c r="L34" s="19" t="e">
        <v>#VALUE!</v>
      </c>
      <c r="M34" s="20" t="e">
        <v>#VALUE!</v>
      </c>
      <c r="N34" s="20"/>
      <c r="O34" s="31" t="e">
        <v>#VALUE!</v>
      </c>
      <c r="P34" s="40">
        <v>0</v>
      </c>
      <c r="Q34" s="41" t="s">
        <v>1631</v>
      </c>
      <c r="R34" s="48" t="e">
        <f t="shared" si="2"/>
        <v>#VALUE!</v>
      </c>
      <c r="S34" s="21">
        <f t="shared" si="3"/>
        <v>0</v>
      </c>
      <c r="T34" s="49" t="e">
        <f t="shared" si="4"/>
        <v>#VALUE!</v>
      </c>
    </row>
    <row r="35" spans="1:20" ht="12.75" hidden="1" customHeight="1">
      <c r="A35" s="58" t="s">
        <v>58</v>
      </c>
      <c r="B35" s="9" t="str">
        <f t="shared" si="0"/>
        <v>RES_201202</v>
      </c>
      <c r="C35" s="9">
        <v>0</v>
      </c>
      <c r="D35" s="9">
        <v>0</v>
      </c>
      <c r="E35" s="59" t="b">
        <v>1</v>
      </c>
      <c r="F35" s="54" t="str">
        <f t="shared" si="1"/>
        <v>Residential</v>
      </c>
      <c r="G35" s="18" t="s">
        <v>153</v>
      </c>
      <c r="H35" s="18" t="s">
        <v>1638</v>
      </c>
      <c r="I35" s="18" t="s">
        <v>160</v>
      </c>
      <c r="J35" s="24">
        <v>2019</v>
      </c>
      <c r="K35" s="30" t="e">
        <v>#VALUE!</v>
      </c>
      <c r="L35" s="19" t="e">
        <v>#VALUE!</v>
      </c>
      <c r="M35" s="20" t="e">
        <v>#VALUE!</v>
      </c>
      <c r="N35" s="20"/>
      <c r="O35" s="31" t="e">
        <v>#VALUE!</v>
      </c>
      <c r="P35" s="40">
        <v>469.02860042999998</v>
      </c>
      <c r="Q35" s="41" t="s">
        <v>1631</v>
      </c>
      <c r="R35" s="48" t="e">
        <f t="shared" si="2"/>
        <v>#VALUE!</v>
      </c>
      <c r="S35" s="21">
        <f t="shared" si="3"/>
        <v>0</v>
      </c>
      <c r="T35" s="49" t="e">
        <f t="shared" si="4"/>
        <v>#VALUE!</v>
      </c>
    </row>
    <row r="36" spans="1:20" ht="12.75" hidden="1" customHeight="1">
      <c r="A36" s="58" t="s">
        <v>29</v>
      </c>
      <c r="B36" s="9" t="str">
        <f t="shared" si="0"/>
        <v>COM_201401</v>
      </c>
      <c r="C36" s="9">
        <v>0</v>
      </c>
      <c r="D36" s="9">
        <v>0</v>
      </c>
      <c r="E36" s="59" t="b">
        <v>1</v>
      </c>
      <c r="F36" s="54" t="str">
        <f t="shared" si="1"/>
        <v>Commercial</v>
      </c>
      <c r="G36" s="18" t="s">
        <v>143</v>
      </c>
      <c r="H36" s="18" t="s">
        <v>667</v>
      </c>
      <c r="I36" s="18" t="s">
        <v>668</v>
      </c>
      <c r="J36" s="24">
        <v>2019</v>
      </c>
      <c r="K36" s="30" t="e">
        <v>#VALUE!</v>
      </c>
      <c r="L36" s="19" t="e">
        <v>#VALUE!</v>
      </c>
      <c r="M36" s="20" t="e">
        <v>#VALUE!</v>
      </c>
      <c r="N36" s="20"/>
      <c r="O36" s="31" t="e">
        <v>#VALUE!</v>
      </c>
      <c r="P36" s="40">
        <v>7843317.8330154298</v>
      </c>
      <c r="Q36" s="41" t="s">
        <v>1631</v>
      </c>
      <c r="R36" s="48" t="e">
        <f t="shared" si="2"/>
        <v>#VALUE!</v>
      </c>
      <c r="S36" s="21">
        <f t="shared" si="3"/>
        <v>0</v>
      </c>
      <c r="T36" s="49" t="e">
        <f t="shared" si="4"/>
        <v>#VALUE!</v>
      </c>
    </row>
    <row r="37" spans="1:20" ht="12.75" hidden="1" customHeight="1">
      <c r="A37" s="58" t="s">
        <v>34</v>
      </c>
      <c r="B37" s="9" t="str">
        <f t="shared" si="0"/>
        <v>IND_199902</v>
      </c>
      <c r="C37" s="9">
        <v>0</v>
      </c>
      <c r="D37" s="9">
        <v>0</v>
      </c>
      <c r="E37" s="59" t="b">
        <v>1</v>
      </c>
      <c r="F37" s="54" t="str">
        <f t="shared" si="1"/>
        <v>industrial</v>
      </c>
      <c r="G37" s="18" t="s">
        <v>678</v>
      </c>
      <c r="H37" s="18" t="s">
        <v>679</v>
      </c>
      <c r="I37" s="18" t="s">
        <v>485</v>
      </c>
      <c r="J37" s="24">
        <v>2019</v>
      </c>
      <c r="K37" s="30" t="e">
        <v>#VALUE!</v>
      </c>
      <c r="L37" s="19" t="e">
        <v>#VALUE!</v>
      </c>
      <c r="M37" s="20" t="e">
        <v>#VALUE!</v>
      </c>
      <c r="N37" s="20"/>
      <c r="O37" s="31" t="e">
        <v>#VALUE!</v>
      </c>
      <c r="P37" s="40">
        <v>0</v>
      </c>
      <c r="Q37" s="41" t="s">
        <v>1631</v>
      </c>
      <c r="R37" s="48" t="e">
        <f t="shared" si="2"/>
        <v>#VALUE!</v>
      </c>
      <c r="S37" s="21">
        <f t="shared" si="3"/>
        <v>0</v>
      </c>
      <c r="T37" s="49" t="e">
        <f t="shared" si="4"/>
        <v>#VALUE!</v>
      </c>
    </row>
    <row r="38" spans="1:20" ht="12.75" hidden="1" customHeight="1">
      <c r="A38" s="58" t="s">
        <v>35</v>
      </c>
      <c r="B38" s="9" t="str">
        <f t="shared" si="0"/>
        <v>IND_199902</v>
      </c>
      <c r="C38" s="9">
        <v>0</v>
      </c>
      <c r="D38" s="9">
        <v>0</v>
      </c>
      <c r="E38" s="59" t="b">
        <v>1</v>
      </c>
      <c r="F38" s="54" t="str">
        <f t="shared" si="1"/>
        <v>industrial</v>
      </c>
      <c r="G38" s="18" t="s">
        <v>678</v>
      </c>
      <c r="H38" s="18" t="s">
        <v>680</v>
      </c>
      <c r="I38" s="18" t="s">
        <v>485</v>
      </c>
      <c r="J38" s="24">
        <v>2019</v>
      </c>
      <c r="K38" s="30" t="e">
        <v>#VALUE!</v>
      </c>
      <c r="L38" s="19" t="e">
        <v>#VALUE!</v>
      </c>
      <c r="M38" s="20" t="e">
        <v>#VALUE!</v>
      </c>
      <c r="N38" s="20"/>
      <c r="O38" s="31" t="e">
        <v>#VALUE!</v>
      </c>
      <c r="P38" s="40">
        <v>0</v>
      </c>
      <c r="Q38" s="41" t="s">
        <v>1631</v>
      </c>
      <c r="R38" s="48" t="e">
        <f t="shared" si="2"/>
        <v>#VALUE!</v>
      </c>
      <c r="S38" s="21">
        <f t="shared" si="3"/>
        <v>0</v>
      </c>
      <c r="T38" s="49" t="e">
        <f t="shared" si="4"/>
        <v>#VALUE!</v>
      </c>
    </row>
    <row r="39" spans="1:20" ht="12.75" hidden="1" customHeight="1">
      <c r="A39" s="58" t="s">
        <v>21</v>
      </c>
      <c r="B39" s="9" t="str">
        <f t="shared" si="0"/>
        <v>COM_200202</v>
      </c>
      <c r="C39" s="9">
        <v>1</v>
      </c>
      <c r="D39" s="9">
        <v>0</v>
      </c>
      <c r="E39" s="59" t="b">
        <v>1</v>
      </c>
      <c r="F39" s="54" t="str">
        <f t="shared" si="1"/>
        <v>Commercial</v>
      </c>
      <c r="G39" s="18" t="s">
        <v>138</v>
      </c>
      <c r="H39" s="18" t="s">
        <v>445</v>
      </c>
      <c r="I39" s="18" t="s">
        <v>513</v>
      </c>
      <c r="J39" s="24">
        <v>2019</v>
      </c>
      <c r="K39" s="30" t="e">
        <v>#VALUE!</v>
      </c>
      <c r="L39" s="19" t="e">
        <v>#VALUE!</v>
      </c>
      <c r="M39" s="20" t="e">
        <v>#VALUE!</v>
      </c>
      <c r="N39" s="20"/>
      <c r="O39" s="31" t="e">
        <v>#VALUE!</v>
      </c>
      <c r="P39" s="40">
        <v>0.17179098000000001</v>
      </c>
      <c r="Q39" s="41" t="s">
        <v>1631</v>
      </c>
      <c r="R39" s="48" t="e">
        <f t="shared" si="2"/>
        <v>#VALUE!</v>
      </c>
      <c r="S39" s="21">
        <f t="shared" si="3"/>
        <v>0</v>
      </c>
      <c r="T39" s="49" t="e">
        <f t="shared" si="4"/>
        <v>#VALUE!</v>
      </c>
    </row>
    <row r="40" spans="1:20" ht="12.75" hidden="1" customHeight="1">
      <c r="A40" s="58" t="s">
        <v>22</v>
      </c>
      <c r="B40" s="9" t="str">
        <f t="shared" si="0"/>
        <v>COM_200202</v>
      </c>
      <c r="C40" s="9">
        <v>1</v>
      </c>
      <c r="D40" s="9">
        <v>0</v>
      </c>
      <c r="E40" s="59" t="b">
        <v>1</v>
      </c>
      <c r="F40" s="54" t="str">
        <f t="shared" si="1"/>
        <v>Commercial</v>
      </c>
      <c r="G40" s="18" t="s">
        <v>138</v>
      </c>
      <c r="H40" s="18" t="s">
        <v>453</v>
      </c>
      <c r="I40" s="18" t="s">
        <v>1639</v>
      </c>
      <c r="J40" s="24">
        <v>2019</v>
      </c>
      <c r="K40" s="30" t="e">
        <v>#VALUE!</v>
      </c>
      <c r="L40" s="19" t="e">
        <v>#VALUE!</v>
      </c>
      <c r="M40" s="20" t="e">
        <v>#VALUE!</v>
      </c>
      <c r="N40" s="20"/>
      <c r="O40" s="31" t="e">
        <v>#VALUE!</v>
      </c>
      <c r="P40" s="40">
        <v>0.27822064000000002</v>
      </c>
      <c r="Q40" s="41" t="s">
        <v>1631</v>
      </c>
      <c r="R40" s="48" t="e">
        <f t="shared" si="2"/>
        <v>#VALUE!</v>
      </c>
      <c r="S40" s="21">
        <f t="shared" si="3"/>
        <v>0</v>
      </c>
      <c r="T40" s="49" t="e">
        <f t="shared" si="4"/>
        <v>#VALUE!</v>
      </c>
    </row>
    <row r="41" spans="1:20" ht="12.75" hidden="1" customHeight="1">
      <c r="A41" s="58" t="s">
        <v>23</v>
      </c>
      <c r="B41" s="9" t="str">
        <f t="shared" si="0"/>
        <v>COM_200202</v>
      </c>
      <c r="C41" s="9">
        <v>1</v>
      </c>
      <c r="D41" s="9">
        <v>0</v>
      </c>
      <c r="E41" s="59" t="b">
        <v>1</v>
      </c>
      <c r="F41" s="54" t="str">
        <f t="shared" si="1"/>
        <v>Commercial</v>
      </c>
      <c r="G41" s="18" t="s">
        <v>138</v>
      </c>
      <c r="H41" s="18" t="s">
        <v>459</v>
      </c>
      <c r="I41" s="18" t="s">
        <v>528</v>
      </c>
      <c r="J41" s="24">
        <v>2019</v>
      </c>
      <c r="K41" s="30" t="e">
        <v>#VALUE!</v>
      </c>
      <c r="L41" s="19" t="e">
        <v>#VALUE!</v>
      </c>
      <c r="M41" s="20" t="e">
        <v>#VALUE!</v>
      </c>
      <c r="N41" s="20"/>
      <c r="O41" s="31" t="e">
        <v>#VALUE!</v>
      </c>
      <c r="P41" s="40">
        <v>0.23834701999999999</v>
      </c>
      <c r="Q41" s="41" t="s">
        <v>1631</v>
      </c>
      <c r="R41" s="48" t="e">
        <f t="shared" si="2"/>
        <v>#VALUE!</v>
      </c>
      <c r="S41" s="21">
        <f t="shared" si="3"/>
        <v>0</v>
      </c>
      <c r="T41" s="49" t="e">
        <f t="shared" si="4"/>
        <v>#VALUE!</v>
      </c>
    </row>
    <row r="42" spans="1:20" ht="12.75" hidden="1" customHeight="1">
      <c r="A42" s="58" t="s">
        <v>24</v>
      </c>
      <c r="B42" s="9" t="str">
        <f t="shared" si="0"/>
        <v>COM_200202</v>
      </c>
      <c r="C42" s="9">
        <v>1</v>
      </c>
      <c r="D42" s="9">
        <v>0</v>
      </c>
      <c r="E42" s="59" t="b">
        <v>1</v>
      </c>
      <c r="F42" s="54" t="str">
        <f t="shared" si="1"/>
        <v>Commercial</v>
      </c>
      <c r="G42" s="18" t="s">
        <v>138</v>
      </c>
      <c r="H42" s="18" t="s">
        <v>478</v>
      </c>
      <c r="I42" s="18" t="s">
        <v>1640</v>
      </c>
      <c r="J42" s="24">
        <v>2019</v>
      </c>
      <c r="K42" s="30" t="e">
        <v>#VALUE!</v>
      </c>
      <c r="L42" s="19" t="e">
        <v>#VALUE!</v>
      </c>
      <c r="M42" s="20" t="e">
        <v>#VALUE!</v>
      </c>
      <c r="N42" s="20"/>
      <c r="O42" s="31" t="e">
        <v>#VALUE!</v>
      </c>
      <c r="P42" s="40">
        <v>0.19237533000000001</v>
      </c>
      <c r="Q42" s="41" t="s">
        <v>1631</v>
      </c>
      <c r="R42" s="48" t="e">
        <f t="shared" si="2"/>
        <v>#VALUE!</v>
      </c>
      <c r="S42" s="21">
        <f t="shared" si="3"/>
        <v>0</v>
      </c>
      <c r="T42" s="49" t="e">
        <f t="shared" si="4"/>
        <v>#VALUE!</v>
      </c>
    </row>
    <row r="43" spans="1:20" ht="12.75" hidden="1" customHeight="1">
      <c r="A43" s="60" t="s">
        <v>72</v>
      </c>
      <c r="B43" s="9" t="str">
        <f t="shared" si="0"/>
        <v>RES_200601</v>
      </c>
      <c r="C43" s="9">
        <v>1</v>
      </c>
      <c r="D43" s="9">
        <v>0</v>
      </c>
      <c r="E43" s="59" t="b">
        <v>1</v>
      </c>
      <c r="F43" s="54" t="str">
        <f t="shared" si="1"/>
        <v>Residential</v>
      </c>
      <c r="G43" s="18" t="s">
        <v>150</v>
      </c>
      <c r="H43" s="18" t="s">
        <v>480</v>
      </c>
      <c r="I43" s="18" t="s">
        <v>538</v>
      </c>
      <c r="J43" s="24">
        <v>2019</v>
      </c>
      <c r="K43" s="30" t="e">
        <v>#VALUE!</v>
      </c>
      <c r="L43" s="19" t="e">
        <v>#VALUE!</v>
      </c>
      <c r="M43" s="20" t="e">
        <v>#VALUE!</v>
      </c>
      <c r="N43" s="20"/>
      <c r="O43" s="31" t="e">
        <v>#VALUE!</v>
      </c>
      <c r="P43" s="40">
        <v>379.04190051</v>
      </c>
      <c r="Q43" s="41" t="s">
        <v>1631</v>
      </c>
      <c r="R43" s="48" t="e">
        <f t="shared" si="2"/>
        <v>#VALUE!</v>
      </c>
      <c r="S43" s="21">
        <f t="shared" si="3"/>
        <v>0</v>
      </c>
      <c r="T43" s="49" t="e">
        <f t="shared" si="4"/>
        <v>#VALUE!</v>
      </c>
    </row>
    <row r="44" spans="1:20" ht="12.75" hidden="1" customHeight="1">
      <c r="A44" s="60" t="s">
        <v>73</v>
      </c>
      <c r="B44" s="9" t="str">
        <f t="shared" si="0"/>
        <v>RES_200601</v>
      </c>
      <c r="C44" s="9">
        <v>1</v>
      </c>
      <c r="D44" s="9">
        <v>0</v>
      </c>
      <c r="E44" s="59" t="b">
        <v>1</v>
      </c>
      <c r="F44" s="54" t="str">
        <f t="shared" si="1"/>
        <v>Residential</v>
      </c>
      <c r="G44" s="18" t="s">
        <v>150</v>
      </c>
      <c r="H44" s="18" t="s">
        <v>480</v>
      </c>
      <c r="I44" s="18" t="s">
        <v>539</v>
      </c>
      <c r="J44" s="24">
        <v>2019</v>
      </c>
      <c r="K44" s="30" t="e">
        <v>#VALUE!</v>
      </c>
      <c r="L44" s="19" t="e">
        <v>#VALUE!</v>
      </c>
      <c r="M44" s="20" t="e">
        <v>#VALUE!</v>
      </c>
      <c r="N44" s="20"/>
      <c r="O44" s="31" t="e">
        <v>#VALUE!</v>
      </c>
      <c r="P44" s="40">
        <v>653.46374700000001</v>
      </c>
      <c r="Q44" s="41" t="s">
        <v>1631</v>
      </c>
      <c r="R44" s="48" t="e">
        <f t="shared" si="2"/>
        <v>#VALUE!</v>
      </c>
      <c r="S44" s="21">
        <f t="shared" si="3"/>
        <v>0</v>
      </c>
      <c r="T44" s="49" t="e">
        <f t="shared" si="4"/>
        <v>#VALUE!</v>
      </c>
    </row>
    <row r="45" spans="1:20" ht="12.75" hidden="1" customHeight="1">
      <c r="A45" s="60" t="s">
        <v>74</v>
      </c>
      <c r="B45" s="9" t="str">
        <f t="shared" si="0"/>
        <v>RES_200601</v>
      </c>
      <c r="C45" s="9">
        <v>1</v>
      </c>
      <c r="D45" s="9">
        <v>0</v>
      </c>
      <c r="E45" s="59" t="b">
        <v>1</v>
      </c>
      <c r="F45" s="54" t="str">
        <f t="shared" si="1"/>
        <v>Residential</v>
      </c>
      <c r="G45" s="18" t="s">
        <v>150</v>
      </c>
      <c r="H45" s="18" t="s">
        <v>447</v>
      </c>
      <c r="I45" s="18" t="s">
        <v>1641</v>
      </c>
      <c r="J45" s="24">
        <v>2019</v>
      </c>
      <c r="K45" s="30" t="e">
        <v>#VALUE!</v>
      </c>
      <c r="L45" s="19" t="e">
        <v>#VALUE!</v>
      </c>
      <c r="M45" s="20" t="e">
        <v>#VALUE!</v>
      </c>
      <c r="N45" s="20"/>
      <c r="O45" s="31" t="e">
        <v>#VALUE!</v>
      </c>
      <c r="P45" s="40">
        <v>1045.09411615</v>
      </c>
      <c r="Q45" s="41" t="s">
        <v>1631</v>
      </c>
      <c r="R45" s="48" t="e">
        <f t="shared" si="2"/>
        <v>#VALUE!</v>
      </c>
      <c r="S45" s="21">
        <f t="shared" si="3"/>
        <v>0</v>
      </c>
      <c r="T45" s="49" t="e">
        <f t="shared" si="4"/>
        <v>#VALUE!</v>
      </c>
    </row>
    <row r="46" spans="1:20" ht="12.75" hidden="1" customHeight="1">
      <c r="A46" s="60" t="s">
        <v>75</v>
      </c>
      <c r="B46" s="9" t="str">
        <f t="shared" si="0"/>
        <v>RES_200601</v>
      </c>
      <c r="C46" s="9">
        <v>1</v>
      </c>
      <c r="D46" s="9">
        <v>0</v>
      </c>
      <c r="E46" s="59" t="b">
        <v>1</v>
      </c>
      <c r="F46" s="54" t="str">
        <f t="shared" si="1"/>
        <v>Residential</v>
      </c>
      <c r="G46" s="18" t="s">
        <v>150</v>
      </c>
      <c r="H46" s="18" t="s">
        <v>455</v>
      </c>
      <c r="I46" s="18" t="s">
        <v>508</v>
      </c>
      <c r="J46" s="24">
        <v>2019</v>
      </c>
      <c r="K46" s="30" t="e">
        <v>#VALUE!</v>
      </c>
      <c r="L46" s="19" t="e">
        <v>#VALUE!</v>
      </c>
      <c r="M46" s="20" t="e">
        <v>#VALUE!</v>
      </c>
      <c r="N46" s="20"/>
      <c r="O46" s="31" t="e">
        <v>#VALUE!</v>
      </c>
      <c r="P46" s="40">
        <v>579</v>
      </c>
      <c r="Q46" s="41" t="s">
        <v>1631</v>
      </c>
      <c r="R46" s="48" t="e">
        <f t="shared" si="2"/>
        <v>#VALUE!</v>
      </c>
      <c r="S46" s="21">
        <f t="shared" si="3"/>
        <v>0</v>
      </c>
      <c r="T46" s="49" t="e">
        <f t="shared" si="4"/>
        <v>#VALUE!</v>
      </c>
    </row>
    <row r="47" spans="1:20" ht="12.75" customHeight="1" thickTop="1">
      <c r="A47" s="58" t="s">
        <v>122</v>
      </c>
      <c r="B47" s="9" t="str">
        <f t="shared" si="0"/>
        <v>COM_201304</v>
      </c>
      <c r="C47" s="9">
        <v>0</v>
      </c>
      <c r="D47" s="9">
        <v>1</v>
      </c>
      <c r="E47" s="59" t="b">
        <v>1</v>
      </c>
      <c r="F47" s="54" t="str">
        <f t="shared" si="1"/>
        <v>Commercial</v>
      </c>
      <c r="G47" s="18" t="s">
        <v>142</v>
      </c>
      <c r="H47" s="18" t="s">
        <v>1233</v>
      </c>
      <c r="I47" s="18" t="s">
        <v>484</v>
      </c>
      <c r="J47" s="24">
        <v>2019</v>
      </c>
      <c r="K47" s="30" t="e">
        <v>#VALUE!</v>
      </c>
      <c r="L47" s="19" t="e">
        <v>#VALUE!</v>
      </c>
      <c r="M47" s="20" t="e">
        <v>#VALUE!</v>
      </c>
      <c r="N47" s="20"/>
      <c r="O47" s="31" t="e">
        <v>#VALUE!</v>
      </c>
      <c r="P47" s="40">
        <v>8760000</v>
      </c>
      <c r="Q47" s="41"/>
      <c r="R47" s="48" t="e">
        <f t="shared" si="2"/>
        <v>#VALUE!</v>
      </c>
      <c r="S47" s="21">
        <f t="shared" si="3"/>
        <v>0</v>
      </c>
      <c r="T47" s="49" t="e">
        <f t="shared" si="4"/>
        <v>#VALUE!</v>
      </c>
    </row>
    <row r="48" spans="1:20" ht="12.75" hidden="1" customHeight="1">
      <c r="A48" s="58" t="s">
        <v>32</v>
      </c>
      <c r="B48" s="9" t="str">
        <f t="shared" si="0"/>
        <v>Com_201405</v>
      </c>
      <c r="C48" s="9">
        <v>0</v>
      </c>
      <c r="D48" s="9">
        <v>0</v>
      </c>
      <c r="E48" s="59" t="b">
        <v>1</v>
      </c>
      <c r="F48" s="54" t="s">
        <v>33</v>
      </c>
      <c r="G48" s="18" t="s">
        <v>145</v>
      </c>
      <c r="H48" s="18" t="s">
        <v>448</v>
      </c>
      <c r="I48" s="18" t="s">
        <v>485</v>
      </c>
      <c r="J48" s="24">
        <v>2019</v>
      </c>
      <c r="K48" s="30" t="e">
        <v>#VALUE!</v>
      </c>
      <c r="L48" s="19" t="e">
        <v>#VALUE!</v>
      </c>
      <c r="M48" s="20" t="e">
        <v>#VALUE!</v>
      </c>
      <c r="N48" s="20"/>
      <c r="O48" s="31" t="e">
        <v>#VALUE!</v>
      </c>
      <c r="P48" s="40">
        <v>8760000</v>
      </c>
      <c r="Q48" s="41"/>
      <c r="R48" s="48" t="e">
        <f t="shared" si="2"/>
        <v>#VALUE!</v>
      </c>
      <c r="S48" s="21">
        <f t="shared" si="3"/>
        <v>0</v>
      </c>
      <c r="T48" s="49" t="e">
        <f t="shared" si="4"/>
        <v>#VALUE!</v>
      </c>
    </row>
    <row r="49" spans="1:20" ht="12.75" hidden="1" customHeight="1">
      <c r="A49" s="58" t="s">
        <v>30</v>
      </c>
      <c r="B49" s="9" t="str">
        <f t="shared" si="0"/>
        <v>COM_201403</v>
      </c>
      <c r="C49" s="9">
        <v>0</v>
      </c>
      <c r="D49" s="9">
        <v>0</v>
      </c>
      <c r="E49" s="59" t="b">
        <v>1</v>
      </c>
      <c r="F49" s="54" t="str">
        <f t="shared" ref="F49:F80" si="5">IF(LEFT(A49,3)="Res","Residential",IF(LEFT(A49,3)="Ind","industrial",IF(LEFT(A49,3)="Com","Commercial",IF(LEFT(A49,3)="AGR","Agriculture",""))))</f>
        <v>Commercial</v>
      </c>
      <c r="G49" s="18" t="s">
        <v>144</v>
      </c>
      <c r="H49" s="18" t="s">
        <v>473</v>
      </c>
      <c r="I49" s="18" t="s">
        <v>158</v>
      </c>
      <c r="J49" s="24">
        <v>2019</v>
      </c>
      <c r="K49" s="30" t="e">
        <v>#VALUE!</v>
      </c>
      <c r="L49" s="19" t="e">
        <v>#VALUE!</v>
      </c>
      <c r="M49" s="20" t="e">
        <v>#VALUE!</v>
      </c>
      <c r="N49" s="20"/>
      <c r="O49" s="31" t="e">
        <v>#VALUE!</v>
      </c>
      <c r="P49" s="40">
        <v>4.5151722200000002</v>
      </c>
      <c r="Q49" s="41" t="s">
        <v>1631</v>
      </c>
      <c r="R49" s="48" t="e">
        <f t="shared" si="2"/>
        <v>#VALUE!</v>
      </c>
      <c r="S49" s="21">
        <f t="shared" si="3"/>
        <v>0</v>
      </c>
      <c r="T49" s="49" t="e">
        <f t="shared" si="4"/>
        <v>#VALUE!</v>
      </c>
    </row>
    <row r="50" spans="1:20" ht="12.75" hidden="1" customHeight="1">
      <c r="A50" s="58" t="s">
        <v>31</v>
      </c>
      <c r="B50" s="9" t="str">
        <f t="shared" si="0"/>
        <v>COM_201403</v>
      </c>
      <c r="C50" s="9">
        <v>0</v>
      </c>
      <c r="D50" s="9">
        <v>0</v>
      </c>
      <c r="E50" s="59" t="b">
        <v>1</v>
      </c>
      <c r="F50" s="54" t="str">
        <f t="shared" si="5"/>
        <v>Commercial</v>
      </c>
      <c r="G50" s="18" t="s">
        <v>144</v>
      </c>
      <c r="H50" s="18" t="s">
        <v>471</v>
      </c>
      <c r="I50" s="18" t="s">
        <v>158</v>
      </c>
      <c r="J50" s="24">
        <v>2019</v>
      </c>
      <c r="K50" s="30" t="e">
        <v>#VALUE!</v>
      </c>
      <c r="L50" s="19" t="e">
        <v>#VALUE!</v>
      </c>
      <c r="M50" s="20" t="e">
        <v>#VALUE!</v>
      </c>
      <c r="N50" s="20"/>
      <c r="O50" s="31" t="e">
        <v>#VALUE!</v>
      </c>
      <c r="P50" s="40">
        <v>-24.052118270000001</v>
      </c>
      <c r="Q50" s="41" t="s">
        <v>1631</v>
      </c>
      <c r="R50" s="48" t="e">
        <f t="shared" si="2"/>
        <v>#VALUE!</v>
      </c>
      <c r="S50" s="21">
        <f t="shared" si="3"/>
        <v>0</v>
      </c>
      <c r="T50" s="49" t="e">
        <f t="shared" si="4"/>
        <v>#VALUE!</v>
      </c>
    </row>
    <row r="51" spans="1:20" ht="12.75" hidden="1" customHeight="1">
      <c r="A51" s="58" t="s">
        <v>93</v>
      </c>
      <c r="B51" s="9" t="str">
        <f t="shared" si="0"/>
        <v>COM_201403</v>
      </c>
      <c r="C51" s="9">
        <v>0</v>
      </c>
      <c r="D51" s="9">
        <v>0</v>
      </c>
      <c r="E51" s="59" t="b">
        <v>1</v>
      </c>
      <c r="F51" s="54" t="str">
        <f t="shared" si="5"/>
        <v>Commercial</v>
      </c>
      <c r="G51" s="18" t="s">
        <v>144</v>
      </c>
      <c r="H51" s="18" t="s">
        <v>474</v>
      </c>
      <c r="I51" s="18" t="s">
        <v>158</v>
      </c>
      <c r="J51" s="24">
        <v>2019</v>
      </c>
      <c r="K51" s="30" t="e">
        <v>#VALUE!</v>
      </c>
      <c r="L51" s="19" t="e">
        <v>#VALUE!</v>
      </c>
      <c r="M51" s="20" t="e">
        <v>#VALUE!</v>
      </c>
      <c r="N51" s="20"/>
      <c r="O51" s="31" t="e">
        <v>#VALUE!</v>
      </c>
      <c r="P51" s="40">
        <v>4.5151722200000002</v>
      </c>
      <c r="Q51" s="41"/>
      <c r="R51" s="48" t="e">
        <f t="shared" si="2"/>
        <v>#VALUE!</v>
      </c>
      <c r="S51" s="21">
        <f t="shared" si="3"/>
        <v>0</v>
      </c>
      <c r="T51" s="49" t="e">
        <f t="shared" si="4"/>
        <v>#VALUE!</v>
      </c>
    </row>
    <row r="52" spans="1:20" ht="12.75" hidden="1" customHeight="1">
      <c r="A52" s="58" t="s">
        <v>94</v>
      </c>
      <c r="B52" s="9" t="str">
        <f t="shared" si="0"/>
        <v>COM_201403</v>
      </c>
      <c r="C52" s="9">
        <v>0</v>
      </c>
      <c r="D52" s="9">
        <v>0</v>
      </c>
      <c r="E52" s="59" t="b">
        <v>1</v>
      </c>
      <c r="F52" s="54" t="str">
        <f t="shared" si="5"/>
        <v>Commercial</v>
      </c>
      <c r="G52" s="18" t="s">
        <v>144</v>
      </c>
      <c r="H52" s="18" t="s">
        <v>472</v>
      </c>
      <c r="I52" s="18" t="s">
        <v>158</v>
      </c>
      <c r="J52" s="24">
        <v>2019</v>
      </c>
      <c r="K52" s="30" t="e">
        <v>#VALUE!</v>
      </c>
      <c r="L52" s="19" t="e">
        <v>#VALUE!</v>
      </c>
      <c r="M52" s="20" t="e">
        <v>#VALUE!</v>
      </c>
      <c r="N52" s="20"/>
      <c r="O52" s="31" t="e">
        <v>#VALUE!</v>
      </c>
      <c r="P52" s="40">
        <v>-24.052118270000001</v>
      </c>
      <c r="Q52" s="41"/>
      <c r="R52" s="48" t="e">
        <f t="shared" si="2"/>
        <v>#VALUE!</v>
      </c>
      <c r="S52" s="21">
        <f t="shared" si="3"/>
        <v>0</v>
      </c>
      <c r="T52" s="49" t="e">
        <f t="shared" si="4"/>
        <v>#VALUE!</v>
      </c>
    </row>
    <row r="53" spans="1:20" ht="12.75" hidden="1" customHeight="1">
      <c r="A53" s="58" t="s">
        <v>104</v>
      </c>
      <c r="B53" s="9" t="str">
        <f t="shared" si="0"/>
        <v>COM_201403</v>
      </c>
      <c r="C53" s="9">
        <v>0</v>
      </c>
      <c r="D53" s="9">
        <v>0</v>
      </c>
      <c r="E53" s="59" t="b">
        <v>1</v>
      </c>
      <c r="F53" s="54" t="str">
        <f t="shared" si="5"/>
        <v>Commercial</v>
      </c>
      <c r="G53" s="18" t="s">
        <v>144</v>
      </c>
      <c r="H53" s="18" t="s">
        <v>474</v>
      </c>
      <c r="I53" s="18" t="s">
        <v>1642</v>
      </c>
      <c r="J53" s="24">
        <v>2019</v>
      </c>
      <c r="K53" s="30" t="e">
        <v>#VALUE!</v>
      </c>
      <c r="L53" s="19" t="e">
        <v>#VALUE!</v>
      </c>
      <c r="M53" s="20" t="e">
        <v>#VALUE!</v>
      </c>
      <c r="N53" s="20"/>
      <c r="O53" s="31" t="e">
        <v>#VALUE!</v>
      </c>
      <c r="P53" s="40">
        <v>0</v>
      </c>
      <c r="Q53" s="41"/>
      <c r="R53" s="48" t="e">
        <f t="shared" si="2"/>
        <v>#VALUE!</v>
      </c>
      <c r="S53" s="21">
        <f t="shared" si="3"/>
        <v>0</v>
      </c>
      <c r="T53" s="49" t="e">
        <f t="shared" si="4"/>
        <v>#VALUE!</v>
      </c>
    </row>
    <row r="54" spans="1:20" ht="12.75" hidden="1" customHeight="1">
      <c r="A54" s="58" t="s">
        <v>105</v>
      </c>
      <c r="B54" s="9" t="str">
        <f t="shared" si="0"/>
        <v>COM_201403</v>
      </c>
      <c r="C54" s="9">
        <v>0</v>
      </c>
      <c r="D54" s="9">
        <v>0</v>
      </c>
      <c r="E54" s="59" t="b">
        <v>1</v>
      </c>
      <c r="F54" s="54" t="str">
        <f t="shared" si="5"/>
        <v>Commercial</v>
      </c>
      <c r="G54" s="18" t="s">
        <v>144</v>
      </c>
      <c r="H54" s="18" t="s">
        <v>472</v>
      </c>
      <c r="I54" s="18" t="s">
        <v>1642</v>
      </c>
      <c r="J54" s="24">
        <v>2019</v>
      </c>
      <c r="K54" s="30" t="e">
        <v>#VALUE!</v>
      </c>
      <c r="L54" s="19" t="e">
        <v>#VALUE!</v>
      </c>
      <c r="M54" s="20" t="e">
        <v>#VALUE!</v>
      </c>
      <c r="N54" s="20"/>
      <c r="O54" s="31" t="e">
        <v>#VALUE!</v>
      </c>
      <c r="P54" s="40">
        <v>0</v>
      </c>
      <c r="Q54" s="41"/>
      <c r="R54" s="48" t="e">
        <f t="shared" si="2"/>
        <v>#VALUE!</v>
      </c>
      <c r="S54" s="21">
        <f t="shared" si="3"/>
        <v>0</v>
      </c>
      <c r="T54" s="49" t="e">
        <f t="shared" si="4"/>
        <v>#VALUE!</v>
      </c>
    </row>
    <row r="55" spans="1:20" ht="12.75" hidden="1" customHeight="1">
      <c r="A55" s="58" t="s">
        <v>112</v>
      </c>
      <c r="B55" s="9" t="str">
        <f t="shared" si="0"/>
        <v>COM_201403</v>
      </c>
      <c r="C55" s="9">
        <v>0</v>
      </c>
      <c r="D55" s="9">
        <v>0</v>
      </c>
      <c r="E55" s="59" t="b">
        <v>1</v>
      </c>
      <c r="F55" s="54" t="str">
        <f t="shared" si="5"/>
        <v>Commercial</v>
      </c>
      <c r="G55" s="18" t="s">
        <v>144</v>
      </c>
      <c r="H55" s="18" t="s">
        <v>473</v>
      </c>
      <c r="I55" s="18" t="s">
        <v>1642</v>
      </c>
      <c r="J55" s="24">
        <v>2019</v>
      </c>
      <c r="K55" s="30" t="e">
        <v>#VALUE!</v>
      </c>
      <c r="L55" s="19" t="e">
        <v>#VALUE!</v>
      </c>
      <c r="M55" s="20" t="e">
        <v>#VALUE!</v>
      </c>
      <c r="N55" s="20"/>
      <c r="O55" s="31" t="e">
        <v>#VALUE!</v>
      </c>
      <c r="P55" s="40">
        <v>0</v>
      </c>
      <c r="Q55" s="41"/>
      <c r="R55" s="48" t="e">
        <f t="shared" si="2"/>
        <v>#VALUE!</v>
      </c>
      <c r="S55" s="21">
        <f t="shared" si="3"/>
        <v>0</v>
      </c>
      <c r="T55" s="49" t="e">
        <f t="shared" si="4"/>
        <v>#VALUE!</v>
      </c>
    </row>
    <row r="56" spans="1:20" ht="12.75" hidden="1" customHeight="1">
      <c r="A56" s="58" t="s">
        <v>113</v>
      </c>
      <c r="B56" s="9" t="str">
        <f t="shared" si="0"/>
        <v>COM_201403</v>
      </c>
      <c r="C56" s="9">
        <v>0</v>
      </c>
      <c r="D56" s="9">
        <v>0</v>
      </c>
      <c r="E56" s="59" t="b">
        <v>1</v>
      </c>
      <c r="F56" s="54" t="str">
        <f t="shared" si="5"/>
        <v>Commercial</v>
      </c>
      <c r="G56" s="18" t="s">
        <v>144</v>
      </c>
      <c r="H56" s="18" t="s">
        <v>471</v>
      </c>
      <c r="I56" s="18" t="s">
        <v>1642</v>
      </c>
      <c r="J56" s="24">
        <v>2019</v>
      </c>
      <c r="K56" s="30" t="e">
        <v>#VALUE!</v>
      </c>
      <c r="L56" s="19" t="e">
        <v>#VALUE!</v>
      </c>
      <c r="M56" s="20" t="e">
        <v>#VALUE!</v>
      </c>
      <c r="N56" s="20"/>
      <c r="O56" s="31" t="e">
        <v>#VALUE!</v>
      </c>
      <c r="P56" s="40">
        <v>0</v>
      </c>
      <c r="Q56" s="41"/>
      <c r="R56" s="48" t="e">
        <f t="shared" si="2"/>
        <v>#VALUE!</v>
      </c>
      <c r="S56" s="21">
        <f t="shared" si="3"/>
        <v>0</v>
      </c>
      <c r="T56" s="49" t="e">
        <f t="shared" si="4"/>
        <v>#VALUE!</v>
      </c>
    </row>
    <row r="57" spans="1:20" ht="12.75" hidden="1" customHeight="1" thickTop="1">
      <c r="A57" s="58" t="s">
        <v>45</v>
      </c>
      <c r="B57" s="9" t="str">
        <f t="shared" si="0"/>
        <v>RES_199703</v>
      </c>
      <c r="C57" s="9">
        <v>0</v>
      </c>
      <c r="D57" s="9">
        <v>0</v>
      </c>
      <c r="E57" s="59" t="b">
        <v>1</v>
      </c>
      <c r="F57" s="54" t="str">
        <f t="shared" si="5"/>
        <v>Residential</v>
      </c>
      <c r="G57" s="18" t="s">
        <v>149</v>
      </c>
      <c r="H57" s="18" t="s">
        <v>1074</v>
      </c>
      <c r="I57" s="18" t="s">
        <v>158</v>
      </c>
      <c r="J57" s="24">
        <v>2019</v>
      </c>
      <c r="K57" s="30" t="e">
        <v>#VALUE!</v>
      </c>
      <c r="L57" s="19" t="e">
        <v>#VALUE!</v>
      </c>
      <c r="M57" s="20" t="e">
        <v>#VALUE!</v>
      </c>
      <c r="N57" s="20"/>
      <c r="O57" s="31" t="e">
        <v>#VALUE!</v>
      </c>
      <c r="P57" s="40">
        <v>8.1375121000000004</v>
      </c>
      <c r="Q57" s="41" t="s">
        <v>1631</v>
      </c>
      <c r="R57" s="48" t="e">
        <f t="shared" si="2"/>
        <v>#VALUE!</v>
      </c>
      <c r="S57" s="21">
        <f t="shared" si="3"/>
        <v>0</v>
      </c>
      <c r="T57" s="49" t="e">
        <f t="shared" si="4"/>
        <v>#VALUE!</v>
      </c>
    </row>
    <row r="58" spans="1:20" ht="12.75" hidden="1" customHeight="1">
      <c r="A58" s="58" t="s">
        <v>46</v>
      </c>
      <c r="B58" s="9" t="str">
        <f t="shared" si="0"/>
        <v>RES_199703</v>
      </c>
      <c r="C58" s="9">
        <v>0</v>
      </c>
      <c r="D58" s="9">
        <v>0</v>
      </c>
      <c r="E58" s="59" t="b">
        <v>1</v>
      </c>
      <c r="F58" s="54" t="str">
        <f t="shared" si="5"/>
        <v>Residential</v>
      </c>
      <c r="G58" s="18" t="s">
        <v>149</v>
      </c>
      <c r="H58" s="18" t="s">
        <v>1075</v>
      </c>
      <c r="I58" s="18" t="s">
        <v>158</v>
      </c>
      <c r="J58" s="24">
        <v>2019</v>
      </c>
      <c r="K58" s="30" t="e">
        <v>#VALUE!</v>
      </c>
      <c r="L58" s="19" t="e">
        <v>#VALUE!</v>
      </c>
      <c r="M58" s="20" t="e">
        <v>#VALUE!</v>
      </c>
      <c r="N58" s="20"/>
      <c r="O58" s="31" t="e">
        <v>#VALUE!</v>
      </c>
      <c r="P58" s="40">
        <v>0</v>
      </c>
      <c r="Q58" s="41" t="s">
        <v>1631</v>
      </c>
      <c r="R58" s="48" t="e">
        <f t="shared" si="2"/>
        <v>#VALUE!</v>
      </c>
      <c r="S58" s="21">
        <f t="shared" si="3"/>
        <v>0</v>
      </c>
      <c r="T58" s="49" t="e">
        <f t="shared" si="4"/>
        <v>#VALUE!</v>
      </c>
    </row>
    <row r="59" spans="1:20" ht="12.75" hidden="1" customHeight="1">
      <c r="A59" s="58" t="s">
        <v>102</v>
      </c>
      <c r="B59" s="9" t="str">
        <f t="shared" si="0"/>
        <v>RES_199703</v>
      </c>
      <c r="C59" s="9">
        <v>0</v>
      </c>
      <c r="D59" s="9">
        <v>0</v>
      </c>
      <c r="E59" s="59" t="b">
        <v>1</v>
      </c>
      <c r="F59" s="54" t="str">
        <f t="shared" si="5"/>
        <v>Residential</v>
      </c>
      <c r="G59" s="18" t="s">
        <v>149</v>
      </c>
      <c r="H59" s="18" t="s">
        <v>449</v>
      </c>
      <c r="I59" s="18" t="s">
        <v>158</v>
      </c>
      <c r="J59" s="24">
        <v>2019</v>
      </c>
      <c r="K59" s="30" t="e">
        <v>#VALUE!</v>
      </c>
      <c r="L59" s="19" t="e">
        <v>#VALUE!</v>
      </c>
      <c r="M59" s="20" t="e">
        <v>#VALUE!</v>
      </c>
      <c r="N59" s="20"/>
      <c r="O59" s="31" t="e">
        <v>#VALUE!</v>
      </c>
      <c r="P59" s="40">
        <v>12.982452759999999</v>
      </c>
      <c r="Q59" s="41"/>
      <c r="R59" s="48" t="e">
        <f t="shared" si="2"/>
        <v>#VALUE!</v>
      </c>
      <c r="S59" s="21">
        <f t="shared" si="3"/>
        <v>0</v>
      </c>
      <c r="T59" s="49" t="e">
        <f t="shared" si="4"/>
        <v>#VALUE!</v>
      </c>
    </row>
    <row r="60" spans="1:20" ht="12.75" hidden="1" customHeight="1">
      <c r="A60" s="58" t="s">
        <v>103</v>
      </c>
      <c r="B60" s="9" t="str">
        <f t="shared" si="0"/>
        <v>RES_199703</v>
      </c>
      <c r="C60" s="9">
        <v>0</v>
      </c>
      <c r="D60" s="9">
        <v>0</v>
      </c>
      <c r="E60" s="59" t="b">
        <v>1</v>
      </c>
      <c r="F60" s="54" t="str">
        <f t="shared" si="5"/>
        <v>Residential</v>
      </c>
      <c r="G60" s="18" t="s">
        <v>149</v>
      </c>
      <c r="H60" s="18" t="s">
        <v>450</v>
      </c>
      <c r="I60" s="18" t="s">
        <v>158</v>
      </c>
      <c r="J60" s="24">
        <v>2019</v>
      </c>
      <c r="K60" s="30" t="e">
        <v>#VALUE!</v>
      </c>
      <c r="L60" s="19" t="e">
        <v>#VALUE!</v>
      </c>
      <c r="M60" s="20" t="e">
        <v>#VALUE!</v>
      </c>
      <c r="N60" s="20"/>
      <c r="O60" s="31" t="e">
        <v>#VALUE!</v>
      </c>
      <c r="P60" s="40">
        <v>17.010642990000001</v>
      </c>
      <c r="Q60" s="41"/>
      <c r="R60" s="48" t="e">
        <f t="shared" si="2"/>
        <v>#VALUE!</v>
      </c>
      <c r="S60" s="21">
        <f t="shared" si="3"/>
        <v>0</v>
      </c>
      <c r="T60" s="49" t="e">
        <f t="shared" si="4"/>
        <v>#VALUE!</v>
      </c>
    </row>
    <row r="61" spans="1:20" ht="12.75" hidden="1" customHeight="1" thickTop="1">
      <c r="A61" s="58" t="s">
        <v>59</v>
      </c>
      <c r="B61" s="9" t="str">
        <f t="shared" si="0"/>
        <v>RES_201301</v>
      </c>
      <c r="C61" s="9">
        <v>0</v>
      </c>
      <c r="D61" s="9">
        <v>0</v>
      </c>
      <c r="E61" s="59" t="b">
        <v>1</v>
      </c>
      <c r="F61" s="54" t="str">
        <f t="shared" si="5"/>
        <v>Residential</v>
      </c>
      <c r="G61" s="18" t="s">
        <v>154</v>
      </c>
      <c r="H61" s="18" t="s">
        <v>460</v>
      </c>
      <c r="I61" s="18" t="s">
        <v>514</v>
      </c>
      <c r="J61" s="24">
        <v>2019</v>
      </c>
      <c r="K61" s="30" t="e">
        <v>#VALUE!</v>
      </c>
      <c r="L61" s="19" t="e">
        <v>#VALUE!</v>
      </c>
      <c r="M61" s="20" t="e">
        <v>#VALUE!</v>
      </c>
      <c r="N61" s="20"/>
      <c r="O61" s="31" t="e">
        <v>#VALUE!</v>
      </c>
      <c r="P61" s="40">
        <v>710</v>
      </c>
      <c r="Q61" s="41" t="s">
        <v>1631</v>
      </c>
      <c r="R61" s="48" t="e">
        <f t="shared" si="2"/>
        <v>#VALUE!</v>
      </c>
      <c r="S61" s="21">
        <f t="shared" si="3"/>
        <v>0</v>
      </c>
      <c r="T61" s="49" t="e">
        <f t="shared" si="4"/>
        <v>#VALUE!</v>
      </c>
    </row>
    <row r="62" spans="1:20" ht="12.75" hidden="1" customHeight="1">
      <c r="A62" s="58" t="s">
        <v>60</v>
      </c>
      <c r="B62" s="9" t="str">
        <f t="shared" si="0"/>
        <v>RES_201301</v>
      </c>
      <c r="C62" s="9">
        <v>0</v>
      </c>
      <c r="D62" s="9">
        <v>0</v>
      </c>
      <c r="E62" s="59" t="b">
        <v>1</v>
      </c>
      <c r="F62" s="54" t="str">
        <f t="shared" si="5"/>
        <v>Residential</v>
      </c>
      <c r="G62" s="18" t="s">
        <v>154</v>
      </c>
      <c r="H62" s="18" t="s">
        <v>479</v>
      </c>
      <c r="I62" s="18" t="s">
        <v>514</v>
      </c>
      <c r="J62" s="24">
        <v>2019</v>
      </c>
      <c r="K62" s="30" t="e">
        <v>#VALUE!</v>
      </c>
      <c r="L62" s="19" t="e">
        <v>#VALUE!</v>
      </c>
      <c r="M62" s="20" t="e">
        <v>#VALUE!</v>
      </c>
      <c r="N62" s="20"/>
      <c r="O62" s="31" t="e">
        <v>#VALUE!</v>
      </c>
      <c r="P62" s="40">
        <v>388</v>
      </c>
      <c r="Q62" s="41" t="s">
        <v>1631</v>
      </c>
      <c r="R62" s="48" t="e">
        <f t="shared" si="2"/>
        <v>#VALUE!</v>
      </c>
      <c r="S62" s="21">
        <f t="shared" si="3"/>
        <v>0</v>
      </c>
      <c r="T62" s="49" t="e">
        <f t="shared" si="4"/>
        <v>#VALUE!</v>
      </c>
    </row>
    <row r="63" spans="1:20" ht="12.75" hidden="1" customHeight="1">
      <c r="A63" s="58" t="s">
        <v>61</v>
      </c>
      <c r="B63" s="9" t="str">
        <f t="shared" si="0"/>
        <v>RES_201301</v>
      </c>
      <c r="C63" s="9">
        <v>1</v>
      </c>
      <c r="D63" s="9">
        <v>0</v>
      </c>
      <c r="E63" s="59" t="b">
        <v>1</v>
      </c>
      <c r="F63" s="54" t="str">
        <f t="shared" si="5"/>
        <v>Residential</v>
      </c>
      <c r="G63" s="18" t="s">
        <v>154</v>
      </c>
      <c r="H63" s="18" t="s">
        <v>444</v>
      </c>
      <c r="I63" s="18" t="s">
        <v>507</v>
      </c>
      <c r="J63" s="24">
        <v>2019</v>
      </c>
      <c r="K63" s="30" t="e">
        <v>#VALUE!</v>
      </c>
      <c r="L63" s="19" t="e">
        <v>#VALUE!</v>
      </c>
      <c r="M63" s="20" t="e">
        <v>#VALUE!</v>
      </c>
      <c r="N63" s="20"/>
      <c r="O63" s="31" t="e">
        <v>#VALUE!</v>
      </c>
      <c r="P63" s="40">
        <v>0</v>
      </c>
      <c r="Q63" s="41" t="s">
        <v>1631</v>
      </c>
      <c r="R63" s="48" t="e">
        <f t="shared" si="2"/>
        <v>#VALUE!</v>
      </c>
      <c r="S63" s="21">
        <f t="shared" si="3"/>
        <v>0</v>
      </c>
      <c r="T63" s="49" t="e">
        <f t="shared" si="4"/>
        <v>#VALUE!</v>
      </c>
    </row>
    <row r="64" spans="1:20" ht="12.75" hidden="1" customHeight="1">
      <c r="A64" s="58" t="s">
        <v>62</v>
      </c>
      <c r="B64" s="9" t="str">
        <f t="shared" si="0"/>
        <v>RES_201301</v>
      </c>
      <c r="C64" s="9">
        <v>1</v>
      </c>
      <c r="D64" s="9">
        <v>0</v>
      </c>
      <c r="E64" s="59" t="b">
        <v>1</v>
      </c>
      <c r="F64" s="54" t="str">
        <f t="shared" si="5"/>
        <v>Residential</v>
      </c>
      <c r="G64" s="18" t="s">
        <v>154</v>
      </c>
      <c r="H64" s="18" t="s">
        <v>444</v>
      </c>
      <c r="I64" s="18" t="s">
        <v>508</v>
      </c>
      <c r="J64" s="24">
        <v>2019</v>
      </c>
      <c r="K64" s="30" t="e">
        <v>#VALUE!</v>
      </c>
      <c r="L64" s="19" t="e">
        <v>#VALUE!</v>
      </c>
      <c r="M64" s="20" t="e">
        <v>#VALUE!</v>
      </c>
      <c r="N64" s="20"/>
      <c r="O64" s="31" t="e">
        <v>#VALUE!</v>
      </c>
      <c r="P64" s="40">
        <v>1007</v>
      </c>
      <c r="Q64" s="41" t="s">
        <v>1631</v>
      </c>
      <c r="R64" s="48" t="e">
        <f t="shared" si="2"/>
        <v>#VALUE!</v>
      </c>
      <c r="S64" s="21">
        <f t="shared" si="3"/>
        <v>0</v>
      </c>
      <c r="T64" s="49" t="e">
        <f t="shared" si="4"/>
        <v>#VALUE!</v>
      </c>
    </row>
    <row r="65" spans="1:20" ht="12.75" hidden="1" customHeight="1">
      <c r="A65" s="58" t="s">
        <v>63</v>
      </c>
      <c r="B65" s="9" t="str">
        <f t="shared" si="0"/>
        <v>RES_201301</v>
      </c>
      <c r="C65" s="9">
        <v>1</v>
      </c>
      <c r="D65" s="9">
        <v>0</v>
      </c>
      <c r="E65" s="59" t="b">
        <v>1</v>
      </c>
      <c r="F65" s="54" t="str">
        <f t="shared" si="5"/>
        <v>Residential</v>
      </c>
      <c r="G65" s="18" t="s">
        <v>154</v>
      </c>
      <c r="H65" s="18" t="s">
        <v>452</v>
      </c>
      <c r="I65" s="18" t="s">
        <v>508</v>
      </c>
      <c r="J65" s="24">
        <v>2019</v>
      </c>
      <c r="K65" s="30" t="e">
        <v>#VALUE!</v>
      </c>
      <c r="L65" s="19" t="e">
        <v>#VALUE!</v>
      </c>
      <c r="M65" s="20" t="e">
        <v>#VALUE!</v>
      </c>
      <c r="N65" s="20"/>
      <c r="O65" s="31" t="e">
        <v>#VALUE!</v>
      </c>
      <c r="P65" s="40">
        <v>363</v>
      </c>
      <c r="Q65" s="41" t="s">
        <v>1631</v>
      </c>
      <c r="R65" s="48" t="e">
        <f t="shared" si="2"/>
        <v>#VALUE!</v>
      </c>
      <c r="S65" s="21">
        <f t="shared" si="3"/>
        <v>0</v>
      </c>
      <c r="T65" s="49" t="e">
        <f t="shared" si="4"/>
        <v>#VALUE!</v>
      </c>
    </row>
    <row r="66" spans="1:20" ht="12.75" hidden="1" customHeight="1">
      <c r="A66" s="58" t="s">
        <v>64</v>
      </c>
      <c r="B66" s="9" t="str">
        <f t="shared" si="0"/>
        <v>RES_201301</v>
      </c>
      <c r="C66" s="9">
        <v>1</v>
      </c>
      <c r="D66" s="9">
        <v>0</v>
      </c>
      <c r="E66" s="59" t="b">
        <v>1</v>
      </c>
      <c r="F66" s="54" t="str">
        <f t="shared" si="5"/>
        <v>Residential</v>
      </c>
      <c r="G66" s="18" t="s">
        <v>154</v>
      </c>
      <c r="H66" s="18" t="s">
        <v>452</v>
      </c>
      <c r="I66" s="18" t="s">
        <v>518</v>
      </c>
      <c r="J66" s="24">
        <v>2019</v>
      </c>
      <c r="K66" s="30" t="e">
        <v>#VALUE!</v>
      </c>
      <c r="L66" s="19" t="e">
        <v>#VALUE!</v>
      </c>
      <c r="M66" s="20" t="e">
        <v>#VALUE!</v>
      </c>
      <c r="N66" s="20"/>
      <c r="O66" s="31" t="e">
        <v>#VALUE!</v>
      </c>
      <c r="P66" s="40">
        <v>5</v>
      </c>
      <c r="Q66" s="41" t="s">
        <v>1631</v>
      </c>
      <c r="R66" s="48" t="e">
        <f t="shared" si="2"/>
        <v>#VALUE!</v>
      </c>
      <c r="S66" s="21">
        <f t="shared" si="3"/>
        <v>0</v>
      </c>
      <c r="T66" s="49" t="e">
        <f t="shared" si="4"/>
        <v>#VALUE!</v>
      </c>
    </row>
    <row r="67" spans="1:20" ht="12.75" hidden="1" customHeight="1">
      <c r="A67" s="58" t="s">
        <v>65</v>
      </c>
      <c r="B67" s="9" t="str">
        <f t="shared" si="0"/>
        <v>RES_201301</v>
      </c>
      <c r="C67" s="9">
        <v>1</v>
      </c>
      <c r="D67" s="9">
        <v>0</v>
      </c>
      <c r="E67" s="59" t="b">
        <v>1</v>
      </c>
      <c r="F67" s="54" t="str">
        <f t="shared" si="5"/>
        <v>Residential</v>
      </c>
      <c r="G67" s="18" t="s">
        <v>154</v>
      </c>
      <c r="H67" s="18" t="s">
        <v>458</v>
      </c>
      <c r="I67" s="18" t="s">
        <v>1488</v>
      </c>
      <c r="J67" s="24">
        <v>2019</v>
      </c>
      <c r="K67" s="30" t="e">
        <v>#VALUE!</v>
      </c>
      <c r="L67" s="19" t="e">
        <v>#VALUE!</v>
      </c>
      <c r="M67" s="20" t="e">
        <v>#VALUE!</v>
      </c>
      <c r="N67" s="20"/>
      <c r="O67" s="31" t="e">
        <v>#VALUE!</v>
      </c>
      <c r="P67" s="40">
        <v>266</v>
      </c>
      <c r="Q67" s="41" t="s">
        <v>1631</v>
      </c>
      <c r="R67" s="48" t="e">
        <f t="shared" si="2"/>
        <v>#VALUE!</v>
      </c>
      <c r="S67" s="21">
        <f t="shared" si="3"/>
        <v>0</v>
      </c>
      <c r="T67" s="49" t="e">
        <f t="shared" si="4"/>
        <v>#VALUE!</v>
      </c>
    </row>
    <row r="68" spans="1:20" ht="12.75" hidden="1" customHeight="1">
      <c r="A68" s="58" t="s">
        <v>66</v>
      </c>
      <c r="B68" s="9" t="str">
        <f t="shared" ref="B68:B131" si="6">LEFT(A68,10)</f>
        <v>RES_201301</v>
      </c>
      <c r="C68" s="9">
        <v>1</v>
      </c>
      <c r="D68" s="9">
        <v>0</v>
      </c>
      <c r="E68" s="59" t="b">
        <v>1</v>
      </c>
      <c r="F68" s="54" t="str">
        <f t="shared" si="5"/>
        <v>Residential</v>
      </c>
      <c r="G68" s="18" t="s">
        <v>154</v>
      </c>
      <c r="H68" s="18" t="s">
        <v>458</v>
      </c>
      <c r="I68" s="18" t="s">
        <v>1489</v>
      </c>
      <c r="J68" s="24">
        <v>2019</v>
      </c>
      <c r="K68" s="30" t="e">
        <v>#VALUE!</v>
      </c>
      <c r="L68" s="19" t="e">
        <v>#VALUE!</v>
      </c>
      <c r="M68" s="20" t="e">
        <v>#VALUE!</v>
      </c>
      <c r="N68" s="20"/>
      <c r="O68" s="31" t="e">
        <v>#VALUE!</v>
      </c>
      <c r="P68" s="40">
        <v>444.824682</v>
      </c>
      <c r="Q68" s="41" t="s">
        <v>1631</v>
      </c>
      <c r="R68" s="48" t="e">
        <f t="shared" si="2"/>
        <v>#VALUE!</v>
      </c>
      <c r="S68" s="21">
        <f t="shared" si="3"/>
        <v>0</v>
      </c>
      <c r="T68" s="49" t="e">
        <f t="shared" si="4"/>
        <v>#VALUE!</v>
      </c>
    </row>
    <row r="69" spans="1:20" ht="12.75" hidden="1" customHeight="1">
      <c r="A69" s="58" t="s">
        <v>67</v>
      </c>
      <c r="B69" s="9" t="str">
        <f t="shared" si="6"/>
        <v>RES_201301</v>
      </c>
      <c r="C69" s="9">
        <v>1</v>
      </c>
      <c r="D69" s="9">
        <v>0</v>
      </c>
      <c r="E69" s="59" t="b">
        <v>1</v>
      </c>
      <c r="F69" s="54" t="str">
        <f t="shared" si="5"/>
        <v>Residential</v>
      </c>
      <c r="G69" s="18" t="s">
        <v>154</v>
      </c>
      <c r="H69" s="18" t="s">
        <v>477</v>
      </c>
      <c r="I69" s="18" t="s">
        <v>538</v>
      </c>
      <c r="J69" s="24">
        <v>2019</v>
      </c>
      <c r="K69" s="30" t="e">
        <v>#VALUE!</v>
      </c>
      <c r="L69" s="19" t="e">
        <v>#VALUE!</v>
      </c>
      <c r="M69" s="20" t="e">
        <v>#VALUE!</v>
      </c>
      <c r="N69" s="20"/>
      <c r="O69" s="31" t="e">
        <v>#VALUE!</v>
      </c>
      <c r="P69" s="40">
        <v>225.30855</v>
      </c>
      <c r="Q69" s="41" t="s">
        <v>1631</v>
      </c>
      <c r="R69" s="48" t="e">
        <f t="shared" ref="R69:R132" si="7">(K69-M69)*O69*P69/8670000</f>
        <v>#VALUE!</v>
      </c>
      <c r="S69" s="21">
        <f t="shared" ref="S69:S132" si="8">IFERROR((L69-M69/K69*L69)*O69*P69/8760/1000,0)</f>
        <v>0</v>
      </c>
      <c r="T69" s="49" t="e">
        <f t="shared" ref="T69:T132" si="9">R69-S69</f>
        <v>#VALUE!</v>
      </c>
    </row>
    <row r="70" spans="1:20" ht="12.75" hidden="1" customHeight="1">
      <c r="A70" s="58" t="s">
        <v>68</v>
      </c>
      <c r="B70" s="9" t="str">
        <f t="shared" si="6"/>
        <v>RES_201301</v>
      </c>
      <c r="C70" s="9">
        <v>1</v>
      </c>
      <c r="D70" s="9">
        <v>0</v>
      </c>
      <c r="E70" s="59" t="b">
        <v>1</v>
      </c>
      <c r="F70" s="54" t="str">
        <f t="shared" si="5"/>
        <v>Residential</v>
      </c>
      <c r="G70" s="18" t="s">
        <v>154</v>
      </c>
      <c r="H70" s="18" t="s">
        <v>477</v>
      </c>
      <c r="I70" s="18" t="s">
        <v>539</v>
      </c>
      <c r="J70" s="24">
        <v>2019</v>
      </c>
      <c r="K70" s="30" t="e">
        <v>#VALUE!</v>
      </c>
      <c r="L70" s="19" t="e">
        <v>#VALUE!</v>
      </c>
      <c r="M70" s="20" t="e">
        <v>#VALUE!</v>
      </c>
      <c r="N70" s="20"/>
      <c r="O70" s="31" t="e">
        <v>#VALUE!</v>
      </c>
      <c r="P70" s="40">
        <v>101</v>
      </c>
      <c r="Q70" s="41" t="s">
        <v>1631</v>
      </c>
      <c r="R70" s="48" t="e">
        <f t="shared" si="7"/>
        <v>#VALUE!</v>
      </c>
      <c r="S70" s="21">
        <f t="shared" si="8"/>
        <v>0</v>
      </c>
      <c r="T70" s="49" t="e">
        <f t="shared" si="9"/>
        <v>#VALUE!</v>
      </c>
    </row>
    <row r="71" spans="1:20" ht="12.75" hidden="1" customHeight="1">
      <c r="A71" s="58" t="s">
        <v>69</v>
      </c>
      <c r="B71" s="9" t="str">
        <f t="shared" si="6"/>
        <v>RES_201301</v>
      </c>
      <c r="C71" s="9">
        <v>0</v>
      </c>
      <c r="D71" s="9">
        <v>0</v>
      </c>
      <c r="E71" s="59" t="b">
        <v>1</v>
      </c>
      <c r="F71" s="54" t="str">
        <f t="shared" si="5"/>
        <v>Residential</v>
      </c>
      <c r="G71" s="18" t="s">
        <v>154</v>
      </c>
      <c r="H71" s="18" t="s">
        <v>446</v>
      </c>
      <c r="I71" s="18" t="s">
        <v>514</v>
      </c>
      <c r="J71" s="24">
        <v>2019</v>
      </c>
      <c r="K71" s="30" t="e">
        <v>#VALUE!</v>
      </c>
      <c r="L71" s="19" t="e">
        <v>#VALUE!</v>
      </c>
      <c r="M71" s="20" t="e">
        <v>#VALUE!</v>
      </c>
      <c r="N71" s="20"/>
      <c r="O71" s="31" t="e">
        <v>#VALUE!</v>
      </c>
      <c r="P71" s="40">
        <v>685</v>
      </c>
      <c r="Q71" s="41" t="s">
        <v>1631</v>
      </c>
      <c r="R71" s="48" t="e">
        <f t="shared" si="7"/>
        <v>#VALUE!</v>
      </c>
      <c r="S71" s="21">
        <f t="shared" si="8"/>
        <v>0</v>
      </c>
      <c r="T71" s="49" t="e">
        <f t="shared" si="9"/>
        <v>#VALUE!</v>
      </c>
    </row>
    <row r="72" spans="1:20" ht="12.75" hidden="1" customHeight="1">
      <c r="A72" s="58" t="s">
        <v>70</v>
      </c>
      <c r="B72" s="9" t="str">
        <f t="shared" si="6"/>
        <v>RES_201301</v>
      </c>
      <c r="C72" s="9">
        <v>0</v>
      </c>
      <c r="D72" s="9">
        <v>0</v>
      </c>
      <c r="E72" s="59" t="b">
        <v>1</v>
      </c>
      <c r="F72" s="54" t="str">
        <f t="shared" si="5"/>
        <v>Residential</v>
      </c>
      <c r="G72" s="18" t="s">
        <v>154</v>
      </c>
      <c r="H72" s="18" t="s">
        <v>454</v>
      </c>
      <c r="I72" s="18" t="s">
        <v>514</v>
      </c>
      <c r="J72" s="24">
        <v>2019</v>
      </c>
      <c r="K72" s="30" t="e">
        <v>#VALUE!</v>
      </c>
      <c r="L72" s="19" t="e">
        <v>#VALUE!</v>
      </c>
      <c r="M72" s="20" t="e">
        <v>#VALUE!</v>
      </c>
      <c r="N72" s="20"/>
      <c r="O72" s="31" t="e">
        <v>#VALUE!</v>
      </c>
      <c r="P72" s="40">
        <v>486</v>
      </c>
      <c r="Q72" s="41" t="s">
        <v>1631</v>
      </c>
      <c r="R72" s="48" t="e">
        <f t="shared" si="7"/>
        <v>#VALUE!</v>
      </c>
      <c r="S72" s="21">
        <f t="shared" si="8"/>
        <v>0</v>
      </c>
      <c r="T72" s="49" t="e">
        <f t="shared" si="9"/>
        <v>#VALUE!</v>
      </c>
    </row>
    <row r="73" spans="1:20" ht="12.75" hidden="1" customHeight="1">
      <c r="A73" s="58" t="s">
        <v>76</v>
      </c>
      <c r="B73" s="9" t="str">
        <f t="shared" si="6"/>
        <v>RES_201301</v>
      </c>
      <c r="C73" s="9">
        <v>0</v>
      </c>
      <c r="D73" s="9">
        <v>0</v>
      </c>
      <c r="E73" s="59" t="b">
        <v>1</v>
      </c>
      <c r="F73" s="54" t="str">
        <f t="shared" si="5"/>
        <v>Residential</v>
      </c>
      <c r="G73" s="18" t="s">
        <v>154</v>
      </c>
      <c r="H73" s="18" t="s">
        <v>1476</v>
      </c>
      <c r="I73" s="18" t="s">
        <v>1472</v>
      </c>
      <c r="J73" s="24">
        <v>2019</v>
      </c>
      <c r="K73" s="30" t="e">
        <v>#VALUE!</v>
      </c>
      <c r="L73" s="19" t="e">
        <v>#VALUE!</v>
      </c>
      <c r="M73" s="20" t="e">
        <v>#VALUE!</v>
      </c>
      <c r="N73" s="20"/>
      <c r="O73" s="31" t="e">
        <v>#VALUE!</v>
      </c>
      <c r="P73" s="40">
        <v>800</v>
      </c>
      <c r="Q73" s="41"/>
      <c r="R73" s="48" t="e">
        <f t="shared" si="7"/>
        <v>#VALUE!</v>
      </c>
      <c r="S73" s="21">
        <f t="shared" si="8"/>
        <v>0</v>
      </c>
      <c r="T73" s="49" t="e">
        <f t="shared" si="9"/>
        <v>#VALUE!</v>
      </c>
    </row>
    <row r="74" spans="1:20" ht="12.75" hidden="1" customHeight="1">
      <c r="A74" s="58" t="s">
        <v>77</v>
      </c>
      <c r="B74" s="9" t="str">
        <f t="shared" si="6"/>
        <v>RES_201301</v>
      </c>
      <c r="C74" s="9">
        <v>0</v>
      </c>
      <c r="D74" s="9">
        <v>0</v>
      </c>
      <c r="E74" s="59" t="b">
        <v>1</v>
      </c>
      <c r="F74" s="54" t="str">
        <f t="shared" si="5"/>
        <v>Residential</v>
      </c>
      <c r="G74" s="18" t="s">
        <v>154</v>
      </c>
      <c r="H74" s="18" t="s">
        <v>1477</v>
      </c>
      <c r="I74" s="18" t="s">
        <v>1472</v>
      </c>
      <c r="J74" s="24">
        <v>2019</v>
      </c>
      <c r="K74" s="30" t="e">
        <v>#VALUE!</v>
      </c>
      <c r="L74" s="19" t="e">
        <v>#VALUE!</v>
      </c>
      <c r="M74" s="20" t="e">
        <v>#VALUE!</v>
      </c>
      <c r="N74" s="20"/>
      <c r="O74" s="31" t="e">
        <v>#VALUE!</v>
      </c>
      <c r="P74" s="40">
        <v>2641</v>
      </c>
      <c r="Q74" s="41"/>
      <c r="R74" s="48" t="e">
        <f t="shared" si="7"/>
        <v>#VALUE!</v>
      </c>
      <c r="S74" s="21">
        <f t="shared" si="8"/>
        <v>0</v>
      </c>
      <c r="T74" s="49" t="e">
        <f t="shared" si="9"/>
        <v>#VALUE!</v>
      </c>
    </row>
    <row r="75" spans="1:20" ht="12.75" hidden="1" customHeight="1">
      <c r="A75" s="58" t="s">
        <v>78</v>
      </c>
      <c r="B75" s="9" t="str">
        <f t="shared" si="6"/>
        <v>RES_201301</v>
      </c>
      <c r="C75" s="9">
        <v>0</v>
      </c>
      <c r="D75" s="9">
        <v>0</v>
      </c>
      <c r="E75" s="59" t="b">
        <v>1</v>
      </c>
      <c r="F75" s="54" t="str">
        <f t="shared" si="5"/>
        <v>Residential</v>
      </c>
      <c r="G75" s="18" t="s">
        <v>154</v>
      </c>
      <c r="H75" s="18" t="s">
        <v>1478</v>
      </c>
      <c r="I75" s="18" t="s">
        <v>1472</v>
      </c>
      <c r="J75" s="24">
        <v>2019</v>
      </c>
      <c r="K75" s="30" t="e">
        <v>#VALUE!</v>
      </c>
      <c r="L75" s="19" t="e">
        <v>#VALUE!</v>
      </c>
      <c r="M75" s="20" t="e">
        <v>#VALUE!</v>
      </c>
      <c r="N75" s="20"/>
      <c r="O75" s="31" t="e">
        <v>#VALUE!</v>
      </c>
      <c r="P75" s="40">
        <v>1763</v>
      </c>
      <c r="Q75" s="41"/>
      <c r="R75" s="48" t="e">
        <f t="shared" si="7"/>
        <v>#VALUE!</v>
      </c>
      <c r="S75" s="21">
        <f t="shared" si="8"/>
        <v>0</v>
      </c>
      <c r="T75" s="49" t="e">
        <f t="shared" si="9"/>
        <v>#VALUE!</v>
      </c>
    </row>
    <row r="76" spans="1:20" ht="12.75" hidden="1" customHeight="1">
      <c r="A76" s="58" t="s">
        <v>79</v>
      </c>
      <c r="B76" s="9" t="str">
        <f t="shared" si="6"/>
        <v>RES_201301</v>
      </c>
      <c r="C76" s="9">
        <v>0</v>
      </c>
      <c r="D76" s="9">
        <v>0</v>
      </c>
      <c r="E76" s="59" t="b">
        <v>1</v>
      </c>
      <c r="F76" s="54" t="str">
        <f t="shared" si="5"/>
        <v>Residential</v>
      </c>
      <c r="G76" s="18" t="s">
        <v>154</v>
      </c>
      <c r="H76" s="18" t="s">
        <v>1479</v>
      </c>
      <c r="I76" s="18" t="s">
        <v>1472</v>
      </c>
      <c r="J76" s="24">
        <v>2019</v>
      </c>
      <c r="K76" s="30" t="e">
        <v>#VALUE!</v>
      </c>
      <c r="L76" s="19" t="e">
        <v>#VALUE!</v>
      </c>
      <c r="M76" s="20" t="e">
        <v>#VALUE!</v>
      </c>
      <c r="N76" s="20"/>
      <c r="O76" s="31" t="e">
        <v>#VALUE!</v>
      </c>
      <c r="P76" s="40">
        <v>437</v>
      </c>
      <c r="Q76" s="41"/>
      <c r="R76" s="48" t="e">
        <f t="shared" si="7"/>
        <v>#VALUE!</v>
      </c>
      <c r="S76" s="21">
        <f t="shared" si="8"/>
        <v>0</v>
      </c>
      <c r="T76" s="49" t="e">
        <f t="shared" si="9"/>
        <v>#VALUE!</v>
      </c>
    </row>
    <row r="77" spans="1:20" ht="12.75" hidden="1" customHeight="1">
      <c r="A77" s="58" t="s">
        <v>80</v>
      </c>
      <c r="B77" s="9" t="str">
        <f t="shared" si="6"/>
        <v>RES_201301</v>
      </c>
      <c r="C77" s="9">
        <v>0</v>
      </c>
      <c r="D77" s="9">
        <v>0</v>
      </c>
      <c r="E77" s="59" t="b">
        <v>1</v>
      </c>
      <c r="F77" s="54" t="str">
        <f t="shared" si="5"/>
        <v>Residential</v>
      </c>
      <c r="G77" s="18" t="s">
        <v>154</v>
      </c>
      <c r="H77" s="18" t="s">
        <v>1480</v>
      </c>
      <c r="I77" s="18" t="s">
        <v>1472</v>
      </c>
      <c r="J77" s="24">
        <v>2019</v>
      </c>
      <c r="K77" s="30" t="e">
        <v>#VALUE!</v>
      </c>
      <c r="L77" s="19" t="e">
        <v>#VALUE!</v>
      </c>
      <c r="M77" s="20" t="e">
        <v>#VALUE!</v>
      </c>
      <c r="N77" s="20"/>
      <c r="O77" s="31" t="e">
        <v>#VALUE!</v>
      </c>
      <c r="P77" s="40">
        <v>800</v>
      </c>
      <c r="Q77" s="41"/>
      <c r="R77" s="48" t="e">
        <f t="shared" si="7"/>
        <v>#VALUE!</v>
      </c>
      <c r="S77" s="21">
        <f t="shared" si="8"/>
        <v>0</v>
      </c>
      <c r="T77" s="49" t="e">
        <f t="shared" si="9"/>
        <v>#VALUE!</v>
      </c>
    </row>
    <row r="78" spans="1:20" ht="12.75" hidden="1" customHeight="1">
      <c r="A78" s="58" t="s">
        <v>81</v>
      </c>
      <c r="B78" s="9" t="str">
        <f t="shared" si="6"/>
        <v>RES_201301</v>
      </c>
      <c r="C78" s="9">
        <v>0</v>
      </c>
      <c r="D78" s="9">
        <v>0</v>
      </c>
      <c r="E78" s="59" t="b">
        <v>1</v>
      </c>
      <c r="F78" s="54" t="str">
        <f t="shared" si="5"/>
        <v>Residential</v>
      </c>
      <c r="G78" s="18" t="s">
        <v>154</v>
      </c>
      <c r="H78" s="18" t="s">
        <v>1471</v>
      </c>
      <c r="I78" s="18" t="s">
        <v>1472</v>
      </c>
      <c r="J78" s="24">
        <v>2019</v>
      </c>
      <c r="K78" s="30" t="e">
        <v>#VALUE!</v>
      </c>
      <c r="L78" s="19" t="e">
        <v>#VALUE!</v>
      </c>
      <c r="M78" s="20" t="e">
        <v>#VALUE!</v>
      </c>
      <c r="N78" s="20"/>
      <c r="O78" s="31" t="e">
        <v>#VALUE!</v>
      </c>
      <c r="P78" s="40">
        <v>0</v>
      </c>
      <c r="Q78" s="41"/>
      <c r="R78" s="48" t="e">
        <f t="shared" si="7"/>
        <v>#VALUE!</v>
      </c>
      <c r="S78" s="21">
        <f t="shared" si="8"/>
        <v>0</v>
      </c>
      <c r="T78" s="49" t="e">
        <f t="shared" si="9"/>
        <v>#VALUE!</v>
      </c>
    </row>
    <row r="79" spans="1:20" ht="12.75" hidden="1" customHeight="1">
      <c r="A79" s="58" t="s">
        <v>82</v>
      </c>
      <c r="B79" s="9" t="str">
        <f t="shared" si="6"/>
        <v>RES_201301</v>
      </c>
      <c r="C79" s="9">
        <v>0</v>
      </c>
      <c r="D79" s="9">
        <v>0</v>
      </c>
      <c r="E79" s="59" t="b">
        <v>1</v>
      </c>
      <c r="F79" s="54" t="str">
        <f t="shared" si="5"/>
        <v>Residential</v>
      </c>
      <c r="G79" s="18" t="s">
        <v>154</v>
      </c>
      <c r="H79" s="18" t="s">
        <v>1473</v>
      </c>
      <c r="I79" s="18" t="s">
        <v>1472</v>
      </c>
      <c r="J79" s="24">
        <v>2019</v>
      </c>
      <c r="K79" s="30" t="e">
        <v>#VALUE!</v>
      </c>
      <c r="L79" s="19" t="e">
        <v>#VALUE!</v>
      </c>
      <c r="M79" s="20" t="e">
        <v>#VALUE!</v>
      </c>
      <c r="N79" s="20"/>
      <c r="O79" s="31" t="e">
        <v>#VALUE!</v>
      </c>
      <c r="P79" s="40">
        <v>0</v>
      </c>
      <c r="Q79" s="41"/>
      <c r="R79" s="48" t="e">
        <f t="shared" si="7"/>
        <v>#VALUE!</v>
      </c>
      <c r="S79" s="21">
        <f t="shared" si="8"/>
        <v>0</v>
      </c>
      <c r="T79" s="49" t="e">
        <f t="shared" si="9"/>
        <v>#VALUE!</v>
      </c>
    </row>
    <row r="80" spans="1:20" ht="12.75" hidden="1" customHeight="1">
      <c r="A80" s="58" t="s">
        <v>83</v>
      </c>
      <c r="B80" s="9" t="str">
        <f t="shared" si="6"/>
        <v>RES_201301</v>
      </c>
      <c r="C80" s="9">
        <v>0</v>
      </c>
      <c r="D80" s="9">
        <v>0</v>
      </c>
      <c r="E80" s="59" t="b">
        <v>1</v>
      </c>
      <c r="F80" s="54" t="str">
        <f t="shared" si="5"/>
        <v>Residential</v>
      </c>
      <c r="G80" s="18" t="s">
        <v>154</v>
      </c>
      <c r="H80" s="18" t="s">
        <v>1474</v>
      </c>
      <c r="I80" s="18" t="s">
        <v>1472</v>
      </c>
      <c r="J80" s="24">
        <v>2019</v>
      </c>
      <c r="K80" s="30" t="e">
        <v>#VALUE!</v>
      </c>
      <c r="L80" s="19" t="e">
        <v>#VALUE!</v>
      </c>
      <c r="M80" s="20" t="e">
        <v>#VALUE!</v>
      </c>
      <c r="N80" s="20"/>
      <c r="O80" s="31" t="e">
        <v>#VALUE!</v>
      </c>
      <c r="P80" s="40">
        <v>0</v>
      </c>
      <c r="Q80" s="41"/>
      <c r="R80" s="48" t="e">
        <f t="shared" si="7"/>
        <v>#VALUE!</v>
      </c>
      <c r="S80" s="21">
        <f t="shared" si="8"/>
        <v>0</v>
      </c>
      <c r="T80" s="49" t="e">
        <f t="shared" si="9"/>
        <v>#VALUE!</v>
      </c>
    </row>
    <row r="81" spans="1:20" ht="12.75" hidden="1" customHeight="1">
      <c r="A81" s="58" t="s">
        <v>84</v>
      </c>
      <c r="B81" s="9" t="str">
        <f t="shared" si="6"/>
        <v>RES_201301</v>
      </c>
      <c r="C81" s="9">
        <v>0</v>
      </c>
      <c r="D81" s="9">
        <v>0</v>
      </c>
      <c r="E81" s="59" t="b">
        <v>1</v>
      </c>
      <c r="F81" s="54" t="str">
        <f t="shared" ref="F81:F112" si="10">IF(LEFT(A81,3)="Res","Residential",IF(LEFT(A81,3)="Ind","industrial",IF(LEFT(A81,3)="Com","Commercial",IF(LEFT(A81,3)="AGR","Agriculture",""))))</f>
        <v>Residential</v>
      </c>
      <c r="G81" s="18" t="s">
        <v>154</v>
      </c>
      <c r="H81" s="18" t="s">
        <v>1475</v>
      </c>
      <c r="I81" s="18" t="s">
        <v>1472</v>
      </c>
      <c r="J81" s="24">
        <v>2019</v>
      </c>
      <c r="K81" s="30" t="e">
        <v>#VALUE!</v>
      </c>
      <c r="L81" s="19" t="e">
        <v>#VALUE!</v>
      </c>
      <c r="M81" s="20" t="e">
        <v>#VALUE!</v>
      </c>
      <c r="N81" s="20"/>
      <c r="O81" s="31" t="e">
        <v>#VALUE!</v>
      </c>
      <c r="P81" s="40">
        <v>0</v>
      </c>
      <c r="Q81" s="41"/>
      <c r="R81" s="48" t="e">
        <f t="shared" si="7"/>
        <v>#VALUE!</v>
      </c>
      <c r="S81" s="21">
        <f t="shared" si="8"/>
        <v>0</v>
      </c>
      <c r="T81" s="49" t="e">
        <f t="shared" si="9"/>
        <v>#VALUE!</v>
      </c>
    </row>
    <row r="82" spans="1:20" ht="12.75" hidden="1" customHeight="1">
      <c r="A82" s="58" t="s">
        <v>85</v>
      </c>
      <c r="B82" s="9" t="str">
        <f t="shared" si="6"/>
        <v>RES_201301</v>
      </c>
      <c r="C82" s="9">
        <v>1</v>
      </c>
      <c r="D82" s="9">
        <v>0</v>
      </c>
      <c r="E82" s="59" t="b">
        <v>1</v>
      </c>
      <c r="F82" s="54" t="str">
        <f t="shared" si="10"/>
        <v>Residential</v>
      </c>
      <c r="G82" s="18" t="s">
        <v>154</v>
      </c>
      <c r="H82" s="18" t="s">
        <v>458</v>
      </c>
      <c r="I82" s="18" t="s">
        <v>1288</v>
      </c>
      <c r="J82" s="24">
        <v>2019</v>
      </c>
      <c r="K82" s="30" t="e">
        <v>#VALUE!</v>
      </c>
      <c r="L82" s="19" t="e">
        <v>#VALUE!</v>
      </c>
      <c r="M82" s="20" t="e">
        <v>#VALUE!</v>
      </c>
      <c r="N82" s="20"/>
      <c r="O82" s="31" t="e">
        <v>#VALUE!</v>
      </c>
      <c r="P82" s="40">
        <v>451</v>
      </c>
      <c r="Q82" s="41"/>
      <c r="R82" s="48" t="e">
        <f t="shared" si="7"/>
        <v>#VALUE!</v>
      </c>
      <c r="S82" s="21">
        <f t="shared" si="8"/>
        <v>0</v>
      </c>
      <c r="T82" s="49" t="e">
        <f t="shared" si="9"/>
        <v>#VALUE!</v>
      </c>
    </row>
    <row r="83" spans="1:20" ht="12.75" hidden="1" customHeight="1">
      <c r="A83" s="61" t="s">
        <v>118</v>
      </c>
      <c r="B83" s="9" t="str">
        <f t="shared" si="6"/>
        <v>RES_201301</v>
      </c>
      <c r="C83" s="9">
        <v>0</v>
      </c>
      <c r="D83" s="9">
        <v>0</v>
      </c>
      <c r="E83" s="59" t="b">
        <v>1</v>
      </c>
      <c r="F83" s="54" t="str">
        <f t="shared" si="10"/>
        <v>Residential</v>
      </c>
      <c r="G83" s="18" t="s">
        <v>154</v>
      </c>
      <c r="H83" s="18" t="s">
        <v>706</v>
      </c>
      <c r="I83" s="18" t="s">
        <v>1461</v>
      </c>
      <c r="J83" s="24">
        <v>2019</v>
      </c>
      <c r="K83" s="30" t="e">
        <v>#VALUE!</v>
      </c>
      <c r="L83" s="19" t="e">
        <v>#VALUE!</v>
      </c>
      <c r="M83" s="20" t="e">
        <v>#VALUE!</v>
      </c>
      <c r="N83" s="20"/>
      <c r="O83" s="31" t="e">
        <v>#VALUE!</v>
      </c>
      <c r="P83" s="40">
        <v>506</v>
      </c>
      <c r="Q83" s="41"/>
      <c r="R83" s="48" t="e">
        <f t="shared" si="7"/>
        <v>#VALUE!</v>
      </c>
      <c r="S83" s="21">
        <f t="shared" si="8"/>
        <v>0</v>
      </c>
      <c r="T83" s="49" t="e">
        <f t="shared" si="9"/>
        <v>#VALUE!</v>
      </c>
    </row>
    <row r="84" spans="1:20" ht="12.75" hidden="1" customHeight="1">
      <c r="A84" s="58" t="s">
        <v>119</v>
      </c>
      <c r="B84" s="9" t="str">
        <f t="shared" si="6"/>
        <v>RES_201301</v>
      </c>
      <c r="C84" s="9">
        <v>0</v>
      </c>
      <c r="D84" s="9">
        <v>0</v>
      </c>
      <c r="E84" s="59" t="b">
        <v>1</v>
      </c>
      <c r="F84" s="54" t="str">
        <f t="shared" si="10"/>
        <v>Residential</v>
      </c>
      <c r="G84" s="18" t="s">
        <v>154</v>
      </c>
      <c r="H84" s="18" t="s">
        <v>708</v>
      </c>
      <c r="I84" s="18" t="s">
        <v>1461</v>
      </c>
      <c r="J84" s="24">
        <v>2019</v>
      </c>
      <c r="K84" s="30" t="e">
        <v>#VALUE!</v>
      </c>
      <c r="L84" s="19" t="e">
        <v>#VALUE!</v>
      </c>
      <c r="M84" s="20" t="e">
        <v>#VALUE!</v>
      </c>
      <c r="N84" s="20"/>
      <c r="O84" s="31" t="e">
        <v>#VALUE!</v>
      </c>
      <c r="P84" s="40">
        <v>200</v>
      </c>
      <c r="Q84" s="41"/>
      <c r="R84" s="48" t="e">
        <f t="shared" si="7"/>
        <v>#VALUE!</v>
      </c>
      <c r="S84" s="21">
        <f t="shared" si="8"/>
        <v>0</v>
      </c>
      <c r="T84" s="49" t="e">
        <f t="shared" si="9"/>
        <v>#VALUE!</v>
      </c>
    </row>
    <row r="85" spans="1:20" ht="12.75" hidden="1" customHeight="1">
      <c r="A85" s="58" t="s">
        <v>86</v>
      </c>
      <c r="B85" s="9" t="str">
        <f t="shared" si="6"/>
        <v>RES_201403</v>
      </c>
      <c r="C85" s="9">
        <v>0</v>
      </c>
      <c r="D85" s="9">
        <v>0</v>
      </c>
      <c r="E85" s="59" t="b">
        <v>1</v>
      </c>
      <c r="F85" s="54" t="str">
        <f t="shared" si="10"/>
        <v>Residential</v>
      </c>
      <c r="G85" s="18" t="s">
        <v>155</v>
      </c>
      <c r="H85" s="18" t="s">
        <v>1090</v>
      </c>
      <c r="I85" s="18" t="s">
        <v>1091</v>
      </c>
      <c r="J85" s="24">
        <v>2019</v>
      </c>
      <c r="K85" s="30" t="e">
        <v>#VALUE!</v>
      </c>
      <c r="L85" s="19" t="e">
        <v>#VALUE!</v>
      </c>
      <c r="M85" s="20" t="e">
        <v>#VALUE!</v>
      </c>
      <c r="N85" s="20"/>
      <c r="O85" s="31" t="e">
        <v>#VALUE!</v>
      </c>
      <c r="P85" s="40">
        <v>0</v>
      </c>
      <c r="Q85" s="41"/>
      <c r="R85" s="48" t="e">
        <f t="shared" si="7"/>
        <v>#VALUE!</v>
      </c>
      <c r="S85" s="21">
        <f t="shared" si="8"/>
        <v>0</v>
      </c>
      <c r="T85" s="49" t="e">
        <f t="shared" si="9"/>
        <v>#VALUE!</v>
      </c>
    </row>
    <row r="86" spans="1:20" ht="12.75" hidden="1" customHeight="1">
      <c r="A86" s="58" t="s">
        <v>87</v>
      </c>
      <c r="B86" s="9" t="str">
        <f t="shared" si="6"/>
        <v>RES_201403</v>
      </c>
      <c r="C86" s="9">
        <v>0</v>
      </c>
      <c r="D86" s="9">
        <v>0</v>
      </c>
      <c r="E86" s="59" t="b">
        <v>1</v>
      </c>
      <c r="F86" s="54" t="str">
        <f t="shared" si="10"/>
        <v>Residential</v>
      </c>
      <c r="G86" s="18" t="s">
        <v>155</v>
      </c>
      <c r="H86" s="18" t="s">
        <v>426</v>
      </c>
      <c r="I86" s="18" t="s">
        <v>483</v>
      </c>
      <c r="J86" s="24">
        <v>2019</v>
      </c>
      <c r="K86" s="30" t="e">
        <v>#VALUE!</v>
      </c>
      <c r="L86" s="19" t="e">
        <v>#VALUE!</v>
      </c>
      <c r="M86" s="20" t="e">
        <v>#VALUE!</v>
      </c>
      <c r="N86" s="20"/>
      <c r="O86" s="31" t="e">
        <v>#VALUE!</v>
      </c>
      <c r="P86" s="40">
        <v>0</v>
      </c>
      <c r="Q86" s="41"/>
      <c r="R86" s="48" t="e">
        <f t="shared" si="7"/>
        <v>#VALUE!</v>
      </c>
      <c r="S86" s="21">
        <f t="shared" si="8"/>
        <v>0</v>
      </c>
      <c r="T86" s="49" t="e">
        <f t="shared" si="9"/>
        <v>#VALUE!</v>
      </c>
    </row>
    <row r="87" spans="1:20" ht="12.75" hidden="1" customHeight="1">
      <c r="A87" s="58" t="s">
        <v>92</v>
      </c>
      <c r="B87" s="9" t="str">
        <f t="shared" si="6"/>
        <v>RES_201403</v>
      </c>
      <c r="C87" s="9">
        <v>0</v>
      </c>
      <c r="D87" s="9">
        <v>0</v>
      </c>
      <c r="E87" s="59" t="b">
        <v>1</v>
      </c>
      <c r="F87" s="54" t="str">
        <f t="shared" si="10"/>
        <v>Residential</v>
      </c>
      <c r="G87" s="18" t="s">
        <v>155</v>
      </c>
      <c r="H87" s="18" t="s">
        <v>443</v>
      </c>
      <c r="I87" s="18" t="s">
        <v>503</v>
      </c>
      <c r="J87" s="24">
        <v>2019</v>
      </c>
      <c r="K87" s="30" t="e">
        <v>#VALUE!</v>
      </c>
      <c r="L87" s="19" t="e">
        <v>#VALUE!</v>
      </c>
      <c r="M87" s="20" t="e">
        <v>#VALUE!</v>
      </c>
      <c r="N87" s="20"/>
      <c r="O87" s="31" t="e">
        <v>#VALUE!</v>
      </c>
      <c r="P87" s="40">
        <v>7.3886264300000004</v>
      </c>
      <c r="Q87" s="41"/>
      <c r="R87" s="48" t="e">
        <f t="shared" si="7"/>
        <v>#VALUE!</v>
      </c>
      <c r="S87" s="21">
        <f t="shared" si="8"/>
        <v>0</v>
      </c>
      <c r="T87" s="49" t="e">
        <f t="shared" si="9"/>
        <v>#VALUE!</v>
      </c>
    </row>
    <row r="88" spans="1:20" ht="12.75" hidden="1" customHeight="1">
      <c r="A88" s="58" t="s">
        <v>95</v>
      </c>
      <c r="B88" s="9" t="str">
        <f t="shared" si="6"/>
        <v>RES_201403</v>
      </c>
      <c r="C88" s="9">
        <v>0</v>
      </c>
      <c r="D88" s="9">
        <v>0</v>
      </c>
      <c r="E88" s="59" t="b">
        <v>1</v>
      </c>
      <c r="F88" s="54" t="str">
        <f t="shared" si="10"/>
        <v>Residential</v>
      </c>
      <c r="G88" s="18" t="s">
        <v>155</v>
      </c>
      <c r="H88" s="18" t="s">
        <v>465</v>
      </c>
      <c r="I88" s="18" t="s">
        <v>534</v>
      </c>
      <c r="J88" s="24">
        <v>2019</v>
      </c>
      <c r="K88" s="30" t="e">
        <v>#VALUE!</v>
      </c>
      <c r="L88" s="19" t="e">
        <v>#VALUE!</v>
      </c>
      <c r="M88" s="20" t="e">
        <v>#VALUE!</v>
      </c>
      <c r="N88" s="20"/>
      <c r="O88" s="31" t="e">
        <v>#VALUE!</v>
      </c>
      <c r="P88" s="40">
        <v>-169.51734299</v>
      </c>
      <c r="Q88" s="41"/>
      <c r="R88" s="48" t="e">
        <f t="shared" si="7"/>
        <v>#VALUE!</v>
      </c>
      <c r="S88" s="21">
        <f t="shared" si="8"/>
        <v>0</v>
      </c>
      <c r="T88" s="49" t="e">
        <f t="shared" si="9"/>
        <v>#VALUE!</v>
      </c>
    </row>
    <row r="89" spans="1:20" ht="12.75" hidden="1" customHeight="1">
      <c r="A89" s="58" t="s">
        <v>96</v>
      </c>
      <c r="B89" s="9" t="str">
        <f t="shared" si="6"/>
        <v>RES_201403</v>
      </c>
      <c r="C89" s="9">
        <v>0</v>
      </c>
      <c r="D89" s="9">
        <v>0</v>
      </c>
      <c r="E89" s="59" t="b">
        <v>1</v>
      </c>
      <c r="F89" s="54" t="str">
        <f t="shared" si="10"/>
        <v>Residential</v>
      </c>
      <c r="G89" s="18" t="s">
        <v>155</v>
      </c>
      <c r="H89" s="18" t="s">
        <v>465</v>
      </c>
      <c r="I89" s="18" t="s">
        <v>502</v>
      </c>
      <c r="J89" s="24">
        <v>2019</v>
      </c>
      <c r="K89" s="30" t="e">
        <v>#VALUE!</v>
      </c>
      <c r="L89" s="19" t="e">
        <v>#VALUE!</v>
      </c>
      <c r="M89" s="20" t="e">
        <v>#VALUE!</v>
      </c>
      <c r="N89" s="20"/>
      <c r="O89" s="31" t="e">
        <v>#VALUE!</v>
      </c>
      <c r="P89" s="40">
        <v>24.97946975</v>
      </c>
      <c r="Q89" s="41"/>
      <c r="R89" s="48" t="e">
        <f t="shared" si="7"/>
        <v>#VALUE!</v>
      </c>
      <c r="S89" s="21">
        <f t="shared" si="8"/>
        <v>0</v>
      </c>
      <c r="T89" s="49" t="e">
        <f t="shared" si="9"/>
        <v>#VALUE!</v>
      </c>
    </row>
    <row r="90" spans="1:20" ht="12.75" hidden="1" customHeight="1">
      <c r="A90" s="58" t="s">
        <v>97</v>
      </c>
      <c r="B90" s="9" t="str">
        <f t="shared" si="6"/>
        <v>RES_201403</v>
      </c>
      <c r="C90" s="9">
        <v>0</v>
      </c>
      <c r="D90" s="9">
        <v>0</v>
      </c>
      <c r="E90" s="59" t="b">
        <v>1</v>
      </c>
      <c r="F90" s="54" t="str">
        <f t="shared" si="10"/>
        <v>Residential</v>
      </c>
      <c r="G90" s="18" t="s">
        <v>155</v>
      </c>
      <c r="H90" s="18" t="s">
        <v>157</v>
      </c>
      <c r="I90" s="18" t="s">
        <v>1461</v>
      </c>
      <c r="J90" s="24">
        <v>2019</v>
      </c>
      <c r="K90" s="30" t="e">
        <v>#VALUE!</v>
      </c>
      <c r="L90" s="19" t="e">
        <v>#VALUE!</v>
      </c>
      <c r="M90" s="20" t="e">
        <v>#VALUE!</v>
      </c>
      <c r="N90" s="20"/>
      <c r="O90" s="31" t="e">
        <v>#VALUE!</v>
      </c>
      <c r="P90" s="40">
        <v>-35.376740060000003</v>
      </c>
      <c r="Q90" s="41"/>
      <c r="R90" s="48" t="e">
        <f t="shared" si="7"/>
        <v>#VALUE!</v>
      </c>
      <c r="S90" s="21">
        <f t="shared" si="8"/>
        <v>0</v>
      </c>
      <c r="T90" s="49" t="e">
        <f t="shared" si="9"/>
        <v>#VALUE!</v>
      </c>
    </row>
    <row r="91" spans="1:20" ht="12.75" hidden="1" customHeight="1">
      <c r="A91" s="58" t="s">
        <v>98</v>
      </c>
      <c r="B91" s="9" t="str">
        <f t="shared" si="6"/>
        <v>RES_201403</v>
      </c>
      <c r="C91" s="9">
        <v>0</v>
      </c>
      <c r="D91" s="9">
        <v>0</v>
      </c>
      <c r="E91" s="59" t="b">
        <v>1</v>
      </c>
      <c r="F91" s="54" t="str">
        <f t="shared" si="10"/>
        <v>Residential</v>
      </c>
      <c r="G91" s="18" t="s">
        <v>155</v>
      </c>
      <c r="H91" s="18" t="s">
        <v>157</v>
      </c>
      <c r="I91" s="18" t="s">
        <v>165</v>
      </c>
      <c r="J91" s="24">
        <v>2019</v>
      </c>
      <c r="K91" s="30" t="e">
        <v>#VALUE!</v>
      </c>
      <c r="L91" s="19" t="e">
        <v>#VALUE!</v>
      </c>
      <c r="M91" s="20" t="e">
        <v>#VALUE!</v>
      </c>
      <c r="N91" s="20"/>
      <c r="O91" s="31" t="e">
        <v>#VALUE!</v>
      </c>
      <c r="P91" s="40">
        <v>-20.505240059999998</v>
      </c>
      <c r="Q91" s="41"/>
      <c r="R91" s="48" t="e">
        <f t="shared" si="7"/>
        <v>#VALUE!</v>
      </c>
      <c r="S91" s="21">
        <f t="shared" si="8"/>
        <v>0</v>
      </c>
      <c r="T91" s="49" t="e">
        <f t="shared" si="9"/>
        <v>#VALUE!</v>
      </c>
    </row>
    <row r="92" spans="1:20" ht="12.75" hidden="1" customHeight="1">
      <c r="A92" s="58" t="s">
        <v>99</v>
      </c>
      <c r="B92" s="9" t="str">
        <f t="shared" si="6"/>
        <v>RES_201403</v>
      </c>
      <c r="C92" s="9">
        <v>0</v>
      </c>
      <c r="D92" s="9">
        <v>0</v>
      </c>
      <c r="E92" s="59" t="b">
        <v>1</v>
      </c>
      <c r="F92" s="54" t="str">
        <f t="shared" si="10"/>
        <v>Residential</v>
      </c>
      <c r="G92" s="18" t="s">
        <v>155</v>
      </c>
      <c r="H92" s="18" t="s">
        <v>157</v>
      </c>
      <c r="I92" s="18" t="s">
        <v>166</v>
      </c>
      <c r="J92" s="24">
        <v>2019</v>
      </c>
      <c r="K92" s="30" t="e">
        <v>#VALUE!</v>
      </c>
      <c r="L92" s="19" t="e">
        <v>#VALUE!</v>
      </c>
      <c r="M92" s="20" t="e">
        <v>#VALUE!</v>
      </c>
      <c r="N92" s="20"/>
      <c r="O92" s="31" t="e">
        <v>#VALUE!</v>
      </c>
      <c r="P92" s="40">
        <v>10.713859940000001</v>
      </c>
      <c r="Q92" s="41"/>
      <c r="R92" s="48" t="e">
        <f t="shared" si="7"/>
        <v>#VALUE!</v>
      </c>
      <c r="S92" s="21">
        <f t="shared" si="8"/>
        <v>0</v>
      </c>
      <c r="T92" s="49" t="e">
        <f t="shared" si="9"/>
        <v>#VALUE!</v>
      </c>
    </row>
    <row r="93" spans="1:20" ht="12.75" hidden="1" customHeight="1">
      <c r="A93" s="58" t="s">
        <v>116</v>
      </c>
      <c r="B93" s="9" t="str">
        <f t="shared" si="6"/>
        <v>RES_201403</v>
      </c>
      <c r="C93" s="9">
        <v>0</v>
      </c>
      <c r="D93" s="9">
        <v>0</v>
      </c>
      <c r="E93" s="59" t="b">
        <v>1</v>
      </c>
      <c r="F93" s="54" t="str">
        <f t="shared" si="10"/>
        <v>Residential</v>
      </c>
      <c r="G93" s="18" t="s">
        <v>155</v>
      </c>
      <c r="H93" s="18" t="s">
        <v>476</v>
      </c>
      <c r="I93" s="18" t="s">
        <v>1461</v>
      </c>
      <c r="J93" s="24">
        <v>2019</v>
      </c>
      <c r="K93" s="30" t="e">
        <v>#VALUE!</v>
      </c>
      <c r="L93" s="19" t="e">
        <v>#VALUE!</v>
      </c>
      <c r="M93" s="20" t="e">
        <v>#VALUE!</v>
      </c>
      <c r="N93" s="20"/>
      <c r="O93" s="31" t="e">
        <v>#VALUE!</v>
      </c>
      <c r="P93" s="40">
        <v>9.0916105599999995</v>
      </c>
      <c r="Q93" s="41"/>
      <c r="R93" s="48" t="e">
        <f t="shared" si="7"/>
        <v>#VALUE!</v>
      </c>
      <c r="S93" s="21">
        <f t="shared" si="8"/>
        <v>0</v>
      </c>
      <c r="T93" s="49" t="e">
        <f t="shared" si="9"/>
        <v>#VALUE!</v>
      </c>
    </row>
    <row r="94" spans="1:20" ht="12.75" hidden="1" customHeight="1">
      <c r="A94" s="58" t="s">
        <v>106</v>
      </c>
      <c r="B94" s="9" t="str">
        <f t="shared" si="6"/>
        <v>RES_201403</v>
      </c>
      <c r="C94" s="9">
        <v>0</v>
      </c>
      <c r="D94" s="9">
        <v>1</v>
      </c>
      <c r="E94" s="59" t="b">
        <v>1</v>
      </c>
      <c r="F94" s="54" t="str">
        <f t="shared" si="10"/>
        <v>Residential</v>
      </c>
      <c r="G94" s="18" t="s">
        <v>155</v>
      </c>
      <c r="H94" s="18" t="s">
        <v>429</v>
      </c>
      <c r="I94" s="18" t="s">
        <v>1636</v>
      </c>
      <c r="J94" s="24">
        <v>2019</v>
      </c>
      <c r="K94" s="30" t="e">
        <v>#VALUE!</v>
      </c>
      <c r="L94" s="19" t="e">
        <v>#VALUE!</v>
      </c>
      <c r="M94" s="20" t="e">
        <v>#VALUE!</v>
      </c>
      <c r="N94" s="20"/>
      <c r="O94" s="31" t="e">
        <v>#VALUE!</v>
      </c>
      <c r="P94" s="40">
        <v>-2.9469460199999999</v>
      </c>
      <c r="Q94" s="41"/>
      <c r="R94" s="48" t="e">
        <f t="shared" si="7"/>
        <v>#VALUE!</v>
      </c>
      <c r="S94" s="21">
        <f t="shared" si="8"/>
        <v>0</v>
      </c>
      <c r="T94" s="49" t="e">
        <f t="shared" si="9"/>
        <v>#VALUE!</v>
      </c>
    </row>
    <row r="95" spans="1:20" ht="12.75" hidden="1" customHeight="1">
      <c r="A95" s="58" t="s">
        <v>107</v>
      </c>
      <c r="B95" s="9" t="str">
        <f t="shared" si="6"/>
        <v>RES_201403</v>
      </c>
      <c r="C95" s="9">
        <v>0</v>
      </c>
      <c r="D95" s="9">
        <v>0</v>
      </c>
      <c r="E95" s="59" t="b">
        <v>1</v>
      </c>
      <c r="F95" s="54" t="str">
        <f t="shared" si="10"/>
        <v>Residential</v>
      </c>
      <c r="G95" s="18" t="s">
        <v>155</v>
      </c>
      <c r="H95" s="18" t="s">
        <v>429</v>
      </c>
      <c r="I95" s="18" t="s">
        <v>1461</v>
      </c>
      <c r="J95" s="24">
        <v>2019</v>
      </c>
      <c r="K95" s="30" t="e">
        <v>#VALUE!</v>
      </c>
      <c r="L95" s="19" t="e">
        <v>#VALUE!</v>
      </c>
      <c r="M95" s="20" t="e">
        <v>#VALUE!</v>
      </c>
      <c r="N95" s="20"/>
      <c r="O95" s="31" t="e">
        <v>#VALUE!</v>
      </c>
      <c r="P95" s="40">
        <v>23.680008999999998</v>
      </c>
      <c r="Q95" s="41"/>
      <c r="R95" s="48" t="e">
        <f t="shared" si="7"/>
        <v>#VALUE!</v>
      </c>
      <c r="S95" s="21">
        <f t="shared" si="8"/>
        <v>0</v>
      </c>
      <c r="T95" s="49" t="e">
        <f t="shared" si="9"/>
        <v>#VALUE!</v>
      </c>
    </row>
    <row r="96" spans="1:20" ht="12.75" hidden="1" customHeight="1">
      <c r="A96" s="58" t="s">
        <v>108</v>
      </c>
      <c r="B96" s="9" t="str">
        <f t="shared" si="6"/>
        <v>RES_201403</v>
      </c>
      <c r="C96" s="9">
        <v>0</v>
      </c>
      <c r="D96" s="9">
        <v>0</v>
      </c>
      <c r="E96" s="59" t="b">
        <v>1</v>
      </c>
      <c r="F96" s="54" t="str">
        <f t="shared" si="10"/>
        <v>Residential</v>
      </c>
      <c r="G96" s="18" t="s">
        <v>155</v>
      </c>
      <c r="H96" s="18" t="s">
        <v>429</v>
      </c>
      <c r="I96" s="18" t="s">
        <v>486</v>
      </c>
      <c r="J96" s="24">
        <v>2019</v>
      </c>
      <c r="K96" s="30" t="e">
        <v>#VALUE!</v>
      </c>
      <c r="L96" s="19" t="e">
        <v>#VALUE!</v>
      </c>
      <c r="M96" s="20" t="e">
        <v>#VALUE!</v>
      </c>
      <c r="N96" s="20"/>
      <c r="O96" s="31" t="e">
        <v>#VALUE!</v>
      </c>
      <c r="P96" s="40">
        <v>49.03648622</v>
      </c>
      <c r="Q96" s="41"/>
      <c r="R96" s="48" t="e">
        <f t="shared" si="7"/>
        <v>#VALUE!</v>
      </c>
      <c r="S96" s="21">
        <f t="shared" si="8"/>
        <v>0</v>
      </c>
      <c r="T96" s="49" t="e">
        <f t="shared" si="9"/>
        <v>#VALUE!</v>
      </c>
    </row>
    <row r="97" spans="1:20" ht="12.75" hidden="1" customHeight="1">
      <c r="A97" s="58" t="s">
        <v>114</v>
      </c>
      <c r="B97" s="9" t="str">
        <f t="shared" si="6"/>
        <v>RES_201403</v>
      </c>
      <c r="C97" s="9">
        <v>0</v>
      </c>
      <c r="D97" s="9">
        <v>0</v>
      </c>
      <c r="E97" s="59" t="b">
        <v>1</v>
      </c>
      <c r="F97" s="54" t="str">
        <f t="shared" si="10"/>
        <v>Residential</v>
      </c>
      <c r="G97" s="18" t="s">
        <v>155</v>
      </c>
      <c r="H97" s="18" t="s">
        <v>433</v>
      </c>
      <c r="I97" s="18" t="s">
        <v>1461</v>
      </c>
      <c r="J97" s="24">
        <v>2019</v>
      </c>
      <c r="K97" s="30" t="e">
        <v>#VALUE!</v>
      </c>
      <c r="L97" s="19" t="e">
        <v>#VALUE!</v>
      </c>
      <c r="M97" s="20" t="e">
        <v>#VALUE!</v>
      </c>
      <c r="N97" s="20"/>
      <c r="O97" s="31" t="e">
        <v>#VALUE!</v>
      </c>
      <c r="P97" s="40">
        <v>0</v>
      </c>
      <c r="Q97" s="41"/>
      <c r="R97" s="48" t="e">
        <f t="shared" si="7"/>
        <v>#VALUE!</v>
      </c>
      <c r="S97" s="21">
        <f t="shared" si="8"/>
        <v>0</v>
      </c>
      <c r="T97" s="49" t="e">
        <f t="shared" si="9"/>
        <v>#VALUE!</v>
      </c>
    </row>
    <row r="98" spans="1:20" ht="12.75" hidden="1" customHeight="1">
      <c r="A98" s="58" t="s">
        <v>115</v>
      </c>
      <c r="B98" s="9" t="str">
        <f t="shared" si="6"/>
        <v>RES_201403</v>
      </c>
      <c r="C98" s="9">
        <v>0</v>
      </c>
      <c r="D98" s="9">
        <v>0</v>
      </c>
      <c r="E98" s="59" t="b">
        <v>1</v>
      </c>
      <c r="F98" s="54" t="str">
        <f t="shared" si="10"/>
        <v>Residential</v>
      </c>
      <c r="G98" s="18" t="s">
        <v>155</v>
      </c>
      <c r="H98" s="18" t="s">
        <v>433</v>
      </c>
      <c r="I98" s="18" t="s">
        <v>1636</v>
      </c>
      <c r="J98" s="24">
        <v>2019</v>
      </c>
      <c r="K98" s="30" t="e">
        <v>#VALUE!</v>
      </c>
      <c r="L98" s="19" t="e">
        <v>#VALUE!</v>
      </c>
      <c r="M98" s="20" t="e">
        <v>#VALUE!</v>
      </c>
      <c r="N98" s="20"/>
      <c r="O98" s="31" t="e">
        <v>#VALUE!</v>
      </c>
      <c r="P98" s="40">
        <v>2.3330147800000001</v>
      </c>
      <c r="Q98" s="41"/>
      <c r="R98" s="48" t="e">
        <f t="shared" si="7"/>
        <v>#VALUE!</v>
      </c>
      <c r="S98" s="21">
        <f t="shared" si="8"/>
        <v>0</v>
      </c>
      <c r="T98" s="49" t="e">
        <f t="shared" si="9"/>
        <v>#VALUE!</v>
      </c>
    </row>
    <row r="99" spans="1:20" ht="12.75" hidden="1" customHeight="1">
      <c r="A99" s="58" t="s">
        <v>120</v>
      </c>
      <c r="B99" s="9" t="str">
        <f t="shared" si="6"/>
        <v>RES_201403</v>
      </c>
      <c r="C99" s="9">
        <v>0</v>
      </c>
      <c r="D99" s="9">
        <v>0</v>
      </c>
      <c r="E99" s="59" t="b">
        <v>1</v>
      </c>
      <c r="F99" s="54" t="str">
        <f t="shared" si="10"/>
        <v>Residential</v>
      </c>
      <c r="G99" s="18" t="s">
        <v>155</v>
      </c>
      <c r="H99" s="18" t="s">
        <v>768</v>
      </c>
      <c r="I99" s="18" t="s">
        <v>1461</v>
      </c>
      <c r="J99" s="24">
        <v>2019</v>
      </c>
      <c r="K99" s="30" t="e">
        <v>#VALUE!</v>
      </c>
      <c r="L99" s="19" t="e">
        <v>#VALUE!</v>
      </c>
      <c r="M99" s="20" t="e">
        <v>#VALUE!</v>
      </c>
      <c r="N99" s="20"/>
      <c r="O99" s="31" t="e">
        <v>#VALUE!</v>
      </c>
      <c r="P99" s="40">
        <v>70.661176479999995</v>
      </c>
      <c r="Q99" s="41"/>
      <c r="R99" s="48" t="e">
        <f t="shared" si="7"/>
        <v>#VALUE!</v>
      </c>
      <c r="S99" s="21">
        <f t="shared" si="8"/>
        <v>0</v>
      </c>
      <c r="T99" s="49" t="e">
        <f t="shared" si="9"/>
        <v>#VALUE!</v>
      </c>
    </row>
    <row r="100" spans="1:20" ht="12.75" hidden="1" customHeight="1">
      <c r="A100" s="58" t="s">
        <v>121</v>
      </c>
      <c r="B100" s="9" t="str">
        <f t="shared" si="6"/>
        <v>RES_201403</v>
      </c>
      <c r="C100" s="9">
        <v>0</v>
      </c>
      <c r="D100" s="9">
        <v>0</v>
      </c>
      <c r="E100" s="59" t="b">
        <v>1</v>
      </c>
      <c r="F100" s="54" t="str">
        <f t="shared" si="10"/>
        <v>Residential</v>
      </c>
      <c r="G100" s="18" t="s">
        <v>155</v>
      </c>
      <c r="H100" s="18" t="s">
        <v>443</v>
      </c>
      <c r="I100" s="18" t="s">
        <v>1461</v>
      </c>
      <c r="J100" s="24">
        <v>2019</v>
      </c>
      <c r="K100" s="30" t="e">
        <v>#VALUE!</v>
      </c>
      <c r="L100" s="19" t="e">
        <v>#VALUE!</v>
      </c>
      <c r="M100" s="20" t="e">
        <v>#VALUE!</v>
      </c>
      <c r="N100" s="20"/>
      <c r="O100" s="31" t="e">
        <v>#VALUE!</v>
      </c>
      <c r="P100" s="40">
        <v>0</v>
      </c>
      <c r="Q100" s="41"/>
      <c r="R100" s="48" t="e">
        <f t="shared" si="7"/>
        <v>#VALUE!</v>
      </c>
      <c r="S100" s="21">
        <f t="shared" si="8"/>
        <v>0</v>
      </c>
      <c r="T100" s="49" t="e">
        <f t="shared" si="9"/>
        <v>#VALUE!</v>
      </c>
    </row>
    <row r="101" spans="1:20" ht="12.75" hidden="1" customHeight="1">
      <c r="A101" s="58" t="s">
        <v>54</v>
      </c>
      <c r="B101" s="9" t="str">
        <f t="shared" si="6"/>
        <v>RES_201101</v>
      </c>
      <c r="C101" s="9">
        <v>0</v>
      </c>
      <c r="D101" s="9">
        <v>0</v>
      </c>
      <c r="E101" s="59" t="b">
        <v>1</v>
      </c>
      <c r="F101" s="54" t="str">
        <f t="shared" si="10"/>
        <v>Residential</v>
      </c>
      <c r="G101" s="18" t="s">
        <v>152</v>
      </c>
      <c r="H101" s="18" t="s">
        <v>430</v>
      </c>
      <c r="I101" s="18" t="s">
        <v>487</v>
      </c>
      <c r="J101" s="24">
        <v>2019</v>
      </c>
      <c r="K101" s="30" t="e">
        <v>#VALUE!</v>
      </c>
      <c r="L101" s="19" t="e">
        <v>#VALUE!</v>
      </c>
      <c r="M101" s="20" t="e">
        <v>#VALUE!</v>
      </c>
      <c r="N101" s="20"/>
      <c r="O101" s="31" t="e">
        <v>#VALUE!</v>
      </c>
      <c r="P101" s="40">
        <v>54.425781999999998</v>
      </c>
      <c r="Q101" s="41" t="s">
        <v>1631</v>
      </c>
      <c r="R101" s="48" t="e">
        <f t="shared" si="7"/>
        <v>#VALUE!</v>
      </c>
      <c r="S101" s="21">
        <f t="shared" si="8"/>
        <v>0</v>
      </c>
      <c r="T101" s="49" t="e">
        <f t="shared" si="9"/>
        <v>#VALUE!</v>
      </c>
    </row>
    <row r="102" spans="1:20" ht="12.75" hidden="1" customHeight="1">
      <c r="A102" s="58" t="s">
        <v>88</v>
      </c>
      <c r="B102" s="9" t="str">
        <f t="shared" si="6"/>
        <v>RES_201101</v>
      </c>
      <c r="C102" s="9">
        <v>0</v>
      </c>
      <c r="D102" s="9">
        <v>0</v>
      </c>
      <c r="E102" s="59" t="b">
        <v>1</v>
      </c>
      <c r="F102" s="54" t="str">
        <f t="shared" si="10"/>
        <v>Residential</v>
      </c>
      <c r="G102" s="18" t="s">
        <v>152</v>
      </c>
      <c r="H102" s="18" t="s">
        <v>430</v>
      </c>
      <c r="I102" s="18" t="s">
        <v>488</v>
      </c>
      <c r="J102" s="24">
        <v>2019</v>
      </c>
      <c r="K102" s="30" t="e">
        <v>#VALUE!</v>
      </c>
      <c r="L102" s="19" t="e">
        <v>#VALUE!</v>
      </c>
      <c r="M102" s="20" t="e">
        <v>#VALUE!</v>
      </c>
      <c r="N102" s="20"/>
      <c r="O102" s="31" t="e">
        <v>#VALUE!</v>
      </c>
      <c r="P102" s="40">
        <v>171.7061558</v>
      </c>
      <c r="Q102" s="41"/>
      <c r="R102" s="48" t="e">
        <f t="shared" si="7"/>
        <v>#VALUE!</v>
      </c>
      <c r="S102" s="21">
        <f t="shared" si="8"/>
        <v>0</v>
      </c>
      <c r="T102" s="49" t="e">
        <f t="shared" si="9"/>
        <v>#VALUE!</v>
      </c>
    </row>
    <row r="103" spans="1:20" ht="12.75" hidden="1" customHeight="1">
      <c r="A103" s="58" t="s">
        <v>89</v>
      </c>
      <c r="B103" s="9" t="str">
        <f t="shared" si="6"/>
        <v>RES_201101</v>
      </c>
      <c r="C103" s="9">
        <v>0</v>
      </c>
      <c r="D103" s="9">
        <v>0</v>
      </c>
      <c r="E103" s="59" t="b">
        <v>1</v>
      </c>
      <c r="F103" s="54" t="str">
        <f t="shared" si="10"/>
        <v>Residential</v>
      </c>
      <c r="G103" s="18" t="s">
        <v>152</v>
      </c>
      <c r="H103" s="18" t="s">
        <v>430</v>
      </c>
      <c r="I103" s="18" t="s">
        <v>489</v>
      </c>
      <c r="J103" s="24">
        <v>2019</v>
      </c>
      <c r="K103" s="30" t="e">
        <v>#VALUE!</v>
      </c>
      <c r="L103" s="19" t="e">
        <v>#VALUE!</v>
      </c>
      <c r="M103" s="20" t="e">
        <v>#VALUE!</v>
      </c>
      <c r="N103" s="20"/>
      <c r="O103" s="31" t="e">
        <v>#VALUE!</v>
      </c>
      <c r="P103" s="40">
        <v>95.998755959999997</v>
      </c>
      <c r="Q103" s="41"/>
      <c r="R103" s="48" t="e">
        <f t="shared" si="7"/>
        <v>#VALUE!</v>
      </c>
      <c r="S103" s="21">
        <f t="shared" si="8"/>
        <v>0</v>
      </c>
      <c r="T103" s="49" t="e">
        <f t="shared" si="9"/>
        <v>#VALUE!</v>
      </c>
    </row>
    <row r="104" spans="1:20" ht="12.75" hidden="1" customHeight="1">
      <c r="A104" s="58" t="s">
        <v>90</v>
      </c>
      <c r="B104" s="9" t="str">
        <f t="shared" si="6"/>
        <v>RES_201101</v>
      </c>
      <c r="C104" s="9">
        <v>0</v>
      </c>
      <c r="D104" s="9">
        <v>0</v>
      </c>
      <c r="E104" s="59" t="b">
        <v>1</v>
      </c>
      <c r="F104" s="54" t="str">
        <f t="shared" si="10"/>
        <v>Residential</v>
      </c>
      <c r="G104" s="18" t="s">
        <v>152</v>
      </c>
      <c r="H104" s="18" t="s">
        <v>430</v>
      </c>
      <c r="I104" s="18" t="s">
        <v>490</v>
      </c>
      <c r="J104" s="24">
        <v>2019</v>
      </c>
      <c r="K104" s="30" t="e">
        <v>#VALUE!</v>
      </c>
      <c r="L104" s="19" t="e">
        <v>#VALUE!</v>
      </c>
      <c r="M104" s="20" t="e">
        <v>#VALUE!</v>
      </c>
      <c r="N104" s="20"/>
      <c r="O104" s="31" t="e">
        <v>#VALUE!</v>
      </c>
      <c r="P104" s="40">
        <v>104.70935163999999</v>
      </c>
      <c r="Q104" s="41"/>
      <c r="R104" s="48" t="e">
        <f t="shared" si="7"/>
        <v>#VALUE!</v>
      </c>
      <c r="S104" s="21">
        <f t="shared" si="8"/>
        <v>0</v>
      </c>
      <c r="T104" s="49" t="e">
        <f t="shared" si="9"/>
        <v>#VALUE!</v>
      </c>
    </row>
    <row r="105" spans="1:20" ht="12.75" hidden="1" customHeight="1">
      <c r="A105" s="58" t="s">
        <v>91</v>
      </c>
      <c r="B105" s="9" t="str">
        <f t="shared" si="6"/>
        <v>RES_201101</v>
      </c>
      <c r="C105" s="9">
        <v>0</v>
      </c>
      <c r="D105" s="9">
        <v>0</v>
      </c>
      <c r="E105" s="59" t="b">
        <v>1</v>
      </c>
      <c r="F105" s="54" t="str">
        <f t="shared" si="10"/>
        <v>Residential</v>
      </c>
      <c r="G105" s="18" t="s">
        <v>152</v>
      </c>
      <c r="H105" s="18" t="s">
        <v>430</v>
      </c>
      <c r="I105" s="18" t="s">
        <v>491</v>
      </c>
      <c r="J105" s="24">
        <v>2019</v>
      </c>
      <c r="K105" s="30" t="e">
        <v>#VALUE!</v>
      </c>
      <c r="L105" s="19" t="e">
        <v>#VALUE!</v>
      </c>
      <c r="M105" s="20" t="e">
        <v>#VALUE!</v>
      </c>
      <c r="N105" s="20"/>
      <c r="O105" s="31" t="e">
        <v>#VALUE!</v>
      </c>
      <c r="P105" s="40">
        <v>53.065112710000001</v>
      </c>
      <c r="Q105" s="41"/>
      <c r="R105" s="48" t="e">
        <f t="shared" si="7"/>
        <v>#VALUE!</v>
      </c>
      <c r="S105" s="21">
        <f t="shared" si="8"/>
        <v>0</v>
      </c>
      <c r="T105" s="49" t="e">
        <f t="shared" si="9"/>
        <v>#VALUE!</v>
      </c>
    </row>
    <row r="106" spans="1:20" ht="12.75" hidden="1" customHeight="1">
      <c r="A106" s="58" t="s">
        <v>117</v>
      </c>
      <c r="B106" s="9" t="str">
        <f t="shared" si="6"/>
        <v>RES_201101</v>
      </c>
      <c r="C106" s="9">
        <v>0</v>
      </c>
      <c r="D106" s="9">
        <v>0</v>
      </c>
      <c r="E106" s="59" t="b">
        <v>1</v>
      </c>
      <c r="F106" s="54" t="str">
        <f t="shared" si="10"/>
        <v>Residential</v>
      </c>
      <c r="G106" s="18" t="s">
        <v>152</v>
      </c>
      <c r="H106" s="18" t="s">
        <v>430</v>
      </c>
      <c r="I106" s="18" t="s">
        <v>492</v>
      </c>
      <c r="J106" s="24">
        <v>2019</v>
      </c>
      <c r="K106" s="30" t="e">
        <v>#VALUE!</v>
      </c>
      <c r="L106" s="19" t="e">
        <v>#VALUE!</v>
      </c>
      <c r="M106" s="20" t="e">
        <v>#VALUE!</v>
      </c>
      <c r="N106" s="20"/>
      <c r="O106" s="31" t="e">
        <v>#VALUE!</v>
      </c>
      <c r="P106" s="40">
        <v>41.495178299999999</v>
      </c>
      <c r="Q106" s="41"/>
      <c r="R106" s="48" t="e">
        <f t="shared" si="7"/>
        <v>#VALUE!</v>
      </c>
      <c r="S106" s="21">
        <f t="shared" si="8"/>
        <v>0</v>
      </c>
      <c r="T106" s="49" t="e">
        <f t="shared" si="9"/>
        <v>#VALUE!</v>
      </c>
    </row>
    <row r="107" spans="1:20" ht="12.75" hidden="1" customHeight="1">
      <c r="A107" s="58" t="s">
        <v>27</v>
      </c>
      <c r="B107" s="9" t="str">
        <f t="shared" si="6"/>
        <v>COM_201201</v>
      </c>
      <c r="C107" s="9">
        <v>0</v>
      </c>
      <c r="D107" s="9">
        <v>0</v>
      </c>
      <c r="E107" s="59" t="b">
        <v>1</v>
      </c>
      <c r="F107" s="54" t="str">
        <f t="shared" si="10"/>
        <v>Commercial</v>
      </c>
      <c r="G107" s="18" t="s">
        <v>141</v>
      </c>
      <c r="H107" s="18" t="s">
        <v>428</v>
      </c>
      <c r="I107" s="18" t="s">
        <v>485</v>
      </c>
      <c r="J107" s="24">
        <v>2018</v>
      </c>
      <c r="K107" s="30" t="e">
        <v>#VALUE!</v>
      </c>
      <c r="L107" s="19" t="e">
        <v>#VALUE!</v>
      </c>
      <c r="M107" s="20" t="e">
        <v>#VALUE!</v>
      </c>
      <c r="N107" s="20"/>
      <c r="O107" s="31" t="e">
        <v>#VALUE!</v>
      </c>
      <c r="P107" s="40">
        <v>39299.845042590001</v>
      </c>
      <c r="Q107" s="41" t="s">
        <v>1631</v>
      </c>
      <c r="R107" s="48" t="e">
        <f t="shared" si="7"/>
        <v>#VALUE!</v>
      </c>
      <c r="S107" s="21">
        <f t="shared" si="8"/>
        <v>0</v>
      </c>
      <c r="T107" s="49" t="e">
        <f t="shared" si="9"/>
        <v>#VALUE!</v>
      </c>
    </row>
    <row r="108" spans="1:20" ht="12.75" hidden="1" customHeight="1">
      <c r="A108" s="58" t="s">
        <v>39</v>
      </c>
      <c r="B108" s="9" t="str">
        <f t="shared" si="6"/>
        <v>IND_201301</v>
      </c>
      <c r="C108" s="9">
        <v>0</v>
      </c>
      <c r="D108" s="9">
        <v>0</v>
      </c>
      <c r="E108" s="59" t="b">
        <v>1</v>
      </c>
      <c r="F108" s="54" t="str">
        <f t="shared" si="10"/>
        <v>industrial</v>
      </c>
      <c r="G108" s="18" t="s">
        <v>147</v>
      </c>
      <c r="H108" s="18" t="s">
        <v>692</v>
      </c>
      <c r="I108" s="18" t="s">
        <v>485</v>
      </c>
      <c r="J108" s="24">
        <v>2018</v>
      </c>
      <c r="K108" s="30" t="e">
        <v>#VALUE!</v>
      </c>
      <c r="L108" s="19" t="e">
        <v>#VALUE!</v>
      </c>
      <c r="M108" s="20" t="e">
        <v>#VALUE!</v>
      </c>
      <c r="N108" s="20"/>
      <c r="O108" s="31" t="e">
        <v>#VALUE!</v>
      </c>
      <c r="P108" s="40">
        <v>8760000</v>
      </c>
      <c r="Q108" s="41" t="s">
        <v>1631</v>
      </c>
      <c r="R108" s="48" t="e">
        <f t="shared" si="7"/>
        <v>#VALUE!</v>
      </c>
      <c r="S108" s="21">
        <f t="shared" si="8"/>
        <v>0</v>
      </c>
      <c r="T108" s="49" t="e">
        <f t="shared" si="9"/>
        <v>#VALUE!</v>
      </c>
    </row>
    <row r="109" spans="1:20" ht="12.75" hidden="1" customHeight="1">
      <c r="A109" s="58" t="s">
        <v>40</v>
      </c>
      <c r="B109" s="9" t="str">
        <f t="shared" si="6"/>
        <v>RES_199702</v>
      </c>
      <c r="C109" s="9">
        <v>0</v>
      </c>
      <c r="D109" s="9">
        <v>1</v>
      </c>
      <c r="E109" s="59" t="b">
        <v>1</v>
      </c>
      <c r="F109" s="54" t="str">
        <f t="shared" si="10"/>
        <v>Residential</v>
      </c>
      <c r="G109" s="18" t="s">
        <v>148</v>
      </c>
      <c r="H109" s="18" t="s">
        <v>148</v>
      </c>
      <c r="I109" s="18" t="s">
        <v>497</v>
      </c>
      <c r="J109" s="24">
        <v>2018</v>
      </c>
      <c r="K109" s="30" t="e">
        <v>#VALUE!</v>
      </c>
      <c r="L109" s="19" t="e">
        <v>#VALUE!</v>
      </c>
      <c r="M109" s="20" t="e">
        <v>#VALUE!</v>
      </c>
      <c r="N109" s="20"/>
      <c r="O109" s="31" t="e">
        <v>#VALUE!</v>
      </c>
      <c r="P109" s="40">
        <v>0</v>
      </c>
      <c r="Q109" s="41" t="s">
        <v>1631</v>
      </c>
      <c r="R109" s="48" t="e">
        <f t="shared" si="7"/>
        <v>#VALUE!</v>
      </c>
      <c r="S109" s="21">
        <f t="shared" si="8"/>
        <v>0</v>
      </c>
      <c r="T109" s="49" t="e">
        <f t="shared" si="9"/>
        <v>#VALUE!</v>
      </c>
    </row>
    <row r="110" spans="1:20" ht="12.75" hidden="1" customHeight="1">
      <c r="A110" s="58" t="s">
        <v>41</v>
      </c>
      <c r="B110" s="9" t="str">
        <f t="shared" si="6"/>
        <v>RES_199702</v>
      </c>
      <c r="C110" s="9">
        <v>0</v>
      </c>
      <c r="D110" s="9">
        <v>1</v>
      </c>
      <c r="E110" s="59" t="b">
        <v>1</v>
      </c>
      <c r="F110" s="54" t="str">
        <f t="shared" si="10"/>
        <v>Residential</v>
      </c>
      <c r="G110" s="18" t="s">
        <v>148</v>
      </c>
      <c r="H110" s="18" t="s">
        <v>148</v>
      </c>
      <c r="I110" s="18" t="s">
        <v>495</v>
      </c>
      <c r="J110" s="24">
        <v>2018</v>
      </c>
      <c r="K110" s="30" t="e">
        <v>#VALUE!</v>
      </c>
      <c r="L110" s="19" t="e">
        <v>#VALUE!</v>
      </c>
      <c r="M110" s="20" t="e">
        <v>#VALUE!</v>
      </c>
      <c r="N110" s="20"/>
      <c r="O110" s="31" t="e">
        <v>#VALUE!</v>
      </c>
      <c r="P110" s="40">
        <v>0</v>
      </c>
      <c r="Q110" s="41" t="s">
        <v>1631</v>
      </c>
      <c r="R110" s="48" t="e">
        <f t="shared" si="7"/>
        <v>#VALUE!</v>
      </c>
      <c r="S110" s="21">
        <f t="shared" si="8"/>
        <v>0</v>
      </c>
      <c r="T110" s="49" t="e">
        <f t="shared" si="9"/>
        <v>#VALUE!</v>
      </c>
    </row>
    <row r="111" spans="1:20" ht="12.75" hidden="1" customHeight="1">
      <c r="A111" s="58" t="s">
        <v>42</v>
      </c>
      <c r="B111" s="9" t="str">
        <f t="shared" si="6"/>
        <v>RES_199702</v>
      </c>
      <c r="C111" s="9">
        <v>0</v>
      </c>
      <c r="D111" s="9">
        <v>1</v>
      </c>
      <c r="E111" s="59" t="b">
        <v>1</v>
      </c>
      <c r="F111" s="54" t="str">
        <f t="shared" si="10"/>
        <v>Residential</v>
      </c>
      <c r="G111" s="18" t="s">
        <v>148</v>
      </c>
      <c r="H111" s="18" t="s">
        <v>148</v>
      </c>
      <c r="I111" s="18" t="s">
        <v>162</v>
      </c>
      <c r="J111" s="24">
        <v>2018</v>
      </c>
      <c r="K111" s="30" t="e">
        <v>#VALUE!</v>
      </c>
      <c r="L111" s="19" t="e">
        <v>#VALUE!</v>
      </c>
      <c r="M111" s="20" t="e">
        <v>#VALUE!</v>
      </c>
      <c r="N111" s="20"/>
      <c r="O111" s="31" t="e">
        <v>#VALUE!</v>
      </c>
      <c r="P111" s="40">
        <v>0</v>
      </c>
      <c r="Q111" s="41" t="s">
        <v>1631</v>
      </c>
      <c r="R111" s="48" t="e">
        <f t="shared" si="7"/>
        <v>#VALUE!</v>
      </c>
      <c r="S111" s="21">
        <f t="shared" si="8"/>
        <v>0</v>
      </c>
      <c r="T111" s="49" t="e">
        <f t="shared" si="9"/>
        <v>#VALUE!</v>
      </c>
    </row>
    <row r="112" spans="1:20" ht="12.75" hidden="1" customHeight="1">
      <c r="A112" s="58" t="s">
        <v>43</v>
      </c>
      <c r="B112" s="9" t="str">
        <f t="shared" si="6"/>
        <v>RES_199702</v>
      </c>
      <c r="C112" s="9">
        <v>0</v>
      </c>
      <c r="D112" s="9">
        <v>1</v>
      </c>
      <c r="E112" s="59" t="b">
        <v>1</v>
      </c>
      <c r="F112" s="54" t="str">
        <f t="shared" si="10"/>
        <v>Residential</v>
      </c>
      <c r="G112" s="18" t="s">
        <v>148</v>
      </c>
      <c r="H112" s="18" t="s">
        <v>148</v>
      </c>
      <c r="I112" s="18" t="s">
        <v>163</v>
      </c>
      <c r="J112" s="24">
        <v>2018</v>
      </c>
      <c r="K112" s="30" t="e">
        <v>#VALUE!</v>
      </c>
      <c r="L112" s="19" t="e">
        <v>#VALUE!</v>
      </c>
      <c r="M112" s="20" t="e">
        <v>#VALUE!</v>
      </c>
      <c r="N112" s="20"/>
      <c r="O112" s="31" t="e">
        <v>#VALUE!</v>
      </c>
      <c r="P112" s="40">
        <v>0</v>
      </c>
      <c r="Q112" s="41" t="s">
        <v>1631</v>
      </c>
      <c r="R112" s="48" t="e">
        <f t="shared" si="7"/>
        <v>#VALUE!</v>
      </c>
      <c r="S112" s="21">
        <f t="shared" si="8"/>
        <v>0</v>
      </c>
      <c r="T112" s="49" t="e">
        <f t="shared" si="9"/>
        <v>#VALUE!</v>
      </c>
    </row>
    <row r="113" spans="1:20" ht="12.75" hidden="1" customHeight="1">
      <c r="A113" s="58" t="s">
        <v>44</v>
      </c>
      <c r="B113" s="9" t="str">
        <f t="shared" si="6"/>
        <v>RES_199702</v>
      </c>
      <c r="C113" s="9">
        <v>0</v>
      </c>
      <c r="D113" s="9">
        <v>1</v>
      </c>
      <c r="E113" s="59" t="b">
        <v>1</v>
      </c>
      <c r="F113" s="54" t="str">
        <f t="shared" ref="F113:F144" si="11">IF(LEFT(A113,3)="Res","Residential",IF(LEFT(A113,3)="Ind","industrial",IF(LEFT(A113,3)="Com","Commercial",IF(LEFT(A113,3)="AGR","Agriculture",""))))</f>
        <v>Residential</v>
      </c>
      <c r="G113" s="18" t="s">
        <v>148</v>
      </c>
      <c r="H113" s="18" t="s">
        <v>148</v>
      </c>
      <c r="I113" s="18" t="s">
        <v>164</v>
      </c>
      <c r="J113" s="24">
        <v>2018</v>
      </c>
      <c r="K113" s="30" t="e">
        <v>#VALUE!</v>
      </c>
      <c r="L113" s="19" t="e">
        <v>#VALUE!</v>
      </c>
      <c r="M113" s="20" t="e">
        <v>#VALUE!</v>
      </c>
      <c r="N113" s="20"/>
      <c r="O113" s="31" t="e">
        <v>#VALUE!</v>
      </c>
      <c r="P113" s="40">
        <v>0</v>
      </c>
      <c r="Q113" s="41" t="s">
        <v>1631</v>
      </c>
      <c r="R113" s="48" t="e">
        <f t="shared" si="7"/>
        <v>#VALUE!</v>
      </c>
      <c r="S113" s="21">
        <f t="shared" si="8"/>
        <v>0</v>
      </c>
      <c r="T113" s="49" t="e">
        <f t="shared" si="9"/>
        <v>#VALUE!</v>
      </c>
    </row>
    <row r="114" spans="1:20" ht="12.75" hidden="1" customHeight="1">
      <c r="A114" s="58" t="s">
        <v>100</v>
      </c>
      <c r="B114" s="9" t="str">
        <f t="shared" si="6"/>
        <v>RES_199702</v>
      </c>
      <c r="C114" s="9">
        <v>0</v>
      </c>
      <c r="D114" s="9">
        <v>0</v>
      </c>
      <c r="E114" s="59" t="b">
        <v>1</v>
      </c>
      <c r="F114" s="54" t="str">
        <f t="shared" si="11"/>
        <v>Residential</v>
      </c>
      <c r="G114" s="18" t="s">
        <v>148</v>
      </c>
      <c r="H114" s="18" t="s">
        <v>431</v>
      </c>
      <c r="I114" s="18" t="s">
        <v>1636</v>
      </c>
      <c r="J114" s="24">
        <v>2018</v>
      </c>
      <c r="K114" s="30" t="e">
        <v>#VALUE!</v>
      </c>
      <c r="L114" s="19" t="e">
        <v>#VALUE!</v>
      </c>
      <c r="M114" s="20" t="e">
        <v>#VALUE!</v>
      </c>
      <c r="N114" s="20"/>
      <c r="O114" s="31" t="e">
        <v>#VALUE!</v>
      </c>
      <c r="P114" s="40">
        <v>0</v>
      </c>
      <c r="Q114" s="41"/>
      <c r="R114" s="48" t="e">
        <f t="shared" si="7"/>
        <v>#VALUE!</v>
      </c>
      <c r="S114" s="21">
        <f t="shared" si="8"/>
        <v>0</v>
      </c>
      <c r="T114" s="49" t="e">
        <f t="shared" si="9"/>
        <v>#VALUE!</v>
      </c>
    </row>
    <row r="115" spans="1:20" ht="12.75" hidden="1" customHeight="1">
      <c r="A115" s="58" t="s">
        <v>101</v>
      </c>
      <c r="B115" s="9" t="str">
        <f t="shared" si="6"/>
        <v>RES_199702</v>
      </c>
      <c r="C115" s="9">
        <v>0</v>
      </c>
      <c r="D115" s="9">
        <v>0</v>
      </c>
      <c r="E115" s="59" t="b">
        <v>1</v>
      </c>
      <c r="F115" s="54" t="str">
        <f t="shared" si="11"/>
        <v>Residential</v>
      </c>
      <c r="G115" s="18" t="s">
        <v>148</v>
      </c>
      <c r="H115" s="18" t="s">
        <v>431</v>
      </c>
      <c r="I115" s="18" t="s">
        <v>1461</v>
      </c>
      <c r="J115" s="24">
        <v>2018</v>
      </c>
      <c r="K115" s="30" t="e">
        <v>#VALUE!</v>
      </c>
      <c r="L115" s="19" t="e">
        <v>#VALUE!</v>
      </c>
      <c r="M115" s="20" t="e">
        <v>#VALUE!</v>
      </c>
      <c r="N115" s="20"/>
      <c r="O115" s="31" t="e">
        <v>#VALUE!</v>
      </c>
      <c r="P115" s="40">
        <v>0</v>
      </c>
      <c r="Q115" s="41"/>
      <c r="R115" s="48" t="e">
        <f t="shared" si="7"/>
        <v>#VALUE!</v>
      </c>
      <c r="S115" s="21">
        <f t="shared" si="8"/>
        <v>0</v>
      </c>
      <c r="T115" s="49" t="e">
        <f t="shared" si="9"/>
        <v>#VALUE!</v>
      </c>
    </row>
    <row r="116" spans="1:20" ht="12.75" hidden="1" customHeight="1">
      <c r="A116" s="58" t="s">
        <v>26</v>
      </c>
      <c r="B116" s="9" t="str">
        <f t="shared" si="6"/>
        <v>COM_200803</v>
      </c>
      <c r="C116" s="9">
        <v>0</v>
      </c>
      <c r="D116" s="9">
        <v>0</v>
      </c>
      <c r="E116" s="59" t="b">
        <v>1</v>
      </c>
      <c r="F116" s="54" t="str">
        <f t="shared" si="11"/>
        <v>Commercial</v>
      </c>
      <c r="G116" s="18" t="s">
        <v>140</v>
      </c>
      <c r="H116" s="18" t="s">
        <v>655</v>
      </c>
      <c r="I116" s="18" t="s">
        <v>485</v>
      </c>
      <c r="J116" s="24">
        <v>2018</v>
      </c>
      <c r="K116" s="30" t="e">
        <v>#VALUE!</v>
      </c>
      <c r="L116" s="19" t="e">
        <v>#VALUE!</v>
      </c>
      <c r="M116" s="20" t="e">
        <v>#VALUE!</v>
      </c>
      <c r="N116" s="20"/>
      <c r="O116" s="31" t="e">
        <v>#VALUE!</v>
      </c>
      <c r="P116" s="40">
        <v>0</v>
      </c>
      <c r="Q116" s="41" t="s">
        <v>1631</v>
      </c>
      <c r="R116" s="48" t="e">
        <f t="shared" si="7"/>
        <v>#VALUE!</v>
      </c>
      <c r="S116" s="21">
        <f t="shared" si="8"/>
        <v>0</v>
      </c>
      <c r="T116" s="49" t="e">
        <f t="shared" si="9"/>
        <v>#VALUE!</v>
      </c>
    </row>
    <row r="117" spans="1:20" ht="12.75" hidden="1" customHeight="1">
      <c r="A117" s="58" t="s">
        <v>109</v>
      </c>
      <c r="B117" s="9" t="str">
        <f t="shared" si="6"/>
        <v>COM_200803</v>
      </c>
      <c r="C117" s="9">
        <v>0</v>
      </c>
      <c r="D117" s="9">
        <v>0</v>
      </c>
      <c r="E117" s="59" t="b">
        <v>1</v>
      </c>
      <c r="F117" s="54" t="str">
        <f t="shared" si="11"/>
        <v>Commercial</v>
      </c>
      <c r="G117" s="18" t="s">
        <v>140</v>
      </c>
      <c r="H117" s="18" t="s">
        <v>656</v>
      </c>
      <c r="I117" s="18" t="s">
        <v>485</v>
      </c>
      <c r="J117" s="24">
        <v>2018</v>
      </c>
      <c r="K117" s="30" t="e">
        <v>#VALUE!</v>
      </c>
      <c r="L117" s="19" t="e">
        <v>#VALUE!</v>
      </c>
      <c r="M117" s="20" t="e">
        <v>#VALUE!</v>
      </c>
      <c r="N117" s="20"/>
      <c r="O117" s="31" t="e">
        <v>#VALUE!</v>
      </c>
      <c r="P117" s="40">
        <v>8760000</v>
      </c>
      <c r="Q117" s="41"/>
      <c r="R117" s="48" t="e">
        <f t="shared" si="7"/>
        <v>#VALUE!</v>
      </c>
      <c r="S117" s="21">
        <f t="shared" si="8"/>
        <v>0</v>
      </c>
      <c r="T117" s="49" t="e">
        <f t="shared" si="9"/>
        <v>#VALUE!</v>
      </c>
    </row>
    <row r="118" spans="1:20" ht="12.75" hidden="1" customHeight="1">
      <c r="A118" s="58" t="s">
        <v>110</v>
      </c>
      <c r="B118" s="9" t="str">
        <f t="shared" si="6"/>
        <v>COM_200803</v>
      </c>
      <c r="C118" s="9">
        <v>0</v>
      </c>
      <c r="D118" s="9">
        <v>0</v>
      </c>
      <c r="E118" s="59" t="b">
        <v>1</v>
      </c>
      <c r="F118" s="54" t="str">
        <f t="shared" si="11"/>
        <v>Commercial</v>
      </c>
      <c r="G118" s="18" t="s">
        <v>140</v>
      </c>
      <c r="H118" s="18" t="s">
        <v>657</v>
      </c>
      <c r="I118" s="18" t="s">
        <v>485</v>
      </c>
      <c r="J118" s="24">
        <v>2018</v>
      </c>
      <c r="K118" s="30" t="e">
        <v>#VALUE!</v>
      </c>
      <c r="L118" s="19" t="e">
        <v>#VALUE!</v>
      </c>
      <c r="M118" s="20" t="e">
        <v>#VALUE!</v>
      </c>
      <c r="N118" s="20"/>
      <c r="O118" s="31" t="e">
        <v>#VALUE!</v>
      </c>
      <c r="P118" s="40">
        <v>8760000</v>
      </c>
      <c r="Q118" s="41"/>
      <c r="R118" s="48" t="e">
        <f t="shared" si="7"/>
        <v>#VALUE!</v>
      </c>
      <c r="S118" s="21">
        <f t="shared" si="8"/>
        <v>0</v>
      </c>
      <c r="T118" s="49" t="e">
        <f t="shared" si="9"/>
        <v>#VALUE!</v>
      </c>
    </row>
    <row r="119" spans="1:20" ht="12.75" hidden="1" customHeight="1">
      <c r="A119" s="58" t="s">
        <v>111</v>
      </c>
      <c r="B119" s="9" t="str">
        <f t="shared" si="6"/>
        <v>COM_200803</v>
      </c>
      <c r="C119" s="9">
        <v>0</v>
      </c>
      <c r="D119" s="9">
        <v>0</v>
      </c>
      <c r="E119" s="59" t="b">
        <v>1</v>
      </c>
      <c r="F119" s="54" t="str">
        <f t="shared" si="11"/>
        <v>Commercial</v>
      </c>
      <c r="G119" s="18" t="s">
        <v>140</v>
      </c>
      <c r="H119" s="18" t="s">
        <v>658</v>
      </c>
      <c r="I119" s="18" t="s">
        <v>485</v>
      </c>
      <c r="J119" s="24">
        <v>2018</v>
      </c>
      <c r="K119" s="30" t="e">
        <v>#VALUE!</v>
      </c>
      <c r="L119" s="19" t="e">
        <v>#VALUE!</v>
      </c>
      <c r="M119" s="20" t="e">
        <v>#VALUE!</v>
      </c>
      <c r="N119" s="20"/>
      <c r="O119" s="31" t="e">
        <v>#VALUE!</v>
      </c>
      <c r="P119" s="40">
        <v>8760000</v>
      </c>
      <c r="Q119" s="41"/>
      <c r="R119" s="48" t="e">
        <f t="shared" si="7"/>
        <v>#VALUE!</v>
      </c>
      <c r="S119" s="21">
        <f t="shared" si="8"/>
        <v>0</v>
      </c>
      <c r="T119" s="49" t="e">
        <f t="shared" si="9"/>
        <v>#VALUE!</v>
      </c>
    </row>
    <row r="120" spans="1:20" ht="12.75" hidden="1" customHeight="1">
      <c r="A120" s="58" t="s">
        <v>19</v>
      </c>
      <c r="B120" s="9" t="str">
        <f t="shared" si="6"/>
        <v>COM_200002</v>
      </c>
      <c r="C120" s="9">
        <v>0</v>
      </c>
      <c r="D120" s="9">
        <v>0</v>
      </c>
      <c r="E120" s="59" t="b">
        <v>1</v>
      </c>
      <c r="F120" s="54" t="str">
        <f t="shared" si="11"/>
        <v>Commercial</v>
      </c>
      <c r="G120" s="18" t="s">
        <v>137</v>
      </c>
      <c r="H120" s="18" t="s">
        <v>434</v>
      </c>
      <c r="I120" s="18" t="s">
        <v>485</v>
      </c>
      <c r="J120" s="24">
        <v>2018</v>
      </c>
      <c r="K120" s="30" t="e">
        <v>#VALUE!</v>
      </c>
      <c r="L120" s="19" t="e">
        <v>#VALUE!</v>
      </c>
      <c r="M120" s="20" t="e">
        <v>#VALUE!</v>
      </c>
      <c r="N120" s="20"/>
      <c r="O120" s="31" t="e">
        <v>#VALUE!</v>
      </c>
      <c r="P120" s="40">
        <v>0.43631310000000001</v>
      </c>
      <c r="Q120" s="41" t="s">
        <v>1631</v>
      </c>
      <c r="R120" s="48" t="e">
        <f t="shared" si="7"/>
        <v>#VALUE!</v>
      </c>
      <c r="S120" s="21">
        <f t="shared" si="8"/>
        <v>0</v>
      </c>
      <c r="T120" s="49" t="e">
        <f t="shared" si="9"/>
        <v>#VALUE!</v>
      </c>
    </row>
    <row r="121" spans="1:20" ht="12.75" hidden="1" customHeight="1">
      <c r="A121" s="58" t="s">
        <v>20</v>
      </c>
      <c r="B121" s="9" t="str">
        <f t="shared" si="6"/>
        <v>COM_200002</v>
      </c>
      <c r="C121" s="9">
        <v>0</v>
      </c>
      <c r="D121" s="9">
        <v>0</v>
      </c>
      <c r="E121" s="59" t="b">
        <v>1</v>
      </c>
      <c r="F121" s="54" t="str">
        <f t="shared" si="11"/>
        <v>Commercial</v>
      </c>
      <c r="G121" s="18" t="s">
        <v>137</v>
      </c>
      <c r="H121" s="18" t="s">
        <v>462</v>
      </c>
      <c r="I121" s="18" t="s">
        <v>485</v>
      </c>
      <c r="J121" s="24">
        <v>2018</v>
      </c>
      <c r="K121" s="30" t="e">
        <v>#VALUE!</v>
      </c>
      <c r="L121" s="19" t="e">
        <v>#VALUE!</v>
      </c>
      <c r="M121" s="20" t="e">
        <v>#VALUE!</v>
      </c>
      <c r="N121" s="20"/>
      <c r="O121" s="31" t="e">
        <v>#VALUE!</v>
      </c>
      <c r="P121" s="40">
        <v>0.43152249999999998</v>
      </c>
      <c r="Q121" s="41" t="s">
        <v>1631</v>
      </c>
      <c r="R121" s="48" t="e">
        <f t="shared" si="7"/>
        <v>#VALUE!</v>
      </c>
      <c r="S121" s="21">
        <f t="shared" si="8"/>
        <v>0</v>
      </c>
      <c r="T121" s="49" t="e">
        <f t="shared" si="9"/>
        <v>#VALUE!</v>
      </c>
    </row>
    <row r="122" spans="1:20" ht="12.75" hidden="1" customHeight="1">
      <c r="A122" s="58" t="s">
        <v>71</v>
      </c>
      <c r="B122" s="9" t="str">
        <f t="shared" si="6"/>
        <v>COM_200701</v>
      </c>
      <c r="C122" s="9">
        <v>0</v>
      </c>
      <c r="D122" s="9">
        <v>0</v>
      </c>
      <c r="E122" s="59" t="b">
        <v>1</v>
      </c>
      <c r="F122" s="54" t="str">
        <f t="shared" si="11"/>
        <v>Commercial</v>
      </c>
      <c r="G122" s="18" t="s">
        <v>139</v>
      </c>
      <c r="H122" s="18" t="s">
        <v>643</v>
      </c>
      <c r="I122" s="18" t="s">
        <v>1176</v>
      </c>
      <c r="J122" s="24">
        <v>2018</v>
      </c>
      <c r="K122" s="30" t="e">
        <v>#VALUE!</v>
      </c>
      <c r="L122" s="19" t="e">
        <v>#VALUE!</v>
      </c>
      <c r="M122" s="20" t="e">
        <v>#VALUE!</v>
      </c>
      <c r="N122" s="20"/>
      <c r="O122" s="31" t="e">
        <v>#VALUE!</v>
      </c>
      <c r="P122" s="40">
        <v>30.878850979999999</v>
      </c>
      <c r="Q122" s="41" t="s">
        <v>1631</v>
      </c>
      <c r="R122" s="48" t="e">
        <f t="shared" si="7"/>
        <v>#VALUE!</v>
      </c>
      <c r="S122" s="21">
        <f t="shared" si="8"/>
        <v>0</v>
      </c>
      <c r="T122" s="49" t="e">
        <f t="shared" si="9"/>
        <v>#VALUE!</v>
      </c>
    </row>
    <row r="123" spans="1:20" ht="12.75" hidden="1" customHeight="1">
      <c r="A123" s="58" t="s">
        <v>36</v>
      </c>
      <c r="B123" s="9" t="str">
        <f t="shared" si="6"/>
        <v>IND_200402</v>
      </c>
      <c r="C123" s="9">
        <v>0</v>
      </c>
      <c r="D123" s="9">
        <v>0</v>
      </c>
      <c r="E123" s="59" t="b">
        <v>1</v>
      </c>
      <c r="F123" s="54" t="str">
        <f t="shared" si="11"/>
        <v>industrial</v>
      </c>
      <c r="G123" s="18" t="s">
        <v>146</v>
      </c>
      <c r="H123" s="18" t="s">
        <v>456</v>
      </c>
      <c r="I123" s="18" t="s">
        <v>485</v>
      </c>
      <c r="J123" s="24">
        <v>2018</v>
      </c>
      <c r="K123" s="30" t="e">
        <v>#VALUE!</v>
      </c>
      <c r="L123" s="19" t="e">
        <v>#VALUE!</v>
      </c>
      <c r="M123" s="20" t="e">
        <v>#VALUE!</v>
      </c>
      <c r="N123" s="20"/>
      <c r="O123" s="31" t="e">
        <v>#VALUE!</v>
      </c>
      <c r="P123" s="40">
        <v>0</v>
      </c>
      <c r="Q123" s="41" t="s">
        <v>1631</v>
      </c>
      <c r="R123" s="48" t="e">
        <f t="shared" si="7"/>
        <v>#VALUE!</v>
      </c>
      <c r="S123" s="21">
        <f t="shared" si="8"/>
        <v>0</v>
      </c>
      <c r="T123" s="49" t="e">
        <f t="shared" si="9"/>
        <v>#VALUE!</v>
      </c>
    </row>
    <row r="124" spans="1:20" ht="12.75" hidden="1" customHeight="1">
      <c r="A124" s="58" t="s">
        <v>37</v>
      </c>
      <c r="B124" s="9" t="str">
        <f t="shared" si="6"/>
        <v>IND_200402</v>
      </c>
      <c r="C124" s="9">
        <v>0</v>
      </c>
      <c r="D124" s="9">
        <v>0</v>
      </c>
      <c r="E124" s="59" t="b">
        <v>1</v>
      </c>
      <c r="F124" s="54" t="str">
        <f t="shared" si="11"/>
        <v>industrial</v>
      </c>
      <c r="G124" s="18" t="s">
        <v>146</v>
      </c>
      <c r="H124" s="18" t="s">
        <v>439</v>
      </c>
      <c r="I124" s="18" t="s">
        <v>485</v>
      </c>
      <c r="J124" s="24">
        <v>2018</v>
      </c>
      <c r="K124" s="30" t="e">
        <v>#VALUE!</v>
      </c>
      <c r="L124" s="19" t="e">
        <v>#VALUE!</v>
      </c>
      <c r="M124" s="20" t="e">
        <v>#VALUE!</v>
      </c>
      <c r="N124" s="20"/>
      <c r="O124" s="31" t="e">
        <v>#VALUE!</v>
      </c>
      <c r="P124" s="40">
        <v>4953.7021836800004</v>
      </c>
      <c r="Q124" s="41" t="s">
        <v>1631</v>
      </c>
      <c r="R124" s="48" t="e">
        <f t="shared" si="7"/>
        <v>#VALUE!</v>
      </c>
      <c r="S124" s="21">
        <f t="shared" si="8"/>
        <v>0</v>
      </c>
      <c r="T124" s="49" t="e">
        <f t="shared" si="9"/>
        <v>#VALUE!</v>
      </c>
    </row>
    <row r="125" spans="1:20" ht="12.75" hidden="1" customHeight="1">
      <c r="A125" s="58" t="s">
        <v>51</v>
      </c>
      <c r="B125" s="9" t="str">
        <f t="shared" si="6"/>
        <v>RES_200804</v>
      </c>
      <c r="C125" s="9">
        <v>0</v>
      </c>
      <c r="D125" s="9">
        <v>0</v>
      </c>
      <c r="E125" s="59" t="b">
        <v>1</v>
      </c>
      <c r="F125" s="54" t="str">
        <f t="shared" si="11"/>
        <v>Residential</v>
      </c>
      <c r="G125" s="18" t="s">
        <v>151</v>
      </c>
      <c r="H125" s="18" t="s">
        <v>437</v>
      </c>
      <c r="I125" s="18" t="s">
        <v>158</v>
      </c>
      <c r="J125" s="24">
        <v>2018</v>
      </c>
      <c r="K125" s="30" t="e">
        <v>#VALUE!</v>
      </c>
      <c r="L125" s="19" t="e">
        <v>#VALUE!</v>
      </c>
      <c r="M125" s="20" t="e">
        <v>#VALUE!</v>
      </c>
      <c r="N125" s="20"/>
      <c r="O125" s="31" t="e">
        <v>#VALUE!</v>
      </c>
      <c r="P125" s="40">
        <v>2129.8225458500001</v>
      </c>
      <c r="Q125" s="41" t="s">
        <v>1631</v>
      </c>
      <c r="R125" s="48" t="e">
        <f t="shared" si="7"/>
        <v>#VALUE!</v>
      </c>
      <c r="S125" s="21">
        <f t="shared" si="8"/>
        <v>0</v>
      </c>
      <c r="T125" s="49" t="e">
        <f t="shared" si="9"/>
        <v>#VALUE!</v>
      </c>
    </row>
    <row r="126" spans="1:20" ht="12.75" hidden="1" customHeight="1">
      <c r="A126" s="58" t="s">
        <v>52</v>
      </c>
      <c r="B126" s="9" t="str">
        <f t="shared" si="6"/>
        <v>RES_200804</v>
      </c>
      <c r="C126" s="9">
        <v>0</v>
      </c>
      <c r="D126" s="9">
        <v>0</v>
      </c>
      <c r="E126" s="59" t="b">
        <v>1</v>
      </c>
      <c r="F126" s="54" t="str">
        <f t="shared" si="11"/>
        <v>Residential</v>
      </c>
      <c r="G126" s="18" t="s">
        <v>151</v>
      </c>
      <c r="H126" s="18" t="s">
        <v>435</v>
      </c>
      <c r="I126" s="18" t="s">
        <v>158</v>
      </c>
      <c r="J126" s="24">
        <v>2018</v>
      </c>
      <c r="K126" s="30" t="e">
        <v>#VALUE!</v>
      </c>
      <c r="L126" s="19" t="e">
        <v>#VALUE!</v>
      </c>
      <c r="M126" s="20" t="e">
        <v>#VALUE!</v>
      </c>
      <c r="N126" s="20"/>
      <c r="O126" s="31" t="e">
        <v>#VALUE!</v>
      </c>
      <c r="P126" s="40">
        <v>3793.5503881499999</v>
      </c>
      <c r="Q126" s="41" t="s">
        <v>1631</v>
      </c>
      <c r="R126" s="48" t="e">
        <f t="shared" si="7"/>
        <v>#VALUE!</v>
      </c>
      <c r="S126" s="21">
        <f t="shared" si="8"/>
        <v>0</v>
      </c>
      <c r="T126" s="49" t="e">
        <f t="shared" si="9"/>
        <v>#VALUE!</v>
      </c>
    </row>
    <row r="127" spans="1:20" ht="12.75" hidden="1" customHeight="1">
      <c r="A127" s="58" t="s">
        <v>53</v>
      </c>
      <c r="B127" s="9" t="str">
        <f t="shared" si="6"/>
        <v>RES_200804</v>
      </c>
      <c r="C127" s="9">
        <v>0</v>
      </c>
      <c r="D127" s="9">
        <v>0</v>
      </c>
      <c r="E127" s="59" t="b">
        <v>1</v>
      </c>
      <c r="F127" s="54" t="str">
        <f t="shared" si="11"/>
        <v>Residential</v>
      </c>
      <c r="G127" s="18" t="s">
        <v>151</v>
      </c>
      <c r="H127" s="18" t="s">
        <v>436</v>
      </c>
      <c r="I127" s="18" t="s">
        <v>158</v>
      </c>
      <c r="J127" s="24">
        <v>2018</v>
      </c>
      <c r="K127" s="30" t="e">
        <v>#VALUE!</v>
      </c>
      <c r="L127" s="19" t="e">
        <v>#VALUE!</v>
      </c>
      <c r="M127" s="20" t="e">
        <v>#VALUE!</v>
      </c>
      <c r="N127" s="20"/>
      <c r="O127" s="31" t="e">
        <v>#VALUE!</v>
      </c>
      <c r="P127" s="40">
        <v>5709.5283126900003</v>
      </c>
      <c r="Q127" s="41" t="s">
        <v>1631</v>
      </c>
      <c r="R127" s="48" t="e">
        <f t="shared" si="7"/>
        <v>#VALUE!</v>
      </c>
      <c r="S127" s="21">
        <f t="shared" si="8"/>
        <v>0</v>
      </c>
      <c r="T127" s="49" t="e">
        <f t="shared" si="9"/>
        <v>#VALUE!</v>
      </c>
    </row>
    <row r="128" spans="1:20" ht="12.75" hidden="1" customHeight="1">
      <c r="A128" s="58" t="s">
        <v>47</v>
      </c>
      <c r="B128" s="9" t="str">
        <f t="shared" si="6"/>
        <v>RES_200401</v>
      </c>
      <c r="C128" s="9">
        <v>0</v>
      </c>
      <c r="D128" s="9">
        <v>0</v>
      </c>
      <c r="E128" s="59" t="b">
        <v>1</v>
      </c>
      <c r="F128" s="54" t="str">
        <f t="shared" si="11"/>
        <v>Residential</v>
      </c>
      <c r="G128" s="18" t="s">
        <v>624</v>
      </c>
      <c r="H128" s="18" t="s">
        <v>1460</v>
      </c>
      <c r="I128" s="18" t="s">
        <v>1461</v>
      </c>
      <c r="J128" s="24">
        <v>2018</v>
      </c>
      <c r="K128" s="30" t="e">
        <v>#VALUE!</v>
      </c>
      <c r="L128" s="19" t="e">
        <v>#VALUE!</v>
      </c>
      <c r="M128" s="20" t="e">
        <v>#VALUE!</v>
      </c>
      <c r="N128" s="20"/>
      <c r="O128" s="31" t="e">
        <v>#VALUE!</v>
      </c>
      <c r="P128" s="40">
        <v>0</v>
      </c>
      <c r="Q128" s="41" t="s">
        <v>1631</v>
      </c>
      <c r="R128" s="48" t="e">
        <f t="shared" si="7"/>
        <v>#VALUE!</v>
      </c>
      <c r="S128" s="21">
        <f t="shared" si="8"/>
        <v>0</v>
      </c>
      <c r="T128" s="49" t="e">
        <f t="shared" si="9"/>
        <v>#VALUE!</v>
      </c>
    </row>
    <row r="129" spans="1:20" ht="12.75" hidden="1" customHeight="1">
      <c r="A129" s="58" t="s">
        <v>48</v>
      </c>
      <c r="B129" s="9" t="str">
        <f t="shared" si="6"/>
        <v>RES_200401</v>
      </c>
      <c r="C129" s="9">
        <v>0</v>
      </c>
      <c r="D129" s="9">
        <v>0</v>
      </c>
      <c r="E129" s="59" t="b">
        <v>1</v>
      </c>
      <c r="F129" s="54" t="str">
        <f t="shared" si="11"/>
        <v>Residential</v>
      </c>
      <c r="G129" s="18" t="s">
        <v>624</v>
      </c>
      <c r="H129" s="18" t="s">
        <v>1463</v>
      </c>
      <c r="I129" s="18" t="s">
        <v>1461</v>
      </c>
      <c r="J129" s="24">
        <v>2018</v>
      </c>
      <c r="K129" s="30" t="e">
        <v>#VALUE!</v>
      </c>
      <c r="L129" s="19" t="e">
        <v>#VALUE!</v>
      </c>
      <c r="M129" s="20" t="e">
        <v>#VALUE!</v>
      </c>
      <c r="N129" s="20"/>
      <c r="O129" s="31" t="e">
        <v>#VALUE!</v>
      </c>
      <c r="P129" s="40">
        <v>0</v>
      </c>
      <c r="Q129" s="41" t="s">
        <v>1631</v>
      </c>
      <c r="R129" s="48" t="e">
        <f t="shared" si="7"/>
        <v>#VALUE!</v>
      </c>
      <c r="S129" s="21">
        <f t="shared" si="8"/>
        <v>0</v>
      </c>
      <c r="T129" s="49" t="e">
        <f t="shared" si="9"/>
        <v>#VALUE!</v>
      </c>
    </row>
    <row r="130" spans="1:20" ht="12.75" hidden="1" customHeight="1">
      <c r="A130" s="58" t="s">
        <v>49</v>
      </c>
      <c r="B130" s="9" t="str">
        <f t="shared" si="6"/>
        <v>RES_200401</v>
      </c>
      <c r="C130" s="9">
        <v>0</v>
      </c>
      <c r="D130" s="9">
        <v>0</v>
      </c>
      <c r="E130" s="59" t="b">
        <v>1</v>
      </c>
      <c r="F130" s="54" t="str">
        <f t="shared" si="11"/>
        <v>Residential</v>
      </c>
      <c r="G130" s="18" t="s">
        <v>624</v>
      </c>
      <c r="H130" s="18" t="s">
        <v>1464</v>
      </c>
      <c r="I130" s="18" t="s">
        <v>1461</v>
      </c>
      <c r="J130" s="24">
        <v>2018</v>
      </c>
      <c r="K130" s="30" t="e">
        <v>#VALUE!</v>
      </c>
      <c r="L130" s="19" t="e">
        <v>#VALUE!</v>
      </c>
      <c r="M130" s="20" t="e">
        <v>#VALUE!</v>
      </c>
      <c r="N130" s="20"/>
      <c r="O130" s="31" t="e">
        <v>#VALUE!</v>
      </c>
      <c r="P130" s="40">
        <v>0</v>
      </c>
      <c r="Q130" s="41" t="s">
        <v>1631</v>
      </c>
      <c r="R130" s="48" t="e">
        <f t="shared" si="7"/>
        <v>#VALUE!</v>
      </c>
      <c r="S130" s="21">
        <f t="shared" si="8"/>
        <v>0</v>
      </c>
      <c r="T130" s="49" t="e">
        <f t="shared" si="9"/>
        <v>#VALUE!</v>
      </c>
    </row>
    <row r="131" spans="1:20" ht="12.75" hidden="1" customHeight="1">
      <c r="A131" s="58" t="s">
        <v>50</v>
      </c>
      <c r="B131" s="9" t="str">
        <f t="shared" si="6"/>
        <v>RES_200401</v>
      </c>
      <c r="C131" s="9">
        <v>0</v>
      </c>
      <c r="D131" s="9">
        <v>0</v>
      </c>
      <c r="E131" s="59" t="b">
        <v>1</v>
      </c>
      <c r="F131" s="54" t="str">
        <f t="shared" si="11"/>
        <v>Residential</v>
      </c>
      <c r="G131" s="18" t="s">
        <v>624</v>
      </c>
      <c r="H131" s="18" t="s">
        <v>1465</v>
      </c>
      <c r="I131" s="18" t="s">
        <v>1461</v>
      </c>
      <c r="J131" s="24">
        <v>2018</v>
      </c>
      <c r="K131" s="30" t="e">
        <v>#VALUE!</v>
      </c>
      <c r="L131" s="19" t="e">
        <v>#VALUE!</v>
      </c>
      <c r="M131" s="20" t="e">
        <v>#VALUE!</v>
      </c>
      <c r="N131" s="20"/>
      <c r="O131" s="31" t="e">
        <v>#VALUE!</v>
      </c>
      <c r="P131" s="40">
        <v>0</v>
      </c>
      <c r="Q131" s="41" t="s">
        <v>1631</v>
      </c>
      <c r="R131" s="48" t="e">
        <f t="shared" si="7"/>
        <v>#VALUE!</v>
      </c>
      <c r="S131" s="21">
        <f t="shared" si="8"/>
        <v>0</v>
      </c>
      <c r="T131" s="49" t="e">
        <f t="shared" si="9"/>
        <v>#VALUE!</v>
      </c>
    </row>
    <row r="132" spans="1:20" ht="12.75" hidden="1" customHeight="1">
      <c r="A132" s="58" t="s">
        <v>28</v>
      </c>
      <c r="B132" s="9" t="str">
        <f t="shared" ref="B132:B195" si="12">LEFT(A132,10)</f>
        <v>COM_201305</v>
      </c>
      <c r="C132" s="9">
        <v>0</v>
      </c>
      <c r="D132" s="9">
        <v>0</v>
      </c>
      <c r="E132" s="59" t="b">
        <v>1</v>
      </c>
      <c r="F132" s="54" t="str">
        <f t="shared" si="11"/>
        <v>Commercial</v>
      </c>
      <c r="G132" s="18" t="s">
        <v>161</v>
      </c>
      <c r="H132" s="18" t="s">
        <v>666</v>
      </c>
      <c r="I132" s="18" t="s">
        <v>485</v>
      </c>
      <c r="J132" s="24">
        <v>2018</v>
      </c>
      <c r="K132" s="30" t="e">
        <v>#VALUE!</v>
      </c>
      <c r="L132" s="19" t="e">
        <v>#VALUE!</v>
      </c>
      <c r="M132" s="20" t="e">
        <v>#VALUE!</v>
      </c>
      <c r="N132" s="20"/>
      <c r="O132" s="31" t="e">
        <v>#VALUE!</v>
      </c>
      <c r="P132" s="40">
        <v>0</v>
      </c>
      <c r="Q132" s="41" t="s">
        <v>1631</v>
      </c>
      <c r="R132" s="48" t="e">
        <f t="shared" si="7"/>
        <v>#VALUE!</v>
      </c>
      <c r="S132" s="21">
        <f t="shared" si="8"/>
        <v>0</v>
      </c>
      <c r="T132" s="49" t="e">
        <f t="shared" si="9"/>
        <v>#VALUE!</v>
      </c>
    </row>
    <row r="133" spans="1:20" ht="12.75" hidden="1" customHeight="1">
      <c r="A133" s="58" t="s">
        <v>38</v>
      </c>
      <c r="B133" s="9" t="str">
        <f t="shared" si="12"/>
        <v>IND_200602</v>
      </c>
      <c r="C133" s="9">
        <v>0</v>
      </c>
      <c r="D133" s="9">
        <v>0</v>
      </c>
      <c r="E133" s="59" t="b">
        <v>1</v>
      </c>
      <c r="F133" s="54" t="str">
        <f t="shared" si="11"/>
        <v>industrial</v>
      </c>
      <c r="G133" s="18" t="s">
        <v>684</v>
      </c>
      <c r="H133" s="18" t="s">
        <v>685</v>
      </c>
      <c r="I133" s="18" t="s">
        <v>485</v>
      </c>
      <c r="J133" s="24">
        <v>2018</v>
      </c>
      <c r="K133" s="30" t="e">
        <v>#VALUE!</v>
      </c>
      <c r="L133" s="19" t="e">
        <v>#VALUE!</v>
      </c>
      <c r="M133" s="20" t="e">
        <v>#VALUE!</v>
      </c>
      <c r="N133" s="20"/>
      <c r="O133" s="31" t="e">
        <v>#VALUE!</v>
      </c>
      <c r="P133" s="40">
        <v>0</v>
      </c>
      <c r="Q133" s="41" t="s">
        <v>1631</v>
      </c>
      <c r="R133" s="48" t="e">
        <f t="shared" ref="R133:R196" si="13">(K133-M133)*O133*P133/8670000</f>
        <v>#VALUE!</v>
      </c>
      <c r="S133" s="21">
        <f t="shared" ref="S133:S196" si="14">IFERROR((L133-M133/K133*L133)*O133*P133/8760/1000,0)</f>
        <v>0</v>
      </c>
      <c r="T133" s="49" t="e">
        <f t="shared" ref="T133:T196" si="15">R133-S133</f>
        <v>#VALUE!</v>
      </c>
    </row>
    <row r="134" spans="1:20" ht="12.75" hidden="1" customHeight="1">
      <c r="A134" s="58" t="s">
        <v>25</v>
      </c>
      <c r="B134" s="9" t="str">
        <f t="shared" si="12"/>
        <v>COM_200802</v>
      </c>
      <c r="C134" s="9">
        <v>0</v>
      </c>
      <c r="D134" s="9">
        <v>0</v>
      </c>
      <c r="E134" s="59" t="b">
        <v>1</v>
      </c>
      <c r="F134" s="54" t="str">
        <f t="shared" si="11"/>
        <v>Commercial</v>
      </c>
      <c r="G134" s="18" t="s">
        <v>653</v>
      </c>
      <c r="H134" s="18" t="s">
        <v>654</v>
      </c>
      <c r="I134" s="18" t="s">
        <v>485</v>
      </c>
      <c r="J134" s="24">
        <v>2018</v>
      </c>
      <c r="K134" s="30" t="e">
        <v>#VALUE!</v>
      </c>
      <c r="L134" s="19" t="e">
        <v>#VALUE!</v>
      </c>
      <c r="M134" s="20" t="e">
        <v>#VALUE!</v>
      </c>
      <c r="N134" s="20"/>
      <c r="O134" s="31" t="e">
        <v>#VALUE!</v>
      </c>
      <c r="P134" s="40">
        <v>0</v>
      </c>
      <c r="Q134" s="41" t="s">
        <v>1631</v>
      </c>
      <c r="R134" s="48" t="e">
        <f t="shared" si="13"/>
        <v>#VALUE!</v>
      </c>
      <c r="S134" s="21">
        <f t="shared" si="14"/>
        <v>0</v>
      </c>
      <c r="T134" s="49" t="e">
        <f t="shared" si="15"/>
        <v>#VALUE!</v>
      </c>
    </row>
    <row r="135" spans="1:20" ht="12.75" hidden="1" customHeight="1">
      <c r="A135" s="58" t="s">
        <v>55</v>
      </c>
      <c r="B135" s="9" t="str">
        <f t="shared" si="12"/>
        <v>RES_201202</v>
      </c>
      <c r="C135" s="9">
        <v>0</v>
      </c>
      <c r="D135" s="9">
        <v>0</v>
      </c>
      <c r="E135" s="59" t="b">
        <v>1</v>
      </c>
      <c r="F135" s="54" t="str">
        <f t="shared" si="11"/>
        <v>Residential</v>
      </c>
      <c r="G135" s="18" t="s">
        <v>153</v>
      </c>
      <c r="H135" s="18" t="s">
        <v>1637</v>
      </c>
      <c r="I135" s="18" t="s">
        <v>158</v>
      </c>
      <c r="J135" s="24">
        <v>2018</v>
      </c>
      <c r="K135" s="30" t="e">
        <v>#VALUE!</v>
      </c>
      <c r="L135" s="19" t="e">
        <v>#VALUE!</v>
      </c>
      <c r="M135" s="20" t="e">
        <v>#VALUE!</v>
      </c>
      <c r="N135" s="20"/>
      <c r="O135" s="31" t="e">
        <v>#VALUE!</v>
      </c>
      <c r="P135" s="40">
        <v>1083.3729312400001</v>
      </c>
      <c r="Q135" s="41" t="s">
        <v>1631</v>
      </c>
      <c r="R135" s="48" t="e">
        <f t="shared" si="13"/>
        <v>#VALUE!</v>
      </c>
      <c r="S135" s="21">
        <f t="shared" si="14"/>
        <v>0</v>
      </c>
      <c r="T135" s="49" t="e">
        <f t="shared" si="15"/>
        <v>#VALUE!</v>
      </c>
    </row>
    <row r="136" spans="1:20" ht="12.75" hidden="1" customHeight="1">
      <c r="A136" s="58" t="s">
        <v>56</v>
      </c>
      <c r="B136" s="9" t="str">
        <f t="shared" si="12"/>
        <v>RES_201202</v>
      </c>
      <c r="C136" s="9">
        <v>0</v>
      </c>
      <c r="D136" s="9">
        <v>0</v>
      </c>
      <c r="E136" s="59" t="b">
        <v>1</v>
      </c>
      <c r="F136" s="54" t="str">
        <f t="shared" si="11"/>
        <v>Residential</v>
      </c>
      <c r="G136" s="18" t="s">
        <v>153</v>
      </c>
      <c r="H136" s="18" t="s">
        <v>1637</v>
      </c>
      <c r="I136" s="18" t="s">
        <v>160</v>
      </c>
      <c r="J136" s="24">
        <v>2018</v>
      </c>
      <c r="K136" s="30" t="e">
        <v>#VALUE!</v>
      </c>
      <c r="L136" s="19" t="e">
        <v>#VALUE!</v>
      </c>
      <c r="M136" s="20" t="e">
        <v>#VALUE!</v>
      </c>
      <c r="N136" s="20"/>
      <c r="O136" s="31" t="e">
        <v>#VALUE!</v>
      </c>
      <c r="P136" s="40">
        <v>348.34607240000003</v>
      </c>
      <c r="Q136" s="41" t="s">
        <v>1631</v>
      </c>
      <c r="R136" s="48" t="e">
        <f t="shared" si="13"/>
        <v>#VALUE!</v>
      </c>
      <c r="S136" s="21">
        <f t="shared" si="14"/>
        <v>0</v>
      </c>
      <c r="T136" s="49" t="e">
        <f t="shared" si="15"/>
        <v>#VALUE!</v>
      </c>
    </row>
    <row r="137" spans="1:20" ht="12.75" hidden="1" customHeight="1">
      <c r="A137" s="58" t="s">
        <v>57</v>
      </c>
      <c r="B137" s="9" t="str">
        <f t="shared" si="12"/>
        <v>RES_201202</v>
      </c>
      <c r="C137" s="9">
        <v>0</v>
      </c>
      <c r="D137" s="9">
        <v>1</v>
      </c>
      <c r="E137" s="59" t="b">
        <v>1</v>
      </c>
      <c r="F137" s="54" t="str">
        <f t="shared" si="11"/>
        <v>Residential</v>
      </c>
      <c r="G137" s="18" t="s">
        <v>153</v>
      </c>
      <c r="H137" s="18" t="s">
        <v>1638</v>
      </c>
      <c r="I137" s="18" t="s">
        <v>158</v>
      </c>
      <c r="J137" s="24">
        <v>2018</v>
      </c>
      <c r="K137" s="30" t="e">
        <v>#VALUE!</v>
      </c>
      <c r="L137" s="19" t="e">
        <v>#VALUE!</v>
      </c>
      <c r="M137" s="20" t="e">
        <v>#VALUE!</v>
      </c>
      <c r="N137" s="20"/>
      <c r="O137" s="31" t="e">
        <v>#VALUE!</v>
      </c>
      <c r="P137" s="40">
        <v>0</v>
      </c>
      <c r="Q137" s="41" t="s">
        <v>1631</v>
      </c>
      <c r="R137" s="48" t="e">
        <f t="shared" si="13"/>
        <v>#VALUE!</v>
      </c>
      <c r="S137" s="21">
        <f t="shared" si="14"/>
        <v>0</v>
      </c>
      <c r="T137" s="49" t="e">
        <f t="shared" si="15"/>
        <v>#VALUE!</v>
      </c>
    </row>
    <row r="138" spans="1:20" ht="12.75" hidden="1" customHeight="1">
      <c r="A138" s="58" t="s">
        <v>58</v>
      </c>
      <c r="B138" s="9" t="str">
        <f t="shared" si="12"/>
        <v>RES_201202</v>
      </c>
      <c r="C138" s="9">
        <v>0</v>
      </c>
      <c r="D138" s="9">
        <v>0</v>
      </c>
      <c r="E138" s="59" t="b">
        <v>1</v>
      </c>
      <c r="F138" s="54" t="str">
        <f t="shared" si="11"/>
        <v>Residential</v>
      </c>
      <c r="G138" s="18" t="s">
        <v>153</v>
      </c>
      <c r="H138" s="18" t="s">
        <v>1638</v>
      </c>
      <c r="I138" s="18" t="s">
        <v>160</v>
      </c>
      <c r="J138" s="24">
        <v>2018</v>
      </c>
      <c r="K138" s="30" t="e">
        <v>#VALUE!</v>
      </c>
      <c r="L138" s="19" t="e">
        <v>#VALUE!</v>
      </c>
      <c r="M138" s="20" t="e">
        <v>#VALUE!</v>
      </c>
      <c r="N138" s="20"/>
      <c r="O138" s="31" t="e">
        <v>#VALUE!</v>
      </c>
      <c r="P138" s="40">
        <v>469.02860042999998</v>
      </c>
      <c r="Q138" s="41" t="s">
        <v>1631</v>
      </c>
      <c r="R138" s="48" t="e">
        <f t="shared" si="13"/>
        <v>#VALUE!</v>
      </c>
      <c r="S138" s="21">
        <f t="shared" si="14"/>
        <v>0</v>
      </c>
      <c r="T138" s="49" t="e">
        <f t="shared" si="15"/>
        <v>#VALUE!</v>
      </c>
    </row>
    <row r="139" spans="1:20" ht="12.75" hidden="1" customHeight="1">
      <c r="A139" s="58" t="s">
        <v>29</v>
      </c>
      <c r="B139" s="9" t="str">
        <f t="shared" si="12"/>
        <v>COM_201401</v>
      </c>
      <c r="C139" s="9">
        <v>0</v>
      </c>
      <c r="D139" s="9">
        <v>0</v>
      </c>
      <c r="E139" s="59" t="b">
        <v>1</v>
      </c>
      <c r="F139" s="54" t="str">
        <f t="shared" si="11"/>
        <v>Commercial</v>
      </c>
      <c r="G139" s="18" t="s">
        <v>143</v>
      </c>
      <c r="H139" s="18" t="s">
        <v>667</v>
      </c>
      <c r="I139" s="18" t="s">
        <v>668</v>
      </c>
      <c r="J139" s="24">
        <v>2018</v>
      </c>
      <c r="K139" s="30" t="e">
        <v>#VALUE!</v>
      </c>
      <c r="L139" s="19" t="e">
        <v>#VALUE!</v>
      </c>
      <c r="M139" s="20" t="e">
        <v>#VALUE!</v>
      </c>
      <c r="N139" s="20"/>
      <c r="O139" s="31" t="e">
        <v>#VALUE!</v>
      </c>
      <c r="P139" s="40">
        <v>7843317.8330154298</v>
      </c>
      <c r="Q139" s="41" t="s">
        <v>1631</v>
      </c>
      <c r="R139" s="48" t="e">
        <f t="shared" si="13"/>
        <v>#VALUE!</v>
      </c>
      <c r="S139" s="21">
        <f t="shared" si="14"/>
        <v>0</v>
      </c>
      <c r="T139" s="49" t="e">
        <f t="shared" si="15"/>
        <v>#VALUE!</v>
      </c>
    </row>
    <row r="140" spans="1:20" ht="12.75" hidden="1" customHeight="1">
      <c r="A140" s="58" t="s">
        <v>34</v>
      </c>
      <c r="B140" s="9" t="str">
        <f t="shared" si="12"/>
        <v>IND_199902</v>
      </c>
      <c r="C140" s="9">
        <v>0</v>
      </c>
      <c r="D140" s="9">
        <v>0</v>
      </c>
      <c r="E140" s="59" t="b">
        <v>1</v>
      </c>
      <c r="F140" s="54" t="str">
        <f t="shared" si="11"/>
        <v>industrial</v>
      </c>
      <c r="G140" s="18" t="s">
        <v>678</v>
      </c>
      <c r="H140" s="18" t="s">
        <v>679</v>
      </c>
      <c r="I140" s="18" t="s">
        <v>485</v>
      </c>
      <c r="J140" s="24">
        <v>2018</v>
      </c>
      <c r="K140" s="30" t="e">
        <v>#VALUE!</v>
      </c>
      <c r="L140" s="19" t="e">
        <v>#VALUE!</v>
      </c>
      <c r="M140" s="20" t="e">
        <v>#VALUE!</v>
      </c>
      <c r="N140" s="20"/>
      <c r="O140" s="31" t="e">
        <v>#VALUE!</v>
      </c>
      <c r="P140" s="40">
        <v>0</v>
      </c>
      <c r="Q140" s="41" t="s">
        <v>1631</v>
      </c>
      <c r="R140" s="48" t="e">
        <f t="shared" si="13"/>
        <v>#VALUE!</v>
      </c>
      <c r="S140" s="21">
        <f t="shared" si="14"/>
        <v>0</v>
      </c>
      <c r="T140" s="49" t="e">
        <f t="shared" si="15"/>
        <v>#VALUE!</v>
      </c>
    </row>
    <row r="141" spans="1:20" ht="12.75" hidden="1" customHeight="1">
      <c r="A141" s="58" t="s">
        <v>35</v>
      </c>
      <c r="B141" s="9" t="str">
        <f t="shared" si="12"/>
        <v>IND_199902</v>
      </c>
      <c r="C141" s="9">
        <v>0</v>
      </c>
      <c r="D141" s="9">
        <v>0</v>
      </c>
      <c r="E141" s="59" t="b">
        <v>1</v>
      </c>
      <c r="F141" s="54" t="str">
        <f t="shared" si="11"/>
        <v>industrial</v>
      </c>
      <c r="G141" s="18" t="s">
        <v>678</v>
      </c>
      <c r="H141" s="18" t="s">
        <v>680</v>
      </c>
      <c r="I141" s="18" t="s">
        <v>485</v>
      </c>
      <c r="J141" s="24">
        <v>2018</v>
      </c>
      <c r="K141" s="30" t="e">
        <v>#VALUE!</v>
      </c>
      <c r="L141" s="19" t="e">
        <v>#VALUE!</v>
      </c>
      <c r="M141" s="20" t="e">
        <v>#VALUE!</v>
      </c>
      <c r="N141" s="20"/>
      <c r="O141" s="31" t="e">
        <v>#VALUE!</v>
      </c>
      <c r="P141" s="40">
        <v>0</v>
      </c>
      <c r="Q141" s="41" t="s">
        <v>1631</v>
      </c>
      <c r="R141" s="48" t="e">
        <f t="shared" si="13"/>
        <v>#VALUE!</v>
      </c>
      <c r="S141" s="21">
        <f t="shared" si="14"/>
        <v>0</v>
      </c>
      <c r="T141" s="49" t="e">
        <f t="shared" si="15"/>
        <v>#VALUE!</v>
      </c>
    </row>
    <row r="142" spans="1:20" ht="12.75" hidden="1" customHeight="1">
      <c r="A142" s="58" t="s">
        <v>21</v>
      </c>
      <c r="B142" s="9" t="str">
        <f t="shared" si="12"/>
        <v>COM_200202</v>
      </c>
      <c r="C142" s="9">
        <v>1</v>
      </c>
      <c r="D142" s="9">
        <v>0</v>
      </c>
      <c r="E142" s="59" t="b">
        <v>1</v>
      </c>
      <c r="F142" s="54" t="str">
        <f t="shared" si="11"/>
        <v>Commercial</v>
      </c>
      <c r="G142" s="18" t="s">
        <v>138</v>
      </c>
      <c r="H142" s="18" t="s">
        <v>445</v>
      </c>
      <c r="I142" s="18" t="s">
        <v>513</v>
      </c>
      <c r="J142" s="24">
        <v>2018</v>
      </c>
      <c r="K142" s="30" t="e">
        <v>#VALUE!</v>
      </c>
      <c r="L142" s="19" t="e">
        <v>#VALUE!</v>
      </c>
      <c r="M142" s="20" t="e">
        <v>#VALUE!</v>
      </c>
      <c r="N142" s="20"/>
      <c r="O142" s="31" t="e">
        <v>#VALUE!</v>
      </c>
      <c r="P142" s="40">
        <v>0.16466685</v>
      </c>
      <c r="Q142" s="41" t="s">
        <v>1631</v>
      </c>
      <c r="R142" s="48" t="e">
        <f t="shared" si="13"/>
        <v>#VALUE!</v>
      </c>
      <c r="S142" s="21">
        <f t="shared" si="14"/>
        <v>0</v>
      </c>
      <c r="T142" s="49" t="e">
        <f t="shared" si="15"/>
        <v>#VALUE!</v>
      </c>
    </row>
    <row r="143" spans="1:20" ht="12.75" hidden="1" customHeight="1">
      <c r="A143" s="58" t="s">
        <v>22</v>
      </c>
      <c r="B143" s="9" t="str">
        <f t="shared" si="12"/>
        <v>COM_200202</v>
      </c>
      <c r="C143" s="9">
        <v>1</v>
      </c>
      <c r="D143" s="9">
        <v>0</v>
      </c>
      <c r="E143" s="59" t="b">
        <v>1</v>
      </c>
      <c r="F143" s="54" t="str">
        <f t="shared" si="11"/>
        <v>Commercial</v>
      </c>
      <c r="G143" s="18" t="s">
        <v>138</v>
      </c>
      <c r="H143" s="18" t="s">
        <v>453</v>
      </c>
      <c r="I143" s="18" t="s">
        <v>1639</v>
      </c>
      <c r="J143" s="24">
        <v>2018</v>
      </c>
      <c r="K143" s="30" t="e">
        <v>#VALUE!</v>
      </c>
      <c r="L143" s="19" t="e">
        <v>#VALUE!</v>
      </c>
      <c r="M143" s="20" t="e">
        <v>#VALUE!</v>
      </c>
      <c r="N143" s="20"/>
      <c r="O143" s="31" t="e">
        <v>#VALUE!</v>
      </c>
      <c r="P143" s="40">
        <v>0.31790055</v>
      </c>
      <c r="Q143" s="41" t="s">
        <v>1631</v>
      </c>
      <c r="R143" s="48" t="e">
        <f t="shared" si="13"/>
        <v>#VALUE!</v>
      </c>
      <c r="S143" s="21">
        <f t="shared" si="14"/>
        <v>0</v>
      </c>
      <c r="T143" s="49" t="e">
        <f t="shared" si="15"/>
        <v>#VALUE!</v>
      </c>
    </row>
    <row r="144" spans="1:20" ht="12.75" hidden="1" customHeight="1">
      <c r="A144" s="58" t="s">
        <v>23</v>
      </c>
      <c r="B144" s="9" t="str">
        <f t="shared" si="12"/>
        <v>COM_200202</v>
      </c>
      <c r="C144" s="9">
        <v>1</v>
      </c>
      <c r="D144" s="9">
        <v>0</v>
      </c>
      <c r="E144" s="59" t="b">
        <v>1</v>
      </c>
      <c r="F144" s="54" t="str">
        <f t="shared" si="11"/>
        <v>Commercial</v>
      </c>
      <c r="G144" s="18" t="s">
        <v>138</v>
      </c>
      <c r="H144" s="18" t="s">
        <v>459</v>
      </c>
      <c r="I144" s="18" t="s">
        <v>528</v>
      </c>
      <c r="J144" s="24">
        <v>2018</v>
      </c>
      <c r="K144" s="30" t="e">
        <v>#VALUE!</v>
      </c>
      <c r="L144" s="19" t="e">
        <v>#VALUE!</v>
      </c>
      <c r="M144" s="20" t="e">
        <v>#VALUE!</v>
      </c>
      <c r="N144" s="20"/>
      <c r="O144" s="31" t="e">
        <v>#VALUE!</v>
      </c>
      <c r="P144" s="40">
        <v>0.20878674999999999</v>
      </c>
      <c r="Q144" s="41" t="s">
        <v>1631</v>
      </c>
      <c r="R144" s="48" t="e">
        <f t="shared" si="13"/>
        <v>#VALUE!</v>
      </c>
      <c r="S144" s="21">
        <f t="shared" si="14"/>
        <v>0</v>
      </c>
      <c r="T144" s="49" t="e">
        <f t="shared" si="15"/>
        <v>#VALUE!</v>
      </c>
    </row>
    <row r="145" spans="1:20" ht="12.75" hidden="1" customHeight="1">
      <c r="A145" s="58" t="s">
        <v>24</v>
      </c>
      <c r="B145" s="9" t="str">
        <f t="shared" si="12"/>
        <v>COM_200202</v>
      </c>
      <c r="C145" s="9">
        <v>1</v>
      </c>
      <c r="D145" s="9">
        <v>0</v>
      </c>
      <c r="E145" s="59" t="b">
        <v>1</v>
      </c>
      <c r="F145" s="54" t="str">
        <f t="shared" ref="F145:F150" si="16">IF(LEFT(A145,3)="Res","Residential",IF(LEFT(A145,3)="Ind","industrial",IF(LEFT(A145,3)="Com","Commercial",IF(LEFT(A145,3)="AGR","Agriculture",""))))</f>
        <v>Commercial</v>
      </c>
      <c r="G145" s="18" t="s">
        <v>138</v>
      </c>
      <c r="H145" s="18" t="s">
        <v>478</v>
      </c>
      <c r="I145" s="18" t="s">
        <v>1640</v>
      </c>
      <c r="J145" s="24">
        <v>2018</v>
      </c>
      <c r="K145" s="30" t="e">
        <v>#VALUE!</v>
      </c>
      <c r="L145" s="19" t="e">
        <v>#VALUE!</v>
      </c>
      <c r="M145" s="20" t="e">
        <v>#VALUE!</v>
      </c>
      <c r="N145" s="20"/>
      <c r="O145" s="31" t="e">
        <v>#VALUE!</v>
      </c>
      <c r="P145" s="40">
        <v>0.16850598999999999</v>
      </c>
      <c r="Q145" s="41" t="s">
        <v>1631</v>
      </c>
      <c r="R145" s="48" t="e">
        <f t="shared" si="13"/>
        <v>#VALUE!</v>
      </c>
      <c r="S145" s="21">
        <f t="shared" si="14"/>
        <v>0</v>
      </c>
      <c r="T145" s="49" t="e">
        <f t="shared" si="15"/>
        <v>#VALUE!</v>
      </c>
    </row>
    <row r="146" spans="1:20" ht="12.75" hidden="1" customHeight="1">
      <c r="A146" s="60" t="s">
        <v>72</v>
      </c>
      <c r="B146" s="9" t="str">
        <f t="shared" si="12"/>
        <v>RES_200601</v>
      </c>
      <c r="C146" s="9">
        <v>1</v>
      </c>
      <c r="D146" s="9">
        <v>0</v>
      </c>
      <c r="E146" s="59" t="b">
        <v>1</v>
      </c>
      <c r="F146" s="54" t="str">
        <f t="shared" si="16"/>
        <v>Residential</v>
      </c>
      <c r="G146" s="18" t="s">
        <v>150</v>
      </c>
      <c r="H146" s="18" t="s">
        <v>480</v>
      </c>
      <c r="I146" s="18" t="s">
        <v>538</v>
      </c>
      <c r="J146" s="24">
        <v>2018</v>
      </c>
      <c r="K146" s="30" t="e">
        <v>#VALUE!</v>
      </c>
      <c r="L146" s="19" t="e">
        <v>#VALUE!</v>
      </c>
      <c r="M146" s="20" t="e">
        <v>#VALUE!</v>
      </c>
      <c r="N146" s="20"/>
      <c r="O146" s="31" t="e">
        <v>#VALUE!</v>
      </c>
      <c r="P146" s="40">
        <v>379.04190051</v>
      </c>
      <c r="Q146" s="41" t="s">
        <v>1631</v>
      </c>
      <c r="R146" s="48" t="e">
        <f t="shared" si="13"/>
        <v>#VALUE!</v>
      </c>
      <c r="S146" s="21">
        <f t="shared" si="14"/>
        <v>0</v>
      </c>
      <c r="T146" s="49" t="e">
        <f t="shared" si="15"/>
        <v>#VALUE!</v>
      </c>
    </row>
    <row r="147" spans="1:20" ht="12.75" hidden="1" customHeight="1">
      <c r="A147" s="60" t="s">
        <v>73</v>
      </c>
      <c r="B147" s="9" t="str">
        <f t="shared" si="12"/>
        <v>RES_200601</v>
      </c>
      <c r="C147" s="9">
        <v>1</v>
      </c>
      <c r="D147" s="9">
        <v>0</v>
      </c>
      <c r="E147" s="59" t="b">
        <v>1</v>
      </c>
      <c r="F147" s="54" t="str">
        <f t="shared" si="16"/>
        <v>Residential</v>
      </c>
      <c r="G147" s="18" t="s">
        <v>150</v>
      </c>
      <c r="H147" s="18" t="s">
        <v>480</v>
      </c>
      <c r="I147" s="18" t="s">
        <v>539</v>
      </c>
      <c r="J147" s="24">
        <v>2018</v>
      </c>
      <c r="K147" s="30" t="e">
        <v>#VALUE!</v>
      </c>
      <c r="L147" s="19" t="e">
        <v>#VALUE!</v>
      </c>
      <c r="M147" s="20" t="e">
        <v>#VALUE!</v>
      </c>
      <c r="N147" s="20"/>
      <c r="O147" s="31" t="e">
        <v>#VALUE!</v>
      </c>
      <c r="P147" s="40">
        <v>653.46374700000001</v>
      </c>
      <c r="Q147" s="41" t="s">
        <v>1631</v>
      </c>
      <c r="R147" s="48" t="e">
        <f t="shared" si="13"/>
        <v>#VALUE!</v>
      </c>
      <c r="S147" s="21">
        <f t="shared" si="14"/>
        <v>0</v>
      </c>
      <c r="T147" s="49" t="e">
        <f t="shared" si="15"/>
        <v>#VALUE!</v>
      </c>
    </row>
    <row r="148" spans="1:20" ht="12.75" hidden="1" customHeight="1">
      <c r="A148" s="60" t="s">
        <v>74</v>
      </c>
      <c r="B148" s="9" t="str">
        <f t="shared" si="12"/>
        <v>RES_200601</v>
      </c>
      <c r="C148" s="9">
        <v>1</v>
      </c>
      <c r="D148" s="9">
        <v>0</v>
      </c>
      <c r="E148" s="59" t="b">
        <v>1</v>
      </c>
      <c r="F148" s="54" t="str">
        <f t="shared" si="16"/>
        <v>Residential</v>
      </c>
      <c r="G148" s="18" t="s">
        <v>150</v>
      </c>
      <c r="H148" s="18" t="s">
        <v>447</v>
      </c>
      <c r="I148" s="18" t="s">
        <v>1641</v>
      </c>
      <c r="J148" s="24">
        <v>2018</v>
      </c>
      <c r="K148" s="30" t="e">
        <v>#VALUE!</v>
      </c>
      <c r="L148" s="19" t="e">
        <v>#VALUE!</v>
      </c>
      <c r="M148" s="20" t="e">
        <v>#VALUE!</v>
      </c>
      <c r="N148" s="20"/>
      <c r="O148" s="31" t="e">
        <v>#VALUE!</v>
      </c>
      <c r="P148" s="40">
        <v>1045.09411615</v>
      </c>
      <c r="Q148" s="41" t="s">
        <v>1631</v>
      </c>
      <c r="R148" s="48" t="e">
        <f t="shared" si="13"/>
        <v>#VALUE!</v>
      </c>
      <c r="S148" s="21">
        <f t="shared" si="14"/>
        <v>0</v>
      </c>
      <c r="T148" s="49" t="e">
        <f t="shared" si="15"/>
        <v>#VALUE!</v>
      </c>
    </row>
    <row r="149" spans="1:20" ht="12.75" hidden="1" customHeight="1">
      <c r="A149" s="60" t="s">
        <v>75</v>
      </c>
      <c r="B149" s="9" t="str">
        <f t="shared" si="12"/>
        <v>RES_200601</v>
      </c>
      <c r="C149" s="9">
        <v>1</v>
      </c>
      <c r="D149" s="9">
        <v>0</v>
      </c>
      <c r="E149" s="59" t="b">
        <v>1</v>
      </c>
      <c r="F149" s="54" t="str">
        <f t="shared" si="16"/>
        <v>Residential</v>
      </c>
      <c r="G149" s="18" t="s">
        <v>150</v>
      </c>
      <c r="H149" s="18" t="s">
        <v>455</v>
      </c>
      <c r="I149" s="18" t="s">
        <v>508</v>
      </c>
      <c r="J149" s="24">
        <v>2018</v>
      </c>
      <c r="K149" s="30" t="e">
        <v>#VALUE!</v>
      </c>
      <c r="L149" s="19" t="e">
        <v>#VALUE!</v>
      </c>
      <c r="M149" s="20" t="e">
        <v>#VALUE!</v>
      </c>
      <c r="N149" s="20"/>
      <c r="O149" s="31" t="e">
        <v>#VALUE!</v>
      </c>
      <c r="P149" s="40">
        <v>579</v>
      </c>
      <c r="Q149" s="41" t="s">
        <v>1631</v>
      </c>
      <c r="R149" s="48" t="e">
        <f t="shared" si="13"/>
        <v>#VALUE!</v>
      </c>
      <c r="S149" s="21">
        <f t="shared" si="14"/>
        <v>0</v>
      </c>
      <c r="T149" s="49" t="e">
        <f t="shared" si="15"/>
        <v>#VALUE!</v>
      </c>
    </row>
    <row r="150" spans="1:20" ht="12.75" customHeight="1">
      <c r="A150" s="58" t="s">
        <v>122</v>
      </c>
      <c r="B150" s="9" t="str">
        <f t="shared" si="12"/>
        <v>COM_201304</v>
      </c>
      <c r="C150" s="9">
        <v>0</v>
      </c>
      <c r="D150" s="9">
        <v>1</v>
      </c>
      <c r="E150" s="59" t="b">
        <v>1</v>
      </c>
      <c r="F150" s="54" t="str">
        <f t="shared" si="16"/>
        <v>Commercial</v>
      </c>
      <c r="G150" s="18" t="s">
        <v>142</v>
      </c>
      <c r="H150" s="18" t="s">
        <v>1233</v>
      </c>
      <c r="I150" s="18" t="s">
        <v>484</v>
      </c>
      <c r="J150" s="24">
        <v>2018</v>
      </c>
      <c r="K150" s="30" t="e">
        <v>#VALUE!</v>
      </c>
      <c r="L150" s="19" t="e">
        <v>#VALUE!</v>
      </c>
      <c r="M150" s="20" t="e">
        <v>#VALUE!</v>
      </c>
      <c r="N150" s="20"/>
      <c r="O150" s="31" t="e">
        <v>#VALUE!</v>
      </c>
      <c r="P150" s="40">
        <v>8760000</v>
      </c>
      <c r="Q150" s="41"/>
      <c r="R150" s="48" t="e">
        <f t="shared" si="13"/>
        <v>#VALUE!</v>
      </c>
      <c r="S150" s="21">
        <f t="shared" si="14"/>
        <v>0</v>
      </c>
      <c r="T150" s="49" t="e">
        <f t="shared" si="15"/>
        <v>#VALUE!</v>
      </c>
    </row>
    <row r="151" spans="1:20" ht="12.75" hidden="1" customHeight="1">
      <c r="A151" s="58" t="s">
        <v>32</v>
      </c>
      <c r="B151" s="9" t="str">
        <f t="shared" si="12"/>
        <v>Com_201405</v>
      </c>
      <c r="C151" s="9">
        <v>0</v>
      </c>
      <c r="D151" s="9">
        <v>0</v>
      </c>
      <c r="E151" s="59" t="b">
        <v>1</v>
      </c>
      <c r="F151" s="54" t="s">
        <v>33</v>
      </c>
      <c r="G151" s="18" t="s">
        <v>145</v>
      </c>
      <c r="H151" s="18" t="s">
        <v>448</v>
      </c>
      <c r="I151" s="18" t="s">
        <v>485</v>
      </c>
      <c r="J151" s="24">
        <v>2018</v>
      </c>
      <c r="K151" s="30" t="e">
        <v>#VALUE!</v>
      </c>
      <c r="L151" s="19" t="e">
        <v>#VALUE!</v>
      </c>
      <c r="M151" s="20" t="e">
        <v>#VALUE!</v>
      </c>
      <c r="N151" s="20"/>
      <c r="O151" s="31" t="e">
        <v>#VALUE!</v>
      </c>
      <c r="P151" s="40">
        <v>8760000</v>
      </c>
      <c r="Q151" s="41"/>
      <c r="R151" s="48" t="e">
        <f t="shared" si="13"/>
        <v>#VALUE!</v>
      </c>
      <c r="S151" s="21">
        <f t="shared" si="14"/>
        <v>0</v>
      </c>
      <c r="T151" s="49" t="e">
        <f t="shared" si="15"/>
        <v>#VALUE!</v>
      </c>
    </row>
    <row r="152" spans="1:20" ht="12.75" hidden="1" customHeight="1">
      <c r="A152" s="58" t="s">
        <v>30</v>
      </c>
      <c r="B152" s="9" t="str">
        <f t="shared" si="12"/>
        <v>COM_201403</v>
      </c>
      <c r="C152" s="9">
        <v>0</v>
      </c>
      <c r="D152" s="9">
        <v>0</v>
      </c>
      <c r="E152" s="59" t="b">
        <v>1</v>
      </c>
      <c r="F152" s="54" t="str">
        <f t="shared" ref="F152:F183" si="17">IF(LEFT(A152,3)="Res","Residential",IF(LEFT(A152,3)="Ind","industrial",IF(LEFT(A152,3)="Com","Commercial",IF(LEFT(A152,3)="AGR","Agriculture",""))))</f>
        <v>Commercial</v>
      </c>
      <c r="G152" s="18" t="s">
        <v>144</v>
      </c>
      <c r="H152" s="18" t="s">
        <v>473</v>
      </c>
      <c r="I152" s="18" t="s">
        <v>158</v>
      </c>
      <c r="J152" s="24">
        <v>2018</v>
      </c>
      <c r="K152" s="30" t="e">
        <v>#VALUE!</v>
      </c>
      <c r="L152" s="19" t="e">
        <v>#VALUE!</v>
      </c>
      <c r="M152" s="20" t="e">
        <v>#VALUE!</v>
      </c>
      <c r="N152" s="20"/>
      <c r="O152" s="31" t="e">
        <v>#VALUE!</v>
      </c>
      <c r="P152" s="40">
        <v>3.52248743</v>
      </c>
      <c r="Q152" s="41" t="s">
        <v>1631</v>
      </c>
      <c r="R152" s="48" t="e">
        <f t="shared" si="13"/>
        <v>#VALUE!</v>
      </c>
      <c r="S152" s="21">
        <f t="shared" si="14"/>
        <v>0</v>
      </c>
      <c r="T152" s="49" t="e">
        <f t="shared" si="15"/>
        <v>#VALUE!</v>
      </c>
    </row>
    <row r="153" spans="1:20" ht="12.75" hidden="1" customHeight="1">
      <c r="A153" s="58" t="s">
        <v>31</v>
      </c>
      <c r="B153" s="9" t="str">
        <f t="shared" si="12"/>
        <v>COM_201403</v>
      </c>
      <c r="C153" s="9">
        <v>0</v>
      </c>
      <c r="D153" s="9">
        <v>0</v>
      </c>
      <c r="E153" s="59" t="b">
        <v>1</v>
      </c>
      <c r="F153" s="54" t="str">
        <f t="shared" si="17"/>
        <v>Commercial</v>
      </c>
      <c r="G153" s="18" t="s">
        <v>144</v>
      </c>
      <c r="H153" s="18" t="s">
        <v>471</v>
      </c>
      <c r="I153" s="18" t="s">
        <v>158</v>
      </c>
      <c r="J153" s="24">
        <v>2018</v>
      </c>
      <c r="K153" s="30" t="e">
        <v>#VALUE!</v>
      </c>
      <c r="L153" s="19" t="e">
        <v>#VALUE!</v>
      </c>
      <c r="M153" s="20" t="e">
        <v>#VALUE!</v>
      </c>
      <c r="N153" s="20"/>
      <c r="O153" s="31" t="e">
        <v>#VALUE!</v>
      </c>
      <c r="P153" s="40">
        <v>-11.234745520000001</v>
      </c>
      <c r="Q153" s="41" t="s">
        <v>1631</v>
      </c>
      <c r="R153" s="48" t="e">
        <f t="shared" si="13"/>
        <v>#VALUE!</v>
      </c>
      <c r="S153" s="21">
        <f t="shared" si="14"/>
        <v>0</v>
      </c>
      <c r="T153" s="49" t="e">
        <f t="shared" si="15"/>
        <v>#VALUE!</v>
      </c>
    </row>
    <row r="154" spans="1:20" ht="12.75" hidden="1" customHeight="1">
      <c r="A154" s="58" t="s">
        <v>93</v>
      </c>
      <c r="B154" s="9" t="str">
        <f t="shared" si="12"/>
        <v>COM_201403</v>
      </c>
      <c r="C154" s="9">
        <v>0</v>
      </c>
      <c r="D154" s="9">
        <v>0</v>
      </c>
      <c r="E154" s="59" t="b">
        <v>1</v>
      </c>
      <c r="F154" s="54" t="str">
        <f t="shared" si="17"/>
        <v>Commercial</v>
      </c>
      <c r="G154" s="18" t="s">
        <v>144</v>
      </c>
      <c r="H154" s="18" t="s">
        <v>474</v>
      </c>
      <c r="I154" s="18" t="s">
        <v>158</v>
      </c>
      <c r="J154" s="24">
        <v>2018</v>
      </c>
      <c r="K154" s="30" t="e">
        <v>#VALUE!</v>
      </c>
      <c r="L154" s="19" t="e">
        <v>#VALUE!</v>
      </c>
      <c r="M154" s="20" t="e">
        <v>#VALUE!</v>
      </c>
      <c r="N154" s="20"/>
      <c r="O154" s="31" t="e">
        <v>#VALUE!</v>
      </c>
      <c r="P154" s="40">
        <v>3.52248743</v>
      </c>
      <c r="Q154" s="41"/>
      <c r="R154" s="48" t="e">
        <f t="shared" si="13"/>
        <v>#VALUE!</v>
      </c>
      <c r="S154" s="21">
        <f t="shared" si="14"/>
        <v>0</v>
      </c>
      <c r="T154" s="49" t="e">
        <f t="shared" si="15"/>
        <v>#VALUE!</v>
      </c>
    </row>
    <row r="155" spans="1:20" ht="12.75" hidden="1" customHeight="1">
      <c r="A155" s="58" t="s">
        <v>94</v>
      </c>
      <c r="B155" s="9" t="str">
        <f t="shared" si="12"/>
        <v>COM_201403</v>
      </c>
      <c r="C155" s="9">
        <v>0</v>
      </c>
      <c r="D155" s="9">
        <v>0</v>
      </c>
      <c r="E155" s="59" t="b">
        <v>1</v>
      </c>
      <c r="F155" s="54" t="str">
        <f t="shared" si="17"/>
        <v>Commercial</v>
      </c>
      <c r="G155" s="18" t="s">
        <v>144</v>
      </c>
      <c r="H155" s="18" t="s">
        <v>472</v>
      </c>
      <c r="I155" s="18" t="s">
        <v>158</v>
      </c>
      <c r="J155" s="24">
        <v>2018</v>
      </c>
      <c r="K155" s="30" t="e">
        <v>#VALUE!</v>
      </c>
      <c r="L155" s="19" t="e">
        <v>#VALUE!</v>
      </c>
      <c r="M155" s="20" t="e">
        <v>#VALUE!</v>
      </c>
      <c r="N155" s="20"/>
      <c r="O155" s="31" t="e">
        <v>#VALUE!</v>
      </c>
      <c r="P155" s="40">
        <v>-11.234745520000001</v>
      </c>
      <c r="Q155" s="41"/>
      <c r="R155" s="48" t="e">
        <f t="shared" si="13"/>
        <v>#VALUE!</v>
      </c>
      <c r="S155" s="21">
        <f t="shared" si="14"/>
        <v>0</v>
      </c>
      <c r="T155" s="49" t="e">
        <f t="shared" si="15"/>
        <v>#VALUE!</v>
      </c>
    </row>
    <row r="156" spans="1:20" ht="12.75" hidden="1" customHeight="1">
      <c r="A156" s="58" t="s">
        <v>104</v>
      </c>
      <c r="B156" s="9" t="str">
        <f t="shared" si="12"/>
        <v>COM_201403</v>
      </c>
      <c r="C156" s="9">
        <v>0</v>
      </c>
      <c r="D156" s="9">
        <v>0</v>
      </c>
      <c r="E156" s="59" t="b">
        <v>1</v>
      </c>
      <c r="F156" s="54" t="str">
        <f t="shared" si="17"/>
        <v>Commercial</v>
      </c>
      <c r="G156" s="18" t="s">
        <v>144</v>
      </c>
      <c r="H156" s="18" t="s">
        <v>474</v>
      </c>
      <c r="I156" s="18" t="s">
        <v>1642</v>
      </c>
      <c r="J156" s="24">
        <v>2018</v>
      </c>
      <c r="K156" s="30" t="e">
        <v>#VALUE!</v>
      </c>
      <c r="L156" s="19" t="e">
        <v>#VALUE!</v>
      </c>
      <c r="M156" s="20" t="e">
        <v>#VALUE!</v>
      </c>
      <c r="N156" s="20"/>
      <c r="O156" s="31" t="e">
        <v>#VALUE!</v>
      </c>
      <c r="P156" s="40">
        <v>0</v>
      </c>
      <c r="Q156" s="41"/>
      <c r="R156" s="48" t="e">
        <f t="shared" si="13"/>
        <v>#VALUE!</v>
      </c>
      <c r="S156" s="21">
        <f t="shared" si="14"/>
        <v>0</v>
      </c>
      <c r="T156" s="49" t="e">
        <f t="shared" si="15"/>
        <v>#VALUE!</v>
      </c>
    </row>
    <row r="157" spans="1:20" ht="12.75" hidden="1" customHeight="1">
      <c r="A157" s="58" t="s">
        <v>105</v>
      </c>
      <c r="B157" s="9" t="str">
        <f t="shared" si="12"/>
        <v>COM_201403</v>
      </c>
      <c r="C157" s="9">
        <v>0</v>
      </c>
      <c r="D157" s="9">
        <v>0</v>
      </c>
      <c r="E157" s="59" t="b">
        <v>1</v>
      </c>
      <c r="F157" s="54" t="str">
        <f t="shared" si="17"/>
        <v>Commercial</v>
      </c>
      <c r="G157" s="18" t="s">
        <v>144</v>
      </c>
      <c r="H157" s="18" t="s">
        <v>472</v>
      </c>
      <c r="I157" s="18" t="s">
        <v>1642</v>
      </c>
      <c r="J157" s="24">
        <v>2018</v>
      </c>
      <c r="K157" s="30" t="e">
        <v>#VALUE!</v>
      </c>
      <c r="L157" s="19" t="e">
        <v>#VALUE!</v>
      </c>
      <c r="M157" s="20" t="e">
        <v>#VALUE!</v>
      </c>
      <c r="N157" s="20"/>
      <c r="O157" s="31" t="e">
        <v>#VALUE!</v>
      </c>
      <c r="P157" s="40">
        <v>0</v>
      </c>
      <c r="Q157" s="41"/>
      <c r="R157" s="48" t="e">
        <f t="shared" si="13"/>
        <v>#VALUE!</v>
      </c>
      <c r="S157" s="21">
        <f t="shared" si="14"/>
        <v>0</v>
      </c>
      <c r="T157" s="49" t="e">
        <f t="shared" si="15"/>
        <v>#VALUE!</v>
      </c>
    </row>
    <row r="158" spans="1:20" ht="12.75" hidden="1" customHeight="1">
      <c r="A158" s="58" t="s">
        <v>112</v>
      </c>
      <c r="B158" s="9" t="str">
        <f t="shared" si="12"/>
        <v>COM_201403</v>
      </c>
      <c r="C158" s="9">
        <v>0</v>
      </c>
      <c r="D158" s="9">
        <v>0</v>
      </c>
      <c r="E158" s="59" t="b">
        <v>1</v>
      </c>
      <c r="F158" s="54" t="str">
        <f t="shared" si="17"/>
        <v>Commercial</v>
      </c>
      <c r="G158" s="18" t="s">
        <v>144</v>
      </c>
      <c r="H158" s="18" t="s">
        <v>473</v>
      </c>
      <c r="I158" s="18" t="s">
        <v>1642</v>
      </c>
      <c r="J158" s="24">
        <v>2018</v>
      </c>
      <c r="K158" s="30" t="e">
        <v>#VALUE!</v>
      </c>
      <c r="L158" s="19" t="e">
        <v>#VALUE!</v>
      </c>
      <c r="M158" s="20" t="e">
        <v>#VALUE!</v>
      </c>
      <c r="N158" s="20"/>
      <c r="O158" s="31" t="e">
        <v>#VALUE!</v>
      </c>
      <c r="P158" s="40">
        <v>0</v>
      </c>
      <c r="Q158" s="41"/>
      <c r="R158" s="48" t="e">
        <f t="shared" si="13"/>
        <v>#VALUE!</v>
      </c>
      <c r="S158" s="21">
        <f t="shared" si="14"/>
        <v>0</v>
      </c>
      <c r="T158" s="49" t="e">
        <f t="shared" si="15"/>
        <v>#VALUE!</v>
      </c>
    </row>
    <row r="159" spans="1:20" ht="12.75" hidden="1" customHeight="1">
      <c r="A159" s="58" t="s">
        <v>113</v>
      </c>
      <c r="B159" s="9" t="str">
        <f t="shared" si="12"/>
        <v>COM_201403</v>
      </c>
      <c r="C159" s="9">
        <v>0</v>
      </c>
      <c r="D159" s="9">
        <v>0</v>
      </c>
      <c r="E159" s="59" t="b">
        <v>1</v>
      </c>
      <c r="F159" s="54" t="str">
        <f t="shared" si="17"/>
        <v>Commercial</v>
      </c>
      <c r="G159" s="18" t="s">
        <v>144</v>
      </c>
      <c r="H159" s="18" t="s">
        <v>471</v>
      </c>
      <c r="I159" s="18" t="s">
        <v>1642</v>
      </c>
      <c r="J159" s="24">
        <v>2018</v>
      </c>
      <c r="K159" s="30" t="e">
        <v>#VALUE!</v>
      </c>
      <c r="L159" s="19" t="e">
        <v>#VALUE!</v>
      </c>
      <c r="M159" s="20" t="e">
        <v>#VALUE!</v>
      </c>
      <c r="N159" s="20"/>
      <c r="O159" s="31" t="e">
        <v>#VALUE!</v>
      </c>
      <c r="P159" s="40">
        <v>0</v>
      </c>
      <c r="Q159" s="41"/>
      <c r="R159" s="48" t="e">
        <f t="shared" si="13"/>
        <v>#VALUE!</v>
      </c>
      <c r="S159" s="21">
        <f t="shared" si="14"/>
        <v>0</v>
      </c>
      <c r="T159" s="49" t="e">
        <f t="shared" si="15"/>
        <v>#VALUE!</v>
      </c>
    </row>
    <row r="160" spans="1:20" ht="12.75" hidden="1" customHeight="1">
      <c r="A160" s="58" t="s">
        <v>45</v>
      </c>
      <c r="B160" s="9" t="str">
        <f t="shared" si="12"/>
        <v>RES_199703</v>
      </c>
      <c r="C160" s="9">
        <v>0</v>
      </c>
      <c r="D160" s="9">
        <v>0</v>
      </c>
      <c r="E160" s="59" t="b">
        <v>1</v>
      </c>
      <c r="F160" s="54" t="str">
        <f t="shared" si="17"/>
        <v>Residential</v>
      </c>
      <c r="G160" s="18" t="s">
        <v>149</v>
      </c>
      <c r="H160" s="18" t="s">
        <v>1074</v>
      </c>
      <c r="I160" s="18" t="s">
        <v>158</v>
      </c>
      <c r="J160" s="24">
        <v>2018</v>
      </c>
      <c r="K160" s="30" t="e">
        <v>#VALUE!</v>
      </c>
      <c r="L160" s="19" t="e">
        <v>#VALUE!</v>
      </c>
      <c r="M160" s="20" t="e">
        <v>#VALUE!</v>
      </c>
      <c r="N160" s="20"/>
      <c r="O160" s="31" t="e">
        <v>#VALUE!</v>
      </c>
      <c r="P160" s="40">
        <v>8.1375121000000004</v>
      </c>
      <c r="Q160" s="41" t="s">
        <v>1631</v>
      </c>
      <c r="R160" s="48" t="e">
        <f t="shared" si="13"/>
        <v>#VALUE!</v>
      </c>
      <c r="S160" s="21">
        <f t="shared" si="14"/>
        <v>0</v>
      </c>
      <c r="T160" s="49" t="e">
        <f t="shared" si="15"/>
        <v>#VALUE!</v>
      </c>
    </row>
    <row r="161" spans="1:20" ht="12.75" hidden="1" customHeight="1">
      <c r="A161" s="58" t="s">
        <v>46</v>
      </c>
      <c r="B161" s="9" t="str">
        <f t="shared" si="12"/>
        <v>RES_199703</v>
      </c>
      <c r="C161" s="9">
        <v>0</v>
      </c>
      <c r="D161" s="9">
        <v>0</v>
      </c>
      <c r="E161" s="59" t="b">
        <v>1</v>
      </c>
      <c r="F161" s="54" t="str">
        <f t="shared" si="17"/>
        <v>Residential</v>
      </c>
      <c r="G161" s="18" t="s">
        <v>149</v>
      </c>
      <c r="H161" s="18" t="s">
        <v>1075</v>
      </c>
      <c r="I161" s="18" t="s">
        <v>158</v>
      </c>
      <c r="J161" s="24">
        <v>2018</v>
      </c>
      <c r="K161" s="30" t="e">
        <v>#VALUE!</v>
      </c>
      <c r="L161" s="19" t="e">
        <v>#VALUE!</v>
      </c>
      <c r="M161" s="20" t="e">
        <v>#VALUE!</v>
      </c>
      <c r="N161" s="20"/>
      <c r="O161" s="31" t="e">
        <v>#VALUE!</v>
      </c>
      <c r="P161" s="40">
        <v>12.24773081</v>
      </c>
      <c r="Q161" s="41" t="s">
        <v>1631</v>
      </c>
      <c r="R161" s="48" t="e">
        <f t="shared" si="13"/>
        <v>#VALUE!</v>
      </c>
      <c r="S161" s="21">
        <f t="shared" si="14"/>
        <v>0</v>
      </c>
      <c r="T161" s="49" t="e">
        <f t="shared" si="15"/>
        <v>#VALUE!</v>
      </c>
    </row>
    <row r="162" spans="1:20" ht="12.75" hidden="1" customHeight="1">
      <c r="A162" s="58" t="s">
        <v>102</v>
      </c>
      <c r="B162" s="9" t="str">
        <f t="shared" si="12"/>
        <v>RES_199703</v>
      </c>
      <c r="C162" s="9">
        <v>0</v>
      </c>
      <c r="D162" s="9">
        <v>0</v>
      </c>
      <c r="E162" s="59" t="b">
        <v>1</v>
      </c>
      <c r="F162" s="54" t="str">
        <f t="shared" si="17"/>
        <v>Residential</v>
      </c>
      <c r="G162" s="18" t="s">
        <v>149</v>
      </c>
      <c r="H162" s="18" t="s">
        <v>449</v>
      </c>
      <c r="I162" s="18" t="s">
        <v>158</v>
      </c>
      <c r="J162" s="24">
        <v>2018</v>
      </c>
      <c r="K162" s="30" t="e">
        <v>#VALUE!</v>
      </c>
      <c r="L162" s="19" t="e">
        <v>#VALUE!</v>
      </c>
      <c r="M162" s="20" t="e">
        <v>#VALUE!</v>
      </c>
      <c r="N162" s="20"/>
      <c r="O162" s="31" t="e">
        <v>#VALUE!</v>
      </c>
      <c r="P162" s="40">
        <v>12.982452759999999</v>
      </c>
      <c r="Q162" s="41"/>
      <c r="R162" s="48" t="e">
        <f t="shared" si="13"/>
        <v>#VALUE!</v>
      </c>
      <c r="S162" s="21">
        <f t="shared" si="14"/>
        <v>0</v>
      </c>
      <c r="T162" s="49" t="e">
        <f t="shared" si="15"/>
        <v>#VALUE!</v>
      </c>
    </row>
    <row r="163" spans="1:20" ht="12.75" hidden="1" customHeight="1">
      <c r="A163" s="58" t="s">
        <v>103</v>
      </c>
      <c r="B163" s="9" t="str">
        <f t="shared" si="12"/>
        <v>RES_199703</v>
      </c>
      <c r="C163" s="9">
        <v>0</v>
      </c>
      <c r="D163" s="9">
        <v>0</v>
      </c>
      <c r="E163" s="59" t="b">
        <v>1</v>
      </c>
      <c r="F163" s="54" t="str">
        <f t="shared" si="17"/>
        <v>Residential</v>
      </c>
      <c r="G163" s="18" t="s">
        <v>149</v>
      </c>
      <c r="H163" s="18" t="s">
        <v>450</v>
      </c>
      <c r="I163" s="18" t="s">
        <v>158</v>
      </c>
      <c r="J163" s="24">
        <v>2018</v>
      </c>
      <c r="K163" s="30" t="e">
        <v>#VALUE!</v>
      </c>
      <c r="L163" s="19" t="e">
        <v>#VALUE!</v>
      </c>
      <c r="M163" s="20" t="e">
        <v>#VALUE!</v>
      </c>
      <c r="N163" s="20"/>
      <c r="O163" s="31" t="e">
        <v>#VALUE!</v>
      </c>
      <c r="P163" s="40">
        <v>17.010642990000001</v>
      </c>
      <c r="Q163" s="41"/>
      <c r="R163" s="48" t="e">
        <f t="shared" si="13"/>
        <v>#VALUE!</v>
      </c>
      <c r="S163" s="21">
        <f t="shared" si="14"/>
        <v>0</v>
      </c>
      <c r="T163" s="49" t="e">
        <f t="shared" si="15"/>
        <v>#VALUE!</v>
      </c>
    </row>
    <row r="164" spans="1:20" ht="12.75" hidden="1" customHeight="1">
      <c r="A164" s="58" t="s">
        <v>59</v>
      </c>
      <c r="B164" s="9" t="str">
        <f t="shared" si="12"/>
        <v>RES_201301</v>
      </c>
      <c r="C164" s="9">
        <v>0</v>
      </c>
      <c r="D164" s="9">
        <v>0</v>
      </c>
      <c r="E164" s="59" t="b">
        <v>1</v>
      </c>
      <c r="F164" s="54" t="str">
        <f t="shared" si="17"/>
        <v>Residential</v>
      </c>
      <c r="G164" s="18" t="s">
        <v>154</v>
      </c>
      <c r="H164" s="18" t="s">
        <v>460</v>
      </c>
      <c r="I164" s="18" t="s">
        <v>514</v>
      </c>
      <c r="J164" s="24">
        <v>2018</v>
      </c>
      <c r="K164" s="30" t="e">
        <v>#VALUE!</v>
      </c>
      <c r="L164" s="19" t="e">
        <v>#VALUE!</v>
      </c>
      <c r="M164" s="20" t="e">
        <v>#VALUE!</v>
      </c>
      <c r="N164" s="20"/>
      <c r="O164" s="31" t="e">
        <v>#VALUE!</v>
      </c>
      <c r="P164" s="40">
        <v>1195</v>
      </c>
      <c r="Q164" s="41" t="s">
        <v>1631</v>
      </c>
      <c r="R164" s="48" t="e">
        <f t="shared" si="13"/>
        <v>#VALUE!</v>
      </c>
      <c r="S164" s="21">
        <f t="shared" si="14"/>
        <v>0</v>
      </c>
      <c r="T164" s="49" t="e">
        <f t="shared" si="15"/>
        <v>#VALUE!</v>
      </c>
    </row>
    <row r="165" spans="1:20" ht="12.75" hidden="1" customHeight="1">
      <c r="A165" s="58" t="s">
        <v>60</v>
      </c>
      <c r="B165" s="9" t="str">
        <f t="shared" si="12"/>
        <v>RES_201301</v>
      </c>
      <c r="C165" s="9">
        <v>0</v>
      </c>
      <c r="D165" s="9">
        <v>0</v>
      </c>
      <c r="E165" s="59" t="b">
        <v>1</v>
      </c>
      <c r="F165" s="54" t="str">
        <f t="shared" si="17"/>
        <v>Residential</v>
      </c>
      <c r="G165" s="18" t="s">
        <v>154</v>
      </c>
      <c r="H165" s="18" t="s">
        <v>479</v>
      </c>
      <c r="I165" s="18" t="s">
        <v>514</v>
      </c>
      <c r="J165" s="24">
        <v>2018</v>
      </c>
      <c r="K165" s="30" t="e">
        <v>#VALUE!</v>
      </c>
      <c r="L165" s="19" t="e">
        <v>#VALUE!</v>
      </c>
      <c r="M165" s="20" t="e">
        <v>#VALUE!</v>
      </c>
      <c r="N165" s="20"/>
      <c r="O165" s="31" t="e">
        <v>#VALUE!</v>
      </c>
      <c r="P165" s="40">
        <v>994</v>
      </c>
      <c r="Q165" s="41" t="s">
        <v>1631</v>
      </c>
      <c r="R165" s="48" t="e">
        <f t="shared" si="13"/>
        <v>#VALUE!</v>
      </c>
      <c r="S165" s="21">
        <f t="shared" si="14"/>
        <v>0</v>
      </c>
      <c r="T165" s="49" t="e">
        <f t="shared" si="15"/>
        <v>#VALUE!</v>
      </c>
    </row>
    <row r="166" spans="1:20" ht="12.75" hidden="1" customHeight="1">
      <c r="A166" s="58" t="s">
        <v>61</v>
      </c>
      <c r="B166" s="9" t="str">
        <f t="shared" si="12"/>
        <v>RES_201301</v>
      </c>
      <c r="C166" s="9">
        <v>1</v>
      </c>
      <c r="D166" s="9">
        <v>0</v>
      </c>
      <c r="E166" s="59" t="b">
        <v>1</v>
      </c>
      <c r="F166" s="54" t="str">
        <f t="shared" si="17"/>
        <v>Residential</v>
      </c>
      <c r="G166" s="18" t="s">
        <v>154</v>
      </c>
      <c r="H166" s="18" t="s">
        <v>444</v>
      </c>
      <c r="I166" s="18" t="s">
        <v>507</v>
      </c>
      <c r="J166" s="24">
        <v>2018</v>
      </c>
      <c r="K166" s="30" t="e">
        <v>#VALUE!</v>
      </c>
      <c r="L166" s="19" t="e">
        <v>#VALUE!</v>
      </c>
      <c r="M166" s="20" t="e">
        <v>#VALUE!</v>
      </c>
      <c r="N166" s="20"/>
      <c r="O166" s="31" t="e">
        <v>#VALUE!</v>
      </c>
      <c r="P166" s="40">
        <v>0</v>
      </c>
      <c r="Q166" s="41" t="s">
        <v>1631</v>
      </c>
      <c r="R166" s="48" t="e">
        <f t="shared" si="13"/>
        <v>#VALUE!</v>
      </c>
      <c r="S166" s="21">
        <f t="shared" si="14"/>
        <v>0</v>
      </c>
      <c r="T166" s="49" t="e">
        <f t="shared" si="15"/>
        <v>#VALUE!</v>
      </c>
    </row>
    <row r="167" spans="1:20" ht="12.75" hidden="1" customHeight="1">
      <c r="A167" s="58" t="s">
        <v>62</v>
      </c>
      <c r="B167" s="9" t="str">
        <f t="shared" si="12"/>
        <v>RES_201301</v>
      </c>
      <c r="C167" s="9">
        <v>1</v>
      </c>
      <c r="D167" s="9">
        <v>0</v>
      </c>
      <c r="E167" s="59" t="b">
        <v>1</v>
      </c>
      <c r="F167" s="54" t="str">
        <f t="shared" si="17"/>
        <v>Residential</v>
      </c>
      <c r="G167" s="18" t="s">
        <v>154</v>
      </c>
      <c r="H167" s="18" t="s">
        <v>444</v>
      </c>
      <c r="I167" s="18" t="s">
        <v>508</v>
      </c>
      <c r="J167" s="24">
        <v>2018</v>
      </c>
      <c r="K167" s="30" t="e">
        <v>#VALUE!</v>
      </c>
      <c r="L167" s="19" t="e">
        <v>#VALUE!</v>
      </c>
      <c r="M167" s="20" t="e">
        <v>#VALUE!</v>
      </c>
      <c r="N167" s="20"/>
      <c r="O167" s="31" t="e">
        <v>#VALUE!</v>
      </c>
      <c r="P167" s="40">
        <v>1007</v>
      </c>
      <c r="Q167" s="41" t="s">
        <v>1631</v>
      </c>
      <c r="R167" s="48" t="e">
        <f t="shared" si="13"/>
        <v>#VALUE!</v>
      </c>
      <c r="S167" s="21">
        <f t="shared" si="14"/>
        <v>0</v>
      </c>
      <c r="T167" s="49" t="e">
        <f t="shared" si="15"/>
        <v>#VALUE!</v>
      </c>
    </row>
    <row r="168" spans="1:20" ht="12.75" hidden="1" customHeight="1">
      <c r="A168" s="58" t="s">
        <v>63</v>
      </c>
      <c r="B168" s="9" t="str">
        <f t="shared" si="12"/>
        <v>RES_201301</v>
      </c>
      <c r="C168" s="9">
        <v>1</v>
      </c>
      <c r="D168" s="9">
        <v>0</v>
      </c>
      <c r="E168" s="59" t="b">
        <v>1</v>
      </c>
      <c r="F168" s="54" t="str">
        <f t="shared" si="17"/>
        <v>Residential</v>
      </c>
      <c r="G168" s="18" t="s">
        <v>154</v>
      </c>
      <c r="H168" s="18" t="s">
        <v>452</v>
      </c>
      <c r="I168" s="18" t="s">
        <v>508</v>
      </c>
      <c r="J168" s="24">
        <v>2018</v>
      </c>
      <c r="K168" s="30" t="e">
        <v>#VALUE!</v>
      </c>
      <c r="L168" s="19" t="e">
        <v>#VALUE!</v>
      </c>
      <c r="M168" s="20" t="e">
        <v>#VALUE!</v>
      </c>
      <c r="N168" s="20"/>
      <c r="O168" s="31" t="e">
        <v>#VALUE!</v>
      </c>
      <c r="P168" s="40">
        <v>363</v>
      </c>
      <c r="Q168" s="41" t="s">
        <v>1631</v>
      </c>
      <c r="R168" s="48" t="e">
        <f t="shared" si="13"/>
        <v>#VALUE!</v>
      </c>
      <c r="S168" s="21">
        <f t="shared" si="14"/>
        <v>0</v>
      </c>
      <c r="T168" s="49" t="e">
        <f t="shared" si="15"/>
        <v>#VALUE!</v>
      </c>
    </row>
    <row r="169" spans="1:20" ht="12.75" hidden="1" customHeight="1">
      <c r="A169" s="58" t="s">
        <v>64</v>
      </c>
      <c r="B169" s="9" t="str">
        <f t="shared" si="12"/>
        <v>RES_201301</v>
      </c>
      <c r="C169" s="9">
        <v>1</v>
      </c>
      <c r="D169" s="9">
        <v>0</v>
      </c>
      <c r="E169" s="59" t="b">
        <v>1</v>
      </c>
      <c r="F169" s="54" t="str">
        <f t="shared" si="17"/>
        <v>Residential</v>
      </c>
      <c r="G169" s="18" t="s">
        <v>154</v>
      </c>
      <c r="H169" s="18" t="s">
        <v>452</v>
      </c>
      <c r="I169" s="18" t="s">
        <v>518</v>
      </c>
      <c r="J169" s="24">
        <v>2018</v>
      </c>
      <c r="K169" s="30" t="e">
        <v>#VALUE!</v>
      </c>
      <c r="L169" s="19" t="e">
        <v>#VALUE!</v>
      </c>
      <c r="M169" s="20" t="e">
        <v>#VALUE!</v>
      </c>
      <c r="N169" s="20"/>
      <c r="O169" s="31" t="e">
        <v>#VALUE!</v>
      </c>
      <c r="P169" s="40">
        <v>5</v>
      </c>
      <c r="Q169" s="41" t="s">
        <v>1631</v>
      </c>
      <c r="R169" s="48" t="e">
        <f t="shared" si="13"/>
        <v>#VALUE!</v>
      </c>
      <c r="S169" s="21">
        <f t="shared" si="14"/>
        <v>0</v>
      </c>
      <c r="T169" s="49" t="e">
        <f t="shared" si="15"/>
        <v>#VALUE!</v>
      </c>
    </row>
    <row r="170" spans="1:20" ht="12.75" hidden="1" customHeight="1">
      <c r="A170" s="58" t="s">
        <v>65</v>
      </c>
      <c r="B170" s="9" t="str">
        <f t="shared" si="12"/>
        <v>RES_201301</v>
      </c>
      <c r="C170" s="9">
        <v>1</v>
      </c>
      <c r="D170" s="9">
        <v>0</v>
      </c>
      <c r="E170" s="59" t="b">
        <v>1</v>
      </c>
      <c r="F170" s="54" t="str">
        <f t="shared" si="17"/>
        <v>Residential</v>
      </c>
      <c r="G170" s="18" t="s">
        <v>154</v>
      </c>
      <c r="H170" s="18" t="s">
        <v>458</v>
      </c>
      <c r="I170" s="18" t="s">
        <v>1488</v>
      </c>
      <c r="J170" s="24">
        <v>2018</v>
      </c>
      <c r="K170" s="30" t="e">
        <v>#VALUE!</v>
      </c>
      <c r="L170" s="19" t="e">
        <v>#VALUE!</v>
      </c>
      <c r="M170" s="20" t="e">
        <v>#VALUE!</v>
      </c>
      <c r="N170" s="20"/>
      <c r="O170" s="31" t="e">
        <v>#VALUE!</v>
      </c>
      <c r="P170" s="40">
        <v>266</v>
      </c>
      <c r="Q170" s="41" t="s">
        <v>1631</v>
      </c>
      <c r="R170" s="48" t="e">
        <f t="shared" si="13"/>
        <v>#VALUE!</v>
      </c>
      <c r="S170" s="21">
        <f t="shared" si="14"/>
        <v>0</v>
      </c>
      <c r="T170" s="49" t="e">
        <f t="shared" si="15"/>
        <v>#VALUE!</v>
      </c>
    </row>
    <row r="171" spans="1:20" ht="12.75" hidden="1" customHeight="1">
      <c r="A171" s="58" t="s">
        <v>66</v>
      </c>
      <c r="B171" s="9" t="str">
        <f t="shared" si="12"/>
        <v>RES_201301</v>
      </c>
      <c r="C171" s="9">
        <v>1</v>
      </c>
      <c r="D171" s="9">
        <v>0</v>
      </c>
      <c r="E171" s="59" t="b">
        <v>1</v>
      </c>
      <c r="F171" s="54" t="str">
        <f t="shared" si="17"/>
        <v>Residential</v>
      </c>
      <c r="G171" s="18" t="s">
        <v>154</v>
      </c>
      <c r="H171" s="18" t="s">
        <v>458</v>
      </c>
      <c r="I171" s="18" t="s">
        <v>1489</v>
      </c>
      <c r="J171" s="24">
        <v>2018</v>
      </c>
      <c r="K171" s="30" t="e">
        <v>#VALUE!</v>
      </c>
      <c r="L171" s="19" t="e">
        <v>#VALUE!</v>
      </c>
      <c r="M171" s="20" t="e">
        <v>#VALUE!</v>
      </c>
      <c r="N171" s="20"/>
      <c r="O171" s="31" t="e">
        <v>#VALUE!</v>
      </c>
      <c r="P171" s="40">
        <v>444.824682</v>
      </c>
      <c r="Q171" s="41" t="s">
        <v>1631</v>
      </c>
      <c r="R171" s="48" t="e">
        <f t="shared" si="13"/>
        <v>#VALUE!</v>
      </c>
      <c r="S171" s="21">
        <f t="shared" si="14"/>
        <v>0</v>
      </c>
      <c r="T171" s="49" t="e">
        <f t="shared" si="15"/>
        <v>#VALUE!</v>
      </c>
    </row>
    <row r="172" spans="1:20" ht="12.75" hidden="1" customHeight="1">
      <c r="A172" s="58" t="s">
        <v>67</v>
      </c>
      <c r="B172" s="9" t="str">
        <f t="shared" si="12"/>
        <v>RES_201301</v>
      </c>
      <c r="C172" s="9">
        <v>1</v>
      </c>
      <c r="D172" s="9">
        <v>0</v>
      </c>
      <c r="E172" s="59" t="b">
        <v>1</v>
      </c>
      <c r="F172" s="54" t="str">
        <f t="shared" si="17"/>
        <v>Residential</v>
      </c>
      <c r="G172" s="18" t="s">
        <v>154</v>
      </c>
      <c r="H172" s="18" t="s">
        <v>477</v>
      </c>
      <c r="I172" s="18" t="s">
        <v>538</v>
      </c>
      <c r="J172" s="24">
        <v>2018</v>
      </c>
      <c r="K172" s="30" t="e">
        <v>#VALUE!</v>
      </c>
      <c r="L172" s="19" t="e">
        <v>#VALUE!</v>
      </c>
      <c r="M172" s="20" t="e">
        <v>#VALUE!</v>
      </c>
      <c r="N172" s="20"/>
      <c r="O172" s="31" t="e">
        <v>#VALUE!</v>
      </c>
      <c r="P172" s="40">
        <v>225.30855</v>
      </c>
      <c r="Q172" s="41" t="s">
        <v>1631</v>
      </c>
      <c r="R172" s="48" t="e">
        <f t="shared" si="13"/>
        <v>#VALUE!</v>
      </c>
      <c r="S172" s="21">
        <f t="shared" si="14"/>
        <v>0</v>
      </c>
      <c r="T172" s="49" t="e">
        <f t="shared" si="15"/>
        <v>#VALUE!</v>
      </c>
    </row>
    <row r="173" spans="1:20" ht="12.75" hidden="1" customHeight="1">
      <c r="A173" s="58" t="s">
        <v>68</v>
      </c>
      <c r="B173" s="9" t="str">
        <f t="shared" si="12"/>
        <v>RES_201301</v>
      </c>
      <c r="C173" s="9">
        <v>1</v>
      </c>
      <c r="D173" s="9">
        <v>0</v>
      </c>
      <c r="E173" s="59" t="b">
        <v>1</v>
      </c>
      <c r="F173" s="54" t="str">
        <f t="shared" si="17"/>
        <v>Residential</v>
      </c>
      <c r="G173" s="18" t="s">
        <v>154</v>
      </c>
      <c r="H173" s="18" t="s">
        <v>477</v>
      </c>
      <c r="I173" s="18" t="s">
        <v>539</v>
      </c>
      <c r="J173" s="24">
        <v>2018</v>
      </c>
      <c r="K173" s="30" t="e">
        <v>#VALUE!</v>
      </c>
      <c r="L173" s="19" t="e">
        <v>#VALUE!</v>
      </c>
      <c r="M173" s="20" t="e">
        <v>#VALUE!</v>
      </c>
      <c r="N173" s="20"/>
      <c r="O173" s="31" t="e">
        <v>#VALUE!</v>
      </c>
      <c r="P173" s="40">
        <v>101</v>
      </c>
      <c r="Q173" s="41" t="s">
        <v>1631</v>
      </c>
      <c r="R173" s="48" t="e">
        <f t="shared" si="13"/>
        <v>#VALUE!</v>
      </c>
      <c r="S173" s="21">
        <f t="shared" si="14"/>
        <v>0</v>
      </c>
      <c r="T173" s="49" t="e">
        <f t="shared" si="15"/>
        <v>#VALUE!</v>
      </c>
    </row>
    <row r="174" spans="1:20" ht="12.75" hidden="1" customHeight="1">
      <c r="A174" s="58" t="s">
        <v>69</v>
      </c>
      <c r="B174" s="9" t="str">
        <f t="shared" si="12"/>
        <v>RES_201301</v>
      </c>
      <c r="C174" s="9">
        <v>0</v>
      </c>
      <c r="D174" s="9">
        <v>0</v>
      </c>
      <c r="E174" s="59" t="b">
        <v>1</v>
      </c>
      <c r="F174" s="54" t="str">
        <f t="shared" si="17"/>
        <v>Residential</v>
      </c>
      <c r="G174" s="18" t="s">
        <v>154</v>
      </c>
      <c r="H174" s="18" t="s">
        <v>446</v>
      </c>
      <c r="I174" s="18" t="s">
        <v>514</v>
      </c>
      <c r="J174" s="24">
        <v>2018</v>
      </c>
      <c r="K174" s="30" t="e">
        <v>#VALUE!</v>
      </c>
      <c r="L174" s="19" t="e">
        <v>#VALUE!</v>
      </c>
      <c r="M174" s="20" t="e">
        <v>#VALUE!</v>
      </c>
      <c r="N174" s="20"/>
      <c r="O174" s="31" t="e">
        <v>#VALUE!</v>
      </c>
      <c r="P174" s="40">
        <v>1947</v>
      </c>
      <c r="Q174" s="41" t="s">
        <v>1631</v>
      </c>
      <c r="R174" s="48" t="e">
        <f t="shared" si="13"/>
        <v>#VALUE!</v>
      </c>
      <c r="S174" s="21">
        <f t="shared" si="14"/>
        <v>0</v>
      </c>
      <c r="T174" s="49" t="e">
        <f t="shared" si="15"/>
        <v>#VALUE!</v>
      </c>
    </row>
    <row r="175" spans="1:20" ht="12.75" hidden="1" customHeight="1">
      <c r="A175" s="58" t="s">
        <v>70</v>
      </c>
      <c r="B175" s="9" t="str">
        <f t="shared" si="12"/>
        <v>RES_201301</v>
      </c>
      <c r="C175" s="9">
        <v>0</v>
      </c>
      <c r="D175" s="9">
        <v>0</v>
      </c>
      <c r="E175" s="59" t="b">
        <v>1</v>
      </c>
      <c r="F175" s="54" t="str">
        <f t="shared" si="17"/>
        <v>Residential</v>
      </c>
      <c r="G175" s="18" t="s">
        <v>154</v>
      </c>
      <c r="H175" s="18" t="s">
        <v>454</v>
      </c>
      <c r="I175" s="18" t="s">
        <v>514</v>
      </c>
      <c r="J175" s="24">
        <v>2018</v>
      </c>
      <c r="K175" s="30" t="e">
        <v>#VALUE!</v>
      </c>
      <c r="L175" s="19" t="e">
        <v>#VALUE!</v>
      </c>
      <c r="M175" s="20" t="e">
        <v>#VALUE!</v>
      </c>
      <c r="N175" s="20"/>
      <c r="O175" s="31" t="e">
        <v>#VALUE!</v>
      </c>
      <c r="P175" s="40">
        <v>486</v>
      </c>
      <c r="Q175" s="41" t="s">
        <v>1631</v>
      </c>
      <c r="R175" s="48" t="e">
        <f t="shared" si="13"/>
        <v>#VALUE!</v>
      </c>
      <c r="S175" s="21">
        <f t="shared" si="14"/>
        <v>0</v>
      </c>
      <c r="T175" s="49" t="e">
        <f t="shared" si="15"/>
        <v>#VALUE!</v>
      </c>
    </row>
    <row r="176" spans="1:20" ht="12.75" hidden="1" customHeight="1">
      <c r="A176" s="58" t="s">
        <v>76</v>
      </c>
      <c r="B176" s="9" t="str">
        <f t="shared" si="12"/>
        <v>RES_201301</v>
      </c>
      <c r="C176" s="9">
        <v>0</v>
      </c>
      <c r="D176" s="9">
        <v>0</v>
      </c>
      <c r="E176" s="59" t="b">
        <v>1</v>
      </c>
      <c r="F176" s="54" t="str">
        <f t="shared" si="17"/>
        <v>Residential</v>
      </c>
      <c r="G176" s="18" t="s">
        <v>154</v>
      </c>
      <c r="H176" s="18" t="s">
        <v>1476</v>
      </c>
      <c r="I176" s="18" t="s">
        <v>1472</v>
      </c>
      <c r="J176" s="24">
        <v>2018</v>
      </c>
      <c r="K176" s="30" t="e">
        <v>#VALUE!</v>
      </c>
      <c r="L176" s="19" t="e">
        <v>#VALUE!</v>
      </c>
      <c r="M176" s="20" t="e">
        <v>#VALUE!</v>
      </c>
      <c r="N176" s="20"/>
      <c r="O176" s="31" t="e">
        <v>#VALUE!</v>
      </c>
      <c r="P176" s="40">
        <v>800</v>
      </c>
      <c r="Q176" s="41"/>
      <c r="R176" s="48" t="e">
        <f t="shared" si="13"/>
        <v>#VALUE!</v>
      </c>
      <c r="S176" s="21">
        <f t="shared" si="14"/>
        <v>0</v>
      </c>
      <c r="T176" s="49" t="e">
        <f t="shared" si="15"/>
        <v>#VALUE!</v>
      </c>
    </row>
    <row r="177" spans="1:20" ht="12.75" hidden="1" customHeight="1">
      <c r="A177" s="58" t="s">
        <v>77</v>
      </c>
      <c r="B177" s="9" t="str">
        <f t="shared" si="12"/>
        <v>RES_201301</v>
      </c>
      <c r="C177" s="9">
        <v>0</v>
      </c>
      <c r="D177" s="9">
        <v>0</v>
      </c>
      <c r="E177" s="59" t="b">
        <v>1</v>
      </c>
      <c r="F177" s="54" t="str">
        <f t="shared" si="17"/>
        <v>Residential</v>
      </c>
      <c r="G177" s="18" t="s">
        <v>154</v>
      </c>
      <c r="H177" s="18" t="s">
        <v>1477</v>
      </c>
      <c r="I177" s="18" t="s">
        <v>1472</v>
      </c>
      <c r="J177" s="24">
        <v>2018</v>
      </c>
      <c r="K177" s="30" t="e">
        <v>#VALUE!</v>
      </c>
      <c r="L177" s="19" t="e">
        <v>#VALUE!</v>
      </c>
      <c r="M177" s="20" t="e">
        <v>#VALUE!</v>
      </c>
      <c r="N177" s="20"/>
      <c r="O177" s="31" t="e">
        <v>#VALUE!</v>
      </c>
      <c r="P177" s="40">
        <v>2641</v>
      </c>
      <c r="Q177" s="41"/>
      <c r="R177" s="48" t="e">
        <f t="shared" si="13"/>
        <v>#VALUE!</v>
      </c>
      <c r="S177" s="21">
        <f t="shared" si="14"/>
        <v>0</v>
      </c>
      <c r="T177" s="49" t="e">
        <f t="shared" si="15"/>
        <v>#VALUE!</v>
      </c>
    </row>
    <row r="178" spans="1:20" ht="12.75" hidden="1" customHeight="1">
      <c r="A178" s="58" t="s">
        <v>78</v>
      </c>
      <c r="B178" s="9" t="str">
        <f t="shared" si="12"/>
        <v>RES_201301</v>
      </c>
      <c r="C178" s="9">
        <v>0</v>
      </c>
      <c r="D178" s="9">
        <v>0</v>
      </c>
      <c r="E178" s="59" t="b">
        <v>1</v>
      </c>
      <c r="F178" s="54" t="str">
        <f t="shared" si="17"/>
        <v>Residential</v>
      </c>
      <c r="G178" s="18" t="s">
        <v>154</v>
      </c>
      <c r="H178" s="18" t="s">
        <v>1478</v>
      </c>
      <c r="I178" s="18" t="s">
        <v>1472</v>
      </c>
      <c r="J178" s="24">
        <v>2018</v>
      </c>
      <c r="K178" s="30" t="e">
        <v>#VALUE!</v>
      </c>
      <c r="L178" s="19" t="e">
        <v>#VALUE!</v>
      </c>
      <c r="M178" s="20" t="e">
        <v>#VALUE!</v>
      </c>
      <c r="N178" s="20"/>
      <c r="O178" s="31" t="e">
        <v>#VALUE!</v>
      </c>
      <c r="P178" s="40">
        <v>1763</v>
      </c>
      <c r="Q178" s="41"/>
      <c r="R178" s="48" t="e">
        <f t="shared" si="13"/>
        <v>#VALUE!</v>
      </c>
      <c r="S178" s="21">
        <f t="shared" si="14"/>
        <v>0</v>
      </c>
      <c r="T178" s="49" t="e">
        <f t="shared" si="15"/>
        <v>#VALUE!</v>
      </c>
    </row>
    <row r="179" spans="1:20" ht="12.75" hidden="1" customHeight="1">
      <c r="A179" s="58" t="s">
        <v>79</v>
      </c>
      <c r="B179" s="9" t="str">
        <f t="shared" si="12"/>
        <v>RES_201301</v>
      </c>
      <c r="C179" s="9">
        <v>0</v>
      </c>
      <c r="D179" s="9">
        <v>0</v>
      </c>
      <c r="E179" s="59" t="b">
        <v>1</v>
      </c>
      <c r="F179" s="54" t="str">
        <f t="shared" si="17"/>
        <v>Residential</v>
      </c>
      <c r="G179" s="18" t="s">
        <v>154</v>
      </c>
      <c r="H179" s="18" t="s">
        <v>1479</v>
      </c>
      <c r="I179" s="18" t="s">
        <v>1472</v>
      </c>
      <c r="J179" s="24">
        <v>2018</v>
      </c>
      <c r="K179" s="30" t="e">
        <v>#VALUE!</v>
      </c>
      <c r="L179" s="19" t="e">
        <v>#VALUE!</v>
      </c>
      <c r="M179" s="20" t="e">
        <v>#VALUE!</v>
      </c>
      <c r="N179" s="20"/>
      <c r="O179" s="31" t="e">
        <v>#VALUE!</v>
      </c>
      <c r="P179" s="40">
        <v>437</v>
      </c>
      <c r="Q179" s="41"/>
      <c r="R179" s="48" t="e">
        <f t="shared" si="13"/>
        <v>#VALUE!</v>
      </c>
      <c r="S179" s="21">
        <f t="shared" si="14"/>
        <v>0</v>
      </c>
      <c r="T179" s="49" t="e">
        <f t="shared" si="15"/>
        <v>#VALUE!</v>
      </c>
    </row>
    <row r="180" spans="1:20" ht="12.75" hidden="1" customHeight="1">
      <c r="A180" s="58" t="s">
        <v>80</v>
      </c>
      <c r="B180" s="9" t="str">
        <f t="shared" si="12"/>
        <v>RES_201301</v>
      </c>
      <c r="C180" s="9">
        <v>0</v>
      </c>
      <c r="D180" s="9">
        <v>0</v>
      </c>
      <c r="E180" s="59" t="b">
        <v>1</v>
      </c>
      <c r="F180" s="54" t="str">
        <f t="shared" si="17"/>
        <v>Residential</v>
      </c>
      <c r="G180" s="18" t="s">
        <v>154</v>
      </c>
      <c r="H180" s="18" t="s">
        <v>1480</v>
      </c>
      <c r="I180" s="18" t="s">
        <v>1472</v>
      </c>
      <c r="J180" s="24">
        <v>2018</v>
      </c>
      <c r="K180" s="30" t="e">
        <v>#VALUE!</v>
      </c>
      <c r="L180" s="19" t="e">
        <v>#VALUE!</v>
      </c>
      <c r="M180" s="20" t="e">
        <v>#VALUE!</v>
      </c>
      <c r="N180" s="20"/>
      <c r="O180" s="31" t="e">
        <v>#VALUE!</v>
      </c>
      <c r="P180" s="40">
        <v>800</v>
      </c>
      <c r="Q180" s="41"/>
      <c r="R180" s="48" t="e">
        <f t="shared" si="13"/>
        <v>#VALUE!</v>
      </c>
      <c r="S180" s="21">
        <f t="shared" si="14"/>
        <v>0</v>
      </c>
      <c r="T180" s="49" t="e">
        <f t="shared" si="15"/>
        <v>#VALUE!</v>
      </c>
    </row>
    <row r="181" spans="1:20" ht="12.75" hidden="1" customHeight="1">
      <c r="A181" s="58" t="s">
        <v>81</v>
      </c>
      <c r="B181" s="9" t="str">
        <f t="shared" si="12"/>
        <v>RES_201301</v>
      </c>
      <c r="C181" s="9">
        <v>0</v>
      </c>
      <c r="D181" s="9">
        <v>0</v>
      </c>
      <c r="E181" s="59" t="b">
        <v>1</v>
      </c>
      <c r="F181" s="54" t="str">
        <f t="shared" si="17"/>
        <v>Residential</v>
      </c>
      <c r="G181" s="18" t="s">
        <v>154</v>
      </c>
      <c r="H181" s="18" t="s">
        <v>1471</v>
      </c>
      <c r="I181" s="18" t="s">
        <v>1472</v>
      </c>
      <c r="J181" s="24">
        <v>2018</v>
      </c>
      <c r="K181" s="30" t="e">
        <v>#VALUE!</v>
      </c>
      <c r="L181" s="19" t="e">
        <v>#VALUE!</v>
      </c>
      <c r="M181" s="20" t="e">
        <v>#VALUE!</v>
      </c>
      <c r="N181" s="20"/>
      <c r="O181" s="31" t="e">
        <v>#VALUE!</v>
      </c>
      <c r="P181" s="40">
        <v>0</v>
      </c>
      <c r="Q181" s="41"/>
      <c r="R181" s="48" t="e">
        <f t="shared" si="13"/>
        <v>#VALUE!</v>
      </c>
      <c r="S181" s="21">
        <f t="shared" si="14"/>
        <v>0</v>
      </c>
      <c r="T181" s="49" t="e">
        <f t="shared" si="15"/>
        <v>#VALUE!</v>
      </c>
    </row>
    <row r="182" spans="1:20" ht="12.75" hidden="1" customHeight="1">
      <c r="A182" s="58" t="s">
        <v>82</v>
      </c>
      <c r="B182" s="9" t="str">
        <f t="shared" si="12"/>
        <v>RES_201301</v>
      </c>
      <c r="C182" s="9">
        <v>0</v>
      </c>
      <c r="D182" s="9">
        <v>0</v>
      </c>
      <c r="E182" s="59" t="b">
        <v>1</v>
      </c>
      <c r="F182" s="54" t="str">
        <f t="shared" si="17"/>
        <v>Residential</v>
      </c>
      <c r="G182" s="18" t="s">
        <v>154</v>
      </c>
      <c r="H182" s="18" t="s">
        <v>1473</v>
      </c>
      <c r="I182" s="18" t="s">
        <v>1472</v>
      </c>
      <c r="J182" s="24">
        <v>2018</v>
      </c>
      <c r="K182" s="30" t="e">
        <v>#VALUE!</v>
      </c>
      <c r="L182" s="19" t="e">
        <v>#VALUE!</v>
      </c>
      <c r="M182" s="20" t="e">
        <v>#VALUE!</v>
      </c>
      <c r="N182" s="20"/>
      <c r="O182" s="31" t="e">
        <v>#VALUE!</v>
      </c>
      <c r="P182" s="40">
        <v>0</v>
      </c>
      <c r="Q182" s="41"/>
      <c r="R182" s="48" t="e">
        <f t="shared" si="13"/>
        <v>#VALUE!</v>
      </c>
      <c r="S182" s="21">
        <f t="shared" si="14"/>
        <v>0</v>
      </c>
      <c r="T182" s="49" t="e">
        <f t="shared" si="15"/>
        <v>#VALUE!</v>
      </c>
    </row>
    <row r="183" spans="1:20" ht="12.75" hidden="1" customHeight="1">
      <c r="A183" s="58" t="s">
        <v>83</v>
      </c>
      <c r="B183" s="9" t="str">
        <f t="shared" si="12"/>
        <v>RES_201301</v>
      </c>
      <c r="C183" s="9">
        <v>0</v>
      </c>
      <c r="D183" s="9">
        <v>0</v>
      </c>
      <c r="E183" s="59" t="b">
        <v>1</v>
      </c>
      <c r="F183" s="54" t="str">
        <f t="shared" si="17"/>
        <v>Residential</v>
      </c>
      <c r="G183" s="18" t="s">
        <v>154</v>
      </c>
      <c r="H183" s="18" t="s">
        <v>1474</v>
      </c>
      <c r="I183" s="18" t="s">
        <v>1472</v>
      </c>
      <c r="J183" s="24">
        <v>2018</v>
      </c>
      <c r="K183" s="30" t="e">
        <v>#VALUE!</v>
      </c>
      <c r="L183" s="19" t="e">
        <v>#VALUE!</v>
      </c>
      <c r="M183" s="20" t="e">
        <v>#VALUE!</v>
      </c>
      <c r="N183" s="20"/>
      <c r="O183" s="31" t="e">
        <v>#VALUE!</v>
      </c>
      <c r="P183" s="40">
        <v>0</v>
      </c>
      <c r="Q183" s="41"/>
      <c r="R183" s="48" t="e">
        <f t="shared" si="13"/>
        <v>#VALUE!</v>
      </c>
      <c r="S183" s="21">
        <f t="shared" si="14"/>
        <v>0</v>
      </c>
      <c r="T183" s="49" t="e">
        <f t="shared" si="15"/>
        <v>#VALUE!</v>
      </c>
    </row>
    <row r="184" spans="1:20" ht="12.75" hidden="1" customHeight="1">
      <c r="A184" s="58" t="s">
        <v>84</v>
      </c>
      <c r="B184" s="9" t="str">
        <f t="shared" si="12"/>
        <v>RES_201301</v>
      </c>
      <c r="C184" s="9">
        <v>0</v>
      </c>
      <c r="D184" s="9">
        <v>0</v>
      </c>
      <c r="E184" s="59" t="b">
        <v>1</v>
      </c>
      <c r="F184" s="54" t="str">
        <f t="shared" ref="F184:F209" si="18">IF(LEFT(A184,3)="Res","Residential",IF(LEFT(A184,3)="Ind","industrial",IF(LEFT(A184,3)="Com","Commercial",IF(LEFT(A184,3)="AGR","Agriculture",""))))</f>
        <v>Residential</v>
      </c>
      <c r="G184" s="18" t="s">
        <v>154</v>
      </c>
      <c r="H184" s="18" t="s">
        <v>1475</v>
      </c>
      <c r="I184" s="18" t="s">
        <v>1472</v>
      </c>
      <c r="J184" s="24">
        <v>2018</v>
      </c>
      <c r="K184" s="30" t="e">
        <v>#VALUE!</v>
      </c>
      <c r="L184" s="19" t="e">
        <v>#VALUE!</v>
      </c>
      <c r="M184" s="20" t="e">
        <v>#VALUE!</v>
      </c>
      <c r="N184" s="20"/>
      <c r="O184" s="31" t="e">
        <v>#VALUE!</v>
      </c>
      <c r="P184" s="40">
        <v>0</v>
      </c>
      <c r="Q184" s="41"/>
      <c r="R184" s="48" t="e">
        <f t="shared" si="13"/>
        <v>#VALUE!</v>
      </c>
      <c r="S184" s="21">
        <f t="shared" si="14"/>
        <v>0</v>
      </c>
      <c r="T184" s="49" t="e">
        <f t="shared" si="15"/>
        <v>#VALUE!</v>
      </c>
    </row>
    <row r="185" spans="1:20" ht="12.75" hidden="1" customHeight="1">
      <c r="A185" s="58" t="s">
        <v>85</v>
      </c>
      <c r="B185" s="9" t="str">
        <f t="shared" si="12"/>
        <v>RES_201301</v>
      </c>
      <c r="C185" s="9">
        <v>1</v>
      </c>
      <c r="D185" s="9">
        <v>0</v>
      </c>
      <c r="E185" s="59" t="b">
        <v>1</v>
      </c>
      <c r="F185" s="54" t="str">
        <f t="shared" si="18"/>
        <v>Residential</v>
      </c>
      <c r="G185" s="18" t="s">
        <v>154</v>
      </c>
      <c r="H185" s="18" t="s">
        <v>458</v>
      </c>
      <c r="I185" s="18" t="s">
        <v>1288</v>
      </c>
      <c r="J185" s="24">
        <v>2018</v>
      </c>
      <c r="K185" s="30" t="e">
        <v>#VALUE!</v>
      </c>
      <c r="L185" s="19" t="e">
        <v>#VALUE!</v>
      </c>
      <c r="M185" s="20" t="e">
        <v>#VALUE!</v>
      </c>
      <c r="N185" s="20"/>
      <c r="O185" s="31" t="e">
        <v>#VALUE!</v>
      </c>
      <c r="P185" s="40">
        <v>451</v>
      </c>
      <c r="Q185" s="41"/>
      <c r="R185" s="48" t="e">
        <f t="shared" si="13"/>
        <v>#VALUE!</v>
      </c>
      <c r="S185" s="21">
        <f t="shared" si="14"/>
        <v>0</v>
      </c>
      <c r="T185" s="49" t="e">
        <f t="shared" si="15"/>
        <v>#VALUE!</v>
      </c>
    </row>
    <row r="186" spans="1:20" ht="12.75" hidden="1" customHeight="1">
      <c r="A186" s="61" t="s">
        <v>118</v>
      </c>
      <c r="B186" s="9" t="str">
        <f t="shared" si="12"/>
        <v>RES_201301</v>
      </c>
      <c r="C186" s="9">
        <v>0</v>
      </c>
      <c r="D186" s="9">
        <v>0</v>
      </c>
      <c r="E186" s="59" t="b">
        <v>1</v>
      </c>
      <c r="F186" s="54" t="str">
        <f t="shared" si="18"/>
        <v>Residential</v>
      </c>
      <c r="G186" s="18" t="s">
        <v>154</v>
      </c>
      <c r="H186" s="18" t="s">
        <v>706</v>
      </c>
      <c r="I186" s="18" t="s">
        <v>1461</v>
      </c>
      <c r="J186" s="24">
        <v>2018</v>
      </c>
      <c r="K186" s="30" t="e">
        <v>#VALUE!</v>
      </c>
      <c r="L186" s="19" t="e">
        <v>#VALUE!</v>
      </c>
      <c r="M186" s="20" t="e">
        <v>#VALUE!</v>
      </c>
      <c r="N186" s="20"/>
      <c r="O186" s="31" t="e">
        <v>#VALUE!</v>
      </c>
      <c r="P186" s="40">
        <v>506</v>
      </c>
      <c r="Q186" s="41"/>
      <c r="R186" s="48" t="e">
        <f t="shared" si="13"/>
        <v>#VALUE!</v>
      </c>
      <c r="S186" s="21">
        <f t="shared" si="14"/>
        <v>0</v>
      </c>
      <c r="T186" s="49" t="e">
        <f t="shared" si="15"/>
        <v>#VALUE!</v>
      </c>
    </row>
    <row r="187" spans="1:20" ht="12.75" hidden="1" customHeight="1">
      <c r="A187" s="58" t="s">
        <v>119</v>
      </c>
      <c r="B187" s="9" t="str">
        <f t="shared" si="12"/>
        <v>RES_201301</v>
      </c>
      <c r="C187" s="9">
        <v>0</v>
      </c>
      <c r="D187" s="9">
        <v>0</v>
      </c>
      <c r="E187" s="59" t="b">
        <v>1</v>
      </c>
      <c r="F187" s="54" t="str">
        <f t="shared" si="18"/>
        <v>Residential</v>
      </c>
      <c r="G187" s="18" t="s">
        <v>154</v>
      </c>
      <c r="H187" s="18" t="s">
        <v>708</v>
      </c>
      <c r="I187" s="18" t="s">
        <v>1461</v>
      </c>
      <c r="J187" s="24">
        <v>2018</v>
      </c>
      <c r="K187" s="30" t="e">
        <v>#VALUE!</v>
      </c>
      <c r="L187" s="19" t="e">
        <v>#VALUE!</v>
      </c>
      <c r="M187" s="20" t="e">
        <v>#VALUE!</v>
      </c>
      <c r="N187" s="20"/>
      <c r="O187" s="31" t="e">
        <v>#VALUE!</v>
      </c>
      <c r="P187" s="40">
        <v>200</v>
      </c>
      <c r="Q187" s="41"/>
      <c r="R187" s="48" t="e">
        <f t="shared" si="13"/>
        <v>#VALUE!</v>
      </c>
      <c r="S187" s="21">
        <f t="shared" si="14"/>
        <v>0</v>
      </c>
      <c r="T187" s="49" t="e">
        <f t="shared" si="15"/>
        <v>#VALUE!</v>
      </c>
    </row>
    <row r="188" spans="1:20" ht="12.75" hidden="1" customHeight="1">
      <c r="A188" s="58" t="s">
        <v>86</v>
      </c>
      <c r="B188" s="9" t="str">
        <f t="shared" si="12"/>
        <v>RES_201403</v>
      </c>
      <c r="C188" s="9">
        <v>0</v>
      </c>
      <c r="D188" s="9">
        <v>0</v>
      </c>
      <c r="E188" s="59" t="b">
        <v>1</v>
      </c>
      <c r="F188" s="54" t="str">
        <f t="shared" si="18"/>
        <v>Residential</v>
      </c>
      <c r="G188" s="18" t="s">
        <v>155</v>
      </c>
      <c r="H188" s="18" t="s">
        <v>1090</v>
      </c>
      <c r="I188" s="18" t="s">
        <v>1091</v>
      </c>
      <c r="J188" s="24">
        <v>2018</v>
      </c>
      <c r="K188" s="30" t="e">
        <v>#VALUE!</v>
      </c>
      <c r="L188" s="19" t="e">
        <v>#VALUE!</v>
      </c>
      <c r="M188" s="20" t="e">
        <v>#VALUE!</v>
      </c>
      <c r="N188" s="20"/>
      <c r="O188" s="31" t="e">
        <v>#VALUE!</v>
      </c>
      <c r="P188" s="40">
        <v>0</v>
      </c>
      <c r="Q188" s="41"/>
      <c r="R188" s="48" t="e">
        <f t="shared" si="13"/>
        <v>#VALUE!</v>
      </c>
      <c r="S188" s="21">
        <f t="shared" si="14"/>
        <v>0</v>
      </c>
      <c r="T188" s="49" t="e">
        <f t="shared" si="15"/>
        <v>#VALUE!</v>
      </c>
    </row>
    <row r="189" spans="1:20" ht="12.75" hidden="1" customHeight="1">
      <c r="A189" s="58" t="s">
        <v>87</v>
      </c>
      <c r="B189" s="9" t="str">
        <f t="shared" si="12"/>
        <v>RES_201403</v>
      </c>
      <c r="C189" s="9">
        <v>0</v>
      </c>
      <c r="D189" s="9">
        <v>0</v>
      </c>
      <c r="E189" s="59" t="b">
        <v>1</v>
      </c>
      <c r="F189" s="54" t="str">
        <f t="shared" si="18"/>
        <v>Residential</v>
      </c>
      <c r="G189" s="18" t="s">
        <v>155</v>
      </c>
      <c r="H189" s="18" t="s">
        <v>426</v>
      </c>
      <c r="I189" s="18" t="s">
        <v>483</v>
      </c>
      <c r="J189" s="24">
        <v>2018</v>
      </c>
      <c r="K189" s="30" t="e">
        <v>#VALUE!</v>
      </c>
      <c r="L189" s="19" t="e">
        <v>#VALUE!</v>
      </c>
      <c r="M189" s="20" t="e">
        <v>#VALUE!</v>
      </c>
      <c r="N189" s="20"/>
      <c r="O189" s="31" t="e">
        <v>#VALUE!</v>
      </c>
      <c r="P189" s="40">
        <v>0</v>
      </c>
      <c r="Q189" s="41"/>
      <c r="R189" s="48" t="e">
        <f t="shared" si="13"/>
        <v>#VALUE!</v>
      </c>
      <c r="S189" s="21">
        <f t="shared" si="14"/>
        <v>0</v>
      </c>
      <c r="T189" s="49" t="e">
        <f t="shared" si="15"/>
        <v>#VALUE!</v>
      </c>
    </row>
    <row r="190" spans="1:20" ht="12.75" hidden="1" customHeight="1">
      <c r="A190" s="58" t="s">
        <v>92</v>
      </c>
      <c r="B190" s="9" t="str">
        <f t="shared" si="12"/>
        <v>RES_201403</v>
      </c>
      <c r="C190" s="9">
        <v>0</v>
      </c>
      <c r="D190" s="9">
        <v>0</v>
      </c>
      <c r="E190" s="59" t="b">
        <v>1</v>
      </c>
      <c r="F190" s="54" t="str">
        <f t="shared" si="18"/>
        <v>Residential</v>
      </c>
      <c r="G190" s="18" t="s">
        <v>155</v>
      </c>
      <c r="H190" s="18" t="s">
        <v>443</v>
      </c>
      <c r="I190" s="18" t="s">
        <v>503</v>
      </c>
      <c r="J190" s="24">
        <v>2018</v>
      </c>
      <c r="K190" s="30" t="e">
        <v>#VALUE!</v>
      </c>
      <c r="L190" s="19" t="e">
        <v>#VALUE!</v>
      </c>
      <c r="M190" s="20" t="e">
        <v>#VALUE!</v>
      </c>
      <c r="N190" s="20"/>
      <c r="O190" s="31" t="e">
        <v>#VALUE!</v>
      </c>
      <c r="P190" s="40">
        <v>7.4816964300000004</v>
      </c>
      <c r="Q190" s="41"/>
      <c r="R190" s="48" t="e">
        <f t="shared" si="13"/>
        <v>#VALUE!</v>
      </c>
      <c r="S190" s="21">
        <f t="shared" si="14"/>
        <v>0</v>
      </c>
      <c r="T190" s="49" t="e">
        <f t="shared" si="15"/>
        <v>#VALUE!</v>
      </c>
    </row>
    <row r="191" spans="1:20" ht="12.75" hidden="1" customHeight="1">
      <c r="A191" s="58" t="s">
        <v>95</v>
      </c>
      <c r="B191" s="9" t="str">
        <f t="shared" si="12"/>
        <v>RES_201403</v>
      </c>
      <c r="C191" s="9">
        <v>0</v>
      </c>
      <c r="D191" s="9">
        <v>0</v>
      </c>
      <c r="E191" s="59" t="b">
        <v>1</v>
      </c>
      <c r="F191" s="54" t="str">
        <f t="shared" si="18"/>
        <v>Residential</v>
      </c>
      <c r="G191" s="18" t="s">
        <v>155</v>
      </c>
      <c r="H191" s="18" t="s">
        <v>465</v>
      </c>
      <c r="I191" s="18" t="s">
        <v>534</v>
      </c>
      <c r="J191" s="24">
        <v>2018</v>
      </c>
      <c r="K191" s="30" t="e">
        <v>#VALUE!</v>
      </c>
      <c r="L191" s="19" t="e">
        <v>#VALUE!</v>
      </c>
      <c r="M191" s="20" t="e">
        <v>#VALUE!</v>
      </c>
      <c r="N191" s="20"/>
      <c r="O191" s="31" t="e">
        <v>#VALUE!</v>
      </c>
      <c r="P191" s="40">
        <v>17.99616254</v>
      </c>
      <c r="Q191" s="41"/>
      <c r="R191" s="48" t="e">
        <f t="shared" si="13"/>
        <v>#VALUE!</v>
      </c>
      <c r="S191" s="21">
        <f t="shared" si="14"/>
        <v>0</v>
      </c>
      <c r="T191" s="49" t="e">
        <f t="shared" si="15"/>
        <v>#VALUE!</v>
      </c>
    </row>
    <row r="192" spans="1:20" ht="12.75" hidden="1" customHeight="1">
      <c r="A192" s="58" t="s">
        <v>96</v>
      </c>
      <c r="B192" s="9" t="str">
        <f t="shared" si="12"/>
        <v>RES_201403</v>
      </c>
      <c r="C192" s="9">
        <v>0</v>
      </c>
      <c r="D192" s="9">
        <v>0</v>
      </c>
      <c r="E192" s="59" t="b">
        <v>1</v>
      </c>
      <c r="F192" s="54" t="str">
        <f t="shared" si="18"/>
        <v>Residential</v>
      </c>
      <c r="G192" s="18" t="s">
        <v>155</v>
      </c>
      <c r="H192" s="18" t="s">
        <v>465</v>
      </c>
      <c r="I192" s="18" t="s">
        <v>502</v>
      </c>
      <c r="J192" s="24">
        <v>2018</v>
      </c>
      <c r="K192" s="30" t="e">
        <v>#VALUE!</v>
      </c>
      <c r="L192" s="19" t="e">
        <v>#VALUE!</v>
      </c>
      <c r="M192" s="20" t="e">
        <v>#VALUE!</v>
      </c>
      <c r="N192" s="20"/>
      <c r="O192" s="31" t="e">
        <v>#VALUE!</v>
      </c>
      <c r="P192" s="40">
        <v>25.532838869999999</v>
      </c>
      <c r="Q192" s="41"/>
      <c r="R192" s="48" t="e">
        <f t="shared" si="13"/>
        <v>#VALUE!</v>
      </c>
      <c r="S192" s="21">
        <f t="shared" si="14"/>
        <v>0</v>
      </c>
      <c r="T192" s="49" t="e">
        <f t="shared" si="15"/>
        <v>#VALUE!</v>
      </c>
    </row>
    <row r="193" spans="1:20" ht="12.75" hidden="1" customHeight="1">
      <c r="A193" s="58" t="s">
        <v>97</v>
      </c>
      <c r="B193" s="9" t="str">
        <f t="shared" si="12"/>
        <v>RES_201403</v>
      </c>
      <c r="C193" s="9">
        <v>0</v>
      </c>
      <c r="D193" s="9">
        <v>0</v>
      </c>
      <c r="E193" s="59" t="b">
        <v>1</v>
      </c>
      <c r="F193" s="54" t="str">
        <f t="shared" si="18"/>
        <v>Residential</v>
      </c>
      <c r="G193" s="18" t="s">
        <v>155</v>
      </c>
      <c r="H193" s="18" t="s">
        <v>157</v>
      </c>
      <c r="I193" s="18" t="s">
        <v>1461</v>
      </c>
      <c r="J193" s="24">
        <v>2018</v>
      </c>
      <c r="K193" s="30" t="e">
        <v>#VALUE!</v>
      </c>
      <c r="L193" s="19" t="e">
        <v>#VALUE!</v>
      </c>
      <c r="M193" s="20" t="e">
        <v>#VALUE!</v>
      </c>
      <c r="N193" s="20"/>
      <c r="O193" s="31" t="e">
        <v>#VALUE!</v>
      </c>
      <c r="P193" s="40">
        <v>-35.376740060000003</v>
      </c>
      <c r="Q193" s="41"/>
      <c r="R193" s="48" t="e">
        <f t="shared" si="13"/>
        <v>#VALUE!</v>
      </c>
      <c r="S193" s="21">
        <f t="shared" si="14"/>
        <v>0</v>
      </c>
      <c r="T193" s="49" t="e">
        <f t="shared" si="15"/>
        <v>#VALUE!</v>
      </c>
    </row>
    <row r="194" spans="1:20" ht="12.75" hidden="1" customHeight="1">
      <c r="A194" s="58" t="s">
        <v>98</v>
      </c>
      <c r="B194" s="9" t="str">
        <f t="shared" si="12"/>
        <v>RES_201403</v>
      </c>
      <c r="C194" s="9">
        <v>0</v>
      </c>
      <c r="D194" s="9">
        <v>0</v>
      </c>
      <c r="E194" s="59" t="b">
        <v>1</v>
      </c>
      <c r="F194" s="54" t="str">
        <f t="shared" si="18"/>
        <v>Residential</v>
      </c>
      <c r="G194" s="18" t="s">
        <v>155</v>
      </c>
      <c r="H194" s="18" t="s">
        <v>157</v>
      </c>
      <c r="I194" s="18" t="s">
        <v>165</v>
      </c>
      <c r="J194" s="24">
        <v>2018</v>
      </c>
      <c r="K194" s="30" t="e">
        <v>#VALUE!</v>
      </c>
      <c r="L194" s="19" t="e">
        <v>#VALUE!</v>
      </c>
      <c r="M194" s="20" t="e">
        <v>#VALUE!</v>
      </c>
      <c r="N194" s="20"/>
      <c r="O194" s="31" t="e">
        <v>#VALUE!</v>
      </c>
      <c r="P194" s="40">
        <v>-20.505240059999998</v>
      </c>
      <c r="Q194" s="41"/>
      <c r="R194" s="48" t="e">
        <f t="shared" si="13"/>
        <v>#VALUE!</v>
      </c>
      <c r="S194" s="21">
        <f t="shared" si="14"/>
        <v>0</v>
      </c>
      <c r="T194" s="49" t="e">
        <f t="shared" si="15"/>
        <v>#VALUE!</v>
      </c>
    </row>
    <row r="195" spans="1:20" ht="12.75" hidden="1" customHeight="1">
      <c r="A195" s="58" t="s">
        <v>99</v>
      </c>
      <c r="B195" s="9" t="str">
        <f t="shared" si="12"/>
        <v>RES_201403</v>
      </c>
      <c r="C195" s="9">
        <v>0</v>
      </c>
      <c r="D195" s="9">
        <v>0</v>
      </c>
      <c r="E195" s="59" t="b">
        <v>1</v>
      </c>
      <c r="F195" s="54" t="str">
        <f t="shared" si="18"/>
        <v>Residential</v>
      </c>
      <c r="G195" s="18" t="s">
        <v>155</v>
      </c>
      <c r="H195" s="18" t="s">
        <v>157</v>
      </c>
      <c r="I195" s="18" t="s">
        <v>166</v>
      </c>
      <c r="J195" s="24">
        <v>2018</v>
      </c>
      <c r="K195" s="30" t="e">
        <v>#VALUE!</v>
      </c>
      <c r="L195" s="19" t="e">
        <v>#VALUE!</v>
      </c>
      <c r="M195" s="20" t="e">
        <v>#VALUE!</v>
      </c>
      <c r="N195" s="20"/>
      <c r="O195" s="31" t="e">
        <v>#VALUE!</v>
      </c>
      <c r="P195" s="40">
        <v>10.713859940000001</v>
      </c>
      <c r="Q195" s="41"/>
      <c r="R195" s="48" t="e">
        <f t="shared" si="13"/>
        <v>#VALUE!</v>
      </c>
      <c r="S195" s="21">
        <f t="shared" si="14"/>
        <v>0</v>
      </c>
      <c r="T195" s="49" t="e">
        <f t="shared" si="15"/>
        <v>#VALUE!</v>
      </c>
    </row>
    <row r="196" spans="1:20" ht="12.75" hidden="1" customHeight="1">
      <c r="A196" s="58" t="s">
        <v>116</v>
      </c>
      <c r="B196" s="9" t="str">
        <f t="shared" ref="B196:B209" si="19">LEFT(A196,10)</f>
        <v>RES_201403</v>
      </c>
      <c r="C196" s="9">
        <v>0</v>
      </c>
      <c r="D196" s="9">
        <v>0</v>
      </c>
      <c r="E196" s="59" t="b">
        <v>1</v>
      </c>
      <c r="F196" s="54" t="str">
        <f t="shared" si="18"/>
        <v>Residential</v>
      </c>
      <c r="G196" s="18" t="s">
        <v>155</v>
      </c>
      <c r="H196" s="18" t="s">
        <v>476</v>
      </c>
      <c r="I196" s="18" t="s">
        <v>1461</v>
      </c>
      <c r="J196" s="24">
        <v>2018</v>
      </c>
      <c r="K196" s="30" t="e">
        <v>#VALUE!</v>
      </c>
      <c r="L196" s="19" t="e">
        <v>#VALUE!</v>
      </c>
      <c r="M196" s="20" t="e">
        <v>#VALUE!</v>
      </c>
      <c r="N196" s="20"/>
      <c r="O196" s="31" t="e">
        <v>#VALUE!</v>
      </c>
      <c r="P196" s="40">
        <v>9.0916105599999995</v>
      </c>
      <c r="Q196" s="41"/>
      <c r="R196" s="48" t="e">
        <f t="shared" si="13"/>
        <v>#VALUE!</v>
      </c>
      <c r="S196" s="21">
        <f t="shared" si="14"/>
        <v>0</v>
      </c>
      <c r="T196" s="49" t="e">
        <f t="shared" si="15"/>
        <v>#VALUE!</v>
      </c>
    </row>
    <row r="197" spans="1:20" ht="12.75" hidden="1" customHeight="1">
      <c r="A197" s="58" t="s">
        <v>106</v>
      </c>
      <c r="B197" s="9" t="str">
        <f t="shared" si="19"/>
        <v>RES_201403</v>
      </c>
      <c r="C197" s="9">
        <v>0</v>
      </c>
      <c r="D197" s="9">
        <v>1</v>
      </c>
      <c r="E197" s="59" t="b">
        <v>1</v>
      </c>
      <c r="F197" s="54" t="str">
        <f t="shared" si="18"/>
        <v>Residential</v>
      </c>
      <c r="G197" s="18" t="s">
        <v>155</v>
      </c>
      <c r="H197" s="18" t="s">
        <v>429</v>
      </c>
      <c r="I197" s="18" t="s">
        <v>1636</v>
      </c>
      <c r="J197" s="24">
        <v>2018</v>
      </c>
      <c r="K197" s="30" t="e">
        <v>#VALUE!</v>
      </c>
      <c r="L197" s="19" t="e">
        <v>#VALUE!</v>
      </c>
      <c r="M197" s="20" t="e">
        <v>#VALUE!</v>
      </c>
      <c r="N197" s="20"/>
      <c r="O197" s="31" t="e">
        <v>#VALUE!</v>
      </c>
      <c r="P197" s="40">
        <v>-2.9469460199999999</v>
      </c>
      <c r="Q197" s="41"/>
      <c r="R197" s="48" t="e">
        <f t="shared" ref="R197:R209" si="20">(K197-M197)*O197*P197/8670000</f>
        <v>#VALUE!</v>
      </c>
      <c r="S197" s="21">
        <f t="shared" ref="S197:S209" si="21">IFERROR((L197-M197/K197*L197)*O197*P197/8760/1000,0)</f>
        <v>0</v>
      </c>
      <c r="T197" s="49" t="e">
        <f t="shared" ref="T197:T209" si="22">R197-S197</f>
        <v>#VALUE!</v>
      </c>
    </row>
    <row r="198" spans="1:20" ht="12.75" hidden="1" customHeight="1">
      <c r="A198" s="58" t="s">
        <v>107</v>
      </c>
      <c r="B198" s="9" t="str">
        <f t="shared" si="19"/>
        <v>RES_201403</v>
      </c>
      <c r="C198" s="9">
        <v>0</v>
      </c>
      <c r="D198" s="9">
        <v>0</v>
      </c>
      <c r="E198" s="59" t="b">
        <v>1</v>
      </c>
      <c r="F198" s="54" t="str">
        <f t="shared" si="18"/>
        <v>Residential</v>
      </c>
      <c r="G198" s="18" t="s">
        <v>155</v>
      </c>
      <c r="H198" s="18" t="s">
        <v>429</v>
      </c>
      <c r="I198" s="18" t="s">
        <v>1461</v>
      </c>
      <c r="J198" s="24">
        <v>2018</v>
      </c>
      <c r="K198" s="30" t="e">
        <v>#VALUE!</v>
      </c>
      <c r="L198" s="19" t="e">
        <v>#VALUE!</v>
      </c>
      <c r="M198" s="20" t="e">
        <v>#VALUE!</v>
      </c>
      <c r="N198" s="20"/>
      <c r="O198" s="31" t="e">
        <v>#VALUE!</v>
      </c>
      <c r="P198" s="40">
        <v>23.680008999999998</v>
      </c>
      <c r="Q198" s="41"/>
      <c r="R198" s="48" t="e">
        <f t="shared" si="20"/>
        <v>#VALUE!</v>
      </c>
      <c r="S198" s="21">
        <f t="shared" si="21"/>
        <v>0</v>
      </c>
      <c r="T198" s="49" t="e">
        <f t="shared" si="22"/>
        <v>#VALUE!</v>
      </c>
    </row>
    <row r="199" spans="1:20" ht="12.75" hidden="1" customHeight="1">
      <c r="A199" s="58" t="s">
        <v>108</v>
      </c>
      <c r="B199" s="9" t="str">
        <f t="shared" si="19"/>
        <v>RES_201403</v>
      </c>
      <c r="C199" s="9">
        <v>0</v>
      </c>
      <c r="D199" s="9">
        <v>0</v>
      </c>
      <c r="E199" s="59" t="b">
        <v>1</v>
      </c>
      <c r="F199" s="54" t="str">
        <f t="shared" si="18"/>
        <v>Residential</v>
      </c>
      <c r="G199" s="18" t="s">
        <v>155</v>
      </c>
      <c r="H199" s="18" t="s">
        <v>429</v>
      </c>
      <c r="I199" s="18" t="s">
        <v>486</v>
      </c>
      <c r="J199" s="24">
        <v>2018</v>
      </c>
      <c r="K199" s="30" t="e">
        <v>#VALUE!</v>
      </c>
      <c r="L199" s="19" t="e">
        <v>#VALUE!</v>
      </c>
      <c r="M199" s="20" t="e">
        <v>#VALUE!</v>
      </c>
      <c r="N199" s="20"/>
      <c r="O199" s="31" t="e">
        <v>#VALUE!</v>
      </c>
      <c r="P199" s="40">
        <v>49.03648622</v>
      </c>
      <c r="Q199" s="41"/>
      <c r="R199" s="48" t="e">
        <f t="shared" si="20"/>
        <v>#VALUE!</v>
      </c>
      <c r="S199" s="21">
        <f t="shared" si="21"/>
        <v>0</v>
      </c>
      <c r="T199" s="49" t="e">
        <f t="shared" si="22"/>
        <v>#VALUE!</v>
      </c>
    </row>
    <row r="200" spans="1:20" ht="12.75" hidden="1" customHeight="1">
      <c r="A200" s="58" t="s">
        <v>114</v>
      </c>
      <c r="B200" s="9" t="str">
        <f t="shared" si="19"/>
        <v>RES_201403</v>
      </c>
      <c r="C200" s="9">
        <v>0</v>
      </c>
      <c r="D200" s="9">
        <v>0</v>
      </c>
      <c r="E200" s="59" t="b">
        <v>1</v>
      </c>
      <c r="F200" s="54" t="str">
        <f t="shared" si="18"/>
        <v>Residential</v>
      </c>
      <c r="G200" s="18" t="s">
        <v>155</v>
      </c>
      <c r="H200" s="18" t="s">
        <v>433</v>
      </c>
      <c r="I200" s="18" t="s">
        <v>1461</v>
      </c>
      <c r="J200" s="24">
        <v>2018</v>
      </c>
      <c r="K200" s="30" t="e">
        <v>#VALUE!</v>
      </c>
      <c r="L200" s="19" t="e">
        <v>#VALUE!</v>
      </c>
      <c r="M200" s="20" t="e">
        <v>#VALUE!</v>
      </c>
      <c r="N200" s="20"/>
      <c r="O200" s="31" t="e">
        <v>#VALUE!</v>
      </c>
      <c r="P200" s="40">
        <v>0</v>
      </c>
      <c r="Q200" s="41"/>
      <c r="R200" s="48" t="e">
        <f t="shared" si="20"/>
        <v>#VALUE!</v>
      </c>
      <c r="S200" s="21">
        <f t="shared" si="21"/>
        <v>0</v>
      </c>
      <c r="T200" s="49" t="e">
        <f t="shared" si="22"/>
        <v>#VALUE!</v>
      </c>
    </row>
    <row r="201" spans="1:20" ht="12.75" hidden="1" customHeight="1">
      <c r="A201" s="58" t="s">
        <v>115</v>
      </c>
      <c r="B201" s="9" t="str">
        <f t="shared" si="19"/>
        <v>RES_201403</v>
      </c>
      <c r="C201" s="9">
        <v>0</v>
      </c>
      <c r="D201" s="9">
        <v>0</v>
      </c>
      <c r="E201" s="59" t="b">
        <v>1</v>
      </c>
      <c r="F201" s="54" t="str">
        <f t="shared" si="18"/>
        <v>Residential</v>
      </c>
      <c r="G201" s="18" t="s">
        <v>155</v>
      </c>
      <c r="H201" s="18" t="s">
        <v>433</v>
      </c>
      <c r="I201" s="18" t="s">
        <v>1636</v>
      </c>
      <c r="J201" s="24">
        <v>2018</v>
      </c>
      <c r="K201" s="30" t="e">
        <v>#VALUE!</v>
      </c>
      <c r="L201" s="19" t="e">
        <v>#VALUE!</v>
      </c>
      <c r="M201" s="20" t="e">
        <v>#VALUE!</v>
      </c>
      <c r="N201" s="20"/>
      <c r="O201" s="31" t="e">
        <v>#VALUE!</v>
      </c>
      <c r="P201" s="40">
        <v>2.3330147800000001</v>
      </c>
      <c r="Q201" s="41"/>
      <c r="R201" s="48" t="e">
        <f t="shared" si="20"/>
        <v>#VALUE!</v>
      </c>
      <c r="S201" s="21">
        <f t="shared" si="21"/>
        <v>0</v>
      </c>
      <c r="T201" s="49" t="e">
        <f t="shared" si="22"/>
        <v>#VALUE!</v>
      </c>
    </row>
    <row r="202" spans="1:20" ht="12.75" hidden="1" customHeight="1">
      <c r="A202" s="58" t="s">
        <v>120</v>
      </c>
      <c r="B202" s="9" t="str">
        <f t="shared" si="19"/>
        <v>RES_201403</v>
      </c>
      <c r="C202" s="9">
        <v>0</v>
      </c>
      <c r="D202" s="9">
        <v>0</v>
      </c>
      <c r="E202" s="59" t="b">
        <v>1</v>
      </c>
      <c r="F202" s="54" t="str">
        <f t="shared" si="18"/>
        <v>Residential</v>
      </c>
      <c r="G202" s="18" t="s">
        <v>155</v>
      </c>
      <c r="H202" s="18" t="s">
        <v>768</v>
      </c>
      <c r="I202" s="18" t="s">
        <v>1461</v>
      </c>
      <c r="J202" s="24">
        <v>2018</v>
      </c>
      <c r="K202" s="30" t="e">
        <v>#VALUE!</v>
      </c>
      <c r="L202" s="19" t="e">
        <v>#VALUE!</v>
      </c>
      <c r="M202" s="20" t="e">
        <v>#VALUE!</v>
      </c>
      <c r="N202" s="20"/>
      <c r="O202" s="31" t="e">
        <v>#VALUE!</v>
      </c>
      <c r="P202" s="40">
        <v>72.392267189999998</v>
      </c>
      <c r="Q202" s="41"/>
      <c r="R202" s="48" t="e">
        <f t="shared" si="20"/>
        <v>#VALUE!</v>
      </c>
      <c r="S202" s="21">
        <f t="shared" si="21"/>
        <v>0</v>
      </c>
      <c r="T202" s="49" t="e">
        <f t="shared" si="22"/>
        <v>#VALUE!</v>
      </c>
    </row>
    <row r="203" spans="1:20" ht="12.75" hidden="1" customHeight="1">
      <c r="A203" s="58" t="s">
        <v>121</v>
      </c>
      <c r="B203" s="9" t="str">
        <f t="shared" si="19"/>
        <v>RES_201403</v>
      </c>
      <c r="C203" s="9">
        <v>0</v>
      </c>
      <c r="D203" s="9">
        <v>0</v>
      </c>
      <c r="E203" s="59" t="b">
        <v>1</v>
      </c>
      <c r="F203" s="54" t="str">
        <f t="shared" si="18"/>
        <v>Residential</v>
      </c>
      <c r="G203" s="18" t="s">
        <v>155</v>
      </c>
      <c r="H203" s="18" t="s">
        <v>443</v>
      </c>
      <c r="I203" s="18" t="s">
        <v>1461</v>
      </c>
      <c r="J203" s="24">
        <v>2018</v>
      </c>
      <c r="K203" s="30" t="e">
        <v>#VALUE!</v>
      </c>
      <c r="L203" s="19" t="e">
        <v>#VALUE!</v>
      </c>
      <c r="M203" s="20" t="e">
        <v>#VALUE!</v>
      </c>
      <c r="N203" s="20"/>
      <c r="O203" s="31" t="e">
        <v>#VALUE!</v>
      </c>
      <c r="P203" s="40">
        <v>0</v>
      </c>
      <c r="Q203" s="41"/>
      <c r="R203" s="48" t="e">
        <f t="shared" si="20"/>
        <v>#VALUE!</v>
      </c>
      <c r="S203" s="21">
        <f t="shared" si="21"/>
        <v>0</v>
      </c>
      <c r="T203" s="49" t="e">
        <f t="shared" si="22"/>
        <v>#VALUE!</v>
      </c>
    </row>
    <row r="204" spans="1:20" ht="12.75" hidden="1" customHeight="1">
      <c r="A204" s="58" t="s">
        <v>54</v>
      </c>
      <c r="B204" s="9" t="str">
        <f t="shared" si="19"/>
        <v>RES_201101</v>
      </c>
      <c r="C204" s="9">
        <v>0</v>
      </c>
      <c r="D204" s="9">
        <v>0</v>
      </c>
      <c r="E204" s="59" t="b">
        <v>1</v>
      </c>
      <c r="F204" s="54" t="str">
        <f t="shared" si="18"/>
        <v>Residential</v>
      </c>
      <c r="G204" s="18" t="s">
        <v>152</v>
      </c>
      <c r="H204" s="18" t="s">
        <v>430</v>
      </c>
      <c r="I204" s="18" t="s">
        <v>487</v>
      </c>
      <c r="J204" s="24">
        <v>2018</v>
      </c>
      <c r="K204" s="30" t="e">
        <v>#VALUE!</v>
      </c>
      <c r="L204" s="19" t="e">
        <v>#VALUE!</v>
      </c>
      <c r="M204" s="20" t="e">
        <v>#VALUE!</v>
      </c>
      <c r="N204" s="20"/>
      <c r="O204" s="31" t="e">
        <v>#VALUE!</v>
      </c>
      <c r="P204" s="40">
        <v>54.425781999999998</v>
      </c>
      <c r="Q204" s="41" t="s">
        <v>1631</v>
      </c>
      <c r="R204" s="48" t="e">
        <f t="shared" si="20"/>
        <v>#VALUE!</v>
      </c>
      <c r="S204" s="21">
        <f t="shared" si="21"/>
        <v>0</v>
      </c>
      <c r="T204" s="49" t="e">
        <f t="shared" si="22"/>
        <v>#VALUE!</v>
      </c>
    </row>
    <row r="205" spans="1:20" ht="12.75" hidden="1" customHeight="1">
      <c r="A205" s="58" t="s">
        <v>88</v>
      </c>
      <c r="B205" s="9" t="str">
        <f t="shared" si="19"/>
        <v>RES_201101</v>
      </c>
      <c r="C205" s="9">
        <v>0</v>
      </c>
      <c r="D205" s="9">
        <v>0</v>
      </c>
      <c r="E205" s="59" t="b">
        <v>1</v>
      </c>
      <c r="F205" s="54" t="str">
        <f t="shared" si="18"/>
        <v>Residential</v>
      </c>
      <c r="G205" s="18" t="s">
        <v>152</v>
      </c>
      <c r="H205" s="18" t="s">
        <v>430</v>
      </c>
      <c r="I205" s="18" t="s">
        <v>488</v>
      </c>
      <c r="J205" s="24">
        <v>2018</v>
      </c>
      <c r="K205" s="30" t="e">
        <v>#VALUE!</v>
      </c>
      <c r="L205" s="19" t="e">
        <v>#VALUE!</v>
      </c>
      <c r="M205" s="20" t="e">
        <v>#VALUE!</v>
      </c>
      <c r="N205" s="20"/>
      <c r="O205" s="31" t="e">
        <v>#VALUE!</v>
      </c>
      <c r="P205" s="40">
        <v>171.7061558</v>
      </c>
      <c r="Q205" s="41"/>
      <c r="R205" s="48" t="e">
        <f t="shared" si="20"/>
        <v>#VALUE!</v>
      </c>
      <c r="S205" s="21">
        <f t="shared" si="21"/>
        <v>0</v>
      </c>
      <c r="T205" s="49" t="e">
        <f t="shared" si="22"/>
        <v>#VALUE!</v>
      </c>
    </row>
    <row r="206" spans="1:20" ht="12.75" hidden="1" customHeight="1">
      <c r="A206" s="58" t="s">
        <v>89</v>
      </c>
      <c r="B206" s="9" t="str">
        <f t="shared" si="19"/>
        <v>RES_201101</v>
      </c>
      <c r="C206" s="9">
        <v>0</v>
      </c>
      <c r="D206" s="9">
        <v>0</v>
      </c>
      <c r="E206" s="59" t="b">
        <v>1</v>
      </c>
      <c r="F206" s="54" t="str">
        <f t="shared" si="18"/>
        <v>Residential</v>
      </c>
      <c r="G206" s="18" t="s">
        <v>152</v>
      </c>
      <c r="H206" s="18" t="s">
        <v>430</v>
      </c>
      <c r="I206" s="18" t="s">
        <v>489</v>
      </c>
      <c r="J206" s="24">
        <v>2018</v>
      </c>
      <c r="K206" s="30" t="e">
        <v>#VALUE!</v>
      </c>
      <c r="L206" s="19" t="e">
        <v>#VALUE!</v>
      </c>
      <c r="M206" s="20" t="e">
        <v>#VALUE!</v>
      </c>
      <c r="N206" s="20"/>
      <c r="O206" s="31" t="e">
        <v>#VALUE!</v>
      </c>
      <c r="P206" s="40">
        <v>95.998755959999997</v>
      </c>
      <c r="Q206" s="41"/>
      <c r="R206" s="48" t="e">
        <f t="shared" si="20"/>
        <v>#VALUE!</v>
      </c>
      <c r="S206" s="21">
        <f t="shared" si="21"/>
        <v>0</v>
      </c>
      <c r="T206" s="49" t="e">
        <f t="shared" si="22"/>
        <v>#VALUE!</v>
      </c>
    </row>
    <row r="207" spans="1:20" ht="12.75" hidden="1" customHeight="1">
      <c r="A207" s="58" t="s">
        <v>90</v>
      </c>
      <c r="B207" s="9" t="str">
        <f t="shared" si="19"/>
        <v>RES_201101</v>
      </c>
      <c r="C207" s="9">
        <v>0</v>
      </c>
      <c r="D207" s="9">
        <v>0</v>
      </c>
      <c r="E207" s="59" t="b">
        <v>1</v>
      </c>
      <c r="F207" s="54" t="str">
        <f t="shared" si="18"/>
        <v>Residential</v>
      </c>
      <c r="G207" s="18" t="s">
        <v>152</v>
      </c>
      <c r="H207" s="18" t="s">
        <v>430</v>
      </c>
      <c r="I207" s="18" t="s">
        <v>490</v>
      </c>
      <c r="J207" s="24">
        <v>2018</v>
      </c>
      <c r="K207" s="30" t="e">
        <v>#VALUE!</v>
      </c>
      <c r="L207" s="19" t="e">
        <v>#VALUE!</v>
      </c>
      <c r="M207" s="20" t="e">
        <v>#VALUE!</v>
      </c>
      <c r="N207" s="20"/>
      <c r="O207" s="31" t="e">
        <v>#VALUE!</v>
      </c>
      <c r="P207" s="40">
        <v>104.70935163999999</v>
      </c>
      <c r="Q207" s="41"/>
      <c r="R207" s="48" t="e">
        <f t="shared" si="20"/>
        <v>#VALUE!</v>
      </c>
      <c r="S207" s="21">
        <f t="shared" si="21"/>
        <v>0</v>
      </c>
      <c r="T207" s="49" t="e">
        <f t="shared" si="22"/>
        <v>#VALUE!</v>
      </c>
    </row>
    <row r="208" spans="1:20" ht="12.75" hidden="1" customHeight="1">
      <c r="A208" s="58" t="s">
        <v>91</v>
      </c>
      <c r="B208" s="9" t="str">
        <f t="shared" si="19"/>
        <v>RES_201101</v>
      </c>
      <c r="C208" s="9">
        <v>0</v>
      </c>
      <c r="D208" s="9">
        <v>0</v>
      </c>
      <c r="E208" s="59" t="b">
        <v>1</v>
      </c>
      <c r="F208" s="54" t="str">
        <f t="shared" si="18"/>
        <v>Residential</v>
      </c>
      <c r="G208" s="18" t="s">
        <v>152</v>
      </c>
      <c r="H208" s="18" t="s">
        <v>430</v>
      </c>
      <c r="I208" s="18" t="s">
        <v>491</v>
      </c>
      <c r="J208" s="24">
        <v>2018</v>
      </c>
      <c r="K208" s="30" t="e">
        <v>#VALUE!</v>
      </c>
      <c r="L208" s="19" t="e">
        <v>#VALUE!</v>
      </c>
      <c r="M208" s="20" t="e">
        <v>#VALUE!</v>
      </c>
      <c r="N208" s="20"/>
      <c r="O208" s="31" t="e">
        <v>#VALUE!</v>
      </c>
      <c r="P208" s="40">
        <v>53.065112710000001</v>
      </c>
      <c r="Q208" s="41"/>
      <c r="R208" s="48" t="e">
        <f t="shared" si="20"/>
        <v>#VALUE!</v>
      </c>
      <c r="S208" s="21">
        <f t="shared" si="21"/>
        <v>0</v>
      </c>
      <c r="T208" s="49" t="e">
        <f t="shared" si="22"/>
        <v>#VALUE!</v>
      </c>
    </row>
    <row r="209" spans="1:20" ht="12.75" hidden="1" customHeight="1">
      <c r="A209" s="62" t="s">
        <v>117</v>
      </c>
      <c r="B209" s="63" t="str">
        <f t="shared" si="19"/>
        <v>RES_201101</v>
      </c>
      <c r="C209" s="63">
        <v>0</v>
      </c>
      <c r="D209" s="63">
        <v>0</v>
      </c>
      <c r="E209" s="64" t="b">
        <v>1</v>
      </c>
      <c r="F209" s="55" t="str">
        <f t="shared" si="18"/>
        <v>Residential</v>
      </c>
      <c r="G209" s="22" t="s">
        <v>152</v>
      </c>
      <c r="H209" s="22" t="s">
        <v>430</v>
      </c>
      <c r="I209" s="22" t="s">
        <v>492</v>
      </c>
      <c r="J209" s="25">
        <v>2018</v>
      </c>
      <c r="K209" s="32" t="e">
        <v>#VALUE!</v>
      </c>
      <c r="L209" s="33" t="e">
        <v>#VALUE!</v>
      </c>
      <c r="M209" s="20" t="e">
        <v>#VALUE!</v>
      </c>
      <c r="N209" s="34"/>
      <c r="O209" s="35" t="e">
        <v>#VALUE!</v>
      </c>
      <c r="P209" s="42">
        <v>41.495178299999999</v>
      </c>
      <c r="Q209" s="43"/>
      <c r="R209" s="50" t="e">
        <f t="shared" si="20"/>
        <v>#VALUE!</v>
      </c>
      <c r="S209" s="51">
        <f t="shared" si="21"/>
        <v>0</v>
      </c>
      <c r="T209" s="52" t="e">
        <f t="shared" si="22"/>
        <v>#VALUE!</v>
      </c>
    </row>
    <row r="210" spans="1:20" ht="12.75" hidden="1" customHeight="1">
      <c r="A210" s="8" t="s">
        <v>136</v>
      </c>
    </row>
    <row r="211" spans="1:20" ht="12.75" hidden="1" customHeight="1">
      <c r="A211" s="8" t="s">
        <v>97</v>
      </c>
    </row>
    <row r="212" spans="1:20" ht="12.75" hidden="1" customHeight="1">
      <c r="A212" s="8" t="s">
        <v>98</v>
      </c>
    </row>
    <row r="213" spans="1:20" ht="12.75" hidden="1" customHeight="1">
      <c r="A213" s="8" t="s">
        <v>99</v>
      </c>
    </row>
  </sheetData>
  <autoFilter ref="A3:AB213">
    <filterColumn colId="6">
      <filters>
        <filter val="Other Non-Residential Standards"/>
      </filters>
    </filterColumn>
  </autoFilter>
  <sortState ref="A4:U381">
    <sortCondition descending="1" ref="J4:J381"/>
  </sortState>
  <dataConsolidate/>
  <mergeCells count="5">
    <mergeCell ref="A2:E2"/>
    <mergeCell ref="F2:J2"/>
    <mergeCell ref="K2:O2"/>
    <mergeCell ref="P2:Q2"/>
    <mergeCell ref="R2:T2"/>
  </mergeCells>
  <pageMargins left="0.7" right="0.7" top="0.75" bottom="0.75" header="0.3" footer="0.3"/>
  <pageSetup scale="2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filterMode="1">
    <tabColor rgb="FF0083CA"/>
    <pageSetUpPr fitToPage="1"/>
  </sheetPr>
  <dimension ref="A1:AA115"/>
  <sheetViews>
    <sheetView topLeftCell="H1" workbookViewId="0">
      <selection activeCell="H1" sqref="H1"/>
    </sheetView>
  </sheetViews>
  <sheetFormatPr defaultColWidth="18.6640625" defaultRowHeight="12.75" customHeight="1" outlineLevelCol="1"/>
  <cols>
    <col min="1" max="1" width="19.6640625" style="460" hidden="1" customWidth="1" outlineLevel="1"/>
    <col min="2" max="2" width="8.5546875" style="460" hidden="1" customWidth="1" outlineLevel="1"/>
    <col min="3" max="4" width="9.5546875" style="461" hidden="1" customWidth="1" outlineLevel="1"/>
    <col min="5" max="5" width="9.88671875" style="461" hidden="1" customWidth="1" outlineLevel="1"/>
    <col min="6" max="6" width="5.44140625" style="461" hidden="1" customWidth="1" outlineLevel="1"/>
    <col min="7" max="7" width="11.5546875" style="460" hidden="1" customWidth="1" outlineLevel="1"/>
    <col min="8" max="8" width="16.109375" style="462" customWidth="1" collapsed="1"/>
    <col min="9" max="9" width="29.33203125" style="462" customWidth="1"/>
    <col min="10" max="10" width="31.109375" style="462" customWidth="1"/>
    <col min="11" max="11" width="10.5546875" style="462" customWidth="1"/>
    <col min="12" max="12" width="8" style="462" customWidth="1"/>
    <col min="13" max="14" width="14.88671875" style="463" customWidth="1"/>
    <col min="15" max="15" width="9" style="463" customWidth="1"/>
    <col min="16" max="16" width="14.88671875" style="463" customWidth="1"/>
    <col min="17" max="18" width="11.88671875" style="462" customWidth="1"/>
    <col min="19" max="19" width="12.44140625" style="462" customWidth="1"/>
    <col min="20" max="20" width="9" style="462" customWidth="1"/>
    <col min="21" max="21" width="10.5546875" style="462" customWidth="1"/>
    <col min="22" max="22" width="12.33203125" style="464" customWidth="1"/>
    <col min="23" max="16384" width="18.6640625" style="462"/>
  </cols>
  <sheetData>
    <row r="1" spans="1:27" ht="12.75" customHeight="1">
      <c r="H1" s="239" t="s">
        <v>1067</v>
      </c>
      <c r="U1" s="1959" t="s">
        <v>1936</v>
      </c>
    </row>
    <row r="2" spans="1:27" ht="50.25" customHeight="1">
      <c r="H2" s="1579" t="str">
        <f>I8&amp;":"</f>
        <v>Reduced Wattage Lamp Replacement:</v>
      </c>
      <c r="I2" s="2875" t="str">
        <f>INDEX(Programs!C:C,MATCH(I7,Programs!B:B,0))</f>
        <v>Develop an upstream platform with distributors and manufacturers that influences the stocking and sales practices of efficient lighting products that can be leveraged for lighting initiatives.</v>
      </c>
      <c r="J2" s="2875"/>
      <c r="K2" s="2875"/>
      <c r="L2" s="2875"/>
      <c r="Q2" s="458" t="s">
        <v>1152</v>
      </c>
      <c r="R2" s="925" t="s">
        <v>1870</v>
      </c>
      <c r="U2" s="1959" t="s">
        <v>1870</v>
      </c>
    </row>
    <row r="3" spans="1:27" ht="21.75" customHeight="1">
      <c r="H3" s="458"/>
      <c r="I3" s="458"/>
      <c r="J3" s="458"/>
      <c r="K3" s="458"/>
      <c r="L3" s="458"/>
    </row>
    <row r="4" spans="1:27" s="458" customFormat="1" ht="15.75" customHeight="1">
      <c r="A4" s="2876" t="s">
        <v>131</v>
      </c>
      <c r="B4" s="2877"/>
      <c r="C4" s="2877"/>
      <c r="D4" s="2877"/>
      <c r="E4" s="2877"/>
      <c r="F4" s="2877"/>
      <c r="G4" s="2878"/>
      <c r="H4" s="3037" t="s">
        <v>7</v>
      </c>
      <c r="I4" s="3038"/>
      <c r="J4" s="3038"/>
      <c r="K4" s="3038"/>
      <c r="L4" s="3038"/>
      <c r="M4" s="2881" t="s">
        <v>127</v>
      </c>
      <c r="N4" s="2882"/>
      <c r="O4" s="2882"/>
      <c r="P4" s="2882"/>
      <c r="Q4" s="2883"/>
      <c r="R4" s="2884" t="s">
        <v>129</v>
      </c>
      <c r="S4" s="2885"/>
      <c r="T4" s="2872" t="s">
        <v>130</v>
      </c>
      <c r="U4" s="2873"/>
      <c r="V4" s="2874"/>
    </row>
    <row r="5" spans="1:27" s="931" customFormat="1" ht="51.75" customHeight="1" thickBot="1">
      <c r="A5" s="927" t="s">
        <v>0</v>
      </c>
      <c r="B5" s="928" t="s">
        <v>11</v>
      </c>
      <c r="C5" s="929" t="s">
        <v>1</v>
      </c>
      <c r="D5" s="929" t="s">
        <v>2</v>
      </c>
      <c r="E5" s="929" t="s">
        <v>266</v>
      </c>
      <c r="F5" s="929" t="s">
        <v>306</v>
      </c>
      <c r="G5" s="930" t="s">
        <v>12</v>
      </c>
      <c r="H5" s="1584" t="s">
        <v>3</v>
      </c>
      <c r="I5" s="1584" t="s">
        <v>4</v>
      </c>
      <c r="J5" s="1584" t="s">
        <v>5</v>
      </c>
      <c r="K5" s="1584" t="s">
        <v>6</v>
      </c>
      <c r="L5" s="1584" t="s">
        <v>8</v>
      </c>
      <c r="M5" s="1585" t="s">
        <v>13</v>
      </c>
      <c r="N5" s="1584" t="s">
        <v>14</v>
      </c>
      <c r="O5" s="1584" t="s">
        <v>123</v>
      </c>
      <c r="P5" s="1584" t="s">
        <v>124</v>
      </c>
      <c r="Q5" s="1586" t="s">
        <v>16</v>
      </c>
      <c r="R5" s="1585" t="s">
        <v>870</v>
      </c>
      <c r="S5" s="1586" t="s">
        <v>125</v>
      </c>
      <c r="T5" s="1585" t="s">
        <v>126</v>
      </c>
      <c r="U5" s="1584" t="s">
        <v>18</v>
      </c>
      <c r="V5" s="1587" t="s">
        <v>17</v>
      </c>
    </row>
    <row r="6" spans="1:27" ht="12.75" hidden="1" customHeight="1" thickTop="1">
      <c r="A6" s="460" t="s">
        <v>93</v>
      </c>
      <c r="B6" s="499" t="str">
        <f t="shared" ref="B6:B9" si="0">LEFT(A6,10)</f>
        <v>COM_201403</v>
      </c>
      <c r="C6" s="499">
        <v>0</v>
      </c>
      <c r="D6" s="499">
        <v>0</v>
      </c>
      <c r="E6" s="499">
        <f t="shared" ref="E6:E13" si="1">COUNTIFS($A:$A,A6,$L:$L,L6)</f>
        <v>1</v>
      </c>
      <c r="F6" s="499">
        <v>1</v>
      </c>
      <c r="G6" s="500" t="b">
        <v>1</v>
      </c>
      <c r="H6" s="501" t="str">
        <f t="shared" ref="H6:H9" si="2">IF(LEFT(A6,3)="Res","Residential",IF(LEFT(A6,3)="Ind","industrial",IF(LEFT(A6,3)="Com","Commercial",IF(LEFT(A6,3)="AGR","Agriculture",""))))</f>
        <v>Commercial</v>
      </c>
      <c r="I6" s="502" t="s">
        <v>144</v>
      </c>
      <c r="J6" s="502" t="s">
        <v>474</v>
      </c>
      <c r="K6" s="502" t="s">
        <v>158</v>
      </c>
      <c r="L6" s="24">
        <v>2018</v>
      </c>
      <c r="M6" s="511">
        <v>203002.90381429001</v>
      </c>
      <c r="N6" s="512">
        <v>1768.8311334499999</v>
      </c>
      <c r="O6" s="512">
        <v>0</v>
      </c>
      <c r="P6" s="318" t="str">
        <f>IF($R$2="7th Plan",$H$33,$H$76)</f>
        <v>The current practice baseline is incorporated in the savings rate analysis</v>
      </c>
      <c r="Q6" s="505">
        <v>0.14199999999999999</v>
      </c>
      <c r="R6" s="531">
        <f>$N$42</f>
        <v>5.9157669339672196</v>
      </c>
      <c r="S6" s="71" t="str">
        <f>IF($R$2="7th Plan",$I$33,$I$76)</f>
        <v>RTF Analysis of Non-residential midstream lighting measures.</v>
      </c>
      <c r="T6" s="507">
        <f>(M6-O6)*Q6*R6/8760000</f>
        <v>1.9466933442410329E-2</v>
      </c>
      <c r="U6" s="508">
        <f t="shared" ref="U6:U9" si="3">IFERROR((N6-O6/M6*N6)*Q6*R6/8760/1000,0)</f>
        <v>1.6962179997796891E-4</v>
      </c>
      <c r="V6" s="509">
        <f t="shared" ref="V6:V9" si="4">T6-U6</f>
        <v>1.9297311642432362E-2</v>
      </c>
    </row>
    <row r="7" spans="1:27" ht="12.75" hidden="1" customHeight="1">
      <c r="A7" s="460" t="s">
        <v>94</v>
      </c>
      <c r="B7" s="499" t="str">
        <f t="shared" si="0"/>
        <v>COM_201403</v>
      </c>
      <c r="C7" s="499">
        <v>0</v>
      </c>
      <c r="D7" s="499">
        <v>0</v>
      </c>
      <c r="E7" s="499">
        <f t="shared" si="1"/>
        <v>1</v>
      </c>
      <c r="F7" s="499">
        <v>1</v>
      </c>
      <c r="G7" s="500" t="b">
        <v>1</v>
      </c>
      <c r="H7" s="501" t="str">
        <f t="shared" si="2"/>
        <v>Commercial</v>
      </c>
      <c r="I7" s="502" t="s">
        <v>144</v>
      </c>
      <c r="J7" s="502" t="s">
        <v>472</v>
      </c>
      <c r="K7" s="502" t="s">
        <v>158</v>
      </c>
      <c r="L7" s="24">
        <v>2018</v>
      </c>
      <c r="M7" s="511">
        <v>3565.25443215</v>
      </c>
      <c r="N7" s="512">
        <v>2.9944785500000002</v>
      </c>
      <c r="O7" s="512">
        <v>0</v>
      </c>
      <c r="P7" s="318" t="str">
        <f t="shared" ref="P7:P13" si="5">IF($R$2="7th Plan",$H$33,$H$76)</f>
        <v>The current practice baseline is incorporated in the savings rate analysis</v>
      </c>
      <c r="Q7" s="505">
        <v>0.14199999999999999</v>
      </c>
      <c r="R7" s="531">
        <f t="shared" ref="R7:R9" si="6">$N$42</f>
        <v>5.9157669339672196</v>
      </c>
      <c r="S7" s="71" t="str">
        <f t="shared" ref="S7:S13" si="7">IF($R$2="7th Plan",$I$33,$I$76)</f>
        <v>RTF Analysis of Non-residential midstream lighting measures.</v>
      </c>
      <c r="T7" s="507">
        <f>(M7-O7)*Q7*R7/8760000</f>
        <v>3.4188954656242147E-4</v>
      </c>
      <c r="U7" s="508">
        <f t="shared" si="3"/>
        <v>2.8715507774658714E-7</v>
      </c>
      <c r="V7" s="509">
        <f t="shared" si="4"/>
        <v>3.416023914846749E-4</v>
      </c>
    </row>
    <row r="8" spans="1:27" ht="12.75" hidden="1" customHeight="1">
      <c r="A8" s="460" t="s">
        <v>93</v>
      </c>
      <c r="B8" s="499" t="str">
        <f t="shared" si="0"/>
        <v>COM_201403</v>
      </c>
      <c r="C8" s="499">
        <v>0</v>
      </c>
      <c r="D8" s="499">
        <v>0</v>
      </c>
      <c r="E8" s="499">
        <f t="shared" si="1"/>
        <v>1</v>
      </c>
      <c r="F8" s="499">
        <v>1</v>
      </c>
      <c r="G8" s="500" t="b">
        <v>1</v>
      </c>
      <c r="H8" s="501" t="str">
        <f t="shared" si="2"/>
        <v>Commercial</v>
      </c>
      <c r="I8" s="502" t="s">
        <v>144</v>
      </c>
      <c r="J8" s="502" t="s">
        <v>474</v>
      </c>
      <c r="K8" s="502" t="s">
        <v>158</v>
      </c>
      <c r="L8" s="24">
        <v>2019</v>
      </c>
      <c r="M8" s="511">
        <v>179809.78113156001</v>
      </c>
      <c r="N8" s="512">
        <v>1768.8311334499999</v>
      </c>
      <c r="O8" s="512">
        <v>0</v>
      </c>
      <c r="P8" s="318" t="str">
        <f t="shared" si="5"/>
        <v>The current practice baseline is incorporated in the savings rate analysis</v>
      </c>
      <c r="Q8" s="505">
        <v>0.14199999999999999</v>
      </c>
      <c r="R8" s="531">
        <f t="shared" si="6"/>
        <v>5.9157669339672196</v>
      </c>
      <c r="S8" s="71" t="str">
        <f t="shared" si="7"/>
        <v>RTF Analysis of Non-residential midstream lighting measures.</v>
      </c>
      <c r="T8" s="507">
        <f>(M8-O8)*Q8*R8/8760000</f>
        <v>1.7242832372410859E-2</v>
      </c>
      <c r="U8" s="508">
        <f t="shared" si="3"/>
        <v>1.6962179997796891E-4</v>
      </c>
      <c r="V8" s="509">
        <f t="shared" si="4"/>
        <v>1.7073210572432891E-2</v>
      </c>
    </row>
    <row r="9" spans="1:27" ht="12.75" hidden="1" customHeight="1" thickBot="1">
      <c r="A9" s="460" t="s">
        <v>94</v>
      </c>
      <c r="B9" s="499" t="str">
        <f t="shared" si="0"/>
        <v>COM_201403</v>
      </c>
      <c r="C9" s="499">
        <v>0</v>
      </c>
      <c r="D9" s="499">
        <v>0</v>
      </c>
      <c r="E9" s="499">
        <f t="shared" si="1"/>
        <v>1</v>
      </c>
      <c r="F9" s="499">
        <v>1</v>
      </c>
      <c r="G9" s="500" t="b">
        <v>1</v>
      </c>
      <c r="H9" s="710" t="str">
        <f t="shared" si="2"/>
        <v>Commercial</v>
      </c>
      <c r="I9" s="559" t="s">
        <v>144</v>
      </c>
      <c r="J9" s="559" t="s">
        <v>472</v>
      </c>
      <c r="K9" s="559" t="s">
        <v>158</v>
      </c>
      <c r="L9" s="277">
        <v>2019</v>
      </c>
      <c r="M9" s="560">
        <v>2932.54744321</v>
      </c>
      <c r="N9" s="561">
        <v>2.9944785500000002</v>
      </c>
      <c r="O9" s="561">
        <v>0</v>
      </c>
      <c r="P9" s="319" t="str">
        <f t="shared" si="5"/>
        <v>The current practice baseline is incorporated in the savings rate analysis</v>
      </c>
      <c r="Q9" s="562">
        <v>0.14199999999999999</v>
      </c>
      <c r="R9" s="841">
        <f t="shared" si="6"/>
        <v>5.9157669339672196</v>
      </c>
      <c r="S9" s="696" t="str">
        <f t="shared" si="7"/>
        <v>RTF Analysis of Non-residential midstream lighting measures.</v>
      </c>
      <c r="T9" s="564">
        <f t="shared" ref="T9" si="8">(M9-O9)*Q9*R9/8760000</f>
        <v>2.8121620341896346E-4</v>
      </c>
      <c r="U9" s="565">
        <f t="shared" si="3"/>
        <v>2.8715507774658714E-7</v>
      </c>
      <c r="V9" s="566">
        <f t="shared" si="4"/>
        <v>2.809290483412169E-4</v>
      </c>
    </row>
    <row r="10" spans="1:27" s="724" customFormat="1" ht="12.75" customHeight="1" thickTop="1">
      <c r="A10" s="712" t="s">
        <v>93</v>
      </c>
      <c r="B10" s="713" t="str">
        <f t="shared" ref="B10:B13" si="9">LEFT(A10,10)</f>
        <v>COM_201403</v>
      </c>
      <c r="C10" s="713">
        <v>0</v>
      </c>
      <c r="D10" s="713">
        <v>0</v>
      </c>
      <c r="E10" s="713">
        <f t="shared" si="1"/>
        <v>1</v>
      </c>
      <c r="F10" s="713">
        <v>1</v>
      </c>
      <c r="G10" s="714" t="b">
        <v>1</v>
      </c>
      <c r="H10" s="715" t="str">
        <f t="shared" ref="H10:H13" si="10">IF(LEFT(A10,3)="Res","Residential",IF(LEFT(A10,3)="Ind","industrial",IF(LEFT(A10,3)="Com","Commercial",IF(LEFT(A10,3)="AGR","Agriculture",""))))</f>
        <v>Commercial</v>
      </c>
      <c r="I10" s="716" t="s">
        <v>144</v>
      </c>
      <c r="J10" s="716" t="s">
        <v>474</v>
      </c>
      <c r="K10" s="716" t="s">
        <v>158</v>
      </c>
      <c r="L10" s="701">
        <v>2020</v>
      </c>
      <c r="M10" s="763">
        <v>147899.88315204001</v>
      </c>
      <c r="N10" s="764">
        <v>1768.8311334499999</v>
      </c>
      <c r="O10" s="764">
        <v>0</v>
      </c>
      <c r="P10" s="765" t="str">
        <f t="shared" si="5"/>
        <v>The current practice baseline is incorporated in the savings rate analysis</v>
      </c>
      <c r="Q10" s="719">
        <v>0.14199999999999999</v>
      </c>
      <c r="R10" s="842">
        <f t="shared" ref="R10:R13" si="11">IF($R$2="7th Plan",$N$42,IF(LEFT(J13,18)="T8 Fluorescent 28W",$K$83,$K$82))</f>
        <v>4.8861867783629416</v>
      </c>
      <c r="S10" s="705" t="str">
        <f t="shared" si="7"/>
        <v>RTF Analysis of Non-residential midstream lighting measures.</v>
      </c>
      <c r="T10" s="721">
        <f>(M10-O10)*Q10*R10/8760000</f>
        <v>1.1714456210982521E-2</v>
      </c>
      <c r="U10" s="722">
        <f t="shared" ref="U10:U13" si="12">IFERROR((N10-O10/M10*N10)*Q10*R10/8760/1000,0)</f>
        <v>1.4010081966137644E-4</v>
      </c>
      <c r="V10" s="723">
        <f t="shared" ref="V10:V13" si="13">T10-U10</f>
        <v>1.1574355391321145E-2</v>
      </c>
    </row>
    <row r="11" spans="1:27" s="482" customFormat="1" ht="12.75" customHeight="1">
      <c r="A11" s="726" t="s">
        <v>94</v>
      </c>
      <c r="B11" s="499" t="str">
        <f t="shared" si="9"/>
        <v>COM_201403</v>
      </c>
      <c r="C11" s="499">
        <v>0</v>
      </c>
      <c r="D11" s="499">
        <v>0</v>
      </c>
      <c r="E11" s="499">
        <f t="shared" si="1"/>
        <v>1</v>
      </c>
      <c r="F11" s="499">
        <v>1</v>
      </c>
      <c r="G11" s="500" t="b">
        <v>1</v>
      </c>
      <c r="H11" s="501" t="str">
        <f t="shared" si="10"/>
        <v>Commercial</v>
      </c>
      <c r="I11" s="502" t="s">
        <v>144</v>
      </c>
      <c r="J11" s="502" t="s">
        <v>472</v>
      </c>
      <c r="K11" s="502" t="s">
        <v>158</v>
      </c>
      <c r="L11" s="24">
        <v>2020</v>
      </c>
      <c r="M11" s="511">
        <v>2412.1236423199998</v>
      </c>
      <c r="N11" s="512">
        <v>2.9944785500000002</v>
      </c>
      <c r="O11" s="512">
        <v>0</v>
      </c>
      <c r="P11" s="318" t="str">
        <f t="shared" si="5"/>
        <v>The current practice baseline is incorporated in the savings rate analysis</v>
      </c>
      <c r="Q11" s="505">
        <v>0.14199999999999999</v>
      </c>
      <c r="R11" s="531">
        <f t="shared" si="11"/>
        <v>4.8861867783629416</v>
      </c>
      <c r="S11" s="71" t="str">
        <f t="shared" si="7"/>
        <v>RTF Analysis of Non-residential midstream lighting measures.</v>
      </c>
      <c r="T11" s="507">
        <f>(M11-O11)*Q11*R11/8760000</f>
        <v>1.9105300275582779E-4</v>
      </c>
      <c r="U11" s="508">
        <f t="shared" si="12"/>
        <v>2.3717860420917847E-7</v>
      </c>
      <c r="V11" s="509">
        <f t="shared" si="13"/>
        <v>1.9081582415161861E-4</v>
      </c>
    </row>
    <row r="12" spans="1:27" s="482" customFormat="1" ht="12.75" customHeight="1">
      <c r="A12" s="726" t="s">
        <v>93</v>
      </c>
      <c r="B12" s="499" t="str">
        <f t="shared" si="9"/>
        <v>COM_201403</v>
      </c>
      <c r="C12" s="499">
        <v>0</v>
      </c>
      <c r="D12" s="499">
        <v>0</v>
      </c>
      <c r="E12" s="499">
        <f t="shared" si="1"/>
        <v>1</v>
      </c>
      <c r="F12" s="499">
        <v>1</v>
      </c>
      <c r="G12" s="500" t="b">
        <v>1</v>
      </c>
      <c r="H12" s="501" t="str">
        <f t="shared" si="10"/>
        <v>Commercial</v>
      </c>
      <c r="I12" s="502" t="s">
        <v>144</v>
      </c>
      <c r="J12" s="502" t="s">
        <v>474</v>
      </c>
      <c r="K12" s="502" t="s">
        <v>158</v>
      </c>
      <c r="L12" s="24">
        <v>2021</v>
      </c>
      <c r="M12" s="511">
        <v>121652.86726189</v>
      </c>
      <c r="N12" s="512">
        <v>1768.8311334499999</v>
      </c>
      <c r="O12" s="512">
        <v>0</v>
      </c>
      <c r="P12" s="318" t="str">
        <f t="shared" si="5"/>
        <v>The current practice baseline is incorporated in the savings rate analysis</v>
      </c>
      <c r="Q12" s="505">
        <v>0.14199999999999999</v>
      </c>
      <c r="R12" s="531">
        <f t="shared" si="11"/>
        <v>4.8861867783629416</v>
      </c>
      <c r="S12" s="71" t="str">
        <f t="shared" si="7"/>
        <v>RTF Analysis of Non-residential midstream lighting measures.</v>
      </c>
      <c r="T12" s="507">
        <f>(M12-O12)*Q12*R12/8760000</f>
        <v>9.6355531600717387E-3</v>
      </c>
      <c r="U12" s="508">
        <f t="shared" si="12"/>
        <v>1.4010081966137644E-4</v>
      </c>
      <c r="V12" s="509">
        <f t="shared" si="13"/>
        <v>9.4954523404103628E-3</v>
      </c>
    </row>
    <row r="13" spans="1:27" s="496" customFormat="1" ht="12.75" customHeight="1" thickBot="1">
      <c r="A13" s="730" t="s">
        <v>94</v>
      </c>
      <c r="B13" s="731" t="str">
        <f t="shared" si="9"/>
        <v>COM_201403</v>
      </c>
      <c r="C13" s="731">
        <v>0</v>
      </c>
      <c r="D13" s="731">
        <v>0</v>
      </c>
      <c r="E13" s="731">
        <f t="shared" si="1"/>
        <v>1</v>
      </c>
      <c r="F13" s="731">
        <v>1</v>
      </c>
      <c r="G13" s="732" t="b">
        <v>1</v>
      </c>
      <c r="H13" s="733" t="str">
        <f t="shared" si="10"/>
        <v>Commercial</v>
      </c>
      <c r="I13" s="734" t="s">
        <v>144</v>
      </c>
      <c r="J13" s="734" t="s">
        <v>472</v>
      </c>
      <c r="K13" s="734" t="s">
        <v>158</v>
      </c>
      <c r="L13" s="708">
        <v>2021</v>
      </c>
      <c r="M13" s="735">
        <v>1984.05672151</v>
      </c>
      <c r="N13" s="736">
        <v>2.9944785500000002</v>
      </c>
      <c r="O13" s="736">
        <v>0</v>
      </c>
      <c r="P13" s="810" t="str">
        <f t="shared" si="5"/>
        <v>The current practice baseline is incorporated in the savings rate analysis</v>
      </c>
      <c r="Q13" s="737">
        <v>0.14199999999999999</v>
      </c>
      <c r="R13" s="843">
        <f t="shared" si="11"/>
        <v>4.8861867783629416</v>
      </c>
      <c r="S13" s="709" t="str">
        <f t="shared" si="7"/>
        <v>RTF Analysis of Non-residential midstream lighting measures.</v>
      </c>
      <c r="T13" s="739">
        <f t="shared" ref="T13" si="14">(M13-O13)*Q13*R13/8760000</f>
        <v>1.5714782925380463E-4</v>
      </c>
      <c r="U13" s="740">
        <f t="shared" si="12"/>
        <v>2.3717860420917847E-7</v>
      </c>
      <c r="V13" s="741">
        <f t="shared" si="13"/>
        <v>1.5691065064959544E-4</v>
      </c>
    </row>
    <row r="16" spans="1:27" ht="14.4" thickBot="1">
      <c r="H16" s="941" t="s">
        <v>779</v>
      </c>
      <c r="I16" s="941"/>
      <c r="J16" s="941"/>
      <c r="K16" s="941"/>
      <c r="L16" s="941"/>
      <c r="M16" s="941"/>
      <c r="N16" s="941"/>
      <c r="O16" s="941"/>
      <c r="P16" s="941"/>
      <c r="Q16" s="941"/>
      <c r="R16" s="941"/>
      <c r="S16" s="941"/>
      <c r="T16" s="941"/>
      <c r="U16" s="941"/>
      <c r="V16" s="941"/>
      <c r="W16" s="941"/>
      <c r="X16" s="458"/>
      <c r="Y16" s="458"/>
      <c r="Z16" s="458"/>
      <c r="AA16" s="458"/>
    </row>
    <row r="17" spans="8:27" ht="12.75" customHeight="1" thickTop="1" thickBot="1">
      <c r="H17" s="458"/>
      <c r="I17" s="458"/>
      <c r="J17" s="458"/>
      <c r="K17" s="458"/>
      <c r="L17" s="458"/>
      <c r="M17" s="458"/>
      <c r="N17" s="458"/>
      <c r="O17" s="458"/>
      <c r="P17" s="458"/>
      <c r="Q17" s="458"/>
      <c r="R17" s="458"/>
      <c r="S17" s="458"/>
      <c r="T17" s="458"/>
      <c r="U17" s="458"/>
      <c r="V17" s="458"/>
      <c r="W17" s="458"/>
      <c r="X17" s="458"/>
      <c r="Y17" s="458"/>
      <c r="Z17" s="458"/>
      <c r="AA17" s="458"/>
    </row>
    <row r="18" spans="8:27" ht="12.75" customHeight="1" thickTop="1" thickBot="1">
      <c r="H18" s="458" t="s">
        <v>780</v>
      </c>
      <c r="I18" s="949" t="s">
        <v>781</v>
      </c>
      <c r="J18" s="458"/>
      <c r="K18" s="458"/>
      <c r="L18" s="458"/>
      <c r="M18" s="458"/>
      <c r="N18" s="458"/>
      <c r="O18" s="458"/>
      <c r="P18" s="458"/>
      <c r="Q18" s="458"/>
      <c r="R18" s="458"/>
      <c r="S18" s="458"/>
      <c r="T18" s="458"/>
      <c r="U18" s="458"/>
      <c r="V18" s="458"/>
      <c r="W18" s="458"/>
      <c r="X18" s="458"/>
      <c r="Y18" s="458"/>
      <c r="Z18" s="458"/>
      <c r="AA18" s="458"/>
    </row>
    <row r="19" spans="8:27" ht="12.75" customHeight="1" thickTop="1">
      <c r="H19" s="458"/>
      <c r="I19" s="458"/>
      <c r="J19" s="458"/>
      <c r="K19" s="458"/>
      <c r="L19" s="458"/>
      <c r="M19" s="458"/>
      <c r="N19" s="458"/>
      <c r="O19" s="458"/>
      <c r="P19" s="458"/>
      <c r="Q19" s="458"/>
      <c r="R19" s="458"/>
      <c r="S19" s="458"/>
      <c r="T19" s="458"/>
      <c r="U19" s="458"/>
      <c r="V19" s="458"/>
      <c r="W19" s="458"/>
      <c r="X19" s="458"/>
      <c r="Y19" s="458"/>
      <c r="Z19" s="458"/>
      <c r="AA19" s="458"/>
    </row>
    <row r="20" spans="8:27" ht="12.75" customHeight="1">
      <c r="H20" s="458" t="s">
        <v>782</v>
      </c>
      <c r="I20" s="458"/>
      <c r="J20" s="458"/>
      <c r="K20" s="458"/>
      <c r="L20" s="458"/>
      <c r="M20" s="458"/>
      <c r="N20" s="458"/>
      <c r="O20" s="458"/>
      <c r="P20" s="458"/>
      <c r="Q20" s="458"/>
      <c r="R20" s="458"/>
      <c r="S20" s="458"/>
      <c r="T20" s="458"/>
      <c r="U20" s="458"/>
      <c r="V20" s="458"/>
      <c r="W20" s="458"/>
      <c r="X20" s="458"/>
      <c r="Y20" s="458"/>
      <c r="Z20" s="458"/>
      <c r="AA20" s="458"/>
    </row>
    <row r="21" spans="8:27" ht="12.75" customHeight="1">
      <c r="H21" s="458"/>
      <c r="I21" s="3097" t="s">
        <v>783</v>
      </c>
      <c r="J21" s="3097"/>
      <c r="K21" s="3097"/>
      <c r="L21" s="3097" t="s">
        <v>784</v>
      </c>
      <c r="M21" s="3097"/>
      <c r="N21" s="3097"/>
      <c r="O21" s="3097"/>
      <c r="P21" s="3098" t="s">
        <v>785</v>
      </c>
      <c r="Q21" s="3099"/>
      <c r="R21" s="1960" t="s">
        <v>229</v>
      </c>
      <c r="S21" s="3098" t="s">
        <v>648</v>
      </c>
      <c r="T21" s="3099"/>
      <c r="U21" s="1960" t="s">
        <v>232</v>
      </c>
      <c r="V21" s="1960" t="s">
        <v>233</v>
      </c>
      <c r="W21" s="3097" t="s">
        <v>786</v>
      </c>
      <c r="X21" s="3097"/>
      <c r="Y21" s="1960" t="s">
        <v>236</v>
      </c>
      <c r="Z21" s="1960" t="s">
        <v>237</v>
      </c>
      <c r="AA21" s="458"/>
    </row>
    <row r="22" spans="8:27" ht="12.75" customHeight="1">
      <c r="H22" s="458"/>
      <c r="I22" s="102" t="s">
        <v>220</v>
      </c>
      <c r="J22" s="102" t="s">
        <v>221</v>
      </c>
      <c r="K22" s="102" t="s">
        <v>222</v>
      </c>
      <c r="L22" s="102" t="s">
        <v>223</v>
      </c>
      <c r="M22" s="102" t="s">
        <v>224</v>
      </c>
      <c r="N22" s="102" t="s">
        <v>225</v>
      </c>
      <c r="O22" s="102" t="s">
        <v>226</v>
      </c>
      <c r="P22" s="102" t="s">
        <v>227</v>
      </c>
      <c r="Q22" s="102" t="s">
        <v>228</v>
      </c>
      <c r="R22" s="102" t="s">
        <v>229</v>
      </c>
      <c r="S22" s="102" t="s">
        <v>230</v>
      </c>
      <c r="T22" s="102" t="s">
        <v>231</v>
      </c>
      <c r="U22" s="102" t="s">
        <v>232</v>
      </c>
      <c r="V22" s="102" t="s">
        <v>233</v>
      </c>
      <c r="W22" s="102" t="s">
        <v>234</v>
      </c>
      <c r="X22" s="102" t="s">
        <v>235</v>
      </c>
      <c r="Y22" s="102" t="s">
        <v>236</v>
      </c>
      <c r="Z22" s="102" t="s">
        <v>237</v>
      </c>
      <c r="AA22" s="458"/>
    </row>
    <row r="23" spans="8:27" ht="12.75" customHeight="1">
      <c r="H23" s="612" t="s">
        <v>787</v>
      </c>
      <c r="I23" s="613">
        <v>1.6923599592371827</v>
      </c>
      <c r="J23" s="613">
        <v>1.2193452127795572</v>
      </c>
      <c r="K23" s="613">
        <v>1.1322491261524463</v>
      </c>
      <c r="L23" s="613">
        <v>2.9575701049219441</v>
      </c>
      <c r="M23" s="613">
        <v>1.7102497946739696</v>
      </c>
      <c r="N23" s="613">
        <v>1.8127042578553854</v>
      </c>
      <c r="O23" s="613">
        <v>1.3356768215776522</v>
      </c>
      <c r="P23" s="613">
        <v>1.0492576160819276</v>
      </c>
      <c r="Q23" s="613">
        <v>1.0492576160819276</v>
      </c>
      <c r="R23" s="613">
        <v>0.63055481403254066</v>
      </c>
      <c r="S23" s="613"/>
      <c r="T23" s="613"/>
      <c r="U23" s="613"/>
      <c r="V23" s="613"/>
      <c r="W23" s="613"/>
      <c r="X23" s="613"/>
      <c r="Y23" s="613"/>
      <c r="Z23" s="614">
        <v>1.3486096670129193</v>
      </c>
      <c r="AA23" s="458"/>
    </row>
    <row r="24" spans="8:27" ht="12.75" customHeight="1">
      <c r="H24" s="615" t="s">
        <v>788</v>
      </c>
      <c r="I24" s="616">
        <v>0.35</v>
      </c>
      <c r="J24" s="616">
        <v>0.35</v>
      </c>
      <c r="K24" s="616">
        <v>0.35</v>
      </c>
      <c r="L24" s="616">
        <v>0.35</v>
      </c>
      <c r="M24" s="616">
        <v>0.35</v>
      </c>
      <c r="N24" s="616">
        <v>0.35</v>
      </c>
      <c r="O24" s="616">
        <v>0.35</v>
      </c>
      <c r="P24" s="616">
        <v>0.35</v>
      </c>
      <c r="Q24" s="616">
        <v>0.35</v>
      </c>
      <c r="R24" s="616">
        <v>0.4</v>
      </c>
      <c r="S24" s="616"/>
      <c r="T24" s="616"/>
      <c r="U24" s="616"/>
      <c r="V24" s="616"/>
      <c r="W24" s="616"/>
      <c r="X24" s="616"/>
      <c r="Y24" s="616"/>
      <c r="Z24" s="617">
        <v>0.35</v>
      </c>
      <c r="AA24" s="458"/>
    </row>
    <row r="25" spans="8:27" ht="12.75" customHeight="1">
      <c r="H25" s="458"/>
      <c r="I25" s="458"/>
      <c r="J25" s="458"/>
      <c r="K25" s="458"/>
      <c r="L25" s="458"/>
      <c r="M25" s="458"/>
      <c r="N25" s="458"/>
      <c r="O25" s="458"/>
      <c r="P25" s="458"/>
      <c r="Q25" s="458"/>
      <c r="R25" s="458"/>
      <c r="S25" s="458"/>
      <c r="T25" s="458"/>
      <c r="U25" s="458"/>
      <c r="V25" s="458"/>
      <c r="W25" s="458"/>
      <c r="X25" s="458"/>
      <c r="Y25" s="458"/>
      <c r="Z25" s="458"/>
      <c r="AA25" s="458"/>
    </row>
    <row r="26" spans="8:27" ht="12.75" customHeight="1">
      <c r="H26" s="458"/>
      <c r="I26" s="458"/>
      <c r="J26" s="458"/>
      <c r="K26" s="458"/>
      <c r="L26" s="458"/>
      <c r="M26" s="458"/>
      <c r="N26" s="458"/>
      <c r="O26" s="458"/>
      <c r="P26" s="458"/>
      <c r="Q26" s="458"/>
      <c r="R26" s="458"/>
      <c r="S26" s="458"/>
      <c r="T26" s="458"/>
      <c r="U26" s="458"/>
      <c r="V26" s="458"/>
      <c r="W26" s="458"/>
      <c r="X26" s="458"/>
      <c r="Y26" s="458"/>
      <c r="Z26" s="458"/>
      <c r="AA26" s="458"/>
    </row>
    <row r="27" spans="8:27" ht="12.75" customHeight="1">
      <c r="H27" s="458"/>
      <c r="I27" s="458"/>
      <c r="J27" s="458"/>
      <c r="K27" s="458"/>
      <c r="L27" s="458"/>
      <c r="M27" s="458"/>
      <c r="N27" s="458"/>
      <c r="O27" s="458"/>
      <c r="P27" s="458"/>
      <c r="Q27" s="458"/>
      <c r="R27" s="458"/>
      <c r="S27" s="458"/>
      <c r="T27" s="458"/>
      <c r="U27" s="458"/>
      <c r="V27" s="458"/>
      <c r="W27" s="458"/>
      <c r="X27" s="458"/>
      <c r="Y27" s="458"/>
      <c r="Z27" s="458"/>
      <c r="AA27" s="458"/>
    </row>
    <row r="28" spans="8:27" ht="12.75" customHeight="1">
      <c r="H28" s="458"/>
      <c r="I28" s="458"/>
      <c r="J28" s="458"/>
      <c r="K28" s="458"/>
      <c r="L28" s="458"/>
      <c r="M28" s="458"/>
      <c r="N28" s="458"/>
      <c r="O28" s="458"/>
      <c r="P28" s="458"/>
      <c r="Q28" s="458"/>
      <c r="R28" s="458"/>
      <c r="S28" s="458"/>
      <c r="T28" s="458"/>
      <c r="U28" s="458"/>
      <c r="V28" s="458"/>
      <c r="W28" s="458"/>
      <c r="X28" s="458"/>
      <c r="Y28" s="458"/>
      <c r="Z28" s="458"/>
      <c r="AA28" s="458"/>
    </row>
    <row r="29" spans="8:27" ht="12.75" customHeight="1">
      <c r="H29" s="458"/>
      <c r="I29" s="458"/>
      <c r="J29" s="458"/>
      <c r="K29" s="458"/>
      <c r="L29" s="458"/>
      <c r="M29" s="458"/>
      <c r="N29" s="458"/>
      <c r="O29" s="458"/>
      <c r="P29" s="458"/>
      <c r="Q29" s="458"/>
      <c r="R29" s="458"/>
      <c r="S29" s="458"/>
      <c r="T29" s="458"/>
      <c r="U29" s="458"/>
      <c r="V29" s="458"/>
      <c r="W29" s="458"/>
      <c r="X29" s="458"/>
      <c r="Y29" s="458"/>
      <c r="Z29" s="458"/>
      <c r="AA29" s="458"/>
    </row>
    <row r="30" spans="8:27" ht="12.75" customHeight="1">
      <c r="H30" s="458"/>
      <c r="I30" s="458"/>
      <c r="J30" s="458"/>
      <c r="K30" s="458"/>
      <c r="L30" s="458"/>
      <c r="M30" s="458"/>
      <c r="N30" s="458"/>
      <c r="O30" s="458"/>
      <c r="P30" s="458"/>
      <c r="Q30" s="458"/>
      <c r="R30" s="458"/>
      <c r="S30" s="458"/>
      <c r="T30" s="458"/>
      <c r="U30" s="458"/>
      <c r="V30" s="458"/>
      <c r="W30" s="458"/>
      <c r="X30" s="458"/>
      <c r="Y30" s="458"/>
      <c r="Z30" s="458"/>
      <c r="AA30" s="458"/>
    </row>
    <row r="31" spans="8:27" ht="12.75" customHeight="1">
      <c r="H31" s="458"/>
      <c r="I31" s="458"/>
      <c r="J31" s="458"/>
      <c r="K31" s="458"/>
      <c r="L31" s="458"/>
      <c r="M31" s="458"/>
      <c r="N31" s="458"/>
      <c r="O31" s="458"/>
      <c r="P31" s="458"/>
      <c r="Q31" s="458"/>
      <c r="R31" s="458"/>
      <c r="S31" s="458"/>
      <c r="T31" s="458"/>
      <c r="U31" s="458"/>
      <c r="V31" s="458"/>
      <c r="W31" s="458"/>
      <c r="X31" s="458"/>
      <c r="Y31" s="458"/>
      <c r="Z31" s="458"/>
      <c r="AA31" s="458"/>
    </row>
    <row r="32" spans="8:27" ht="14.4" thickBot="1">
      <c r="H32" s="941" t="s">
        <v>789</v>
      </c>
      <c r="I32" s="941"/>
      <c r="J32" s="941"/>
      <c r="K32" s="941"/>
      <c r="L32" s="941"/>
      <c r="M32" s="941"/>
      <c r="N32" s="941"/>
      <c r="O32" s="941"/>
      <c r="P32" s="941"/>
      <c r="Q32" s="941"/>
      <c r="R32" s="941"/>
      <c r="S32" s="941"/>
      <c r="T32" s="941"/>
      <c r="U32" s="941"/>
      <c r="V32" s="941"/>
      <c r="W32" s="941"/>
      <c r="X32" s="458"/>
      <c r="Y32" s="458"/>
      <c r="Z32" s="458"/>
      <c r="AA32" s="458"/>
    </row>
    <row r="33" spans="8:27" ht="12.75" customHeight="1" thickTop="1" thickBot="1">
      <c r="H33" s="1961" t="s">
        <v>833</v>
      </c>
      <c r="I33" s="1962" t="s">
        <v>833</v>
      </c>
      <c r="J33" s="458"/>
      <c r="K33" s="458"/>
      <c r="L33" s="458"/>
      <c r="M33" s="458"/>
      <c r="N33" s="458"/>
      <c r="O33" s="458"/>
      <c r="P33" s="458"/>
      <c r="Q33" s="458"/>
      <c r="R33" s="458"/>
      <c r="S33" s="458"/>
      <c r="T33" s="458"/>
      <c r="U33" s="458"/>
      <c r="V33" s="458"/>
      <c r="W33" s="458"/>
      <c r="X33" s="458"/>
      <c r="Y33" s="458"/>
      <c r="Z33" s="458"/>
      <c r="AA33" s="458"/>
    </row>
    <row r="34" spans="8:27" ht="12.75" customHeight="1" thickTop="1" thickBot="1">
      <c r="H34" s="458" t="s">
        <v>780</v>
      </c>
      <c r="I34" s="949" t="s">
        <v>790</v>
      </c>
      <c r="J34" s="458"/>
      <c r="K34" s="458"/>
      <c r="L34" s="458"/>
      <c r="M34" s="458"/>
      <c r="N34" s="458"/>
      <c r="O34" s="458"/>
      <c r="P34" s="458"/>
      <c r="Q34" s="458"/>
      <c r="R34" s="458"/>
      <c r="S34" s="458"/>
      <c r="T34" s="458"/>
      <c r="U34" s="458"/>
      <c r="V34" s="458"/>
      <c r="W34" s="458"/>
      <c r="X34" s="458"/>
      <c r="Y34" s="458"/>
      <c r="Z34" s="458"/>
      <c r="AA34" s="458"/>
    </row>
    <row r="35" spans="8:27" ht="12.75" customHeight="1" thickTop="1" thickBot="1">
      <c r="H35" s="458"/>
      <c r="I35" s="458"/>
      <c r="J35" s="458"/>
      <c r="K35" s="458"/>
      <c r="L35" s="458"/>
      <c r="M35" s="458"/>
      <c r="N35" s="458"/>
      <c r="O35" s="458"/>
      <c r="P35" s="458"/>
      <c r="Q35" s="458"/>
      <c r="R35" s="458"/>
      <c r="S35" s="458"/>
      <c r="T35" s="458"/>
      <c r="U35" s="458"/>
      <c r="V35" s="458"/>
      <c r="W35" s="458"/>
      <c r="X35" s="458"/>
      <c r="Y35" s="458"/>
      <c r="Z35" s="458"/>
      <c r="AA35" s="458"/>
    </row>
    <row r="36" spans="8:27" ht="12.75" customHeight="1">
      <c r="H36" s="458"/>
      <c r="I36" s="1963"/>
      <c r="J36" s="1964" t="s">
        <v>791</v>
      </c>
      <c r="K36" s="1965" t="s">
        <v>792</v>
      </c>
      <c r="L36" s="1966" t="s">
        <v>793</v>
      </c>
      <c r="M36" s="458"/>
      <c r="N36" s="458"/>
      <c r="O36" s="458"/>
      <c r="P36" s="458"/>
      <c r="Q36" s="458"/>
      <c r="R36" s="458"/>
      <c r="S36" s="458"/>
      <c r="T36" s="458"/>
      <c r="U36" s="458"/>
      <c r="V36" s="458"/>
      <c r="W36" s="458"/>
      <c r="X36" s="458"/>
      <c r="Y36" s="458"/>
      <c r="Z36" s="458"/>
      <c r="AA36" s="458"/>
    </row>
    <row r="37" spans="8:27" ht="12.75" customHeight="1" thickBot="1">
      <c r="H37" s="458"/>
      <c r="I37" s="1967" t="s">
        <v>794</v>
      </c>
      <c r="J37" s="1968">
        <f>R56/L56</f>
        <v>99.54</v>
      </c>
      <c r="K37" s="1968">
        <f>R57/L57</f>
        <v>89.46</v>
      </c>
      <c r="L37" s="1969">
        <f>R55/L55</f>
        <v>83.34</v>
      </c>
      <c r="M37" s="458"/>
      <c r="N37" s="458"/>
      <c r="O37" s="458"/>
      <c r="P37" s="458"/>
      <c r="Q37" s="458"/>
      <c r="R37" s="458"/>
      <c r="S37" s="458"/>
      <c r="T37" s="458"/>
      <c r="U37" s="458"/>
      <c r="V37" s="458"/>
      <c r="W37" s="458"/>
      <c r="X37" s="458"/>
      <c r="Y37" s="458"/>
      <c r="Z37" s="458"/>
      <c r="AA37" s="458"/>
    </row>
    <row r="38" spans="8:27" ht="12.75" customHeight="1" thickBot="1">
      <c r="H38" s="458"/>
      <c r="I38" s="458"/>
      <c r="J38" s="458"/>
      <c r="K38" s="458"/>
      <c r="L38" s="458"/>
      <c r="M38" s="458"/>
      <c r="N38" s="458"/>
      <c r="O38" s="458"/>
      <c r="P38" s="458"/>
      <c r="Q38" s="458"/>
      <c r="R38" s="458"/>
      <c r="S38" s="458"/>
      <c r="T38" s="458"/>
      <c r="U38" s="458"/>
      <c r="V38" s="458"/>
      <c r="W38" s="458"/>
      <c r="X38" s="458"/>
      <c r="Y38" s="458"/>
      <c r="Z38" s="458"/>
      <c r="AA38" s="458"/>
    </row>
    <row r="39" spans="8:27" ht="12.75" customHeight="1">
      <c r="H39" s="458"/>
      <c r="I39" s="1963" t="s">
        <v>795</v>
      </c>
      <c r="J39" s="1964" t="s">
        <v>791</v>
      </c>
      <c r="K39" s="1965" t="s">
        <v>792</v>
      </c>
      <c r="L39" s="1966" t="s">
        <v>793</v>
      </c>
      <c r="M39" s="458"/>
      <c r="N39" s="1970" t="s">
        <v>796</v>
      </c>
      <c r="O39" s="458"/>
      <c r="P39" s="458"/>
      <c r="Q39" s="458"/>
      <c r="R39" s="458"/>
      <c r="S39" s="458"/>
      <c r="T39" s="458"/>
      <c r="U39" s="458"/>
      <c r="V39" s="458"/>
      <c r="W39" s="458"/>
      <c r="X39" s="458"/>
      <c r="Y39" s="458"/>
      <c r="Z39" s="458"/>
      <c r="AA39" s="458"/>
    </row>
    <row r="40" spans="8:27" ht="12.75" customHeight="1">
      <c r="H40" s="458"/>
      <c r="I40" s="1971" t="s">
        <v>15</v>
      </c>
      <c r="J40" s="945">
        <f>T56</f>
        <v>0.8</v>
      </c>
      <c r="K40" s="945">
        <f>T57</f>
        <v>0.15</v>
      </c>
      <c r="L40" s="1972">
        <f>T55</f>
        <v>0.05</v>
      </c>
      <c r="M40" s="458"/>
      <c r="N40" s="1973">
        <f>SUMPRODUCT(J37:L37,J40:L40)*W55</f>
        <v>96.528873747301986</v>
      </c>
      <c r="O40" s="458"/>
      <c r="P40" s="458"/>
      <c r="Q40" s="458"/>
      <c r="R40" s="458"/>
      <c r="S40" s="458"/>
      <c r="T40" s="458"/>
      <c r="U40" s="458"/>
      <c r="V40" s="458"/>
      <c r="W40" s="458"/>
      <c r="X40" s="458"/>
      <c r="Y40" s="458"/>
      <c r="Z40" s="458"/>
      <c r="AA40" s="458"/>
    </row>
    <row r="41" spans="8:27" ht="12.75" customHeight="1" thickBot="1">
      <c r="H41" s="458"/>
      <c r="I41" s="1967" t="s">
        <v>797</v>
      </c>
      <c r="J41" s="1974">
        <v>0.3</v>
      </c>
      <c r="K41" s="1974">
        <v>0.5</v>
      </c>
      <c r="L41" s="1975">
        <v>0.2</v>
      </c>
      <c r="M41" s="458"/>
      <c r="N41" s="1976">
        <f>SUMPRODUCT(J37:L37,J41:L41)*W55</f>
        <v>90.613106813334767</v>
      </c>
      <c r="O41" s="458"/>
      <c r="P41" s="458"/>
      <c r="Q41" s="458"/>
      <c r="R41" s="458"/>
      <c r="S41" s="458"/>
      <c r="T41" s="458"/>
      <c r="U41" s="458"/>
      <c r="V41" s="458"/>
      <c r="W41" s="458"/>
      <c r="X41" s="458"/>
      <c r="Y41" s="458"/>
      <c r="Z41" s="458"/>
      <c r="AA41" s="458"/>
    </row>
    <row r="42" spans="8:27" ht="12.75" customHeight="1">
      <c r="H42" s="458"/>
      <c r="I42" s="458"/>
      <c r="J42" s="458"/>
      <c r="K42" s="458"/>
      <c r="L42" s="458"/>
      <c r="M42" s="103" t="s">
        <v>798</v>
      </c>
      <c r="N42" s="2240">
        <f>N40-N41</f>
        <v>5.9157669339672196</v>
      </c>
      <c r="O42" s="458"/>
      <c r="P42" s="458"/>
      <c r="Q42" s="458"/>
      <c r="R42" s="458"/>
      <c r="S42" s="458"/>
      <c r="T42" s="458"/>
      <c r="U42" s="458"/>
      <c r="V42" s="458"/>
      <c r="W42" s="458"/>
      <c r="X42" s="458"/>
      <c r="Y42" s="458"/>
      <c r="Z42" s="458"/>
      <c r="AA42" s="458"/>
    </row>
    <row r="43" spans="8:27" ht="12.75" customHeight="1">
      <c r="H43" s="458"/>
      <c r="I43" s="458"/>
      <c r="J43" s="458"/>
      <c r="K43" s="458"/>
      <c r="L43" s="458"/>
      <c r="M43" s="458"/>
      <c r="N43" s="458"/>
      <c r="O43" s="458"/>
      <c r="P43" s="458"/>
      <c r="Q43" s="458"/>
      <c r="R43" s="458"/>
      <c r="S43" s="458"/>
      <c r="T43" s="458"/>
      <c r="U43" s="458"/>
      <c r="V43" s="458"/>
      <c r="W43" s="458"/>
      <c r="X43" s="458"/>
      <c r="Y43" s="458"/>
      <c r="Z43" s="458"/>
      <c r="AA43" s="458"/>
    </row>
    <row r="44" spans="8:27" ht="12.75" customHeight="1">
      <c r="H44" s="458"/>
      <c r="I44" s="458"/>
      <c r="J44" s="458"/>
      <c r="K44" s="458"/>
      <c r="L44" s="458"/>
      <c r="M44" s="458"/>
      <c r="N44" s="458"/>
      <c r="O44" s="458"/>
      <c r="P44" s="458"/>
      <c r="Q44" s="458"/>
      <c r="R44" s="458"/>
      <c r="S44" s="458"/>
      <c r="T44" s="458"/>
      <c r="U44" s="458"/>
      <c r="V44" s="458"/>
      <c r="W44" s="458"/>
      <c r="X44" s="458"/>
      <c r="Y44" s="458"/>
      <c r="Z44" s="458"/>
      <c r="AA44" s="458"/>
    </row>
    <row r="45" spans="8:27" ht="12.75" customHeight="1">
      <c r="H45" s="462" t="s">
        <v>799</v>
      </c>
      <c r="M45" s="462"/>
      <c r="N45" s="462"/>
      <c r="O45" s="462"/>
      <c r="P45" s="462"/>
      <c r="V45" s="462"/>
      <c r="X45" s="458"/>
      <c r="Y45" s="458"/>
      <c r="Z45" s="458"/>
      <c r="AA45" s="458"/>
    </row>
    <row r="46" spans="8:27" ht="12.75" customHeight="1">
      <c r="M46" s="462"/>
      <c r="N46" s="462"/>
      <c r="O46" s="462"/>
      <c r="P46" s="462"/>
      <c r="V46" s="462"/>
      <c r="X46" s="458"/>
      <c r="Y46" s="458"/>
      <c r="Z46" s="458"/>
      <c r="AA46" s="458"/>
    </row>
    <row r="47" spans="8:27" ht="12.75" customHeight="1">
      <c r="H47" s="1978"/>
      <c r="I47" s="1979"/>
      <c r="J47" s="1980" t="s">
        <v>800</v>
      </c>
      <c r="K47" s="1981" t="s">
        <v>801</v>
      </c>
      <c r="M47" s="462"/>
      <c r="N47" s="462"/>
      <c r="O47" s="462"/>
      <c r="P47" s="462"/>
      <c r="V47" s="462"/>
      <c r="X47" s="458"/>
      <c r="Y47" s="458"/>
      <c r="Z47" s="458"/>
      <c r="AA47" s="458"/>
    </row>
    <row r="48" spans="8:27" ht="12.75" customHeight="1">
      <c r="H48" s="1982" t="s">
        <v>802</v>
      </c>
      <c r="I48" s="1983">
        <f>J48</f>
        <v>3600</v>
      </c>
      <c r="J48" s="1984">
        <v>3600</v>
      </c>
      <c r="K48" s="1985">
        <v>4058</v>
      </c>
      <c r="M48" s="462"/>
      <c r="N48" s="462"/>
      <c r="O48" s="462"/>
      <c r="P48" s="462"/>
      <c r="V48" s="462"/>
      <c r="X48" s="458"/>
      <c r="Y48" s="458"/>
      <c r="Z48" s="458"/>
      <c r="AA48" s="458"/>
    </row>
    <row r="49" spans="8:27" ht="12.75" customHeight="1">
      <c r="M49" s="462"/>
      <c r="N49" s="462"/>
      <c r="O49" s="462"/>
      <c r="P49" s="1986" t="s">
        <v>803</v>
      </c>
      <c r="Q49" s="1986"/>
      <c r="R49" s="1986"/>
      <c r="S49" s="1987"/>
      <c r="V49" s="462"/>
      <c r="X49" s="458"/>
      <c r="Y49" s="458"/>
      <c r="Z49" s="458"/>
      <c r="AA49" s="458"/>
    </row>
    <row r="50" spans="8:27" ht="12.75" customHeight="1">
      <c r="H50" s="1988" t="s">
        <v>804</v>
      </c>
      <c r="I50" s="1989"/>
      <c r="J50" s="1989"/>
      <c r="K50" s="1989"/>
      <c r="L50" s="1979" t="s">
        <v>805</v>
      </c>
      <c r="M50" s="1980" t="s">
        <v>806</v>
      </c>
      <c r="N50" s="1989"/>
      <c r="O50" s="1990"/>
      <c r="P50" s="1990"/>
      <c r="Q50" s="1991" t="s">
        <v>807</v>
      </c>
      <c r="R50" s="1991" t="s">
        <v>808</v>
      </c>
      <c r="S50" s="1990"/>
      <c r="T50" s="1992" t="s">
        <v>809</v>
      </c>
      <c r="U50" s="1993" t="s">
        <v>810</v>
      </c>
      <c r="V50" s="1994" t="s">
        <v>811</v>
      </c>
      <c r="W50" s="1995" t="s">
        <v>812</v>
      </c>
      <c r="X50" s="458"/>
      <c r="Y50" s="458"/>
      <c r="Z50" s="458"/>
      <c r="AA50" s="458"/>
    </row>
    <row r="51" spans="8:27" ht="12.75" customHeight="1">
      <c r="H51" s="1996" t="s">
        <v>813</v>
      </c>
      <c r="I51" s="727"/>
      <c r="J51" s="727"/>
      <c r="K51" s="727"/>
      <c r="L51" s="727"/>
      <c r="M51" s="727"/>
      <c r="N51" s="727"/>
      <c r="O51" s="727"/>
      <c r="P51" s="727"/>
      <c r="Q51" s="727"/>
      <c r="R51" s="727"/>
      <c r="S51" s="1997"/>
      <c r="T51" s="1998"/>
      <c r="U51" s="481"/>
      <c r="V51" s="462"/>
      <c r="W51" s="1999"/>
      <c r="X51" s="458"/>
      <c r="Y51" s="458"/>
      <c r="Z51" s="458"/>
      <c r="AA51" s="458"/>
    </row>
    <row r="52" spans="8:27" ht="12.75" customHeight="1">
      <c r="H52" s="1996" t="s">
        <v>814</v>
      </c>
      <c r="I52" s="727" t="s">
        <v>815</v>
      </c>
      <c r="J52" s="727" t="s">
        <v>816</v>
      </c>
      <c r="K52" s="2000" t="s">
        <v>817</v>
      </c>
      <c r="L52" s="2001" t="s">
        <v>818</v>
      </c>
      <c r="M52" s="727"/>
      <c r="N52" s="727"/>
      <c r="O52" s="727"/>
      <c r="P52" s="727"/>
      <c r="Q52" s="727"/>
      <c r="R52" s="727"/>
      <c r="S52" s="1997"/>
      <c r="T52" s="1998"/>
      <c r="U52" s="481"/>
      <c r="V52" s="462"/>
      <c r="W52" s="1999"/>
      <c r="X52" s="458"/>
      <c r="Y52" s="458"/>
      <c r="Z52" s="458"/>
      <c r="AA52" s="458"/>
    </row>
    <row r="53" spans="8:27" ht="12.75" customHeight="1">
      <c r="H53" s="1996" t="s">
        <v>819</v>
      </c>
      <c r="I53" s="727" t="s">
        <v>820</v>
      </c>
      <c r="J53" s="727">
        <v>32</v>
      </c>
      <c r="K53" s="727">
        <v>32.5</v>
      </c>
      <c r="L53" s="2002">
        <v>2</v>
      </c>
      <c r="M53" s="2002">
        <v>55.3</v>
      </c>
      <c r="N53" s="727" t="s">
        <v>821</v>
      </c>
      <c r="O53" s="727" t="s">
        <v>819</v>
      </c>
      <c r="P53" s="727" t="s">
        <v>822</v>
      </c>
      <c r="Q53" s="2003">
        <f>M53/L53</f>
        <v>27.65</v>
      </c>
      <c r="R53" s="727"/>
      <c r="S53" s="1997"/>
      <c r="T53" s="1998"/>
      <c r="U53" s="481"/>
      <c r="V53" s="462"/>
      <c r="W53" s="1999"/>
      <c r="X53" s="458"/>
      <c r="Y53" s="458"/>
      <c r="Z53" s="458"/>
      <c r="AA53" s="458"/>
    </row>
    <row r="54" spans="8:27" ht="12.75" customHeight="1">
      <c r="H54" s="1996" t="s">
        <v>823</v>
      </c>
      <c r="I54" s="727" t="s">
        <v>820</v>
      </c>
      <c r="J54" s="727">
        <v>32</v>
      </c>
      <c r="K54" s="727">
        <v>32.5</v>
      </c>
      <c r="L54" s="2002">
        <v>2</v>
      </c>
      <c r="M54" s="2002">
        <v>55.3</v>
      </c>
      <c r="N54" s="727"/>
      <c r="O54" s="727" t="s">
        <v>823</v>
      </c>
      <c r="P54" s="727" t="s">
        <v>822</v>
      </c>
      <c r="Q54" s="2003">
        <f>M54/L54</f>
        <v>27.65</v>
      </c>
      <c r="R54" s="2003">
        <f>Q54*I48*L54/1000</f>
        <v>199.08</v>
      </c>
      <c r="S54" s="2004" t="s">
        <v>824</v>
      </c>
      <c r="T54" s="1998"/>
      <c r="U54" s="481"/>
      <c r="V54" s="462"/>
      <c r="W54" s="1999"/>
      <c r="X54" s="458"/>
      <c r="Y54" s="458"/>
      <c r="Z54" s="458"/>
      <c r="AA54" s="458"/>
    </row>
    <row r="55" spans="8:27" ht="12.75" customHeight="1">
      <c r="H55" s="1996" t="s">
        <v>825</v>
      </c>
      <c r="I55" s="727" t="s">
        <v>820</v>
      </c>
      <c r="J55" s="727">
        <v>25</v>
      </c>
      <c r="K55" s="727">
        <v>26.6</v>
      </c>
      <c r="L55" s="2002">
        <v>2</v>
      </c>
      <c r="M55" s="2002">
        <v>46.3</v>
      </c>
      <c r="N55" s="727"/>
      <c r="O55" s="727" t="s">
        <v>825</v>
      </c>
      <c r="P55" s="727" t="s">
        <v>826</v>
      </c>
      <c r="Q55" s="2003">
        <f>M55/L55</f>
        <v>23.15</v>
      </c>
      <c r="R55" s="2003">
        <f>Q55*I48*L55/1000</f>
        <v>166.68</v>
      </c>
      <c r="S55" s="2004" t="s">
        <v>827</v>
      </c>
      <c r="T55" s="1998">
        <v>0.05</v>
      </c>
      <c r="U55" s="3092">
        <f>SUMPRODUCT(R55:R57,T55:T57)</f>
        <v>194.43600000000001</v>
      </c>
      <c r="V55" s="2005">
        <f>(U55-R55)/L55</f>
        <v>13.878</v>
      </c>
      <c r="W55" s="3095">
        <v>0.99291153641611618</v>
      </c>
      <c r="X55" s="458"/>
      <c r="Y55" s="458"/>
      <c r="Z55" s="458"/>
      <c r="AA55" s="458"/>
    </row>
    <row r="56" spans="8:27" ht="12.75" customHeight="1">
      <c r="H56" s="1996" t="s">
        <v>825</v>
      </c>
      <c r="I56" s="727" t="s">
        <v>820</v>
      </c>
      <c r="J56" s="727">
        <v>32</v>
      </c>
      <c r="K56" s="727">
        <v>32.5</v>
      </c>
      <c r="L56" s="2002">
        <v>2</v>
      </c>
      <c r="M56" s="2002">
        <v>55.3</v>
      </c>
      <c r="N56" s="727"/>
      <c r="O56" s="727" t="s">
        <v>825</v>
      </c>
      <c r="P56" s="727" t="s">
        <v>822</v>
      </c>
      <c r="Q56" s="2003">
        <f>M56/L56</f>
        <v>27.65</v>
      </c>
      <c r="R56" s="2003">
        <f>Q56*I48*L56/1000</f>
        <v>199.08</v>
      </c>
      <c r="S56" s="2004" t="s">
        <v>828</v>
      </c>
      <c r="T56" s="1998">
        <v>0.8</v>
      </c>
      <c r="U56" s="3093"/>
      <c r="V56" s="2006"/>
      <c r="W56" s="3095"/>
      <c r="X56" s="458"/>
      <c r="Y56" s="458"/>
      <c r="Z56" s="458"/>
      <c r="AA56" s="458"/>
    </row>
    <row r="57" spans="8:27" ht="12.75" customHeight="1">
      <c r="H57" s="1996" t="s">
        <v>825</v>
      </c>
      <c r="I57" s="727" t="s">
        <v>820</v>
      </c>
      <c r="J57" s="727">
        <v>28</v>
      </c>
      <c r="K57" s="727">
        <v>28.4</v>
      </c>
      <c r="L57" s="2002">
        <v>2</v>
      </c>
      <c r="M57" s="2002">
        <v>49.7</v>
      </c>
      <c r="N57" s="727"/>
      <c r="O57" s="727" t="s">
        <v>825</v>
      </c>
      <c r="P57" s="727" t="s">
        <v>829</v>
      </c>
      <c r="Q57" s="2003">
        <f>M57/L57</f>
        <v>24.85</v>
      </c>
      <c r="R57" s="2003">
        <f>Q57*I48*L57/1000</f>
        <v>178.92</v>
      </c>
      <c r="S57" s="2004" t="s">
        <v>830</v>
      </c>
      <c r="T57" s="1998">
        <v>0.15</v>
      </c>
      <c r="U57" s="3094"/>
      <c r="V57" s="2005">
        <f>(U55-R57)/L57</f>
        <v>7.7580000000000098</v>
      </c>
      <c r="W57" s="3095"/>
      <c r="X57" s="458"/>
      <c r="Y57" s="458"/>
      <c r="Z57" s="458"/>
      <c r="AA57" s="458"/>
    </row>
    <row r="58" spans="8:27" ht="12.75" customHeight="1">
      <c r="H58" s="1996"/>
      <c r="I58" s="727"/>
      <c r="J58" s="727"/>
      <c r="K58" s="727"/>
      <c r="L58" s="727"/>
      <c r="M58" s="727"/>
      <c r="N58" s="727"/>
      <c r="O58" s="727"/>
      <c r="P58" s="727"/>
      <c r="Q58" s="727"/>
      <c r="R58" s="727"/>
      <c r="S58" s="1997"/>
      <c r="T58" s="1998"/>
      <c r="U58" s="481"/>
      <c r="V58" s="2006"/>
      <c r="W58" s="3095"/>
      <c r="X58" s="458"/>
      <c r="Y58" s="458"/>
      <c r="Z58" s="458"/>
      <c r="AA58" s="458"/>
    </row>
    <row r="59" spans="8:27" ht="12.75" customHeight="1">
      <c r="H59" s="1996"/>
      <c r="I59" s="727"/>
      <c r="J59" s="727"/>
      <c r="K59" s="727"/>
      <c r="L59" s="727"/>
      <c r="M59" s="727"/>
      <c r="N59" s="727"/>
      <c r="O59" s="727"/>
      <c r="P59" s="727"/>
      <c r="Q59" s="727"/>
      <c r="R59" s="727"/>
      <c r="S59" s="1997"/>
      <c r="T59" s="1998"/>
      <c r="U59" s="481"/>
      <c r="V59" s="2006"/>
      <c r="W59" s="3095"/>
      <c r="X59" s="458"/>
      <c r="Y59" s="458"/>
      <c r="Z59" s="458"/>
      <c r="AA59" s="458"/>
    </row>
    <row r="60" spans="8:27" ht="12.75" customHeight="1">
      <c r="H60" s="1996" t="s">
        <v>831</v>
      </c>
      <c r="I60" s="727"/>
      <c r="J60" s="727"/>
      <c r="K60" s="727"/>
      <c r="L60" s="727"/>
      <c r="M60" s="727"/>
      <c r="N60" s="727"/>
      <c r="O60" s="727"/>
      <c r="P60" s="727"/>
      <c r="Q60" s="727"/>
      <c r="R60" s="727"/>
      <c r="S60" s="1997"/>
      <c r="T60" s="1998"/>
      <c r="U60" s="481"/>
      <c r="V60" s="2006"/>
      <c r="W60" s="3095"/>
      <c r="X60" s="458"/>
      <c r="Y60" s="458"/>
      <c r="Z60" s="458"/>
      <c r="AA60" s="458"/>
    </row>
    <row r="61" spans="8:27" ht="12.75" customHeight="1">
      <c r="H61" s="1996" t="s">
        <v>819</v>
      </c>
      <c r="I61" s="727" t="s">
        <v>820</v>
      </c>
      <c r="J61" s="727">
        <v>32</v>
      </c>
      <c r="K61" s="727">
        <v>32.5</v>
      </c>
      <c r="L61" s="727">
        <v>4</v>
      </c>
      <c r="M61" s="2003">
        <v>109</v>
      </c>
      <c r="N61" s="727" t="s">
        <v>832</v>
      </c>
      <c r="O61" s="727" t="s">
        <v>819</v>
      </c>
      <c r="P61" s="727" t="s">
        <v>822</v>
      </c>
      <c r="Q61" s="2003">
        <f>M61/L61</f>
        <v>27.25</v>
      </c>
      <c r="R61" s="727"/>
      <c r="S61" s="2004"/>
      <c r="T61" s="1998"/>
      <c r="U61" s="481"/>
      <c r="V61" s="2006"/>
      <c r="W61" s="3095"/>
      <c r="X61" s="458"/>
      <c r="Y61" s="458"/>
      <c r="Z61" s="458"/>
      <c r="AA61" s="458"/>
    </row>
    <row r="62" spans="8:27" ht="12.75" customHeight="1">
      <c r="H62" s="1996" t="s">
        <v>823</v>
      </c>
      <c r="I62" s="727" t="s">
        <v>820</v>
      </c>
      <c r="J62" s="727">
        <v>32</v>
      </c>
      <c r="K62" s="727">
        <v>32.5</v>
      </c>
      <c r="L62" s="727">
        <v>4</v>
      </c>
      <c r="M62" s="2003">
        <v>109</v>
      </c>
      <c r="N62" s="727"/>
      <c r="O62" s="727" t="s">
        <v>823</v>
      </c>
      <c r="P62" s="727" t="s">
        <v>822</v>
      </c>
      <c r="Q62" s="2003">
        <f>M62/L62</f>
        <v>27.25</v>
      </c>
      <c r="R62" s="2003">
        <f>Q62*I48*L62/1000</f>
        <v>392.4</v>
      </c>
      <c r="S62" s="2004" t="s">
        <v>824</v>
      </c>
      <c r="T62" s="1998"/>
      <c r="U62" s="481"/>
      <c r="V62" s="2006"/>
      <c r="W62" s="3095"/>
      <c r="X62" s="458"/>
      <c r="Y62" s="458"/>
      <c r="Z62" s="458"/>
      <c r="AA62" s="458"/>
    </row>
    <row r="63" spans="8:27" ht="12.75" customHeight="1">
      <c r="H63" s="1996" t="s">
        <v>825</v>
      </c>
      <c r="I63" s="727" t="s">
        <v>820</v>
      </c>
      <c r="J63" s="727">
        <v>25</v>
      </c>
      <c r="K63" s="727">
        <v>26.6</v>
      </c>
      <c r="L63" s="727">
        <v>4</v>
      </c>
      <c r="M63" s="2003">
        <v>91.2</v>
      </c>
      <c r="N63" s="727"/>
      <c r="O63" s="727" t="s">
        <v>825</v>
      </c>
      <c r="P63" s="727" t="s">
        <v>826</v>
      </c>
      <c r="Q63" s="2003">
        <f>M63/L63</f>
        <v>22.8</v>
      </c>
      <c r="R63" s="2003">
        <f>Q63*I48*L63/1000</f>
        <v>328.32</v>
      </c>
      <c r="S63" s="2004" t="s">
        <v>827</v>
      </c>
      <c r="T63" s="1998">
        <v>0.05</v>
      </c>
      <c r="U63" s="3092">
        <f>SUMPRODUCT(R63:R65,T63:T65)</f>
        <v>383.202</v>
      </c>
      <c r="V63" s="2005">
        <f>(U63-R63)/L63</f>
        <v>13.720500000000001</v>
      </c>
      <c r="W63" s="3095"/>
      <c r="X63" s="458"/>
      <c r="Y63" s="458"/>
      <c r="Z63" s="458"/>
      <c r="AA63" s="458"/>
    </row>
    <row r="64" spans="8:27" ht="12.75" customHeight="1">
      <c r="H64" s="1996" t="s">
        <v>825</v>
      </c>
      <c r="I64" s="727" t="s">
        <v>820</v>
      </c>
      <c r="J64" s="727">
        <v>32</v>
      </c>
      <c r="K64" s="727">
        <v>32.5</v>
      </c>
      <c r="L64" s="727">
        <v>4</v>
      </c>
      <c r="M64" s="2003">
        <v>109</v>
      </c>
      <c r="N64" s="727"/>
      <c r="O64" s="727" t="s">
        <v>825</v>
      </c>
      <c r="P64" s="727" t="s">
        <v>822</v>
      </c>
      <c r="Q64" s="2003">
        <f>M64/L64</f>
        <v>27.25</v>
      </c>
      <c r="R64" s="2003">
        <f>Q64*I48*L64/1000</f>
        <v>392.4</v>
      </c>
      <c r="S64" s="2004" t="s">
        <v>828</v>
      </c>
      <c r="T64" s="1998">
        <v>0.8</v>
      </c>
      <c r="U64" s="3093"/>
      <c r="V64" s="2006"/>
      <c r="W64" s="3095"/>
      <c r="X64" s="458"/>
      <c r="Y64" s="458"/>
      <c r="Z64" s="458"/>
      <c r="AA64" s="458"/>
    </row>
    <row r="65" spans="8:27" ht="12.75" customHeight="1">
      <c r="H65" s="1730" t="s">
        <v>825</v>
      </c>
      <c r="I65" s="616" t="s">
        <v>820</v>
      </c>
      <c r="J65" s="616">
        <v>28</v>
      </c>
      <c r="K65" s="616">
        <v>28.4</v>
      </c>
      <c r="L65" s="616">
        <v>4</v>
      </c>
      <c r="M65" s="2007">
        <v>97.9</v>
      </c>
      <c r="N65" s="616"/>
      <c r="O65" s="616" t="s">
        <v>825</v>
      </c>
      <c r="P65" s="616" t="s">
        <v>829</v>
      </c>
      <c r="Q65" s="2007">
        <f>M65/L65</f>
        <v>24.475000000000001</v>
      </c>
      <c r="R65" s="2007">
        <f>Q65*I48*L65/1000</f>
        <v>352.44</v>
      </c>
      <c r="S65" s="617" t="s">
        <v>830</v>
      </c>
      <c r="T65" s="2008">
        <v>0.15</v>
      </c>
      <c r="U65" s="3094"/>
      <c r="V65" s="2005">
        <f>(U63-R65)/L65</f>
        <v>7.6905000000000001</v>
      </c>
      <c r="W65" s="3096"/>
      <c r="X65" s="458"/>
      <c r="Y65" s="458"/>
      <c r="Z65" s="458"/>
      <c r="AA65" s="458"/>
    </row>
    <row r="66" spans="8:27" ht="12.75" customHeight="1">
      <c r="H66" s="458"/>
      <c r="I66" s="458"/>
      <c r="J66" s="458"/>
      <c r="K66" s="458"/>
      <c r="L66" s="458"/>
      <c r="M66" s="458"/>
      <c r="N66" s="458"/>
      <c r="O66" s="458"/>
      <c r="P66" s="458"/>
      <c r="Q66" s="458"/>
      <c r="R66" s="458"/>
      <c r="S66" s="458"/>
      <c r="T66" s="458"/>
      <c r="U66" s="458"/>
      <c r="V66" s="458"/>
      <c r="W66" s="458"/>
      <c r="X66" s="458"/>
      <c r="Y66" s="458"/>
      <c r="Z66" s="458"/>
      <c r="AA66" s="458"/>
    </row>
    <row r="67" spans="8:27" ht="12.75" customHeight="1">
      <c r="H67" s="458"/>
      <c r="I67" s="458"/>
      <c r="J67" s="458"/>
      <c r="K67" s="458"/>
      <c r="L67" s="458"/>
      <c r="M67" s="458"/>
      <c r="N67" s="458"/>
      <c r="O67" s="458"/>
      <c r="P67" s="458"/>
      <c r="Q67" s="458"/>
      <c r="R67" s="458"/>
      <c r="S67" s="458"/>
      <c r="T67" s="458"/>
      <c r="U67" s="458"/>
      <c r="V67" s="458"/>
      <c r="W67" s="458"/>
      <c r="X67" s="458"/>
      <c r="Y67" s="458"/>
      <c r="Z67" s="458"/>
      <c r="AA67" s="458"/>
    </row>
    <row r="68" spans="8:27" ht="12.75" customHeight="1">
      <c r="H68" s="458"/>
      <c r="I68" s="458"/>
      <c r="J68" s="458"/>
      <c r="K68" s="458"/>
      <c r="L68" s="458"/>
      <c r="M68" s="458"/>
      <c r="N68" s="458"/>
      <c r="O68" s="458"/>
      <c r="P68" s="458"/>
      <c r="Q68" s="458"/>
      <c r="R68" s="458"/>
      <c r="S68" s="458"/>
      <c r="T68" s="458"/>
      <c r="U68" s="458"/>
      <c r="V68" s="458"/>
      <c r="W68" s="458"/>
      <c r="X68" s="458"/>
      <c r="Y68" s="458"/>
      <c r="Z68" s="458"/>
      <c r="AA68" s="458"/>
    </row>
    <row r="69" spans="8:27" ht="12.75" customHeight="1">
      <c r="H69" s="458"/>
      <c r="I69" s="458"/>
      <c r="J69" s="458"/>
      <c r="K69" s="458"/>
      <c r="L69" s="458"/>
      <c r="M69" s="458"/>
      <c r="N69" s="458"/>
      <c r="O69" s="458"/>
      <c r="P69" s="458"/>
      <c r="Q69" s="458"/>
      <c r="R69" s="458"/>
      <c r="S69" s="458"/>
      <c r="T69" s="458"/>
      <c r="U69" s="458"/>
      <c r="V69" s="458"/>
      <c r="W69" s="458"/>
      <c r="X69" s="458"/>
      <c r="Y69" s="458"/>
      <c r="Z69" s="458"/>
      <c r="AA69" s="458"/>
    </row>
    <row r="70" spans="8:27" ht="12.75" customHeight="1">
      <c r="H70" s="458"/>
      <c r="I70" s="458"/>
      <c r="J70" s="458"/>
      <c r="K70" s="458"/>
      <c r="L70" s="458"/>
      <c r="M70" s="458"/>
      <c r="N70" s="458"/>
      <c r="O70" s="458"/>
      <c r="P70" s="458"/>
      <c r="Q70" s="458"/>
      <c r="R70" s="458"/>
      <c r="S70" s="458"/>
      <c r="T70" s="458"/>
      <c r="U70" s="458"/>
      <c r="V70" s="458"/>
      <c r="W70" s="458"/>
      <c r="X70" s="458"/>
      <c r="Y70" s="458"/>
      <c r="Z70" s="458"/>
      <c r="AA70" s="458"/>
    </row>
    <row r="71" spans="8:27" ht="12.75" customHeight="1">
      <c r="H71" s="458"/>
      <c r="I71" s="458"/>
      <c r="J71" s="458"/>
      <c r="K71" s="458"/>
      <c r="L71" s="458"/>
      <c r="M71" s="458"/>
      <c r="N71" s="458"/>
      <c r="O71" s="458"/>
      <c r="P71" s="458"/>
      <c r="Q71" s="458"/>
      <c r="R71" s="458"/>
      <c r="S71" s="458"/>
      <c r="T71" s="458"/>
      <c r="U71" s="458"/>
      <c r="V71" s="458"/>
      <c r="W71" s="458"/>
      <c r="X71" s="458"/>
      <c r="Y71" s="458"/>
      <c r="Z71" s="458"/>
      <c r="AA71" s="458"/>
    </row>
    <row r="72" spans="8:27" ht="12.75" customHeight="1">
      <c r="H72" s="458"/>
      <c r="I72" s="458"/>
      <c r="J72" s="458"/>
      <c r="K72" s="458"/>
      <c r="L72" s="458"/>
      <c r="M72" s="458"/>
      <c r="N72" s="458"/>
      <c r="O72" s="458"/>
      <c r="P72" s="458"/>
      <c r="Q72" s="458"/>
      <c r="R72" s="458"/>
      <c r="S72" s="458"/>
      <c r="T72" s="458"/>
      <c r="U72" s="458"/>
      <c r="V72" s="458"/>
      <c r="W72" s="458"/>
      <c r="X72" s="458"/>
      <c r="Y72" s="458"/>
      <c r="Z72" s="458"/>
      <c r="AA72" s="458"/>
    </row>
    <row r="73" spans="8:27" ht="12.75" customHeight="1" thickBot="1">
      <c r="H73" s="458"/>
      <c r="I73" s="458"/>
      <c r="J73" s="458"/>
      <c r="K73" s="458"/>
      <c r="L73" s="458"/>
      <c r="M73" s="458"/>
      <c r="N73" s="458"/>
      <c r="O73" s="458"/>
      <c r="P73" s="458"/>
      <c r="Q73" s="458"/>
      <c r="R73" s="458"/>
      <c r="S73" s="458"/>
      <c r="T73" s="458"/>
      <c r="U73" s="458"/>
      <c r="V73" s="458"/>
      <c r="W73" s="458"/>
      <c r="X73" s="458"/>
      <c r="Y73" s="458"/>
      <c r="Z73" s="458"/>
      <c r="AA73" s="458"/>
    </row>
    <row r="74" spans="8:27" ht="12.75" customHeight="1" thickTop="1" thickBot="1">
      <c r="H74" s="458" t="s">
        <v>780</v>
      </c>
      <c r="I74" s="2858" t="s">
        <v>1929</v>
      </c>
      <c r="J74" s="2859"/>
      <c r="K74" s="458"/>
      <c r="L74" s="458"/>
      <c r="M74" s="458"/>
      <c r="N74" s="458"/>
      <c r="O74" s="458"/>
      <c r="P74" s="458"/>
      <c r="Q74" s="458"/>
      <c r="R74" s="458"/>
      <c r="S74" s="458"/>
      <c r="T74" s="458"/>
      <c r="U74" s="458"/>
      <c r="V74" s="458"/>
      <c r="W74" s="458"/>
      <c r="X74" s="458"/>
      <c r="Y74" s="458"/>
      <c r="Z74" s="458"/>
      <c r="AA74" s="458"/>
    </row>
    <row r="75" spans="8:27" ht="12.75" customHeight="1" thickTop="1">
      <c r="H75" s="891" t="s">
        <v>1930</v>
      </c>
      <c r="I75" s="458"/>
      <c r="J75" s="458"/>
      <c r="K75" s="458"/>
      <c r="L75" s="458"/>
      <c r="M75" s="458"/>
      <c r="N75" s="458"/>
      <c r="O75" s="458"/>
      <c r="P75" s="458"/>
      <c r="Q75" s="458"/>
      <c r="R75" s="458"/>
      <c r="S75" s="458"/>
      <c r="T75" s="458"/>
      <c r="U75" s="458"/>
      <c r="V75" s="458"/>
      <c r="W75" s="458"/>
      <c r="X75" s="458"/>
      <c r="Y75" s="458"/>
      <c r="Z75" s="458"/>
      <c r="AA75" s="458"/>
    </row>
    <row r="76" spans="8:27" ht="12.75" customHeight="1">
      <c r="H76" s="1962" t="s">
        <v>1937</v>
      </c>
      <c r="I76" s="1962" t="s">
        <v>1938</v>
      </c>
      <c r="J76" s="458"/>
      <c r="K76" s="458"/>
      <c r="L76" s="458"/>
      <c r="M76" s="458"/>
      <c r="N76" s="458"/>
      <c r="O76" s="458"/>
      <c r="P76" s="458"/>
      <c r="Q76" s="458"/>
      <c r="R76" s="458"/>
      <c r="S76" s="458"/>
      <c r="T76" s="458"/>
      <c r="U76" s="458"/>
      <c r="V76" s="458"/>
      <c r="W76" s="458"/>
      <c r="X76" s="458"/>
      <c r="Y76" s="458"/>
      <c r="Z76" s="458"/>
      <c r="AA76" s="458"/>
    </row>
    <row r="77" spans="8:27" ht="12.75" customHeight="1">
      <c r="H77" s="2009" t="s">
        <v>1809</v>
      </c>
      <c r="I77" s="2010"/>
      <c r="J77" s="1578" t="s">
        <v>1810</v>
      </c>
      <c r="K77" s="1578" t="s">
        <v>1871</v>
      </c>
      <c r="L77" s="458"/>
      <c r="M77" s="458"/>
      <c r="N77" s="458"/>
      <c r="O77" s="458"/>
      <c r="P77" s="458"/>
      <c r="Q77" s="458"/>
      <c r="R77" s="458"/>
      <c r="S77" s="458"/>
      <c r="T77" s="458"/>
      <c r="U77" s="458"/>
      <c r="V77" s="458"/>
      <c r="W77" s="458"/>
      <c r="X77" s="458"/>
      <c r="Y77" s="458"/>
      <c r="Z77" s="458"/>
      <c r="AA77" s="458"/>
    </row>
    <row r="78" spans="8:27" ht="12.75" customHeight="1">
      <c r="H78" s="2011" t="s">
        <v>1931</v>
      </c>
      <c r="I78" s="2011"/>
      <c r="J78" s="2011" t="s">
        <v>1932</v>
      </c>
      <c r="K78" s="2012">
        <v>4.9353090510615774</v>
      </c>
      <c r="L78" s="458"/>
      <c r="M78" s="458"/>
      <c r="N78" s="458"/>
      <c r="O78" s="458"/>
      <c r="P78" s="458"/>
      <c r="Q78" s="458"/>
      <c r="R78" s="458"/>
      <c r="S78" s="458"/>
      <c r="T78" s="458"/>
      <c r="U78" s="458"/>
      <c r="V78" s="458"/>
      <c r="W78" s="458"/>
      <c r="X78" s="458"/>
      <c r="Y78" s="458"/>
      <c r="Z78" s="458"/>
      <c r="AA78" s="458"/>
    </row>
    <row r="79" spans="8:27" ht="12.75" customHeight="1">
      <c r="H79" s="2011" t="s">
        <v>1933</v>
      </c>
      <c r="I79" s="2011"/>
      <c r="J79" s="2011" t="s">
        <v>1932</v>
      </c>
      <c r="K79" s="2012">
        <v>6.6486266020510376</v>
      </c>
      <c r="L79" s="458"/>
      <c r="M79" s="458"/>
      <c r="N79" s="458"/>
      <c r="O79" s="458"/>
      <c r="P79" s="458"/>
      <c r="Q79" s="458"/>
      <c r="R79" s="458"/>
      <c r="S79" s="458"/>
      <c r="T79" s="458"/>
      <c r="U79" s="458"/>
      <c r="V79" s="458"/>
      <c r="W79" s="458"/>
      <c r="X79" s="458"/>
      <c r="Y79" s="458"/>
      <c r="Z79" s="458"/>
      <c r="AA79" s="458"/>
    </row>
    <row r="80" spans="8:27" ht="12.75" customHeight="1">
      <c r="H80" s="2011" t="s">
        <v>1931</v>
      </c>
      <c r="I80" s="2011"/>
      <c r="J80" s="2011" t="s">
        <v>1934</v>
      </c>
      <c r="K80" s="2012">
        <v>-4.9122272698635366E-2</v>
      </c>
      <c r="L80" s="458"/>
      <c r="M80" s="458"/>
      <c r="N80" s="458"/>
      <c r="O80" s="458"/>
      <c r="P80" s="458"/>
      <c r="Q80" s="458"/>
      <c r="R80" s="458"/>
      <c r="S80" s="458"/>
      <c r="T80" s="458"/>
      <c r="U80" s="458"/>
      <c r="V80" s="458"/>
      <c r="W80" s="458"/>
      <c r="X80" s="458"/>
      <c r="Y80" s="458"/>
      <c r="Z80" s="458"/>
      <c r="AA80" s="458"/>
    </row>
    <row r="81" spans="8:27" ht="12.75" customHeight="1">
      <c r="H81" s="2011" t="s">
        <v>1933</v>
      </c>
      <c r="I81" s="2011"/>
      <c r="J81" s="2011" t="s">
        <v>1934</v>
      </c>
      <c r="K81" s="2012">
        <v>-6.6175318635233654E-2</v>
      </c>
      <c r="L81" s="458"/>
      <c r="M81" s="458"/>
      <c r="N81" s="458"/>
      <c r="O81" s="458"/>
      <c r="P81" s="458"/>
      <c r="Q81" s="458"/>
      <c r="R81" s="458"/>
      <c r="S81" s="458"/>
      <c r="T81" s="458"/>
      <c r="U81" s="458"/>
      <c r="V81" s="458"/>
      <c r="W81" s="458"/>
      <c r="X81" s="458"/>
      <c r="Y81" s="458"/>
      <c r="Z81" s="458"/>
      <c r="AA81" s="458"/>
    </row>
    <row r="82" spans="8:27" ht="12.75" customHeight="1">
      <c r="H82" s="2011" t="s">
        <v>1931</v>
      </c>
      <c r="I82" s="2013"/>
      <c r="J82" s="2013" t="s">
        <v>1935</v>
      </c>
      <c r="K82" s="2012">
        <f>K78+K80</f>
        <v>4.8861867783629416</v>
      </c>
      <c r="L82" s="458"/>
      <c r="M82" s="458"/>
      <c r="N82" s="458"/>
      <c r="O82" s="458"/>
      <c r="P82" s="458"/>
      <c r="Q82" s="458"/>
      <c r="R82" s="458"/>
      <c r="S82" s="458"/>
      <c r="T82" s="458"/>
      <c r="U82" s="458"/>
      <c r="V82" s="458"/>
      <c r="W82" s="458"/>
      <c r="X82" s="458"/>
      <c r="Y82" s="458"/>
      <c r="Z82" s="458"/>
      <c r="AA82" s="458"/>
    </row>
    <row r="83" spans="8:27" ht="12.75" customHeight="1">
      <c r="H83" s="2011" t="s">
        <v>1933</v>
      </c>
      <c r="I83" s="2013"/>
      <c r="J83" s="2013" t="s">
        <v>1935</v>
      </c>
      <c r="K83" s="2012">
        <f>K79+K81</f>
        <v>6.5824512834158035</v>
      </c>
      <c r="L83" s="458"/>
      <c r="M83" s="458"/>
      <c r="N83" s="458"/>
      <c r="O83" s="458"/>
      <c r="P83" s="458"/>
      <c r="Q83" s="458"/>
      <c r="R83" s="458"/>
      <c r="S83" s="458"/>
      <c r="T83" s="458"/>
      <c r="U83" s="458"/>
      <c r="V83" s="458"/>
      <c r="W83" s="458"/>
      <c r="X83" s="458"/>
      <c r="Y83" s="458"/>
      <c r="Z83" s="458"/>
      <c r="AA83" s="458"/>
    </row>
    <row r="84" spans="8:27" ht="12.75" customHeight="1">
      <c r="H84" s="458"/>
      <c r="I84" s="458"/>
      <c r="J84" s="458"/>
      <c r="K84" s="458"/>
      <c r="L84" s="458"/>
      <c r="M84" s="458"/>
      <c r="N84" s="458"/>
      <c r="O84" s="458"/>
      <c r="P84" s="458"/>
      <c r="Q84" s="458"/>
      <c r="R84" s="458"/>
      <c r="S84" s="458"/>
      <c r="T84" s="458"/>
      <c r="U84" s="458"/>
      <c r="V84" s="458"/>
      <c r="W84" s="458"/>
      <c r="X84" s="458"/>
      <c r="Y84" s="458"/>
      <c r="Z84" s="458"/>
      <c r="AA84" s="458"/>
    </row>
    <row r="85" spans="8:27" ht="12.75" customHeight="1">
      <c r="H85" s="458"/>
      <c r="I85" s="458"/>
      <c r="J85" s="458"/>
      <c r="K85" s="458"/>
      <c r="L85" s="458"/>
      <c r="M85" s="458"/>
      <c r="N85" s="458"/>
      <c r="O85" s="458"/>
      <c r="P85" s="458"/>
      <c r="Q85" s="458"/>
      <c r="R85" s="458"/>
      <c r="S85" s="458"/>
      <c r="T85" s="458"/>
      <c r="U85" s="458"/>
      <c r="V85" s="458"/>
      <c r="W85" s="458"/>
      <c r="X85" s="458"/>
      <c r="Y85" s="458"/>
      <c r="Z85" s="458"/>
      <c r="AA85" s="458"/>
    </row>
    <row r="86" spans="8:27" ht="12.75" customHeight="1">
      <c r="H86" s="458"/>
      <c r="I86" s="458"/>
      <c r="J86" s="458"/>
      <c r="K86" s="458"/>
      <c r="L86" s="458"/>
      <c r="M86" s="458"/>
      <c r="N86" s="458"/>
      <c r="O86" s="458"/>
      <c r="P86" s="458"/>
      <c r="Q86" s="458"/>
      <c r="R86" s="458"/>
      <c r="S86" s="458"/>
      <c r="T86" s="458"/>
      <c r="U86" s="458"/>
      <c r="V86" s="458"/>
      <c r="W86" s="458"/>
      <c r="X86" s="458"/>
      <c r="Y86" s="458"/>
      <c r="Z86" s="458"/>
      <c r="AA86" s="458"/>
    </row>
    <row r="87" spans="8:27" ht="12.75" customHeight="1">
      <c r="H87" s="458"/>
      <c r="I87" s="458"/>
      <c r="J87" s="458"/>
      <c r="K87" s="458"/>
      <c r="L87" s="458"/>
      <c r="M87" s="458"/>
      <c r="N87" s="458"/>
      <c r="O87" s="458"/>
      <c r="P87" s="458"/>
      <c r="Q87" s="458"/>
      <c r="R87" s="458"/>
      <c r="S87" s="458"/>
      <c r="T87" s="458"/>
      <c r="U87" s="458"/>
      <c r="V87" s="458"/>
      <c r="W87" s="458"/>
      <c r="X87" s="458"/>
      <c r="Y87" s="458"/>
      <c r="Z87" s="458"/>
      <c r="AA87" s="458"/>
    </row>
    <row r="88" spans="8:27" ht="12.75" customHeight="1">
      <c r="H88" s="458"/>
      <c r="I88" s="458"/>
      <c r="J88" s="458"/>
      <c r="K88" s="458"/>
      <c r="L88" s="458"/>
      <c r="M88" s="458"/>
      <c r="N88" s="458"/>
      <c r="O88" s="458"/>
      <c r="P88" s="458"/>
      <c r="Q88" s="458"/>
      <c r="R88" s="458"/>
      <c r="S88" s="458"/>
      <c r="T88" s="458"/>
      <c r="U88" s="458"/>
      <c r="V88" s="458"/>
      <c r="W88" s="458"/>
      <c r="X88" s="458"/>
      <c r="Y88" s="458"/>
      <c r="Z88" s="458"/>
      <c r="AA88" s="458"/>
    </row>
    <row r="89" spans="8:27" ht="12.75" customHeight="1">
      <c r="H89" s="458"/>
      <c r="I89" s="458"/>
      <c r="J89" s="458"/>
      <c r="K89" s="458"/>
      <c r="L89" s="458"/>
      <c r="M89" s="458"/>
      <c r="N89" s="458"/>
      <c r="O89" s="458"/>
      <c r="P89" s="458"/>
      <c r="Q89" s="458"/>
      <c r="R89" s="458"/>
      <c r="S89" s="458"/>
      <c r="T89" s="458"/>
      <c r="U89" s="458"/>
      <c r="V89" s="458"/>
      <c r="W89" s="458"/>
      <c r="X89" s="458"/>
      <c r="Y89" s="458"/>
      <c r="Z89" s="458"/>
      <c r="AA89" s="458"/>
    </row>
    <row r="90" spans="8:27" ht="12.75" customHeight="1">
      <c r="H90" s="458"/>
      <c r="I90" s="458"/>
      <c r="J90" s="458"/>
      <c r="K90" s="458"/>
      <c r="L90" s="458"/>
      <c r="M90" s="458"/>
      <c r="N90" s="458"/>
      <c r="O90" s="458"/>
      <c r="P90" s="458"/>
      <c r="Q90" s="458"/>
      <c r="R90" s="458"/>
      <c r="S90" s="458"/>
      <c r="T90" s="458"/>
      <c r="U90" s="458"/>
      <c r="V90" s="458"/>
      <c r="W90" s="458"/>
      <c r="X90" s="458"/>
      <c r="Y90" s="458"/>
      <c r="Z90" s="458"/>
      <c r="AA90" s="458"/>
    </row>
    <row r="91" spans="8:27" ht="12.75" customHeight="1">
      <c r="H91" s="458"/>
      <c r="I91" s="458"/>
      <c r="J91" s="458"/>
      <c r="K91" s="458"/>
      <c r="L91" s="458"/>
      <c r="M91" s="458"/>
      <c r="N91" s="458"/>
      <c r="O91" s="458"/>
      <c r="P91" s="458"/>
      <c r="Q91" s="458"/>
      <c r="R91" s="458"/>
      <c r="S91" s="458"/>
      <c r="T91" s="458"/>
      <c r="U91" s="458"/>
      <c r="V91" s="458"/>
      <c r="W91" s="458"/>
      <c r="X91" s="458"/>
      <c r="Y91" s="458"/>
      <c r="Z91" s="458"/>
      <c r="AA91" s="458"/>
    </row>
    <row r="92" spans="8:27" ht="12.75" customHeight="1">
      <c r="H92" s="458"/>
      <c r="I92" s="458"/>
      <c r="J92" s="458"/>
      <c r="K92" s="458"/>
      <c r="L92" s="458"/>
      <c r="M92" s="458"/>
      <c r="N92" s="458"/>
      <c r="O92" s="458"/>
      <c r="P92" s="458"/>
      <c r="Q92" s="458"/>
      <c r="R92" s="458"/>
      <c r="S92" s="458"/>
      <c r="T92" s="458"/>
      <c r="U92" s="458"/>
      <c r="V92" s="458"/>
      <c r="W92" s="458"/>
      <c r="X92" s="458"/>
      <c r="Y92" s="458"/>
      <c r="Z92" s="458"/>
      <c r="AA92" s="458"/>
    </row>
    <row r="93" spans="8:27" ht="12.75" customHeight="1">
      <c r="H93" s="458"/>
      <c r="I93" s="458"/>
      <c r="J93" s="458"/>
      <c r="K93" s="458"/>
      <c r="L93" s="458"/>
      <c r="M93" s="458"/>
      <c r="N93" s="458"/>
      <c r="O93" s="458"/>
      <c r="P93" s="458"/>
      <c r="Q93" s="458"/>
      <c r="R93" s="458"/>
      <c r="S93" s="458"/>
      <c r="T93" s="458"/>
      <c r="U93" s="458"/>
      <c r="V93" s="458"/>
      <c r="W93" s="458"/>
      <c r="X93" s="458"/>
      <c r="Y93" s="458"/>
      <c r="Z93" s="458"/>
      <c r="AA93" s="458"/>
    </row>
    <row r="94" spans="8:27" ht="12.75" customHeight="1">
      <c r="H94" s="458"/>
      <c r="I94" s="458"/>
      <c r="J94" s="458"/>
      <c r="K94" s="458"/>
      <c r="L94" s="458"/>
      <c r="M94" s="458"/>
      <c r="N94" s="458"/>
      <c r="O94" s="458"/>
      <c r="P94" s="458"/>
      <c r="Q94" s="458"/>
      <c r="R94" s="458"/>
      <c r="S94" s="458"/>
      <c r="T94" s="458"/>
      <c r="U94" s="458"/>
      <c r="V94" s="458"/>
      <c r="W94" s="458"/>
      <c r="X94" s="458"/>
      <c r="Y94" s="458"/>
      <c r="Z94" s="458"/>
      <c r="AA94" s="458"/>
    </row>
    <row r="95" spans="8:27" ht="12.75" customHeight="1">
      <c r="H95" s="458"/>
      <c r="I95" s="458"/>
      <c r="J95" s="458"/>
      <c r="K95" s="458"/>
      <c r="L95" s="458"/>
      <c r="M95" s="458"/>
      <c r="N95" s="458"/>
      <c r="O95" s="458"/>
      <c r="P95" s="458"/>
      <c r="Q95" s="458"/>
      <c r="R95" s="458"/>
      <c r="S95" s="458"/>
      <c r="T95" s="458"/>
      <c r="U95" s="458"/>
      <c r="V95" s="458"/>
      <c r="W95" s="458"/>
      <c r="X95" s="458"/>
      <c r="Y95" s="458"/>
      <c r="Z95" s="458"/>
      <c r="AA95" s="458"/>
    </row>
    <row r="96" spans="8:27" ht="12.75" customHeight="1">
      <c r="H96" s="458"/>
      <c r="I96" s="458"/>
      <c r="J96" s="458"/>
      <c r="K96" s="458"/>
      <c r="L96" s="458"/>
      <c r="M96" s="458"/>
      <c r="N96" s="458"/>
      <c r="O96" s="458"/>
      <c r="P96" s="458"/>
      <c r="Q96" s="458"/>
      <c r="R96" s="458"/>
      <c r="S96" s="458"/>
      <c r="T96" s="458"/>
      <c r="U96" s="458"/>
      <c r="V96" s="458"/>
      <c r="W96" s="458"/>
      <c r="X96" s="458"/>
      <c r="Y96" s="458"/>
      <c r="Z96" s="458"/>
      <c r="AA96" s="458"/>
    </row>
    <row r="97" spans="8:27" ht="12.75" customHeight="1">
      <c r="H97" s="458"/>
      <c r="I97" s="458"/>
      <c r="J97" s="458"/>
      <c r="K97" s="458"/>
      <c r="L97" s="458"/>
      <c r="M97" s="458"/>
      <c r="N97" s="458"/>
      <c r="O97" s="458"/>
      <c r="P97" s="458"/>
      <c r="Q97" s="458"/>
      <c r="R97" s="458"/>
      <c r="S97" s="458"/>
      <c r="T97" s="458"/>
      <c r="U97" s="458"/>
      <c r="V97" s="458"/>
      <c r="W97" s="458"/>
      <c r="X97" s="458"/>
      <c r="Y97" s="458"/>
      <c r="Z97" s="458"/>
      <c r="AA97" s="458"/>
    </row>
    <row r="98" spans="8:27" ht="12.75" customHeight="1">
      <c r="H98" s="458"/>
      <c r="I98" s="458"/>
      <c r="J98" s="458"/>
      <c r="K98" s="458"/>
      <c r="L98" s="458"/>
      <c r="M98" s="458"/>
      <c r="N98" s="458"/>
      <c r="O98" s="458"/>
      <c r="P98" s="458"/>
      <c r="Q98" s="458"/>
      <c r="R98" s="458"/>
      <c r="S98" s="458"/>
      <c r="T98" s="458"/>
      <c r="U98" s="458"/>
      <c r="V98" s="458"/>
      <c r="W98" s="458"/>
      <c r="X98" s="458"/>
      <c r="Y98" s="458"/>
      <c r="Z98" s="458"/>
      <c r="AA98" s="458"/>
    </row>
    <row r="99" spans="8:27" ht="12.75" customHeight="1">
      <c r="H99" s="458"/>
      <c r="I99" s="458"/>
      <c r="J99" s="458"/>
      <c r="K99" s="458"/>
      <c r="L99" s="458"/>
      <c r="M99" s="458"/>
      <c r="N99" s="458"/>
      <c r="O99" s="458"/>
      <c r="P99" s="458"/>
      <c r="Q99" s="458"/>
      <c r="R99" s="458"/>
      <c r="S99" s="458"/>
      <c r="T99" s="458"/>
      <c r="U99" s="458"/>
      <c r="V99" s="458"/>
      <c r="W99" s="458"/>
      <c r="X99" s="458"/>
      <c r="Y99" s="458"/>
      <c r="Z99" s="458"/>
      <c r="AA99" s="458"/>
    </row>
    <row r="100" spans="8:27" ht="12.75" customHeight="1">
      <c r="H100" s="458"/>
      <c r="I100" s="458"/>
      <c r="J100" s="458"/>
      <c r="K100" s="458"/>
      <c r="L100" s="458"/>
      <c r="M100" s="458"/>
      <c r="N100" s="458"/>
      <c r="O100" s="458"/>
      <c r="P100" s="458"/>
      <c r="Q100" s="458"/>
      <c r="R100" s="458"/>
      <c r="S100" s="458"/>
      <c r="T100" s="458"/>
      <c r="U100" s="458"/>
      <c r="V100" s="458"/>
      <c r="W100" s="458"/>
      <c r="X100" s="458"/>
      <c r="Y100" s="458"/>
      <c r="Z100" s="458"/>
      <c r="AA100" s="458"/>
    </row>
    <row r="101" spans="8:27" ht="12.75" customHeight="1">
      <c r="H101" s="458"/>
      <c r="I101" s="458"/>
      <c r="J101" s="458"/>
      <c r="K101" s="458"/>
      <c r="L101" s="458"/>
      <c r="M101" s="458"/>
      <c r="N101" s="458"/>
      <c r="O101" s="458"/>
      <c r="P101" s="458"/>
      <c r="Q101" s="458"/>
      <c r="R101" s="458"/>
      <c r="S101" s="458"/>
      <c r="T101" s="458"/>
      <c r="U101" s="458"/>
      <c r="V101" s="458"/>
      <c r="W101" s="458"/>
      <c r="X101" s="458"/>
      <c r="Y101" s="458"/>
      <c r="Z101" s="458"/>
      <c r="AA101" s="458"/>
    </row>
    <row r="102" spans="8:27" ht="12.75" customHeight="1">
      <c r="H102" s="458"/>
      <c r="I102" s="458"/>
      <c r="J102" s="458"/>
      <c r="K102" s="458"/>
      <c r="L102" s="458"/>
      <c r="M102" s="458"/>
      <c r="N102" s="458"/>
      <c r="O102" s="458"/>
      <c r="P102" s="458"/>
      <c r="Q102" s="458"/>
      <c r="R102" s="458"/>
      <c r="S102" s="458"/>
      <c r="T102" s="458"/>
      <c r="U102" s="458"/>
      <c r="V102" s="458"/>
      <c r="W102" s="458"/>
      <c r="X102" s="458"/>
      <c r="Y102" s="458"/>
      <c r="Z102" s="458"/>
      <c r="AA102" s="458"/>
    </row>
    <row r="103" spans="8:27" ht="12.75" customHeight="1">
      <c r="H103" s="458"/>
      <c r="I103" s="458"/>
      <c r="J103" s="458"/>
      <c r="K103" s="458"/>
      <c r="L103" s="458"/>
      <c r="M103" s="458"/>
      <c r="N103" s="458"/>
      <c r="O103" s="458"/>
      <c r="P103" s="458"/>
      <c r="Q103" s="458"/>
      <c r="R103" s="458"/>
      <c r="S103" s="458"/>
      <c r="T103" s="458"/>
      <c r="U103" s="458"/>
      <c r="V103" s="458"/>
      <c r="W103" s="458"/>
      <c r="X103" s="458"/>
      <c r="Y103" s="458"/>
      <c r="Z103" s="458"/>
      <c r="AA103" s="458"/>
    </row>
    <row r="104" spans="8:27" ht="12.75" customHeight="1">
      <c r="H104" s="458"/>
      <c r="I104" s="458"/>
      <c r="J104" s="458"/>
      <c r="K104" s="458"/>
      <c r="L104" s="458"/>
      <c r="M104" s="458"/>
      <c r="N104" s="458"/>
      <c r="O104" s="458"/>
      <c r="P104" s="458"/>
      <c r="Q104" s="458"/>
      <c r="R104" s="458"/>
      <c r="S104" s="458"/>
      <c r="T104" s="458"/>
      <c r="U104" s="458"/>
      <c r="V104" s="458"/>
      <c r="W104" s="458"/>
      <c r="X104" s="458"/>
      <c r="Y104" s="458"/>
      <c r="Z104" s="458"/>
      <c r="AA104" s="458"/>
    </row>
    <row r="105" spans="8:27" ht="12.75" customHeight="1">
      <c r="H105" s="458"/>
      <c r="I105" s="458"/>
      <c r="J105" s="458"/>
      <c r="K105" s="458"/>
      <c r="L105" s="458"/>
      <c r="M105" s="458"/>
      <c r="N105" s="458"/>
      <c r="O105" s="458"/>
      <c r="P105" s="458"/>
      <c r="Q105" s="458"/>
      <c r="R105" s="458"/>
      <c r="S105" s="458"/>
      <c r="T105" s="458"/>
      <c r="U105" s="458"/>
      <c r="V105" s="458"/>
      <c r="W105" s="458"/>
      <c r="X105" s="458"/>
      <c r="Y105" s="458"/>
      <c r="Z105" s="458"/>
      <c r="AA105" s="458"/>
    </row>
    <row r="106" spans="8:27" ht="12.75" customHeight="1">
      <c r="H106" s="458"/>
      <c r="I106" s="458"/>
      <c r="J106" s="458"/>
      <c r="K106" s="458"/>
      <c r="L106" s="458"/>
      <c r="M106" s="458"/>
      <c r="N106" s="458"/>
      <c r="O106" s="458"/>
      <c r="P106" s="458"/>
      <c r="Q106" s="458"/>
      <c r="R106" s="458"/>
      <c r="S106" s="458"/>
      <c r="T106" s="458"/>
      <c r="U106" s="458"/>
      <c r="V106" s="458"/>
      <c r="W106" s="458"/>
      <c r="X106" s="458"/>
      <c r="Y106" s="458"/>
      <c r="Z106" s="458"/>
      <c r="AA106" s="458"/>
    </row>
    <row r="107" spans="8:27" ht="12.75" customHeight="1">
      <c r="H107" s="458"/>
      <c r="I107" s="458"/>
      <c r="J107" s="458"/>
      <c r="K107" s="458"/>
      <c r="L107" s="458"/>
      <c r="M107" s="458"/>
      <c r="N107" s="458"/>
      <c r="O107" s="458"/>
      <c r="P107" s="458"/>
      <c r="Q107" s="458"/>
      <c r="R107" s="458"/>
      <c r="S107" s="458"/>
      <c r="T107" s="458"/>
      <c r="U107" s="458"/>
      <c r="V107" s="458"/>
      <c r="W107" s="458"/>
      <c r="X107" s="458"/>
      <c r="Y107" s="458"/>
      <c r="Z107" s="458"/>
      <c r="AA107" s="458"/>
    </row>
    <row r="108" spans="8:27" ht="12.75" customHeight="1">
      <c r="H108" s="458"/>
      <c r="I108" s="458"/>
      <c r="J108" s="458"/>
      <c r="K108" s="458"/>
      <c r="L108" s="458"/>
      <c r="M108" s="458"/>
      <c r="N108" s="458"/>
      <c r="O108" s="458"/>
      <c r="P108" s="458"/>
      <c r="Q108" s="458"/>
      <c r="R108" s="458"/>
      <c r="S108" s="458"/>
      <c r="T108" s="458"/>
      <c r="U108" s="458"/>
      <c r="V108" s="458"/>
      <c r="W108" s="458"/>
      <c r="X108" s="458"/>
      <c r="Y108" s="458"/>
      <c r="Z108" s="458"/>
      <c r="AA108" s="458"/>
    </row>
    <row r="109" spans="8:27" ht="12.75" customHeight="1">
      <c r="H109" s="458"/>
      <c r="I109" s="458"/>
      <c r="J109" s="458"/>
      <c r="K109" s="458"/>
      <c r="L109" s="458"/>
      <c r="M109" s="458"/>
      <c r="N109" s="458"/>
      <c r="O109" s="458"/>
      <c r="P109" s="458"/>
      <c r="Q109" s="458"/>
      <c r="R109" s="458"/>
      <c r="S109" s="458"/>
      <c r="T109" s="458"/>
      <c r="U109" s="458"/>
      <c r="V109" s="458"/>
      <c r="W109" s="458"/>
      <c r="X109" s="458"/>
      <c r="Y109" s="458"/>
      <c r="Z109" s="458"/>
      <c r="AA109" s="458"/>
    </row>
    <row r="110" spans="8:27" ht="12.75" customHeight="1">
      <c r="H110" s="458"/>
      <c r="I110" s="458"/>
      <c r="J110" s="458"/>
      <c r="K110" s="458"/>
      <c r="L110" s="458"/>
      <c r="M110" s="458"/>
      <c r="N110" s="458"/>
      <c r="O110" s="458"/>
      <c r="P110" s="458"/>
      <c r="Q110" s="458"/>
      <c r="R110" s="458"/>
      <c r="S110" s="458"/>
      <c r="T110" s="458"/>
      <c r="U110" s="458"/>
      <c r="V110" s="458"/>
      <c r="W110" s="458"/>
      <c r="X110" s="458"/>
      <c r="Y110" s="458"/>
      <c r="Z110" s="458"/>
      <c r="AA110" s="458"/>
    </row>
    <row r="111" spans="8:27" ht="12.75" customHeight="1">
      <c r="H111" s="458"/>
      <c r="I111" s="458"/>
      <c r="J111" s="458"/>
      <c r="K111" s="458"/>
      <c r="L111" s="458"/>
      <c r="M111" s="458"/>
      <c r="N111" s="458"/>
      <c r="O111" s="458"/>
      <c r="P111" s="458"/>
      <c r="Q111" s="458"/>
      <c r="R111" s="458"/>
      <c r="S111" s="458"/>
      <c r="T111" s="458"/>
      <c r="U111" s="458"/>
      <c r="V111" s="458"/>
      <c r="W111" s="458"/>
      <c r="X111" s="458"/>
      <c r="Y111" s="458"/>
      <c r="Z111" s="458"/>
      <c r="AA111" s="458"/>
    </row>
    <row r="112" spans="8:27" ht="12.75" customHeight="1">
      <c r="H112" s="458"/>
      <c r="I112" s="458"/>
      <c r="J112" s="458"/>
      <c r="K112" s="458"/>
      <c r="L112" s="458"/>
      <c r="M112" s="458"/>
      <c r="N112" s="458"/>
      <c r="O112" s="458"/>
      <c r="P112" s="458"/>
      <c r="Q112" s="458"/>
      <c r="R112" s="458"/>
      <c r="S112" s="458"/>
      <c r="T112" s="458"/>
      <c r="U112" s="458"/>
      <c r="V112" s="458"/>
      <c r="W112" s="458"/>
      <c r="X112" s="458"/>
      <c r="Y112" s="458"/>
      <c r="Z112" s="458"/>
      <c r="AA112" s="458"/>
    </row>
    <row r="113" spans="8:27" ht="12.75" customHeight="1">
      <c r="H113" s="458"/>
      <c r="I113" s="458"/>
      <c r="J113" s="458"/>
      <c r="K113" s="458"/>
      <c r="L113" s="458"/>
      <c r="M113" s="458"/>
      <c r="N113" s="458"/>
      <c r="O113" s="458"/>
      <c r="P113" s="458"/>
      <c r="Q113" s="458"/>
      <c r="R113" s="458"/>
      <c r="S113" s="458"/>
      <c r="T113" s="458"/>
      <c r="U113" s="458"/>
      <c r="V113" s="458"/>
      <c r="W113" s="458"/>
      <c r="X113" s="458"/>
      <c r="Y113" s="458"/>
      <c r="Z113" s="458"/>
      <c r="AA113" s="458"/>
    </row>
    <row r="114" spans="8:27" ht="12.75" customHeight="1">
      <c r="H114" s="458"/>
      <c r="I114" s="458"/>
      <c r="J114" s="458"/>
      <c r="K114" s="458"/>
      <c r="L114" s="458"/>
      <c r="M114" s="458"/>
      <c r="N114" s="458"/>
      <c r="O114" s="458"/>
      <c r="P114" s="458"/>
      <c r="Q114" s="458"/>
      <c r="R114" s="458"/>
      <c r="S114" s="458"/>
      <c r="T114" s="458"/>
      <c r="U114" s="458"/>
      <c r="V114" s="458"/>
      <c r="W114" s="458"/>
      <c r="X114" s="458"/>
      <c r="Y114" s="458"/>
      <c r="Z114" s="458"/>
      <c r="AA114" s="458"/>
    </row>
    <row r="115" spans="8:27" ht="12.75" customHeight="1">
      <c r="H115" s="458"/>
      <c r="I115" s="458"/>
      <c r="J115" s="458"/>
      <c r="K115" s="458"/>
      <c r="L115" s="458"/>
      <c r="M115" s="458"/>
      <c r="N115" s="458"/>
      <c r="O115" s="458"/>
      <c r="P115" s="458"/>
      <c r="Q115" s="458"/>
      <c r="R115" s="458"/>
      <c r="S115" s="458"/>
      <c r="T115" s="458"/>
      <c r="U115" s="458"/>
      <c r="V115" s="458"/>
      <c r="W115" s="458"/>
      <c r="X115" s="458"/>
      <c r="Y115" s="458"/>
      <c r="Z115" s="458"/>
      <c r="AA115" s="458"/>
    </row>
  </sheetData>
  <autoFilter ref="A5:AA13">
    <filterColumn colId="11">
      <filters>
        <filter val="2020"/>
        <filter val="2021"/>
      </filters>
    </filterColumn>
  </autoFilter>
  <dataConsolidate/>
  <mergeCells count="15">
    <mergeCell ref="I2:L2"/>
    <mergeCell ref="A4:G4"/>
    <mergeCell ref="H4:L4"/>
    <mergeCell ref="M4:Q4"/>
    <mergeCell ref="R4:S4"/>
    <mergeCell ref="I74:J74"/>
    <mergeCell ref="U55:U57"/>
    <mergeCell ref="W55:W65"/>
    <mergeCell ref="U63:U65"/>
    <mergeCell ref="T4:V4"/>
    <mergeCell ref="I21:K21"/>
    <mergeCell ref="L21:O21"/>
    <mergeCell ref="P21:Q21"/>
    <mergeCell ref="S21:T21"/>
    <mergeCell ref="W21:X21"/>
  </mergeCells>
  <conditionalFormatting sqref="K36:L36">
    <cfRule type="duplicateValues" dxfId="1" priority="2"/>
  </conditionalFormatting>
  <conditionalFormatting sqref="K39:L39">
    <cfRule type="duplicateValues" dxfId="0" priority="1"/>
  </conditionalFormatting>
  <dataValidations count="1">
    <dataValidation type="list" allowBlank="1" showInputMessage="1" showErrorMessage="1" sqref="R2">
      <formula1>$U$1:$U$2</formula1>
    </dataValidation>
  </dataValidations>
  <hyperlinks>
    <hyperlink ref="H1" location="' Summary by Program 2020-21'!H1" display="Summary Page"/>
  </hyperlinks>
  <pageMargins left="0.7" right="0.7" top="0.75" bottom="0.75" header="0.3" footer="0.3"/>
  <pageSetup scale="2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8CC646"/>
  </sheetPr>
  <dimension ref="A1:Q65"/>
  <sheetViews>
    <sheetView workbookViewId="0">
      <selection activeCell="A31" sqref="A31:M31"/>
    </sheetView>
  </sheetViews>
  <sheetFormatPr defaultColWidth="9.109375" defaultRowHeight="13.8"/>
  <cols>
    <col min="1" max="1" width="28.44140625" style="458" customWidth="1"/>
    <col min="2" max="3" width="12.88671875" style="458" customWidth="1"/>
    <col min="4" max="4" width="12.33203125" style="458" customWidth="1"/>
    <col min="5" max="5" width="9.109375" style="458"/>
    <col min="6" max="6" width="10" style="458" customWidth="1"/>
    <col min="7" max="7" width="9.44140625" style="458" customWidth="1"/>
    <col min="8" max="16384" width="9.109375" style="458"/>
  </cols>
  <sheetData>
    <row r="1" spans="1:13" ht="14.4">
      <c r="A1" s="879" t="str">
        <f>Selection!A2</f>
        <v>Puget Sound Energy</v>
      </c>
    </row>
    <row r="2" spans="1:13" ht="14.4" hidden="1">
      <c r="A2" s="2279" t="s">
        <v>2277</v>
      </c>
      <c r="B2" s="458" t="str">
        <f>' Summary by Program 2020-21'!AD8</f>
        <v>RTF</v>
      </c>
    </row>
    <row r="3" spans="1:13" ht="14.4" hidden="1" thickBot="1">
      <c r="A3" s="881" t="s">
        <v>298</v>
      </c>
      <c r="B3" s="882">
        <v>2020</v>
      </c>
      <c r="C3" s="882">
        <v>2019</v>
      </c>
      <c r="D3" s="882" t="s">
        <v>1651</v>
      </c>
    </row>
    <row r="4" spans="1:13" ht="14.4" hidden="1" thickTop="1">
      <c r="A4" s="883" t="str">
        <f>' Summary by Program'!K5</f>
        <v>Program Measures</v>
      </c>
      <c r="B4" s="880">
        <f ca="1">' Summary by Program 2020-21'!R37</f>
        <v>1.4523280841799511</v>
      </c>
      <c r="C4" s="880">
        <f ca="1">' Summary by Program 2020-21'!X37</f>
        <v>1.2446499226549628</v>
      </c>
      <c r="D4" s="880">
        <f ca="1">' Summary by Program 2020-21'!K37</f>
        <v>2.6969780068349141</v>
      </c>
      <c r="F4" s="877">
        <f ca="1">B4+C4</f>
        <v>2.6969780068349136</v>
      </c>
    </row>
    <row r="5" spans="1:13" hidden="1">
      <c r="A5" s="884" t="str">
        <f>' Summary by Program'!N5</f>
        <v>Codes &amp; Standards Measures</v>
      </c>
      <c r="B5" s="878">
        <f ca="1">' Summary by Program 2020-21'!T37</f>
        <v>1.2938925873493576</v>
      </c>
      <c r="C5" s="878">
        <f ca="1">' Summary by Program 2020-21'!Z37</f>
        <v>1.6605743206768695</v>
      </c>
      <c r="D5" s="878">
        <f ca="1">' Summary by Program 2020-21'!N37</f>
        <v>2.9544669080262271</v>
      </c>
      <c r="F5" s="877">
        <f ca="1">B5+C5</f>
        <v>2.9544669080262271</v>
      </c>
    </row>
    <row r="6" spans="1:13" hidden="1">
      <c r="A6" s="885" t="str">
        <f>' Summary by Program'!P5</f>
        <v xml:space="preserve">Trackable Measures </v>
      </c>
      <c r="B6" s="886">
        <f ca="1">' Summary by Program 2020-21'!V37</f>
        <v>0.37914573230248211</v>
      </c>
      <c r="C6" s="886">
        <f ca="1">' Summary by Program 2020-21'!AB37</f>
        <v>0.64395017543679745</v>
      </c>
      <c r="D6" s="886">
        <f ca="1">' Summary by Program 2020-21'!P37</f>
        <v>1.0230959077392796</v>
      </c>
      <c r="F6" s="877">
        <f ca="1">B6+C6</f>
        <v>1.0230959077392796</v>
      </c>
    </row>
    <row r="7" spans="1:13">
      <c r="B7" s="2684" t="s">
        <v>1245</v>
      </c>
      <c r="C7" s="2684"/>
      <c r="D7" s="2684"/>
      <c r="E7" s="2685" t="s">
        <v>2291</v>
      </c>
      <c r="F7" s="2685"/>
      <c r="G7" s="2685"/>
      <c r="H7" s="2686" t="s">
        <v>2293</v>
      </c>
      <c r="I7" s="2686"/>
      <c r="J7" s="2686"/>
      <c r="K7" s="2687" t="s">
        <v>2292</v>
      </c>
      <c r="L7" s="2687"/>
      <c r="M7" s="2687"/>
    </row>
    <row r="8" spans="1:13">
      <c r="A8" s="2352" t="s">
        <v>1137</v>
      </c>
      <c r="B8" s="2681" t="s">
        <v>2000</v>
      </c>
      <c r="C8" s="2682"/>
      <c r="D8" s="2683"/>
      <c r="E8" s="2681" t="s">
        <v>1998</v>
      </c>
      <c r="F8" s="2682"/>
      <c r="G8" s="2683"/>
      <c r="H8" s="2681" t="s">
        <v>1999</v>
      </c>
      <c r="I8" s="2682"/>
      <c r="J8" s="2683"/>
      <c r="K8" s="2681" t="s">
        <v>2275</v>
      </c>
      <c r="L8" s="2682"/>
      <c r="M8" s="2683"/>
    </row>
    <row r="9" spans="1:13" ht="28.2" thickBot="1">
      <c r="A9" s="881" t="s">
        <v>298</v>
      </c>
      <c r="B9" s="892">
        <v>2020</v>
      </c>
      <c r="C9" s="882">
        <v>2021</v>
      </c>
      <c r="D9" s="893" t="s">
        <v>2005</v>
      </c>
      <c r="E9" s="892">
        <v>2020</v>
      </c>
      <c r="F9" s="882">
        <v>2021</v>
      </c>
      <c r="G9" s="893" t="s">
        <v>2005</v>
      </c>
      <c r="H9" s="892">
        <v>2020</v>
      </c>
      <c r="I9" s="882">
        <v>2021</v>
      </c>
      <c r="J9" s="893" t="s">
        <v>2005</v>
      </c>
      <c r="K9" s="892">
        <v>2020</v>
      </c>
      <c r="L9" s="882">
        <v>2021</v>
      </c>
      <c r="M9" s="893" t="s">
        <v>2005</v>
      </c>
    </row>
    <row r="10" spans="1:13" ht="14.4" thickTop="1">
      <c r="A10" s="2382" t="s">
        <v>865</v>
      </c>
      <c r="B10" s="2385">
        <v>1.5745612292047584</v>
      </c>
      <c r="C10" s="2386">
        <v>1.35848427321719</v>
      </c>
      <c r="D10" s="2387">
        <v>2.9330455024219484</v>
      </c>
      <c r="E10" s="2385">
        <v>1.5496133581293632</v>
      </c>
      <c r="F10" s="2386">
        <v>1.3248317427767142</v>
      </c>
      <c r="G10" s="2387">
        <v>2.8744451009060779</v>
      </c>
      <c r="H10" s="2385">
        <v>1.4757589456993327</v>
      </c>
      <c r="I10" s="2386">
        <v>1.0989149279619994</v>
      </c>
      <c r="J10" s="2387">
        <v>2.5746738736613324</v>
      </c>
      <c r="K10" s="2385">
        <v>0.67188220980088664</v>
      </c>
      <c r="L10" s="2386">
        <v>0.63121484400632455</v>
      </c>
      <c r="M10" s="2387">
        <f>SUM(K10:L10)</f>
        <v>1.3030970538072113</v>
      </c>
    </row>
    <row r="11" spans="1:13">
      <c r="A11" s="2383" t="s">
        <v>864</v>
      </c>
      <c r="B11" s="2388">
        <v>1.3532387673734581</v>
      </c>
      <c r="C11" s="2389">
        <v>1.7733463352314303</v>
      </c>
      <c r="D11" s="2390">
        <v>3.1265851026048885</v>
      </c>
      <c r="E11" s="2388">
        <v>1.3532387673734581</v>
      </c>
      <c r="F11" s="2389">
        <v>1.7733463352314303</v>
      </c>
      <c r="G11" s="2390">
        <v>3.1265851026048885</v>
      </c>
      <c r="H11" s="2388">
        <v>1.3554501254355797</v>
      </c>
      <c r="I11" s="2389">
        <v>1.7733463352314303</v>
      </c>
      <c r="J11" s="2390">
        <v>3.1287964606670098</v>
      </c>
      <c r="K11" s="2388">
        <v>2.6838645015657576</v>
      </c>
      <c r="L11" s="2389">
        <v>2.8313989158132338</v>
      </c>
      <c r="M11" s="2390">
        <f>SUM(K11:L11)</f>
        <v>5.515263417378991</v>
      </c>
    </row>
    <row r="12" spans="1:13">
      <c r="A12" s="2384" t="s">
        <v>863</v>
      </c>
      <c r="B12" s="2391">
        <v>2.8879032135753895</v>
      </c>
      <c r="C12" s="2392">
        <v>4.9558971487929302</v>
      </c>
      <c r="D12" s="2393">
        <v>7.8438003623683201</v>
      </c>
      <c r="E12" s="2391">
        <v>3.2070145343298671</v>
      </c>
      <c r="F12" s="2392">
        <v>5.7029739910569504</v>
      </c>
      <c r="G12" s="2393">
        <v>8.909988525386817</v>
      </c>
      <c r="H12" s="2391">
        <v>3.4148320357981485</v>
      </c>
      <c r="I12" s="2392">
        <v>3.0664674948516586</v>
      </c>
      <c r="J12" s="2393">
        <v>6.4812995306498067</v>
      </c>
      <c r="K12" s="2391">
        <v>0</v>
      </c>
      <c r="L12" s="2392">
        <v>0</v>
      </c>
      <c r="M12" s="2393">
        <v>0</v>
      </c>
    </row>
    <row r="13" spans="1:13">
      <c r="A13" s="2352" t="s">
        <v>2286</v>
      </c>
      <c r="B13" s="2681" t="s">
        <v>2000</v>
      </c>
      <c r="C13" s="2682"/>
      <c r="D13" s="2683"/>
      <c r="E13" s="2681" t="s">
        <v>1998</v>
      </c>
      <c r="F13" s="2682"/>
      <c r="G13" s="2683"/>
      <c r="H13" s="2681" t="s">
        <v>1999</v>
      </c>
      <c r="I13" s="2682"/>
      <c r="J13" s="2683"/>
      <c r="K13" s="2681" t="s">
        <v>2275</v>
      </c>
      <c r="L13" s="2682"/>
      <c r="M13" s="2683"/>
    </row>
    <row r="14" spans="1:13" ht="28.2" thickBot="1">
      <c r="A14" s="881" t="s">
        <v>298</v>
      </c>
      <c r="B14" s="892">
        <v>2020</v>
      </c>
      <c r="C14" s="882">
        <v>2021</v>
      </c>
      <c r="D14" s="893" t="s">
        <v>2005</v>
      </c>
      <c r="E14" s="892">
        <v>2020</v>
      </c>
      <c r="F14" s="882">
        <v>2021</v>
      </c>
      <c r="G14" s="893" t="s">
        <v>2005</v>
      </c>
      <c r="H14" s="892">
        <v>2020</v>
      </c>
      <c r="I14" s="882">
        <v>2021</v>
      </c>
      <c r="J14" s="893" t="s">
        <v>2005</v>
      </c>
      <c r="K14" s="892">
        <v>2020</v>
      </c>
      <c r="L14" s="882">
        <v>2021</v>
      </c>
      <c r="M14" s="893" t="s">
        <v>2005</v>
      </c>
    </row>
    <row r="15" spans="1:13" ht="14.4" thickTop="1">
      <c r="A15" s="901" t="s">
        <v>1651</v>
      </c>
      <c r="B15" s="2378">
        <f>SUM(B16:B17)</f>
        <v>0.54304878653443167</v>
      </c>
      <c r="C15" s="2378">
        <f t="shared" ref="C15:J15" si="0">SUM(C16:C17)</f>
        <v>0.57045490193457737</v>
      </c>
      <c r="D15" s="2515">
        <f t="shared" si="0"/>
        <v>1.113503688469009</v>
      </c>
      <c r="E15" s="2378">
        <f t="shared" si="0"/>
        <v>0.53875649103389223</v>
      </c>
      <c r="F15" s="2378">
        <f t="shared" si="0"/>
        <v>0.56463096384504741</v>
      </c>
      <c r="G15" s="2379">
        <f t="shared" si="0"/>
        <v>1.1033874548789395</v>
      </c>
      <c r="H15" s="2378">
        <f t="shared" si="0"/>
        <v>0.52737956563934918</v>
      </c>
      <c r="I15" s="2378">
        <f t="shared" si="0"/>
        <v>0.51855001387966859</v>
      </c>
      <c r="J15" s="2379">
        <f t="shared" si="0"/>
        <v>1.0459295795190178</v>
      </c>
      <c r="K15" s="2516">
        <f>SUM(K16:K18)</f>
        <v>0.64320163041034073</v>
      </c>
      <c r="L15" s="2516">
        <f t="shared" ref="L15:M15" si="1">SUM(L16:L18)</f>
        <v>0.65058832780813858</v>
      </c>
      <c r="M15" s="2517">
        <f t="shared" si="1"/>
        <v>1.2937899582184791</v>
      </c>
    </row>
    <row r="16" spans="1:13">
      <c r="A16" s="2355" t="s">
        <v>865</v>
      </c>
      <c r="B16" s="2353">
        <v>0.30003759943567687</v>
      </c>
      <c r="C16" s="2354">
        <v>0.25200186286132764</v>
      </c>
      <c r="D16" s="2356">
        <v>0.55203946229700451</v>
      </c>
      <c r="E16" s="2357">
        <v>0.29574530393513737</v>
      </c>
      <c r="F16" s="2358">
        <v>0.24617792477179765</v>
      </c>
      <c r="G16" s="2356">
        <v>0.54192322870693499</v>
      </c>
      <c r="H16" s="2357">
        <v>0.28397126846605847</v>
      </c>
      <c r="I16" s="2358">
        <v>0.20009697480641875</v>
      </c>
      <c r="J16" s="2356">
        <v>0.48406824327247722</v>
      </c>
      <c r="K16" s="2388">
        <v>0.123626588898559</v>
      </c>
      <c r="L16" s="2389">
        <v>0.1150604807583672</v>
      </c>
      <c r="M16" s="2390">
        <f>SUM(K16:L16)</f>
        <v>0.23868706965692621</v>
      </c>
    </row>
    <row r="17" spans="1:17">
      <c r="A17" s="2355" t="s">
        <v>864</v>
      </c>
      <c r="B17" s="2353">
        <v>0.24301118709875483</v>
      </c>
      <c r="C17" s="2354">
        <v>0.31845303907324973</v>
      </c>
      <c r="D17" s="2356">
        <v>0.56146422617200464</v>
      </c>
      <c r="E17" s="2357">
        <v>0.24301118709875483</v>
      </c>
      <c r="F17" s="2358">
        <v>0.31845303907324973</v>
      </c>
      <c r="G17" s="2356">
        <v>0.56146422617200464</v>
      </c>
      <c r="H17" s="2357">
        <v>0.24340829717329071</v>
      </c>
      <c r="I17" s="2358">
        <v>0.31845303907324979</v>
      </c>
      <c r="J17" s="2356">
        <v>0.56186133624654055</v>
      </c>
      <c r="K17" s="2391">
        <v>0.51957504151178169</v>
      </c>
      <c r="L17" s="2392">
        <v>0.53552784704977141</v>
      </c>
      <c r="M17" s="2390">
        <f>SUM(K17:L17)</f>
        <v>1.055102888561553</v>
      </c>
    </row>
    <row r="18" spans="1:17">
      <c r="A18" s="2359" t="s">
        <v>863</v>
      </c>
      <c r="B18" s="898">
        <v>0.52131390171775593</v>
      </c>
      <c r="C18" s="899">
        <v>0.89073967087038708</v>
      </c>
      <c r="D18" s="900">
        <v>1.4120535725881429</v>
      </c>
      <c r="E18" s="898">
        <v>0.57861910368422909</v>
      </c>
      <c r="F18" s="899">
        <v>1.0248978362065315</v>
      </c>
      <c r="G18" s="900">
        <v>1.6035169398907607</v>
      </c>
      <c r="H18" s="898">
        <v>0.61593844373670747</v>
      </c>
      <c r="I18" s="899">
        <v>0.55144068371901189</v>
      </c>
      <c r="J18" s="900">
        <v>1.1673791274557193</v>
      </c>
      <c r="K18" s="2391">
        <v>0</v>
      </c>
      <c r="L18" s="2392">
        <v>0</v>
      </c>
      <c r="M18" s="2393">
        <v>0</v>
      </c>
    </row>
    <row r="19" spans="1:17">
      <c r="A19" s="2352" t="s">
        <v>2287</v>
      </c>
      <c r="B19" s="2681" t="s">
        <v>2000</v>
      </c>
      <c r="C19" s="2682"/>
      <c r="D19" s="2683"/>
      <c r="E19" s="2681" t="s">
        <v>1998</v>
      </c>
      <c r="F19" s="2682"/>
      <c r="G19" s="2683"/>
      <c r="H19" s="2681" t="s">
        <v>1999</v>
      </c>
      <c r="I19" s="2682"/>
      <c r="J19" s="2683"/>
      <c r="K19" s="2681" t="s">
        <v>2275</v>
      </c>
      <c r="L19" s="2682"/>
      <c r="M19" s="2683"/>
    </row>
    <row r="20" spans="1:17" ht="28.2" thickBot="1">
      <c r="A20" s="881" t="s">
        <v>298</v>
      </c>
      <c r="B20" s="892">
        <v>2020</v>
      </c>
      <c r="C20" s="882">
        <v>2021</v>
      </c>
      <c r="D20" s="893" t="s">
        <v>2005</v>
      </c>
      <c r="E20" s="892">
        <v>2020</v>
      </c>
      <c r="F20" s="882">
        <v>2021</v>
      </c>
      <c r="G20" s="893" t="s">
        <v>2005</v>
      </c>
      <c r="H20" s="892">
        <v>2020</v>
      </c>
      <c r="I20" s="882">
        <v>2021</v>
      </c>
      <c r="J20" s="893" t="s">
        <v>2005</v>
      </c>
      <c r="K20" s="892">
        <v>2020</v>
      </c>
      <c r="L20" s="882">
        <v>2021</v>
      </c>
      <c r="M20" s="893" t="s">
        <v>2005</v>
      </c>
      <c r="O20" s="804" t="s">
        <v>2277</v>
      </c>
      <c r="P20" s="804"/>
      <c r="Q20" s="804"/>
    </row>
    <row r="21" spans="1:17" ht="15" thickTop="1">
      <c r="A21" s="2377" t="s">
        <v>1651</v>
      </c>
      <c r="B21" s="2378">
        <f>B22+B23</f>
        <v>0.82977835594399785</v>
      </c>
      <c r="C21" s="2378">
        <f t="shared" ref="C21:J21" si="2">C22+C23</f>
        <v>0.88847015516794381</v>
      </c>
      <c r="D21" s="2379">
        <f t="shared" si="2"/>
        <v>1.7182485111119417</v>
      </c>
      <c r="E21" s="2378">
        <f t="shared" si="2"/>
        <v>0.82257683082762723</v>
      </c>
      <c r="F21" s="2378">
        <f t="shared" si="2"/>
        <v>0.8787750773616968</v>
      </c>
      <c r="G21" s="2379">
        <f t="shared" si="2"/>
        <v>1.701351908189324</v>
      </c>
      <c r="H21" s="2378">
        <f>H22+H23</f>
        <v>0.8008547934173551</v>
      </c>
      <c r="I21" s="2378">
        <f t="shared" si="2"/>
        <v>0.81572659664496983</v>
      </c>
      <c r="J21" s="2379">
        <f t="shared" si="2"/>
        <v>1.6165813900623249</v>
      </c>
      <c r="K21" s="2341">
        <f>SUM(K22:K24)</f>
        <v>1.1514228924984311</v>
      </c>
      <c r="L21" s="2341">
        <f t="shared" ref="L21" si="3">SUM(L22:L24)</f>
        <v>1.2345039705308767</v>
      </c>
      <c r="M21" s="2387">
        <f>SUM(K21:L21)</f>
        <v>2.385926863029308</v>
      </c>
      <c r="O21" s="804"/>
      <c r="P21" s="804"/>
      <c r="Q21" s="804"/>
    </row>
    <row r="22" spans="1:17">
      <c r="A22" s="2374" t="s">
        <v>865</v>
      </c>
      <c r="B22" s="2375">
        <v>0.44486769528051923</v>
      </c>
      <c r="C22" s="2375">
        <v>0.3840655179848631</v>
      </c>
      <c r="D22" s="2376">
        <v>0.82893321326538238</v>
      </c>
      <c r="E22" s="2375">
        <v>0.4376661701641486</v>
      </c>
      <c r="F22" s="2375">
        <v>0.37437044017861609</v>
      </c>
      <c r="G22" s="2376">
        <v>0.81203661034276475</v>
      </c>
      <c r="H22" s="2375">
        <v>0.41594413275387643</v>
      </c>
      <c r="I22" s="2375">
        <v>0.31132195946188918</v>
      </c>
      <c r="J22" s="2376">
        <v>0.72726609221576566</v>
      </c>
      <c r="K22" s="2375">
        <v>0.19001614980063236</v>
      </c>
      <c r="L22" s="2375">
        <v>0.17878461233427895</v>
      </c>
      <c r="M22" s="2376">
        <f>SUM(K22:L22)</f>
        <v>0.36880076213491131</v>
      </c>
      <c r="O22" s="2363">
        <f ca="1">SUM(' Summary by Program 2020-21'!R7:R36)</f>
        <v>1.4523280841799511</v>
      </c>
      <c r="P22" s="2363">
        <f ca="1">SUM(' Summary by Program 2020-21'!X7:X36)</f>
        <v>1.2446499226549628</v>
      </c>
      <c r="Q22" s="2364">
        <f ca="1">SUM(O22:P22)</f>
        <v>2.6969780068349136</v>
      </c>
    </row>
    <row r="23" spans="1:17">
      <c r="A23" s="2371" t="s">
        <v>864</v>
      </c>
      <c r="B23" s="2357">
        <v>0.38491066066347862</v>
      </c>
      <c r="C23" s="2358">
        <v>0.50440463718308071</v>
      </c>
      <c r="D23" s="2356">
        <v>0.88931529784655927</v>
      </c>
      <c r="E23" s="2357">
        <v>0.38491066066347862</v>
      </c>
      <c r="F23" s="2358">
        <v>0.50440463718308071</v>
      </c>
      <c r="G23" s="2356">
        <v>0.88931529784655927</v>
      </c>
      <c r="H23" s="2357">
        <v>0.38491066066347862</v>
      </c>
      <c r="I23" s="2358">
        <v>0.50440463718308071</v>
      </c>
      <c r="J23" s="2356">
        <v>0.88931529784655927</v>
      </c>
      <c r="K23" s="2357">
        <v>0.76099307308706565</v>
      </c>
      <c r="L23" s="2358">
        <v>0.8036088449443598</v>
      </c>
      <c r="M23" s="2356">
        <f t="shared" ref="M23:M25" si="4">SUM(K23:L23)</f>
        <v>1.5646019180314255</v>
      </c>
      <c r="O23" s="2365">
        <f ca="1">SUM(O24:O25)</f>
        <v>1.2554188201060847</v>
      </c>
      <c r="P23" s="2366">
        <f ca="1">SUM(P24:P25)</f>
        <v>1.650433075622161</v>
      </c>
      <c r="Q23" s="2367">
        <f ca="1">SUM(O23:P23)</f>
        <v>2.9058518957282455</v>
      </c>
    </row>
    <row r="24" spans="1:17">
      <c r="A24" s="2372" t="s">
        <v>2288</v>
      </c>
      <c r="B24" s="2361">
        <v>6.0061439184337886E-2</v>
      </c>
      <c r="C24" s="2362">
        <v>0.10713264841296803</v>
      </c>
      <c r="D24" s="2360">
        <v>0.16719408759730592</v>
      </c>
      <c r="E24" s="2361">
        <v>6.0061439184337886E-2</v>
      </c>
      <c r="F24" s="2362">
        <v>0.10713264841296803</v>
      </c>
      <c r="G24" s="2360">
        <v>0.16719408759730592</v>
      </c>
      <c r="H24" s="2361">
        <v>6.0061439184337886E-2</v>
      </c>
      <c r="I24" s="2362">
        <v>0.10713264841296803</v>
      </c>
      <c r="J24" s="2360">
        <v>0.16719408759730592</v>
      </c>
      <c r="K24" s="2361">
        <v>0.20041366961073309</v>
      </c>
      <c r="L24" s="2362">
        <v>0.25211051325223788</v>
      </c>
      <c r="M24" s="2360">
        <f t="shared" si="4"/>
        <v>0.45252418286297097</v>
      </c>
      <c r="O24" s="2365">
        <f ca="1">SUMIFS(' Summary by Program 2020-21'!T7:T36,' Summary by Program 2020-21'!AE7:AE36,1)</f>
        <v>0.1633031097351598</v>
      </c>
      <c r="P24" s="2366">
        <f ca="1">SUMIFS(' Summary by Program 2020-21'!Z7:Z36,' Summary by Program 2020-21'!AE7:AE36,1)</f>
        <v>0.33601625342465752</v>
      </c>
      <c r="Q24" s="2367">
        <f ca="1">SUM(O24:P24)</f>
        <v>0.49931936315981729</v>
      </c>
    </row>
    <row r="25" spans="1:17" ht="27.6">
      <c r="A25" s="2373" t="s">
        <v>2289</v>
      </c>
      <c r="B25" s="2361">
        <v>0.32484922147914075</v>
      </c>
      <c r="C25" s="2362">
        <v>0.39727198877011272</v>
      </c>
      <c r="D25" s="2360">
        <v>0.72212121024925346</v>
      </c>
      <c r="E25" s="2361">
        <v>0.32484922147914075</v>
      </c>
      <c r="F25" s="2362">
        <v>0.39727198877011272</v>
      </c>
      <c r="G25" s="2360">
        <v>0.72212121024925346</v>
      </c>
      <c r="H25" s="2361">
        <v>0.32484922147914075</v>
      </c>
      <c r="I25" s="2362">
        <v>0.39727198877011272</v>
      </c>
      <c r="J25" s="2360">
        <v>0.72212121024925346</v>
      </c>
      <c r="K25" s="2361">
        <f>K23-K24</f>
        <v>0.56057940347633251</v>
      </c>
      <c r="L25" s="2362">
        <f>L23-L24</f>
        <v>0.55149833169212192</v>
      </c>
      <c r="M25" s="2360">
        <f t="shared" si="4"/>
        <v>1.1120777351684543</v>
      </c>
      <c r="O25" s="2365">
        <f ca="1">SUMIFS(' Summary by Program 2020-21'!T7:T36,' Summary by Program 2020-21'!AE7:AE36,0)</f>
        <v>1.0921157103709249</v>
      </c>
      <c r="P25" s="2366">
        <f ca="1">SUMIFS(' Summary by Program 2020-21'!Z7:Z36,' Summary by Program 2020-21'!AE7:AE36,0)</f>
        <v>1.3144168221975034</v>
      </c>
      <c r="Q25" s="2367">
        <f ca="1">SUM(O25:P25)</f>
        <v>2.4065325325684284</v>
      </c>
    </row>
    <row r="26" spans="1:17">
      <c r="A26" s="2359" t="s">
        <v>863</v>
      </c>
      <c r="B26" s="898">
        <v>0.8212560271992263</v>
      </c>
      <c r="C26" s="899">
        <v>1.4095903890541204</v>
      </c>
      <c r="D26" s="900">
        <v>2.2308464162533466</v>
      </c>
      <c r="E26" s="898">
        <v>0.91202297258847531</v>
      </c>
      <c r="F26" s="899">
        <v>1.6220864007375273</v>
      </c>
      <c r="G26" s="900">
        <v>2.5341093733260025</v>
      </c>
      <c r="H26" s="898">
        <v>0.97113388022441316</v>
      </c>
      <c r="I26" s="899">
        <v>0.87216740509152635</v>
      </c>
      <c r="J26" s="900">
        <v>1.8433012853159396</v>
      </c>
      <c r="K26" s="898">
        <v>0</v>
      </c>
      <c r="L26" s="899">
        <v>0</v>
      </c>
      <c r="M26" s="900">
        <v>0</v>
      </c>
      <c r="O26" s="2368">
        <f ca="1">SUM(' Summary by Program 2020-21'!V7:V36)</f>
        <v>0.37914573230248211</v>
      </c>
      <c r="P26" s="2369">
        <f ca="1">SUM(' Summary by Program 2020-21'!AB7:AB36)</f>
        <v>0.64395017543679745</v>
      </c>
      <c r="Q26" s="2370">
        <f ca="1">SUM(O26:P26)</f>
        <v>1.0230959077392796</v>
      </c>
    </row>
    <row r="27" spans="1:17" ht="14.4">
      <c r="A27" s="2396" t="s">
        <v>2356</v>
      </c>
      <c r="B27" s="2394"/>
      <c r="C27" s="2394"/>
      <c r="D27" s="2394"/>
      <c r="E27" s="2394"/>
      <c r="F27" s="2394"/>
      <c r="G27" s="2394"/>
      <c r="H27" s="804"/>
      <c r="L27" s="804"/>
      <c r="M27" s="804"/>
      <c r="O27" s="2395"/>
      <c r="P27" s="2395"/>
      <c r="Q27" s="2395"/>
    </row>
    <row r="28" spans="1:17" ht="27.6" customHeight="1">
      <c r="A28" s="2678" t="s">
        <v>2276</v>
      </c>
      <c r="B28" s="2678"/>
      <c r="C28" s="2678"/>
      <c r="D28" s="2678"/>
      <c r="E28" s="2678"/>
      <c r="F28" s="2678"/>
      <c r="G28" s="2678"/>
      <c r="H28" s="2678"/>
      <c r="I28" s="2678"/>
      <c r="J28" s="2678"/>
      <c r="K28" s="2678"/>
      <c r="L28" s="2678"/>
      <c r="M28" s="2678"/>
    </row>
    <row r="29" spans="1:17">
      <c r="A29" s="2381" t="s">
        <v>2294</v>
      </c>
      <c r="B29" s="627"/>
      <c r="C29" s="627"/>
      <c r="D29" s="627"/>
      <c r="E29" s="627"/>
      <c r="F29" s="627"/>
      <c r="G29" s="627"/>
      <c r="H29" s="627"/>
      <c r="I29" s="627"/>
      <c r="J29" s="627"/>
      <c r="K29" s="627"/>
      <c r="L29" s="627"/>
      <c r="M29" s="627"/>
      <c r="N29" s="627"/>
      <c r="O29" s="627"/>
      <c r="P29" s="627"/>
    </row>
    <row r="30" spans="1:17" ht="51.75" customHeight="1">
      <c r="A30" s="2676" t="s">
        <v>2299</v>
      </c>
      <c r="B30" s="2677"/>
      <c r="C30" s="2677"/>
      <c r="D30" s="2677"/>
      <c r="E30" s="2677"/>
      <c r="F30" s="2677"/>
      <c r="G30" s="2677"/>
      <c r="H30" s="2677"/>
      <c r="I30" s="2677"/>
      <c r="J30" s="2677"/>
      <c r="K30" s="2677"/>
      <c r="L30" s="2677"/>
      <c r="M30" s="2677"/>
      <c r="N30"/>
      <c r="O30"/>
      <c r="P30"/>
    </row>
    <row r="31" spans="1:17" ht="51.75" customHeight="1">
      <c r="A31" s="2676" t="s">
        <v>2300</v>
      </c>
      <c r="B31" s="2677"/>
      <c r="C31" s="2677"/>
      <c r="D31" s="2677"/>
      <c r="E31" s="2677"/>
      <c r="F31" s="2677"/>
      <c r="G31" s="2677"/>
      <c r="H31" s="2677"/>
      <c r="I31" s="2677"/>
      <c r="J31" s="2677"/>
      <c r="K31" s="2677"/>
      <c r="L31" s="2677"/>
      <c r="M31" s="2677"/>
      <c r="N31"/>
      <c r="O31"/>
      <c r="P31"/>
    </row>
    <row r="32" spans="1:17" ht="41.25" customHeight="1">
      <c r="A32" s="2676" t="s">
        <v>2301</v>
      </c>
      <c r="B32" s="2677"/>
      <c r="C32" s="2677"/>
      <c r="D32" s="2677"/>
      <c r="E32" s="2677"/>
      <c r="F32" s="2677"/>
      <c r="G32" s="2677"/>
      <c r="H32" s="2677"/>
      <c r="I32" s="2677"/>
      <c r="J32" s="2677"/>
      <c r="K32" s="2677"/>
      <c r="L32" s="2677"/>
      <c r="M32" s="2677"/>
      <c r="N32"/>
      <c r="O32"/>
      <c r="P32"/>
    </row>
    <row r="33" spans="1:13">
      <c r="A33" s="2381" t="s">
        <v>2295</v>
      </c>
      <c r="B33" s="2380"/>
      <c r="C33" s="2380"/>
      <c r="D33" s="2380"/>
      <c r="E33" s="2380"/>
      <c r="F33" s="2380"/>
      <c r="G33" s="2380"/>
      <c r="H33" s="2380"/>
      <c r="I33" s="2380"/>
      <c r="J33" s="2380"/>
      <c r="K33" s="2380"/>
      <c r="L33" s="2380"/>
      <c r="M33" s="2380"/>
    </row>
    <row r="34" spans="1:13" ht="42" customHeight="1">
      <c r="A34" s="2676" t="s">
        <v>2278</v>
      </c>
      <c r="B34" s="2677"/>
      <c r="C34" s="2677"/>
      <c r="D34" s="2677"/>
      <c r="E34" s="2677"/>
      <c r="F34" s="2677"/>
      <c r="G34" s="2677"/>
      <c r="H34" s="2677"/>
      <c r="I34" s="2677"/>
      <c r="J34" s="2677"/>
      <c r="K34" s="2677"/>
      <c r="L34" s="2677"/>
      <c r="M34" s="2677"/>
    </row>
    <row r="35" spans="1:13" ht="52.5" customHeight="1">
      <c r="A35" s="2676" t="s">
        <v>2279</v>
      </c>
      <c r="B35" s="2677"/>
      <c r="C35" s="2677"/>
      <c r="D35" s="2677"/>
      <c r="E35" s="2677"/>
      <c r="F35" s="2677"/>
      <c r="G35" s="2677"/>
      <c r="H35" s="2677"/>
      <c r="I35" s="2677"/>
      <c r="J35" s="2677"/>
      <c r="K35" s="2677"/>
      <c r="L35" s="2677"/>
      <c r="M35" s="2677"/>
    </row>
    <row r="36" spans="1:13" ht="54.9" customHeight="1">
      <c r="A36" s="2676" t="s">
        <v>2280</v>
      </c>
      <c r="B36" s="2677"/>
      <c r="C36" s="2677"/>
      <c r="D36" s="2677"/>
      <c r="E36" s="2677"/>
      <c r="F36" s="2677"/>
      <c r="G36" s="2677"/>
      <c r="H36" s="2677"/>
      <c r="I36" s="2677"/>
      <c r="J36" s="2677"/>
      <c r="K36" s="2677"/>
      <c r="L36" s="2677"/>
      <c r="M36" s="2677"/>
    </row>
    <row r="37" spans="1:13" ht="66" customHeight="1">
      <c r="A37" s="2676" t="s">
        <v>2281</v>
      </c>
      <c r="B37" s="2677"/>
      <c r="C37" s="2677"/>
      <c r="D37" s="2677"/>
      <c r="E37" s="2677"/>
      <c r="F37" s="2677"/>
      <c r="G37" s="2677"/>
      <c r="H37" s="2677"/>
      <c r="I37" s="2677"/>
      <c r="J37" s="2677"/>
      <c r="K37" s="2677"/>
      <c r="L37" s="2677"/>
      <c r="M37" s="2677"/>
    </row>
    <row r="38" spans="1:13" hidden="1"/>
    <row r="39" spans="1:13" hidden="1">
      <c r="A39" s="458" t="s">
        <v>2265</v>
      </c>
      <c r="B39" s="2681" t="s">
        <v>2000</v>
      </c>
      <c r="C39" s="2682"/>
      <c r="D39" s="2683"/>
      <c r="E39" s="2681" t="s">
        <v>1998</v>
      </c>
      <c r="F39" s="2682"/>
      <c r="G39" s="2683"/>
      <c r="H39" s="2681" t="s">
        <v>1999</v>
      </c>
      <c r="I39" s="2682"/>
      <c r="J39" s="2683"/>
      <c r="K39" s="2681" t="s">
        <v>1997</v>
      </c>
      <c r="L39" s="2682"/>
      <c r="M39" s="2683"/>
    </row>
    <row r="40" spans="1:13" ht="28.2" hidden="1" thickBot="1">
      <c r="A40" s="881"/>
      <c r="B40" s="892">
        <v>2020</v>
      </c>
      <c r="C40" s="882">
        <v>2021</v>
      </c>
      <c r="D40" s="893" t="s">
        <v>2005</v>
      </c>
      <c r="E40" s="892">
        <v>2020</v>
      </c>
      <c r="F40" s="882">
        <v>2021</v>
      </c>
      <c r="G40" s="893" t="s">
        <v>2005</v>
      </c>
      <c r="H40" s="892">
        <v>2020</v>
      </c>
      <c r="I40" s="882">
        <v>2021</v>
      </c>
      <c r="J40" s="893" t="s">
        <v>2005</v>
      </c>
      <c r="K40" s="892">
        <v>2020</v>
      </c>
      <c r="L40" s="882">
        <v>2021</v>
      </c>
      <c r="M40" s="893" t="s">
        <v>2005</v>
      </c>
    </row>
    <row r="41" spans="1:13" hidden="1">
      <c r="A41" s="901" t="s">
        <v>865</v>
      </c>
      <c r="B41" s="894">
        <v>11.414018328986648</v>
      </c>
      <c r="C41" s="880">
        <v>11.398745717852929</v>
      </c>
      <c r="D41" s="895">
        <v>22.812764046839572</v>
      </c>
      <c r="E41" s="894">
        <v>11.270026931010436</v>
      </c>
      <c r="F41" s="880">
        <v>11.246944090544226</v>
      </c>
      <c r="G41" s="895">
        <v>22.516971021554657</v>
      </c>
      <c r="H41" s="894">
        <v>11.370579053548811</v>
      </c>
      <c r="I41" s="880">
        <v>8.0336143092530801</v>
      </c>
      <c r="J41" s="895">
        <f>SUM(H41:I41)</f>
        <v>19.404193362801891</v>
      </c>
      <c r="K41" s="894">
        <v>4.7315643451177829</v>
      </c>
      <c r="L41" s="880">
        <v>4.3679293351618291</v>
      </c>
      <c r="M41" s="895">
        <f>SUM(K41:L41)</f>
        <v>9.0994936802796111</v>
      </c>
    </row>
    <row r="42" spans="1:13" hidden="1">
      <c r="A42" s="902" t="s">
        <v>864</v>
      </c>
      <c r="B42" s="896">
        <v>9.1656233835666896</v>
      </c>
      <c r="C42" s="878">
        <v>9.3704491065817219</v>
      </c>
      <c r="D42" s="897">
        <v>18.536072490148413</v>
      </c>
      <c r="E42" s="896">
        <v>9.1656233835666896</v>
      </c>
      <c r="F42" s="878">
        <v>9.3704491065817219</v>
      </c>
      <c r="G42" s="897">
        <v>18.536072490148413</v>
      </c>
      <c r="H42" s="896">
        <v>9.5454234185604214</v>
      </c>
      <c r="I42" s="878">
        <v>12.488354473460777</v>
      </c>
      <c r="J42" s="897">
        <f>SUM(H42:I42)</f>
        <v>22.033777892021199</v>
      </c>
      <c r="K42" s="896">
        <v>19.092466227081957</v>
      </c>
      <c r="L42" s="878">
        <v>20.040706432929436</v>
      </c>
      <c r="M42" s="897">
        <f>SUM(K42:L42)</f>
        <v>39.133172660011397</v>
      </c>
    </row>
    <row r="43" spans="1:13" hidden="1">
      <c r="A43" s="903" t="s">
        <v>863</v>
      </c>
      <c r="B43" s="898">
        <v>21.283371174039523</v>
      </c>
      <c r="C43" s="899">
        <v>36.193051836966085</v>
      </c>
      <c r="D43" s="900">
        <v>57.476423011005608</v>
      </c>
      <c r="E43" s="898">
        <v>23.530633996254153</v>
      </c>
      <c r="F43" s="899">
        <v>41.454156359952144</v>
      </c>
      <c r="G43" s="900">
        <v>64.98479035620629</v>
      </c>
      <c r="H43" s="898">
        <v>23.552620553308614</v>
      </c>
      <c r="I43" s="899">
        <v>21.453730457906921</v>
      </c>
      <c r="J43" s="900">
        <v>0</v>
      </c>
      <c r="K43" s="898">
        <v>0</v>
      </c>
      <c r="L43" s="899">
        <v>0</v>
      </c>
      <c r="M43" s="900">
        <v>0</v>
      </c>
    </row>
    <row r="44" spans="1:13" hidden="1">
      <c r="A44" s="462" t="s">
        <v>1651</v>
      </c>
      <c r="B44" s="932"/>
      <c r="C44" s="932"/>
      <c r="D44" s="2253">
        <f t="shared" ref="D44:M44" si="5">SUM(D41:D42)</f>
        <v>41.348836536987989</v>
      </c>
      <c r="E44" s="932"/>
      <c r="F44" s="932"/>
      <c r="G44" s="2253">
        <f t="shared" si="5"/>
        <v>41.053043511703066</v>
      </c>
      <c r="H44" s="932"/>
      <c r="I44" s="932"/>
      <c r="J44" s="2253">
        <f t="shared" si="5"/>
        <v>41.43797125482309</v>
      </c>
      <c r="K44" s="932"/>
      <c r="L44" s="932"/>
      <c r="M44" s="2253">
        <f t="shared" si="5"/>
        <v>48.232666340291004</v>
      </c>
    </row>
    <row r="45" spans="1:13" hidden="1">
      <c r="B45" s="2252">
        <f t="shared" ref="B45:M45" si="6">B10/B41</f>
        <v>0.13794977227310534</v>
      </c>
      <c r="C45" s="2252">
        <f t="shared" si="6"/>
        <v>0.11917839969791645</v>
      </c>
      <c r="D45" s="2252">
        <f t="shared" si="6"/>
        <v>0.12857036948261805</v>
      </c>
      <c r="E45" s="2252">
        <f t="shared" si="6"/>
        <v>0.13749863843408133</v>
      </c>
      <c r="F45" s="2252">
        <f t="shared" si="6"/>
        <v>0.11779481894024489</v>
      </c>
      <c r="G45" s="2252">
        <f t="shared" si="6"/>
        <v>0.12765682818326135</v>
      </c>
      <c r="H45" s="2252">
        <f t="shared" si="6"/>
        <v>0.12978749268171541</v>
      </c>
      <c r="I45" s="2252">
        <f t="shared" si="6"/>
        <v>0.13678960498467971</v>
      </c>
      <c r="J45" s="2252">
        <f t="shared" si="6"/>
        <v>0.13268646758576516</v>
      </c>
      <c r="K45" s="2252">
        <f t="shared" si="6"/>
        <v>0.14200001538479795</v>
      </c>
      <c r="L45" s="2252">
        <f t="shared" si="6"/>
        <v>0.14451123073925334</v>
      </c>
      <c r="M45" s="2252">
        <f t="shared" si="6"/>
        <v>0.1432054463240387</v>
      </c>
    </row>
    <row r="46" spans="1:13" hidden="1">
      <c r="B46" s="2252">
        <f t="shared" ref="B46:M46" si="7">B11/B42</f>
        <v>0.14764285098160576</v>
      </c>
      <c r="C46" s="2252">
        <f t="shared" si="7"/>
        <v>0.18924880921511514</v>
      </c>
      <c r="D46" s="2252">
        <f t="shared" si="7"/>
        <v>0.16867570539911364</v>
      </c>
      <c r="E46" s="2252">
        <f t="shared" si="7"/>
        <v>0.14764285098160576</v>
      </c>
      <c r="F46" s="2252">
        <f t="shared" si="7"/>
        <v>0.18924880921511514</v>
      </c>
      <c r="G46" s="2252">
        <f t="shared" si="7"/>
        <v>0.16867570539911364</v>
      </c>
      <c r="H46" s="2252">
        <f t="shared" si="7"/>
        <v>0.14199999999999999</v>
      </c>
      <c r="I46" s="2252">
        <f t="shared" si="7"/>
        <v>0.14199999999999999</v>
      </c>
      <c r="J46" s="2252">
        <f t="shared" si="7"/>
        <v>0.14199999999999999</v>
      </c>
      <c r="K46" s="2252">
        <f t="shared" si="7"/>
        <v>0.14057191300717323</v>
      </c>
      <c r="L46" s="2252">
        <f t="shared" si="7"/>
        <v>0.14128239068264004</v>
      </c>
      <c r="M46" s="2252">
        <f t="shared" si="7"/>
        <v>0.14093575967620983</v>
      </c>
    </row>
    <row r="47" spans="1:13" hidden="1">
      <c r="B47" s="2252">
        <f t="shared" ref="B47:I47" si="8">B12/B43</f>
        <v>0.13568824177148783</v>
      </c>
      <c r="C47" s="2252">
        <f t="shared" si="8"/>
        <v>0.13692951816047694</v>
      </c>
      <c r="D47" s="2252">
        <f t="shared" si="8"/>
        <v>0.13646987671564714</v>
      </c>
      <c r="E47" s="2252">
        <f t="shared" si="8"/>
        <v>0.13629103809274296</v>
      </c>
      <c r="F47" s="2252">
        <f t="shared" si="8"/>
        <v>0.13757303228021919</v>
      </c>
      <c r="G47" s="2252">
        <f t="shared" si="8"/>
        <v>0.13710882925908954</v>
      </c>
      <c r="H47" s="2252">
        <f t="shared" si="8"/>
        <v>0.14498734983944031</v>
      </c>
      <c r="I47" s="2252">
        <f t="shared" si="8"/>
        <v>0.14293399932791132</v>
      </c>
      <c r="J47" s="2252"/>
      <c r="K47" s="2252"/>
      <c r="L47" s="2252"/>
      <c r="M47" s="2252"/>
    </row>
    <row r="48" spans="1:13" hidden="1"/>
    <row r="49" spans="1:7" hidden="1"/>
    <row r="50" spans="1:7" hidden="1"/>
    <row r="51" spans="1:7" hidden="1"/>
    <row r="52" spans="1:7" ht="12.75" hidden="1" customHeight="1"/>
    <row r="53" spans="1:7" hidden="1">
      <c r="A53" s="458" t="s">
        <v>895</v>
      </c>
      <c r="B53" s="458" t="s">
        <v>2000</v>
      </c>
    </row>
    <row r="54" spans="1:7" ht="15" hidden="1" customHeight="1">
      <c r="A54" s="2346"/>
      <c r="B54" s="2679">
        <v>2018</v>
      </c>
      <c r="C54" s="2680"/>
      <c r="D54" s="2679">
        <v>2019</v>
      </c>
      <c r="E54" s="2680"/>
      <c r="F54" s="2679" t="s">
        <v>895</v>
      </c>
      <c r="G54" s="2680"/>
    </row>
    <row r="55" spans="1:7" ht="14.4" hidden="1">
      <c r="A55" s="315"/>
      <c r="B55" s="2350" t="s">
        <v>1245</v>
      </c>
      <c r="C55" s="2351" t="s">
        <v>1244</v>
      </c>
      <c r="D55" s="2350" t="s">
        <v>1245</v>
      </c>
      <c r="E55" s="2351" t="s">
        <v>1244</v>
      </c>
      <c r="F55" s="2350" t="s">
        <v>1245</v>
      </c>
      <c r="G55" s="2351" t="s">
        <v>1244</v>
      </c>
    </row>
    <row r="56" spans="1:7" ht="28.8" hidden="1">
      <c r="A56" s="2347" t="s">
        <v>865</v>
      </c>
      <c r="B56" s="2347">
        <v>1.2443177352139783</v>
      </c>
      <c r="C56" s="2347">
        <v>1.3958273399999999</v>
      </c>
      <c r="D56" s="2347">
        <v>1.4214142429577614</v>
      </c>
      <c r="E56" s="2347">
        <v>1.4653416099999999</v>
      </c>
      <c r="F56" s="2349" t="s">
        <v>2285</v>
      </c>
      <c r="G56" s="2348">
        <v>2.8611689499999997</v>
      </c>
    </row>
    <row r="57" spans="1:7" ht="14.4" hidden="1">
      <c r="A57" s="309" t="s">
        <v>864</v>
      </c>
      <c r="B57" s="309">
        <v>0.58612468603675261</v>
      </c>
      <c r="C57" s="309">
        <v>0.54277407</v>
      </c>
      <c r="D57" s="309">
        <v>0.70896329007321246</v>
      </c>
      <c r="E57" s="309">
        <v>0.60806019</v>
      </c>
      <c r="F57" s="310">
        <v>1.295087976109965</v>
      </c>
      <c r="G57" s="311">
        <v>1.1508342599999999</v>
      </c>
    </row>
    <row r="58" spans="1:7" ht="14.4" hidden="1">
      <c r="A58" s="164" t="s">
        <v>863</v>
      </c>
      <c r="B58" s="164">
        <v>2.3413588803540089</v>
      </c>
      <c r="C58" s="164">
        <v>2.5436623199999997</v>
      </c>
      <c r="D58" s="164">
        <v>2.3394662570319582</v>
      </c>
      <c r="E58" s="164">
        <v>2.11640972</v>
      </c>
      <c r="F58" s="307">
        <v>4.6808251373859671</v>
      </c>
      <c r="G58" s="308">
        <v>4.6600720399999993</v>
      </c>
    </row>
    <row r="59" spans="1:7" hidden="1"/>
    <row r="60" spans="1:7" hidden="1"/>
    <row r="61" spans="1:7" hidden="1"/>
    <row r="62" spans="1:7" hidden="1"/>
    <row r="63" spans="1:7">
      <c r="A63" s="2381" t="s">
        <v>2296</v>
      </c>
    </row>
    <row r="64" spans="1:7">
      <c r="A64" s="2381" t="s">
        <v>2297</v>
      </c>
    </row>
    <row r="65" spans="1:1">
      <c r="A65" s="2278" t="s">
        <v>2298</v>
      </c>
    </row>
  </sheetData>
  <mergeCells count="31">
    <mergeCell ref="B7:D7"/>
    <mergeCell ref="E7:G7"/>
    <mergeCell ref="H7:J7"/>
    <mergeCell ref="K7:M7"/>
    <mergeCell ref="A30:M30"/>
    <mergeCell ref="K8:M8"/>
    <mergeCell ref="H13:J13"/>
    <mergeCell ref="K13:M13"/>
    <mergeCell ref="K19:M19"/>
    <mergeCell ref="H19:J19"/>
    <mergeCell ref="B54:C54"/>
    <mergeCell ref="D54:E54"/>
    <mergeCell ref="F54:G54"/>
    <mergeCell ref="H8:J8"/>
    <mergeCell ref="B8:D8"/>
    <mergeCell ref="B13:D13"/>
    <mergeCell ref="E13:G13"/>
    <mergeCell ref="E8:G8"/>
    <mergeCell ref="B39:D39"/>
    <mergeCell ref="E39:G39"/>
    <mergeCell ref="H39:J39"/>
    <mergeCell ref="B19:D19"/>
    <mergeCell ref="E19:G19"/>
    <mergeCell ref="A32:M32"/>
    <mergeCell ref="A31:M31"/>
    <mergeCell ref="K39:M39"/>
    <mergeCell ref="A34:M34"/>
    <mergeCell ref="A28:M28"/>
    <mergeCell ref="A35:M35"/>
    <mergeCell ref="A36:M36"/>
    <mergeCell ref="A37:M37"/>
  </mergeCells>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83CA"/>
  </sheetPr>
  <dimension ref="B1:O10"/>
  <sheetViews>
    <sheetView showGridLines="0" workbookViewId="0"/>
  </sheetViews>
  <sheetFormatPr defaultColWidth="9.109375" defaultRowHeight="13.8"/>
  <cols>
    <col min="1" max="1" width="1.6640625" style="458" customWidth="1"/>
    <col min="2" max="2" width="31" style="458" customWidth="1"/>
    <col min="3" max="16384" width="9.109375" style="458"/>
  </cols>
  <sheetData>
    <row r="1" spans="2:15" ht="14.4">
      <c r="B1" s="239" t="s">
        <v>1067</v>
      </c>
    </row>
    <row r="2" spans="2:15" ht="74.25" customHeight="1">
      <c r="B2" s="887" t="s">
        <v>1847</v>
      </c>
      <c r="C2" s="3172" t="s">
        <v>2035</v>
      </c>
      <c r="D2" s="3172"/>
      <c r="E2" s="3172"/>
      <c r="F2" s="3172"/>
      <c r="G2" s="3172"/>
      <c r="H2" s="3172"/>
      <c r="I2" s="3172"/>
      <c r="J2" s="3172"/>
      <c r="K2" s="3172"/>
      <c r="L2" s="3172"/>
      <c r="M2" s="3172"/>
      <c r="N2" s="3172"/>
    </row>
    <row r="3" spans="2:15">
      <c r="O3" s="920"/>
    </row>
    <row r="5" spans="2:15">
      <c r="B5" s="458" t="s">
        <v>2003</v>
      </c>
    </row>
    <row r="7" spans="2:15">
      <c r="B7" s="891" t="s">
        <v>2001</v>
      </c>
    </row>
    <row r="8" spans="2:15">
      <c r="B8" s="889" t="s">
        <v>1939</v>
      </c>
    </row>
    <row r="9" spans="2:15">
      <c r="B9" s="890" t="s">
        <v>1942</v>
      </c>
      <c r="N9" s="888"/>
    </row>
    <row r="10" spans="2:15">
      <c r="B10" s="889" t="s">
        <v>2034</v>
      </c>
    </row>
  </sheetData>
  <mergeCells count="1">
    <mergeCell ref="C2:N2"/>
  </mergeCells>
  <hyperlinks>
    <hyperlink ref="B9" r:id="rId1"/>
    <hyperlink ref="B1" location="' Summary by Program 2020-21'!H1" display="Summary Page"/>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83CA"/>
  </sheetPr>
  <dimension ref="B1:N16"/>
  <sheetViews>
    <sheetView showGridLines="0" workbookViewId="0">
      <selection activeCell="B1" sqref="B1"/>
    </sheetView>
  </sheetViews>
  <sheetFormatPr defaultColWidth="9.109375" defaultRowHeight="13.8"/>
  <cols>
    <col min="1" max="1" width="5.44140625" style="458" customWidth="1"/>
    <col min="2" max="2" width="26.5546875" style="458" customWidth="1"/>
    <col min="3" max="16384" width="9.109375" style="458"/>
  </cols>
  <sheetData>
    <row r="1" spans="2:14" ht="14.4">
      <c r="B1" s="239" t="s">
        <v>1067</v>
      </c>
    </row>
    <row r="2" spans="2:14" ht="76.5" customHeight="1">
      <c r="B2" s="887" t="s">
        <v>1846</v>
      </c>
      <c r="C2" s="3172" t="s">
        <v>2032</v>
      </c>
      <c r="D2" s="3172"/>
      <c r="E2" s="3172"/>
      <c r="F2" s="3172"/>
      <c r="G2" s="3172"/>
      <c r="H2" s="3172"/>
      <c r="I2" s="3172"/>
      <c r="J2" s="3172"/>
      <c r="K2" s="3172"/>
      <c r="L2" s="3172"/>
      <c r="M2" s="3172"/>
      <c r="N2" s="3172"/>
    </row>
    <row r="6" spans="2:14">
      <c r="B6" s="458" t="s">
        <v>2002</v>
      </c>
    </row>
    <row r="8" spans="2:14">
      <c r="B8" s="891" t="s">
        <v>2001</v>
      </c>
    </row>
    <row r="9" spans="2:14">
      <c r="B9" s="3174" t="s">
        <v>1940</v>
      </c>
      <c r="C9" s="3174"/>
      <c r="D9" s="3174"/>
      <c r="E9" s="3174"/>
      <c r="F9" s="3174"/>
      <c r="G9" s="3174"/>
      <c r="H9" s="3174"/>
      <c r="I9" s="3174"/>
      <c r="J9" s="3174"/>
    </row>
    <row r="10" spans="2:14">
      <c r="B10" s="890" t="s">
        <v>1941</v>
      </c>
      <c r="C10" s="889"/>
      <c r="D10" s="889"/>
      <c r="E10" s="889"/>
      <c r="F10" s="889"/>
      <c r="G10" s="889"/>
      <c r="H10" s="889"/>
      <c r="I10" s="889"/>
      <c r="J10" s="889"/>
      <c r="L10" s="888"/>
    </row>
    <row r="11" spans="2:14">
      <c r="B11" s="3173" t="s">
        <v>2033</v>
      </c>
      <c r="C11" s="3173"/>
      <c r="D11" s="3173"/>
      <c r="E11" s="3173"/>
      <c r="F11" s="3173"/>
      <c r="G11" s="3173"/>
      <c r="H11" s="3173"/>
      <c r="I11" s="3173"/>
      <c r="J11" s="3173"/>
    </row>
    <row r="12" spans="2:14">
      <c r="B12" s="3173"/>
      <c r="C12" s="3173"/>
      <c r="D12" s="3173"/>
      <c r="E12" s="3173"/>
      <c r="F12" s="3173"/>
      <c r="G12" s="3173"/>
      <c r="H12" s="3173"/>
      <c r="I12" s="3173"/>
      <c r="J12" s="3173"/>
    </row>
    <row r="13" spans="2:14">
      <c r="B13" s="3173"/>
      <c r="C13" s="3173"/>
      <c r="D13" s="3173"/>
      <c r="E13" s="3173"/>
      <c r="F13" s="3173"/>
      <c r="G13" s="3173"/>
      <c r="H13" s="3173"/>
      <c r="I13" s="3173"/>
      <c r="J13" s="3173"/>
    </row>
    <row r="14" spans="2:14">
      <c r="B14" s="3173"/>
      <c r="C14" s="3173"/>
      <c r="D14" s="3173"/>
      <c r="E14" s="3173"/>
      <c r="F14" s="3173"/>
      <c r="G14" s="3173"/>
      <c r="H14" s="3173"/>
      <c r="I14" s="3173"/>
      <c r="J14" s="3173"/>
    </row>
    <row r="15" spans="2:14">
      <c r="B15" s="3173"/>
      <c r="C15" s="3173"/>
      <c r="D15" s="3173"/>
      <c r="E15" s="3173"/>
      <c r="F15" s="3173"/>
      <c r="G15" s="3173"/>
      <c r="H15" s="3173"/>
      <c r="I15" s="3173"/>
      <c r="J15" s="3173"/>
    </row>
    <row r="16" spans="2:14">
      <c r="B16" s="3173"/>
      <c r="C16" s="3173"/>
      <c r="D16" s="3173"/>
      <c r="E16" s="3173"/>
      <c r="F16" s="3173"/>
      <c r="G16" s="3173"/>
      <c r="H16" s="3173"/>
      <c r="I16" s="3173"/>
      <c r="J16" s="3173"/>
    </row>
  </sheetData>
  <mergeCells count="3">
    <mergeCell ref="C2:N2"/>
    <mergeCell ref="B11:J16"/>
    <mergeCell ref="B9:J9"/>
  </mergeCells>
  <hyperlinks>
    <hyperlink ref="B10" r:id="rId1"/>
    <hyperlink ref="B1" location="' Summary by Program 2020-21'!H1" display="Summary Page"/>
  </hyperlinks>
  <pageMargins left="0.7" right="0.7" top="0.75" bottom="0.75" header="0.3" footer="0.3"/>
  <pageSetup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83CA"/>
  </sheetPr>
  <dimension ref="B1:N13"/>
  <sheetViews>
    <sheetView showGridLines="0" workbookViewId="0">
      <selection activeCell="B1" sqref="B1"/>
    </sheetView>
  </sheetViews>
  <sheetFormatPr defaultColWidth="9.109375" defaultRowHeight="13.8"/>
  <cols>
    <col min="1" max="1" width="3" style="458" customWidth="1"/>
    <col min="2" max="2" width="26.5546875" style="458" customWidth="1"/>
    <col min="3" max="16384" width="9.109375" style="458"/>
  </cols>
  <sheetData>
    <row r="1" spans="2:14" ht="14.4">
      <c r="B1" s="239" t="s">
        <v>1067</v>
      </c>
    </row>
    <row r="2" spans="2:14" ht="76.5" customHeight="1">
      <c r="B2" s="887" t="s">
        <v>1396</v>
      </c>
      <c r="C2" s="3172" t="str">
        <f>INDEX(Programs!C:C,MATCH(B2,Programs!B:B,0))</f>
        <v>The Manufactured Homes Initiative will develop a new voluntary above code specification (NEEM 2.0) and increase adoption with manufactured home factories and retailers as the current volutnary specification (NEEM 1.0) is adopted into the Federal HUD code.</v>
      </c>
      <c r="D2" s="3172"/>
      <c r="E2" s="3172"/>
      <c r="F2" s="3172"/>
      <c r="G2" s="3172"/>
      <c r="H2" s="3172"/>
      <c r="I2" s="3172"/>
      <c r="J2" s="3172"/>
      <c r="K2" s="3172"/>
      <c r="L2" s="3172"/>
      <c r="M2" s="3172"/>
      <c r="N2" s="3172"/>
    </row>
    <row r="6" spans="2:14">
      <c r="B6" s="924" t="s">
        <v>2039</v>
      </c>
      <c r="D6" s="458" t="s">
        <v>2038</v>
      </c>
    </row>
    <row r="7" spans="2:14">
      <c r="B7" s="924"/>
    </row>
    <row r="8" spans="2:14">
      <c r="B8" s="458" t="s">
        <v>2040</v>
      </c>
    </row>
    <row r="10" spans="2:14">
      <c r="B10" s="891" t="s">
        <v>2001</v>
      </c>
    </row>
    <row r="11" spans="2:14">
      <c r="B11" s="923" t="s">
        <v>2037</v>
      </c>
      <c r="C11" s="923"/>
      <c r="D11" s="923"/>
      <c r="E11" s="923"/>
      <c r="F11" s="923"/>
      <c r="G11" s="923"/>
      <c r="H11" s="923"/>
      <c r="I11" s="923"/>
      <c r="J11" s="923"/>
    </row>
    <row r="12" spans="2:14">
      <c r="B12" s="890" t="s">
        <v>2036</v>
      </c>
      <c r="C12" s="919"/>
      <c r="D12" s="919"/>
      <c r="E12" s="919"/>
      <c r="F12" s="919"/>
      <c r="G12" s="919"/>
      <c r="H12" s="919"/>
      <c r="I12" s="919"/>
      <c r="J12" s="919"/>
      <c r="L12" s="888"/>
    </row>
    <row r="13" spans="2:14">
      <c r="B13" s="890"/>
      <c r="C13" s="919"/>
      <c r="D13" s="919"/>
      <c r="E13" s="919"/>
      <c r="F13" s="919"/>
      <c r="G13" s="919"/>
      <c r="H13" s="919"/>
      <c r="I13" s="919"/>
      <c r="J13" s="919"/>
      <c r="L13" s="888"/>
    </row>
  </sheetData>
  <mergeCells count="1">
    <mergeCell ref="C2:N2"/>
  </mergeCells>
  <hyperlinks>
    <hyperlink ref="B12" r:id="rId1"/>
    <hyperlink ref="B1" location="' Summary by Program 2020-21'!H1" display="Summary Page"/>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C646"/>
  </sheetPr>
  <dimension ref="A1:Q36"/>
  <sheetViews>
    <sheetView showGridLines="0" tabSelected="1" workbookViewId="0">
      <selection activeCell="A2" sqref="A2:D6"/>
    </sheetView>
  </sheetViews>
  <sheetFormatPr defaultColWidth="9.109375" defaultRowHeight="13.8"/>
  <cols>
    <col min="1" max="1" width="28.44140625" style="458" customWidth="1"/>
    <col min="2" max="3" width="12.88671875" style="458" customWidth="1"/>
    <col min="4" max="4" width="12.33203125" style="458" customWidth="1"/>
    <col min="5" max="5" width="9.109375" style="458"/>
    <col min="6" max="6" width="10" style="458" customWidth="1"/>
    <col min="7" max="7" width="9.44140625" style="458" customWidth="1"/>
    <col min="8" max="14" width="9.109375" style="458"/>
    <col min="15" max="17" width="0" style="458" hidden="1" customWidth="1"/>
    <col min="18" max="16384" width="9.109375" style="458"/>
  </cols>
  <sheetData>
    <row r="1" spans="1:17" ht="14.4">
      <c r="A1" s="879" t="str">
        <f>Selection!A2</f>
        <v>Puget Sound Energy</v>
      </c>
    </row>
    <row r="2" spans="1:17">
      <c r="A2" s="2278" t="s">
        <v>2483</v>
      </c>
    </row>
    <row r="3" spans="1:17" ht="15" thickBot="1">
      <c r="A3" s="881" t="s">
        <v>298</v>
      </c>
      <c r="B3" s="882">
        <v>2020</v>
      </c>
      <c r="C3" s="882">
        <v>2021</v>
      </c>
      <c r="D3" s="882" t="s">
        <v>1651</v>
      </c>
      <c r="O3" s="804" t="s">
        <v>2277</v>
      </c>
      <c r="P3" s="804"/>
      <c r="Q3" s="804"/>
    </row>
    <row r="4" spans="1:17" ht="15" thickTop="1">
      <c r="A4" s="2613" t="str">
        <f>' Summary by Program'!K5</f>
        <v>Program Measures</v>
      </c>
      <c r="B4" s="2614">
        <f ca="1">' Summary by Program 2020-21'!R37</f>
        <v>1.4523280841799511</v>
      </c>
      <c r="C4" s="2614">
        <f ca="1">' Summary by Program 2020-21'!X37</f>
        <v>1.2446499226549628</v>
      </c>
      <c r="D4" s="2614">
        <f ca="1">' Summary by Program 2020-21'!K37</f>
        <v>2.6969780068349141</v>
      </c>
      <c r="F4" s="877">
        <f ca="1">B4+C4</f>
        <v>2.6969780068349136</v>
      </c>
      <c r="O4" s="804"/>
      <c r="P4" s="804"/>
      <c r="Q4" s="804"/>
    </row>
    <row r="5" spans="1:17">
      <c r="A5" s="2615" t="str">
        <f>' Summary by Program'!N5&amp;"*"</f>
        <v>Codes &amp; Standards Measures*</v>
      </c>
      <c r="B5" s="2616">
        <f ca="1">' Summary by Program 2020-21'!T37</f>
        <v>1.2938925873493576</v>
      </c>
      <c r="C5" s="2616">
        <f ca="1">' Summary by Program 2020-21'!Z37</f>
        <v>1.6605743206768695</v>
      </c>
      <c r="D5" s="2616">
        <f ca="1">' Summary by Program 2020-21'!N37</f>
        <v>2.9544669080262271</v>
      </c>
      <c r="F5" s="877">
        <f ca="1">B5+C5</f>
        <v>2.9544669080262271</v>
      </c>
      <c r="O5" s="2363">
        <f ca="1">SUM(' Summary by Program 2020-21'!R7:R36)</f>
        <v>1.4523280841799511</v>
      </c>
      <c r="P5" s="2363">
        <f ca="1">SUM(' Summary by Program 2020-21'!X7:X36)</f>
        <v>1.2446499226549628</v>
      </c>
      <c r="Q5" s="2364">
        <f ca="1">SUM(O5:P5)</f>
        <v>2.6969780068349136</v>
      </c>
    </row>
    <row r="6" spans="1:17">
      <c r="A6" s="2617" t="str">
        <f>' Summary by Program'!P5</f>
        <v xml:space="preserve">Trackable Measures </v>
      </c>
      <c r="B6" s="2618">
        <f ca="1">' Summary by Program 2020-21'!V37</f>
        <v>0.37914573230248211</v>
      </c>
      <c r="C6" s="2618">
        <f ca="1">' Summary by Program 2020-21'!AB37</f>
        <v>0.64395017543679745</v>
      </c>
      <c r="D6" s="2618">
        <f ca="1">' Summary by Program 2020-21'!P37</f>
        <v>1.0230959077392796</v>
      </c>
      <c r="F6" s="877">
        <f ca="1">B6+C6</f>
        <v>1.0230959077392796</v>
      </c>
      <c r="O6" s="2365">
        <f ca="1">SUM(O7:O8)</f>
        <v>1.2554188201060847</v>
      </c>
      <c r="P6" s="2366">
        <f ca="1">SUM(P7:P8)</f>
        <v>1.650433075622161</v>
      </c>
      <c r="Q6" s="2367">
        <f ca="1">SUM(O6:P6)</f>
        <v>2.9058518957282455</v>
      </c>
    </row>
    <row r="7" spans="1:17" ht="118.5" customHeight="1">
      <c r="A7" s="2691" t="s">
        <v>2507</v>
      </c>
      <c r="B7" s="2691"/>
      <c r="C7" s="2691"/>
      <c r="D7" s="2691"/>
      <c r="E7" s="2610"/>
      <c r="F7" s="2610"/>
      <c r="G7" s="2610"/>
      <c r="H7" s="2610"/>
      <c r="I7" s="2610"/>
      <c r="J7" s="2610"/>
      <c r="K7" s="2610"/>
      <c r="L7" s="2610"/>
      <c r="M7" s="2610"/>
      <c r="O7" s="2365">
        <f ca="1">SUMIFS(' Summary by Program 2020-21'!T7:T36,' Summary by Program 2020-21'!AE7:AE36,1)</f>
        <v>0.1633031097351598</v>
      </c>
      <c r="P7" s="2366">
        <f ca="1">SUMIFS(' Summary by Program 2020-21'!Z7:Z36,' Summary by Program 2020-21'!AE7:AE36,1)</f>
        <v>0.33601625342465752</v>
      </c>
      <c r="Q7" s="2367">
        <f ca="1">SUM(O7:P7)</f>
        <v>0.49931936315981729</v>
      </c>
    </row>
    <row r="8" spans="1:17">
      <c r="A8" s="2692" t="s">
        <v>2482</v>
      </c>
      <c r="B8" s="2692"/>
      <c r="C8" s="2692"/>
      <c r="D8" s="2692"/>
      <c r="E8" s="2611"/>
      <c r="F8" s="2611"/>
      <c r="G8" s="2611"/>
      <c r="H8" s="2611"/>
      <c r="I8" s="2611"/>
      <c r="J8" s="2611"/>
      <c r="K8" s="2611"/>
      <c r="L8" s="2611"/>
      <c r="M8" s="2611"/>
      <c r="O8" s="2365">
        <f ca="1">SUMIFS(' Summary by Program 2020-21'!T7:T36,' Summary by Program 2020-21'!AE7:AE36,0)</f>
        <v>1.0921157103709249</v>
      </c>
      <c r="P8" s="2366">
        <f ca="1">SUMIFS(' Summary by Program 2020-21'!Z7:Z36,' Summary by Program 2020-21'!AE7:AE36,0)</f>
        <v>1.3144168221975034</v>
      </c>
      <c r="Q8" s="2367">
        <f ca="1">SUM(O8:P8)</f>
        <v>2.4065325325684284</v>
      </c>
    </row>
    <row r="9" spans="1:17" ht="59.25" customHeight="1">
      <c r="A9" s="2688" t="s">
        <v>2484</v>
      </c>
      <c r="B9" s="2689"/>
      <c r="C9" s="2689"/>
      <c r="D9" s="2689"/>
      <c r="E9" s="727"/>
      <c r="F9" s="727"/>
      <c r="G9" s="727"/>
      <c r="H9" s="727"/>
      <c r="I9" s="727"/>
      <c r="J9" s="727"/>
      <c r="K9" s="727"/>
      <c r="L9" s="727"/>
      <c r="M9" s="727"/>
      <c r="O9" s="2368">
        <f ca="1">SUM(' Summary by Program 2020-21'!V7:V36)</f>
        <v>0.37914573230248211</v>
      </c>
      <c r="P9" s="2369">
        <f ca="1">SUM(' Summary by Program 2020-21'!AB7:AB36)</f>
        <v>0.64395017543679745</v>
      </c>
      <c r="Q9" s="2370">
        <f ca="1">SUM(O9:P9)</f>
        <v>1.0230959077392796</v>
      </c>
    </row>
    <row r="10" spans="1:17" ht="63.75" customHeight="1">
      <c r="A10" s="2693" t="s">
        <v>2485</v>
      </c>
      <c r="B10" s="2694"/>
      <c r="C10" s="2694"/>
      <c r="D10" s="2694"/>
      <c r="E10" s="2690"/>
      <c r="F10" s="2690"/>
      <c r="G10" s="2690"/>
      <c r="H10" s="2690"/>
      <c r="I10" s="2690"/>
      <c r="J10" s="2690"/>
      <c r="K10" s="2690"/>
      <c r="L10" s="2690"/>
      <c r="M10" s="2612"/>
    </row>
    <row r="11" spans="1:17" ht="78" customHeight="1">
      <c r="A11" s="2688" t="s">
        <v>2486</v>
      </c>
      <c r="B11" s="2689"/>
      <c r="C11" s="2689"/>
      <c r="D11" s="2689"/>
      <c r="E11" s="2690"/>
      <c r="F11" s="2690"/>
      <c r="G11" s="2690"/>
      <c r="H11" s="2690"/>
      <c r="I11" s="2690"/>
      <c r="J11" s="2690"/>
      <c r="K11" s="2690"/>
      <c r="L11" s="2690"/>
      <c r="M11" s="2612"/>
    </row>
    <row r="12" spans="1:17" ht="58.5" customHeight="1">
      <c r="A12" s="2688" t="s">
        <v>2487</v>
      </c>
      <c r="B12" s="2689"/>
      <c r="C12" s="2689"/>
      <c r="D12" s="2689"/>
      <c r="E12" s="2690"/>
      <c r="F12" s="2690"/>
      <c r="G12" s="2690"/>
      <c r="H12" s="2690"/>
      <c r="I12" s="2690"/>
      <c r="J12" s="2690"/>
      <c r="K12" s="2690"/>
      <c r="L12" s="2690"/>
      <c r="M12" s="2612"/>
    </row>
    <row r="13" spans="1:17" ht="14.4">
      <c r="A13"/>
      <c r="B13"/>
      <c r="C13"/>
      <c r="D13"/>
      <c r="E13"/>
      <c r="F13"/>
      <c r="G13"/>
      <c r="H13"/>
      <c r="I13"/>
      <c r="J13"/>
      <c r="K13"/>
      <c r="L13"/>
      <c r="M13"/>
    </row>
    <row r="14" spans="1:17" ht="14.4">
      <c r="A14"/>
      <c r="B14"/>
      <c r="C14"/>
      <c r="D14"/>
      <c r="E14"/>
      <c r="F14"/>
      <c r="G14"/>
      <c r="H14"/>
      <c r="I14"/>
      <c r="J14"/>
      <c r="K14"/>
      <c r="L14"/>
      <c r="M14"/>
    </row>
    <row r="15" spans="1:17" ht="14.4">
      <c r="A15"/>
      <c r="B15"/>
      <c r="C15"/>
      <c r="D15"/>
      <c r="E15"/>
      <c r="F15"/>
      <c r="G15"/>
      <c r="H15"/>
      <c r="I15"/>
      <c r="J15"/>
      <c r="K15"/>
      <c r="L15"/>
      <c r="M15"/>
    </row>
    <row r="16" spans="1:17" ht="14.4">
      <c r="A16"/>
      <c r="B16"/>
      <c r="C16"/>
      <c r="D16"/>
      <c r="E16"/>
      <c r="F16"/>
      <c r="G16"/>
      <c r="H16"/>
      <c r="I16"/>
      <c r="J16"/>
      <c r="K16"/>
      <c r="L16"/>
      <c r="M16"/>
    </row>
    <row r="17" spans="1:17" ht="14.4">
      <c r="A17"/>
      <c r="B17"/>
      <c r="C17"/>
      <c r="D17"/>
      <c r="E17"/>
      <c r="F17"/>
      <c r="G17"/>
      <c r="H17"/>
      <c r="I17"/>
      <c r="J17"/>
      <c r="K17"/>
      <c r="L17"/>
      <c r="M17"/>
    </row>
    <row r="18" spans="1:17" ht="14.4">
      <c r="A18"/>
      <c r="B18"/>
      <c r="C18"/>
      <c r="D18"/>
      <c r="E18"/>
      <c r="F18"/>
      <c r="G18"/>
      <c r="H18"/>
      <c r="I18"/>
      <c r="J18"/>
      <c r="K18"/>
      <c r="L18"/>
      <c r="M18"/>
    </row>
    <row r="19" spans="1:17" ht="14.4">
      <c r="A19"/>
      <c r="B19"/>
      <c r="C19"/>
      <c r="D19"/>
      <c r="E19"/>
      <c r="F19"/>
      <c r="G19"/>
      <c r="H19"/>
      <c r="I19"/>
      <c r="J19"/>
      <c r="K19"/>
      <c r="L19"/>
      <c r="M19"/>
    </row>
    <row r="20" spans="1:17" ht="14.4">
      <c r="A20"/>
      <c r="B20"/>
      <c r="C20"/>
      <c r="D20"/>
      <c r="E20"/>
      <c r="F20"/>
      <c r="G20"/>
      <c r="H20"/>
      <c r="I20"/>
      <c r="J20"/>
      <c r="K20"/>
      <c r="L20"/>
      <c r="M20"/>
    </row>
    <row r="21" spans="1:17" ht="14.4">
      <c r="A21"/>
      <c r="B21"/>
      <c r="C21"/>
      <c r="D21"/>
      <c r="E21"/>
      <c r="F21"/>
      <c r="G21"/>
      <c r="H21"/>
      <c r="I21"/>
      <c r="J21"/>
      <c r="K21"/>
      <c r="L21"/>
      <c r="M21"/>
    </row>
    <row r="22" spans="1:17" ht="14.4">
      <c r="A22"/>
      <c r="B22"/>
      <c r="C22"/>
      <c r="D22"/>
      <c r="E22"/>
      <c r="F22"/>
      <c r="G22"/>
      <c r="H22"/>
      <c r="I22"/>
      <c r="J22"/>
      <c r="K22"/>
      <c r="L22"/>
      <c r="M22"/>
    </row>
    <row r="23" spans="1:17" ht="14.4">
      <c r="A23"/>
      <c r="B23"/>
      <c r="C23"/>
      <c r="D23"/>
      <c r="E23"/>
      <c r="F23"/>
      <c r="G23"/>
      <c r="H23"/>
      <c r="I23"/>
      <c r="J23"/>
      <c r="K23"/>
      <c r="L23"/>
      <c r="M23"/>
    </row>
    <row r="24" spans="1:17" ht="14.4">
      <c r="A24"/>
      <c r="B24"/>
      <c r="C24"/>
      <c r="D24"/>
      <c r="E24"/>
      <c r="F24"/>
      <c r="G24"/>
      <c r="H24"/>
      <c r="I24"/>
      <c r="J24"/>
      <c r="K24"/>
      <c r="L24"/>
      <c r="M24"/>
    </row>
    <row r="25" spans="1:17" ht="14.4">
      <c r="A25"/>
      <c r="B25"/>
      <c r="C25"/>
      <c r="D25"/>
      <c r="E25"/>
      <c r="F25"/>
      <c r="G25"/>
      <c r="H25"/>
      <c r="I25"/>
      <c r="J25"/>
      <c r="K25"/>
      <c r="L25"/>
      <c r="M25"/>
    </row>
    <row r="26" spans="1:17" ht="14.4">
      <c r="A26"/>
      <c r="B26"/>
      <c r="C26"/>
      <c r="D26"/>
      <c r="E26"/>
      <c r="F26"/>
      <c r="G26"/>
      <c r="H26"/>
      <c r="I26"/>
      <c r="J26"/>
      <c r="K26"/>
      <c r="L26"/>
      <c r="M26"/>
      <c r="O26" s="2395"/>
      <c r="P26" s="2395"/>
      <c r="Q26" s="2395"/>
    </row>
    <row r="27" spans="1:17" ht="27.6" customHeight="1"/>
    <row r="28" spans="1:17">
      <c r="N28" s="627"/>
      <c r="O28" s="627"/>
      <c r="P28" s="627"/>
    </row>
    <row r="29" spans="1:17" ht="51.75" customHeight="1">
      <c r="N29" s="804"/>
      <c r="O29" s="804"/>
      <c r="P29" s="804"/>
    </row>
    <row r="30" spans="1:17" ht="51.75" customHeight="1">
      <c r="N30" s="804"/>
      <c r="O30" s="804"/>
      <c r="P30" s="804"/>
    </row>
    <row r="31" spans="1:17" ht="41.25" customHeight="1">
      <c r="N31" s="804"/>
      <c r="O31" s="804"/>
      <c r="P31" s="804"/>
    </row>
    <row r="33" ht="42" customHeight="1"/>
    <row r="34" ht="52.5" customHeight="1"/>
    <row r="35" ht="54.9" customHeight="1"/>
    <row r="36" ht="66" customHeight="1"/>
  </sheetData>
  <mergeCells count="12">
    <mergeCell ref="A12:D12"/>
    <mergeCell ref="E12:H12"/>
    <mergeCell ref="I12:L12"/>
    <mergeCell ref="A7:D7"/>
    <mergeCell ref="A9:D9"/>
    <mergeCell ref="A8:D8"/>
    <mergeCell ref="A10:D10"/>
    <mergeCell ref="E10:H10"/>
    <mergeCell ref="I10:L10"/>
    <mergeCell ref="A11:D11"/>
    <mergeCell ref="E11:H11"/>
    <mergeCell ref="I11:L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8CC646"/>
  </sheetPr>
  <dimension ref="A1:AH63"/>
  <sheetViews>
    <sheetView showGridLines="0" topLeftCell="H2" zoomScaleNormal="100" workbookViewId="0">
      <selection activeCell="H1" sqref="H1"/>
    </sheetView>
  </sheetViews>
  <sheetFormatPr defaultColWidth="9.109375" defaultRowHeight="13.8" outlineLevelCol="1"/>
  <cols>
    <col min="1" max="1" width="7.6640625" style="2298" hidden="1" customWidth="1" outlineLevel="1"/>
    <col min="2" max="2" width="12.88671875" style="458" hidden="1" customWidth="1" outlineLevel="1"/>
    <col min="3" max="3" width="16.5546875" style="458" hidden="1" customWidth="1" outlineLevel="1"/>
    <col min="4" max="4" width="13.44140625" style="458" hidden="1" customWidth="1" outlineLevel="1"/>
    <col min="5" max="5" width="12.33203125" style="458" hidden="1" customWidth="1" outlineLevel="1"/>
    <col min="6" max="6" width="9" style="458" hidden="1" customWidth="1" outlineLevel="1"/>
    <col min="7" max="7" width="10.88671875" style="458" hidden="1" customWidth="1" outlineLevel="1"/>
    <col min="8" max="8" width="7" style="458" customWidth="1" collapsed="1"/>
    <col min="9" max="9" width="43.33203125" style="458" customWidth="1"/>
    <col min="10" max="10" width="40.6640625" style="458" customWidth="1"/>
    <col min="11" max="11" width="14.33203125" style="458" customWidth="1"/>
    <col min="12" max="13" width="14.33203125" style="458" hidden="1" customWidth="1"/>
    <col min="14" max="14" width="14.33203125" style="458" customWidth="1"/>
    <col min="15" max="15" width="14.33203125" style="458" hidden="1" customWidth="1"/>
    <col min="16" max="16" width="14.33203125" style="458" customWidth="1"/>
    <col min="17" max="17" width="14.33203125" style="458" hidden="1" customWidth="1"/>
    <col min="18" max="18" width="14.33203125" style="458" customWidth="1"/>
    <col min="19" max="19" width="14.33203125" style="458" hidden="1" customWidth="1"/>
    <col min="20" max="20" width="14.33203125" style="458" customWidth="1"/>
    <col min="21" max="21" width="14.33203125" style="458" hidden="1" customWidth="1"/>
    <col min="22" max="22" width="14.33203125" style="458" customWidth="1"/>
    <col min="23" max="23" width="14.33203125" style="458" hidden="1" customWidth="1"/>
    <col min="24" max="24" width="14.33203125" style="458" customWidth="1"/>
    <col min="25" max="25" width="14.33203125" style="458" hidden="1" customWidth="1"/>
    <col min="26" max="26" width="14.33203125" style="458" customWidth="1"/>
    <col min="27" max="27" width="14.33203125" style="458" hidden="1" customWidth="1"/>
    <col min="28" max="28" width="14.33203125" style="458" customWidth="1"/>
    <col min="29" max="29" width="14.33203125" style="458" hidden="1" customWidth="1"/>
    <col min="30" max="30" width="32.5546875" style="458" customWidth="1"/>
    <col min="31" max="31" width="0" style="458" hidden="1" customWidth="1"/>
    <col min="32" max="33" width="0" style="2278" hidden="1" customWidth="1"/>
    <col min="34" max="34" width="0" style="2345" hidden="1" customWidth="1"/>
    <col min="35" max="35" width="0" style="458" hidden="1" customWidth="1"/>
    <col min="36" max="16384" width="9.109375" style="458"/>
  </cols>
  <sheetData>
    <row r="1" spans="1:34" s="2278" customFormat="1" ht="26.4" hidden="1" customHeight="1">
      <c r="A1" s="2298"/>
      <c r="I1" s="2278">
        <v>2020</v>
      </c>
      <c r="J1" s="2278">
        <v>2021</v>
      </c>
      <c r="K1" s="2278">
        <v>2021</v>
      </c>
      <c r="R1" s="2278">
        <v>1</v>
      </c>
      <c r="T1" s="2278">
        <v>3</v>
      </c>
      <c r="V1" s="2278">
        <v>2</v>
      </c>
      <c r="X1" s="2278">
        <v>1</v>
      </c>
      <c r="Z1" s="2278">
        <v>3</v>
      </c>
      <c r="AB1" s="2278">
        <v>2</v>
      </c>
      <c r="AH1" s="2345"/>
    </row>
    <row r="2" spans="1:34" s="2278" customFormat="1" ht="14.4">
      <c r="A2" s="2298"/>
      <c r="K2" s="2727" t="s">
        <v>1671</v>
      </c>
      <c r="L2" s="2728"/>
      <c r="M2" s="2728"/>
      <c r="N2" s="2728"/>
      <c r="O2" s="2728"/>
      <c r="P2" s="2728"/>
      <c r="Q2" s="2728"/>
      <c r="R2" s="2728"/>
      <c r="S2" s="2728"/>
      <c r="T2" s="2728"/>
      <c r="U2" s="2728"/>
      <c r="V2" s="2728"/>
      <c r="W2" s="2728"/>
      <c r="X2" s="2728"/>
      <c r="Y2" s="2728"/>
      <c r="Z2" s="2728"/>
      <c r="AA2" s="2728"/>
      <c r="AB2" s="2728"/>
      <c r="AC2" s="2729"/>
      <c r="AD2" s="2299"/>
      <c r="AH2" s="2345"/>
    </row>
    <row r="3" spans="1:34" ht="14.4">
      <c r="D3" s="458" t="s">
        <v>191</v>
      </c>
      <c r="H3" s="2730" t="str">
        <f>Selection!A2&amp;"'s 2020-2021 Savings Forecast"</f>
        <v>Puget Sound Energy's 2020-2021 Savings Forecast</v>
      </c>
      <c r="I3" s="2730"/>
      <c r="J3" s="2730"/>
      <c r="K3" s="2731" t="s">
        <v>2303</v>
      </c>
      <c r="L3" s="2732"/>
      <c r="M3" s="2732"/>
      <c r="N3" s="2732"/>
      <c r="O3" s="2732"/>
      <c r="P3" s="2732"/>
      <c r="Q3" s="2733"/>
      <c r="R3" s="2734">
        <v>2020</v>
      </c>
      <c r="S3" s="2735"/>
      <c r="T3" s="2735"/>
      <c r="U3" s="2735"/>
      <c r="V3" s="2735"/>
      <c r="W3" s="2736"/>
      <c r="X3" s="2734">
        <v>2021</v>
      </c>
      <c r="Y3" s="2735"/>
      <c r="Z3" s="2735"/>
      <c r="AA3" s="2735"/>
      <c r="AB3" s="2735"/>
      <c r="AC3" s="2736"/>
      <c r="AD3" s="1996"/>
    </row>
    <row r="4" spans="1:34">
      <c r="D4" s="2737">
        <v>2020</v>
      </c>
      <c r="E4" s="2737"/>
      <c r="F4" s="2737">
        <v>2021</v>
      </c>
      <c r="G4" s="2737"/>
      <c r="H4" s="2730"/>
      <c r="I4" s="2730"/>
      <c r="J4" s="2730"/>
      <c r="K4" s="2716" t="s">
        <v>862</v>
      </c>
      <c r="L4" s="2717"/>
      <c r="M4" s="2717"/>
      <c r="N4" s="2717"/>
      <c r="O4" s="2717"/>
      <c r="P4" s="2714" t="s">
        <v>237</v>
      </c>
      <c r="Q4" s="2715"/>
      <c r="R4" s="2716" t="s">
        <v>862</v>
      </c>
      <c r="S4" s="2717"/>
      <c r="T4" s="2717"/>
      <c r="U4" s="2717"/>
      <c r="V4" s="2714" t="s">
        <v>237</v>
      </c>
      <c r="W4" s="2715"/>
      <c r="X4" s="2716" t="s">
        <v>862</v>
      </c>
      <c r="Y4" s="2717"/>
      <c r="Z4" s="2717"/>
      <c r="AA4" s="2717"/>
      <c r="AB4" s="2714" t="s">
        <v>237</v>
      </c>
      <c r="AC4" s="2715"/>
      <c r="AD4" s="1996"/>
    </row>
    <row r="5" spans="1:34" ht="42.75" customHeight="1">
      <c r="A5" s="2298" t="s">
        <v>848</v>
      </c>
      <c r="B5" s="458" t="s">
        <v>849</v>
      </c>
      <c r="D5" s="458" t="s">
        <v>874</v>
      </c>
      <c r="E5" s="458" t="s">
        <v>875</v>
      </c>
      <c r="F5" s="458" t="s">
        <v>874</v>
      </c>
      <c r="G5" s="458" t="s">
        <v>876</v>
      </c>
      <c r="H5" s="2718" t="s">
        <v>3</v>
      </c>
      <c r="I5" s="2720" t="s">
        <v>847</v>
      </c>
      <c r="J5" s="2722" t="s">
        <v>850</v>
      </c>
      <c r="K5" s="2724" t="s">
        <v>865</v>
      </c>
      <c r="L5" s="2725"/>
      <c r="M5" s="2725"/>
      <c r="N5" s="2725" t="s">
        <v>864</v>
      </c>
      <c r="O5" s="2725"/>
      <c r="P5" s="2725" t="s">
        <v>863</v>
      </c>
      <c r="Q5" s="2726"/>
      <c r="R5" s="2724" t="s">
        <v>865</v>
      </c>
      <c r="S5" s="2725"/>
      <c r="T5" s="2725" t="s">
        <v>864</v>
      </c>
      <c r="U5" s="2725"/>
      <c r="V5" s="2725" t="s">
        <v>863</v>
      </c>
      <c r="W5" s="2726"/>
      <c r="X5" s="2724" t="s">
        <v>865</v>
      </c>
      <c r="Y5" s="2725"/>
      <c r="Z5" s="2725" t="s">
        <v>864</v>
      </c>
      <c r="AA5" s="2725"/>
      <c r="AB5" s="2725" t="s">
        <v>863</v>
      </c>
      <c r="AC5" s="2726"/>
      <c r="AD5" s="1996"/>
    </row>
    <row r="6" spans="1:34" ht="27.6">
      <c r="H6" s="2719"/>
      <c r="I6" s="2721"/>
      <c r="J6" s="2723"/>
      <c r="K6" s="2712" t="s">
        <v>1319</v>
      </c>
      <c r="L6" s="2713"/>
      <c r="M6" s="2300" t="s">
        <v>1247</v>
      </c>
      <c r="N6" s="2301" t="s">
        <v>1245</v>
      </c>
      <c r="O6" s="2300" t="s">
        <v>1247</v>
      </c>
      <c r="P6" s="2301" t="s">
        <v>1245</v>
      </c>
      <c r="Q6" s="2302" t="s">
        <v>1247</v>
      </c>
      <c r="R6" s="2303" t="s">
        <v>1245</v>
      </c>
      <c r="S6" s="2300" t="s">
        <v>1247</v>
      </c>
      <c r="T6" s="2301" t="s">
        <v>1245</v>
      </c>
      <c r="U6" s="2300" t="s">
        <v>1247</v>
      </c>
      <c r="V6" s="2301" t="s">
        <v>1245</v>
      </c>
      <c r="W6" s="2302" t="s">
        <v>1247</v>
      </c>
      <c r="X6" s="2303" t="s">
        <v>1245</v>
      </c>
      <c r="Y6" s="2300" t="s">
        <v>1247</v>
      </c>
      <c r="Z6" s="2301" t="s">
        <v>1245</v>
      </c>
      <c r="AA6" s="2300" t="s">
        <v>1247</v>
      </c>
      <c r="AB6" s="2301" t="s">
        <v>1245</v>
      </c>
      <c r="AC6" s="2302" t="s">
        <v>1247</v>
      </c>
      <c r="AD6" s="2599" t="s">
        <v>2462</v>
      </c>
      <c r="AF6" s="2278" t="s">
        <v>850</v>
      </c>
      <c r="AG6" s="2278" t="s">
        <v>865</v>
      </c>
    </row>
    <row r="7" spans="1:34" ht="15" customHeight="1">
      <c r="A7" s="2298" t="s">
        <v>333</v>
      </c>
      <c r="B7" s="2278" t="s">
        <v>318</v>
      </c>
      <c r="C7" s="2278" t="str">
        <f>INDEX(Programs!B:B,MATCH(' Summary by Program 2020-21'!B7,Programs!$E:$E,0))</f>
        <v>Ductless Heat Pumps</v>
      </c>
      <c r="D7" s="2304">
        <v>0.9</v>
      </c>
      <c r="E7" s="2304">
        <v>1.1599999999999999</v>
      </c>
      <c r="F7" s="2304">
        <v>0.9</v>
      </c>
      <c r="G7" s="2304">
        <v>1.1599999999999999</v>
      </c>
      <c r="H7" s="2702" t="s">
        <v>300</v>
      </c>
      <c r="I7" s="2604" t="str">
        <f>INDEX(Programs!B:B,MATCH(' Summary by Program 2020-21'!B7,Programs!$E:$E,0))</f>
        <v>Ductless Heat Pumps</v>
      </c>
      <c r="J7" s="2305" t="s">
        <v>151</v>
      </c>
      <c r="K7" s="2306">
        <f ca="1">R7+X7</f>
        <v>0.77023921012307517</v>
      </c>
      <c r="L7" s="2280" t="str">
        <f ca="1">TEXT(R7*D7+X7*F7,"0.##")&amp;"-"&amp;TEXT(R7*E7+G7*X7,"0.#0")</f>
        <v>0.69-0.89</v>
      </c>
      <c r="M7" s="2307">
        <f>S7+Y7</f>
        <v>0</v>
      </c>
      <c r="N7" s="2307">
        <f t="shared" ref="N7:O36" ca="1" si="0">T7+Z7</f>
        <v>0</v>
      </c>
      <c r="O7" s="2280">
        <f>U7+AA7</f>
        <v>0</v>
      </c>
      <c r="P7" s="2307">
        <f t="shared" ref="P7:P36" ca="1" si="1">V7+AB7</f>
        <v>0</v>
      </c>
      <c r="Q7" s="2281" t="str">
        <f t="shared" ref="Q7:Q36" ca="1" si="2">IF(V7=0,"","("&amp;TEXT($D7*V7+$F7*AB7,"#.##")&amp;"-"&amp;TEXT($E7*V7+$G7*AB7,"#.##")&amp;")")</f>
        <v/>
      </c>
      <c r="R7" s="2491">
        <f ca="1">SUMIFS(INDIRECT($A7&amp;"!$v:$v"),INDIRECT($A7&amp;"!$f:$f"),R$1,INDIRECT($A7&amp;"!$i:$i"),$C7,INDIRECT($A7&amp;"!$l:$l"),$I$1)</f>
        <v>0.36709373955342722</v>
      </c>
      <c r="S7" s="2492">
        <v>0</v>
      </c>
      <c r="T7" s="2493">
        <f t="shared" ref="T7:T36" ca="1" si="3">SUMIFS(INDIRECT($A7&amp;"!$v:$v"),INDIRECT($A7&amp;"!$f:$f"),T$1,INDIRECT($A7&amp;"!$i:$i"),$C7,INDIRECT($A7&amp;"!$l:$l"),$I$1)</f>
        <v>0</v>
      </c>
      <c r="U7" s="2492">
        <v>0</v>
      </c>
      <c r="V7" s="2493">
        <f t="shared" ref="V7:V36" ca="1" si="4">SUMIFS(INDIRECT($A7&amp;"!$v:$v"),INDIRECT($A7&amp;"!$f:$f"),V$1,INDIRECT($A7&amp;"!$i:$i"),$C7,INDIRECT($A7&amp;"!$l:$l"),$I$1)</f>
        <v>0</v>
      </c>
      <c r="W7" s="2494">
        <v>0</v>
      </c>
      <c r="X7" s="2491">
        <f t="shared" ref="X7:X36" ca="1" si="5">SUMIFS(INDIRECT($A7&amp;"!$v:$v"),INDIRECT($A7&amp;"!$f:$f"),X$1,INDIRECT($A7&amp;"!$i:$i"),$C7,INDIRECT($A7&amp;"!$l:$l"),$J$1)</f>
        <v>0.40314547056964795</v>
      </c>
      <c r="Y7" s="2492">
        <v>0</v>
      </c>
      <c r="Z7" s="2493">
        <f t="shared" ref="Z7:Z36" ca="1" si="6">SUMIFS(INDIRECT($A7&amp;"!$v:$v"),INDIRECT($A7&amp;"!$f:$f"),Z$1,INDIRECT($A7&amp;"!$i:$i"),$C7,INDIRECT($A7&amp;"!$l:$l"),$J$1)</f>
        <v>0</v>
      </c>
      <c r="AA7" s="2492">
        <v>0</v>
      </c>
      <c r="AB7" s="2493">
        <f ca="1">SUMIFS(INDIRECT($A7&amp;"!$v:$v"),INDIRECT($A7&amp;"!$f:$f"),AB$1,INDIRECT($A7&amp;"!$i:$i"),$C7,INDIRECT($A7&amp;"!$l:$l"),$K$1)</f>
        <v>0</v>
      </c>
      <c r="AC7" s="2281" t="str">
        <f t="shared" ref="AC7:AC31" ca="1" si="7">IF(AB7=0,"","("&amp;TEXT($F7*AB7,"#.##")&amp;"-"&amp;TEXT($G7*AB7,"#.##")&amp;")")</f>
        <v/>
      </c>
      <c r="AD7" s="2308" t="str">
        <f>DHP!V1</f>
        <v>RTF</v>
      </c>
      <c r="AE7" s="458">
        <v>1</v>
      </c>
      <c r="AG7" s="2278" t="s">
        <v>1319</v>
      </c>
      <c r="AH7" s="2345" t="s">
        <v>1247</v>
      </c>
    </row>
    <row r="8" spans="1:34">
      <c r="A8" s="2298" t="s">
        <v>334</v>
      </c>
      <c r="B8" s="2278" t="s">
        <v>319</v>
      </c>
      <c r="C8" s="2278" t="str">
        <f>INDEX(Programs!B:B,MATCH(' Summary by Program 2020-21'!B8,Programs!$E:$E,0))</f>
        <v>Heat Pump Water Heaters</v>
      </c>
      <c r="D8" s="2304">
        <v>0.7</v>
      </c>
      <c r="E8" s="2304">
        <v>1.1000000000000001</v>
      </c>
      <c r="F8" s="2304">
        <v>0.7</v>
      </c>
      <c r="G8" s="2304">
        <v>1.2</v>
      </c>
      <c r="H8" s="2699"/>
      <c r="I8" s="2605" t="str">
        <f>INDEX(Programs!B:B,MATCH(' Summary by Program 2020-21'!B8,Programs!$E:$E,0))</f>
        <v>Heat Pump Water Heaters</v>
      </c>
      <c r="J8" s="2309" t="s">
        <v>153</v>
      </c>
      <c r="K8" s="2310">
        <f t="shared" ref="K8:K36" ca="1" si="8">R8+X8</f>
        <v>0.20929364182528332</v>
      </c>
      <c r="L8" s="2280" t="str">
        <f ca="1">TEXT(R8*D8+X8*F8,"0.##")&amp;"-"&amp;TEXT(R8*E8+G8*X8,"0.#0")</f>
        <v>0.15-0.24</v>
      </c>
      <c r="M8" s="2311">
        <f t="shared" ref="M8:M36" si="9">S8+Y8</f>
        <v>0</v>
      </c>
      <c r="N8" s="2311">
        <f t="shared" ca="1" si="0"/>
        <v>0</v>
      </c>
      <c r="O8" s="2282">
        <f t="shared" si="0"/>
        <v>0</v>
      </c>
      <c r="P8" s="2311">
        <f t="shared" ca="1" si="1"/>
        <v>0</v>
      </c>
      <c r="Q8" s="2283" t="str">
        <f t="shared" ca="1" si="2"/>
        <v/>
      </c>
      <c r="R8" s="2495">
        <f t="shared" ref="R8:R36" ca="1" si="10">SUMIFS(INDIRECT($A8&amp;"!$v:$v"),INDIRECT($A8&amp;"!$f:$f"),R$1,INDIRECT($A8&amp;"!$i:$i"),$C8,INDIRECT($A8&amp;"!$l:$l"),$I$1)</f>
        <v>9.3854800339712094E-2</v>
      </c>
      <c r="S8" s="2496">
        <v>0</v>
      </c>
      <c r="T8" s="2497">
        <f t="shared" ca="1" si="3"/>
        <v>0</v>
      </c>
      <c r="U8" s="2496">
        <v>0</v>
      </c>
      <c r="V8" s="2497">
        <f t="shared" ca="1" si="4"/>
        <v>0</v>
      </c>
      <c r="W8" s="2498">
        <v>0</v>
      </c>
      <c r="X8" s="2495">
        <f t="shared" ca="1" si="5"/>
        <v>0.11543884148557122</v>
      </c>
      <c r="Y8" s="2496">
        <v>0</v>
      </c>
      <c r="Z8" s="2497">
        <f t="shared" ca="1" si="6"/>
        <v>0</v>
      </c>
      <c r="AA8" s="2496">
        <v>0</v>
      </c>
      <c r="AB8" s="2497">
        <f t="shared" ref="AB8:AB36" ca="1" si="11">SUMIFS(INDIRECT($A8&amp;"!$v:$v"),INDIRECT($A8&amp;"!$f:$f"),AB$1,INDIRECT($A8&amp;"!$i:$i"),$C8,INDIRECT($A8&amp;"!$l:$l"),$K$1)</f>
        <v>0</v>
      </c>
      <c r="AC8" s="2283" t="str">
        <f t="shared" ca="1" si="7"/>
        <v/>
      </c>
      <c r="AD8" s="2308" t="str">
        <f>HPWH!S2</f>
        <v>RTF</v>
      </c>
      <c r="AE8" s="458">
        <v>1</v>
      </c>
      <c r="AF8" s="2278" t="s">
        <v>151</v>
      </c>
      <c r="AG8" s="2345">
        <v>0.4556076561469603</v>
      </c>
      <c r="AH8" s="2345">
        <v>0.51569909000000003</v>
      </c>
    </row>
    <row r="9" spans="1:34">
      <c r="A9" s="2298" t="s">
        <v>1607</v>
      </c>
      <c r="B9" s="2278" t="s">
        <v>1401</v>
      </c>
      <c r="C9" s="2278" t="s">
        <v>1608</v>
      </c>
      <c r="D9" s="2312">
        <v>1</v>
      </c>
      <c r="E9" s="2312">
        <v>1</v>
      </c>
      <c r="F9" s="2312">
        <v>0.9</v>
      </c>
      <c r="G9" s="2312">
        <v>0.95</v>
      </c>
      <c r="H9" s="2699"/>
      <c r="I9" s="2605" t="s">
        <v>1556</v>
      </c>
      <c r="J9" s="2313" t="s">
        <v>2354</v>
      </c>
      <c r="K9" s="2310">
        <f ca="1">R9+X9</f>
        <v>0</v>
      </c>
      <c r="L9" s="2280" t="str">
        <f ca="1">TEXT(R9*D9+X9*F9,"0.##")&amp;"-"&amp;TEXT(R9*E9+G9*X9,"0.#0")</f>
        <v>0.-0.0</v>
      </c>
      <c r="M9" s="2311">
        <v>0</v>
      </c>
      <c r="N9" s="2311">
        <f t="shared" ca="1" si="0"/>
        <v>0</v>
      </c>
      <c r="O9" s="2282">
        <f t="shared" si="0"/>
        <v>0</v>
      </c>
      <c r="P9" s="2311">
        <f t="shared" ca="1" si="1"/>
        <v>5.3132788591589784E-2</v>
      </c>
      <c r="Q9" s="2283">
        <f>W9+AC9</f>
        <v>0</v>
      </c>
      <c r="R9" s="2499">
        <f ca="1">SUMIFS(INDIRECT($A9&amp;"!$v:$v"),INDIRECT($A9&amp;"!$f:$f"),R$1,INDIRECT($A9&amp;"!$j:$j"),$C9,INDIRECT($A9&amp;"!$l:$l"),$I$1)</f>
        <v>0</v>
      </c>
      <c r="S9" s="2500"/>
      <c r="T9" s="2497">
        <f t="shared" ca="1" si="3"/>
        <v>0</v>
      </c>
      <c r="U9" s="2496">
        <v>0</v>
      </c>
      <c r="V9" s="2497">
        <f ca="1">SUMIFS(INDIRECT($A9&amp;"!$w:$w"),INDIRECT($A9&amp;"!$f:$f"),V$1,INDIRECT($A9&amp;"!$j:$j"),$C9,INDIRECT($A9&amp;"!$l:$l"),$I$1)</f>
        <v>5.3132788591589784E-2</v>
      </c>
      <c r="W9" s="2498">
        <v>0</v>
      </c>
      <c r="X9" s="2495">
        <f ca="1">SUMIFS(INDIRECT($A9&amp;"!$v:$v"),INDIRECT($A9&amp;"!$f:$f"),X$1,INDIRECT($A9&amp;"!$j:$j"),$C9,INDIRECT($A9&amp;"!$l:$l"),$J$1)</f>
        <v>0</v>
      </c>
      <c r="Y9" s="2500"/>
      <c r="Z9" s="2497">
        <f t="shared" ca="1" si="6"/>
        <v>0</v>
      </c>
      <c r="AA9" s="2496">
        <v>0</v>
      </c>
      <c r="AB9" s="2497">
        <f ca="1">SUMIFS(INDIRECT($A9&amp;"!$w:$w"),INDIRECT($A9&amp;"!$f:$f"),AB$1,INDIRECT($A9&amp;"!$j:$j"),$C9,INDIRECT($A9&amp;"!$l:$l"),$K$1)</f>
        <v>0</v>
      </c>
      <c r="AC9" s="2283">
        <v>0</v>
      </c>
      <c r="AD9" s="2314" t="s">
        <v>272</v>
      </c>
      <c r="AE9" s="458">
        <v>0</v>
      </c>
      <c r="AF9" s="2278" t="s">
        <v>153</v>
      </c>
      <c r="AG9" s="2345">
        <v>0.16213641494514064</v>
      </c>
      <c r="AH9" s="2345">
        <v>0.38666683000000002</v>
      </c>
    </row>
    <row r="10" spans="1:34">
      <c r="A10" s="2298" t="s">
        <v>1607</v>
      </c>
      <c r="B10" s="2278" t="s">
        <v>1401</v>
      </c>
      <c r="C10" s="2278" t="s">
        <v>1457</v>
      </c>
      <c r="D10" s="2312">
        <v>1</v>
      </c>
      <c r="E10" s="2312">
        <v>1</v>
      </c>
      <c r="F10" s="2312">
        <v>0.9</v>
      </c>
      <c r="G10" s="2312">
        <v>0.95</v>
      </c>
      <c r="H10" s="2699"/>
      <c r="I10" s="2605" t="s">
        <v>1562</v>
      </c>
      <c r="J10" s="2313" t="s">
        <v>2355</v>
      </c>
      <c r="K10" s="2310">
        <f ca="1">R10+X10</f>
        <v>0</v>
      </c>
      <c r="L10" s="2280" t="str">
        <f ca="1">TEXT(R10*D10+X10*F10,"0.##")&amp;"-"&amp;TEXT(R10*E10+G10*X10,"0.#0")</f>
        <v>0.-0.0</v>
      </c>
      <c r="M10" s="2311">
        <v>0</v>
      </c>
      <c r="N10" s="2311">
        <f t="shared" ca="1" si="0"/>
        <v>0</v>
      </c>
      <c r="O10" s="2282">
        <f t="shared" si="0"/>
        <v>0</v>
      </c>
      <c r="P10" s="2311">
        <f t="shared" ca="1" si="1"/>
        <v>0</v>
      </c>
      <c r="Q10" s="2283">
        <f>W10+AC10</f>
        <v>0</v>
      </c>
      <c r="R10" s="2499">
        <f ca="1">SUMIFS(INDIRECT($A10&amp;"!$v:$v"),INDIRECT($A10&amp;"!$f:$f"),R$1,INDIRECT($A10&amp;"!$j:$j"),$C10,INDIRECT($A10&amp;"!$l:$l"),$I$1)</f>
        <v>0</v>
      </c>
      <c r="S10" s="2500"/>
      <c r="T10" s="2497">
        <f t="shared" ca="1" si="3"/>
        <v>0</v>
      </c>
      <c r="U10" s="2496">
        <v>0</v>
      </c>
      <c r="V10" s="2497">
        <f ca="1">SUMIFS(INDIRECT($A10&amp;"!$w:$w"),INDIRECT($A10&amp;"!$f:$f"),V$1,INDIRECT($A10&amp;"!$j:$j"),$C10,INDIRECT($A10&amp;"!$l:$l"),$I$1)</f>
        <v>0</v>
      </c>
      <c r="W10" s="2498">
        <v>0</v>
      </c>
      <c r="X10" s="2495">
        <f ca="1">SUMIFS(INDIRECT($A10&amp;"!$v:$v"),INDIRECT($A10&amp;"!$f:$f"),X$1,INDIRECT($A10&amp;"!$j:$j"),$C10,INDIRECT($A10&amp;"!$l:$l"),$J$1)</f>
        <v>0</v>
      </c>
      <c r="Y10" s="2500"/>
      <c r="Z10" s="2497">
        <f t="shared" ca="1" si="6"/>
        <v>0</v>
      </c>
      <c r="AA10" s="2496">
        <v>0</v>
      </c>
      <c r="AB10" s="2497">
        <f ca="1">SUMIFS(INDIRECT($A10&amp;"!$w:$w"),INDIRECT($A10&amp;"!$f:$f"),AB$1,INDIRECT($A10&amp;"!$j:$j"),$C10,INDIRECT($A10&amp;"!$l:$l"),$K$1)</f>
        <v>0</v>
      </c>
      <c r="AC10" s="2283">
        <v>0</v>
      </c>
      <c r="AD10" s="2314" t="s">
        <v>272</v>
      </c>
      <c r="AE10" s="458">
        <v>0</v>
      </c>
      <c r="AF10" s="2278" t="s">
        <v>1618</v>
      </c>
      <c r="AG10" s="2345">
        <v>0.12511117758958054</v>
      </c>
      <c r="AH10" s="2345">
        <v>0</v>
      </c>
    </row>
    <row r="11" spans="1:34">
      <c r="A11" s="2298" t="s">
        <v>331</v>
      </c>
      <c r="B11" s="2278" t="s">
        <v>320</v>
      </c>
      <c r="C11" s="2278" t="str">
        <f>INDEX(Programs!B:B,MATCH(' Summary by Program 2020-21'!B11,Programs!$E:$E,0))</f>
        <v>Other Codes (Multifamily)</v>
      </c>
      <c r="D11" s="2304">
        <v>0.8</v>
      </c>
      <c r="E11" s="2304">
        <v>1.2</v>
      </c>
      <c r="F11" s="2304">
        <v>0.8</v>
      </c>
      <c r="G11" s="2304">
        <v>1.2</v>
      </c>
      <c r="H11" s="2699"/>
      <c r="I11" s="2605" t="str">
        <f>INDEX(Programs!B:B,MATCH(' Summary by Program 2020-21'!B11,Programs!$E:$E,0))</f>
        <v>Other Codes (Multifamily)</v>
      </c>
      <c r="J11" s="2309" t="s">
        <v>851</v>
      </c>
      <c r="K11" s="2310">
        <f t="shared" ca="1" si="8"/>
        <v>0</v>
      </c>
      <c r="L11" s="2282"/>
      <c r="M11" s="2311">
        <f t="shared" si="9"/>
        <v>0</v>
      </c>
      <c r="N11" s="2311">
        <f t="shared" ca="1" si="0"/>
        <v>0.23396835737867849</v>
      </c>
      <c r="O11" s="2284">
        <f t="shared" si="0"/>
        <v>0</v>
      </c>
      <c r="P11" s="2311">
        <f t="shared" ca="1" si="1"/>
        <v>0</v>
      </c>
      <c r="Q11" s="2283" t="str">
        <f t="shared" ca="1" si="2"/>
        <v/>
      </c>
      <c r="R11" s="2495">
        <f t="shared" ca="1" si="10"/>
        <v>0</v>
      </c>
      <c r="S11" s="2496">
        <v>0</v>
      </c>
      <c r="T11" s="2497">
        <f t="shared" ca="1" si="3"/>
        <v>6.7709466496316151E-2</v>
      </c>
      <c r="U11" s="2496">
        <v>0</v>
      </c>
      <c r="V11" s="2497">
        <f t="shared" ca="1" si="4"/>
        <v>0</v>
      </c>
      <c r="W11" s="2498">
        <v>0</v>
      </c>
      <c r="X11" s="2495">
        <f t="shared" ca="1" si="5"/>
        <v>0</v>
      </c>
      <c r="Y11" s="2496">
        <v>0</v>
      </c>
      <c r="Z11" s="2497">
        <f t="shared" ca="1" si="6"/>
        <v>0.16625889088236234</v>
      </c>
      <c r="AA11" s="2496">
        <v>0</v>
      </c>
      <c r="AB11" s="2497">
        <f t="shared" ca="1" si="11"/>
        <v>0</v>
      </c>
      <c r="AC11" s="2283" t="str">
        <f t="shared" ca="1" si="7"/>
        <v/>
      </c>
      <c r="AD11" s="2314" t="s">
        <v>2264</v>
      </c>
      <c r="AE11" s="458">
        <v>0</v>
      </c>
      <c r="AF11" s="2278" t="s">
        <v>1619</v>
      </c>
      <c r="AG11" s="2345">
        <v>0.1363098355900319</v>
      </c>
      <c r="AH11" s="2345">
        <v>0</v>
      </c>
    </row>
    <row r="12" spans="1:34">
      <c r="B12" s="2278"/>
      <c r="C12" s="2278"/>
      <c r="D12" s="2304"/>
      <c r="E12" s="2304"/>
      <c r="F12" s="2304"/>
      <c r="G12" s="2304"/>
      <c r="H12" s="2699"/>
      <c r="I12" s="2605" t="s">
        <v>1396</v>
      </c>
      <c r="J12" s="2313" t="s">
        <v>1396</v>
      </c>
      <c r="K12" s="2647" t="s">
        <v>483</v>
      </c>
      <c r="L12" s="2280"/>
      <c r="M12" s="2311"/>
      <c r="N12" s="2648" t="s">
        <v>483</v>
      </c>
      <c r="O12" s="2285"/>
      <c r="P12" s="2648" t="s">
        <v>483</v>
      </c>
      <c r="Q12" s="2283"/>
      <c r="R12" s="2663" t="s">
        <v>483</v>
      </c>
      <c r="S12" s="2496"/>
      <c r="T12" s="2648" t="s">
        <v>483</v>
      </c>
      <c r="U12" s="2285"/>
      <c r="V12" s="2648" t="s">
        <v>483</v>
      </c>
      <c r="W12" s="2498"/>
      <c r="X12" s="2663" t="s">
        <v>483</v>
      </c>
      <c r="Y12" s="2496"/>
      <c r="Z12" s="2648" t="s">
        <v>483</v>
      </c>
      <c r="AA12" s="2285"/>
      <c r="AB12" s="2648" t="s">
        <v>483</v>
      </c>
      <c r="AC12" s="2283"/>
      <c r="AD12" s="2314" t="s">
        <v>2506</v>
      </c>
      <c r="AG12" s="2345"/>
    </row>
    <row r="13" spans="1:34">
      <c r="A13" s="2298" t="s">
        <v>335</v>
      </c>
      <c r="B13" s="2278" t="s">
        <v>322</v>
      </c>
      <c r="C13" s="2278" t="str">
        <f>INDEX(Programs!B:B,MATCH(' Summary by Program 2020-21'!B13,Programs!$E:$E,0))</f>
        <v>Residential Lighting</v>
      </c>
      <c r="D13" s="2304">
        <v>0</v>
      </c>
      <c r="E13" s="2304">
        <v>1</v>
      </c>
      <c r="F13" s="2304">
        <v>0</v>
      </c>
      <c r="G13" s="2304">
        <v>1</v>
      </c>
      <c r="H13" s="2699"/>
      <c r="I13" s="2605" t="str">
        <f>INDEX(Programs!B:B,MATCH(' Summary by Program 2020-21'!B13,Programs!$E:$E,0))</f>
        <v>Residential Lighting</v>
      </c>
      <c r="J13" s="2309" t="s">
        <v>894</v>
      </c>
      <c r="K13" s="2310">
        <f t="shared" ca="1" si="8"/>
        <v>0</v>
      </c>
      <c r="L13" s="2280" t="str">
        <f ca="1">TEXT(R13*D13+X13*F13,"0.##")&amp;"-"&amp;TEXT(R13*E13+G13*X13,"0.#0")</f>
        <v>0.-0.0</v>
      </c>
      <c r="M13" s="2311">
        <f t="shared" si="9"/>
        <v>0</v>
      </c>
      <c r="N13" s="2311">
        <f t="shared" ca="1" si="0"/>
        <v>0</v>
      </c>
      <c r="O13" s="2284">
        <f t="shared" si="0"/>
        <v>0</v>
      </c>
      <c r="P13" s="2311">
        <f ca="1">V13+AB13</f>
        <v>0.89554312512012912</v>
      </c>
      <c r="Q13" s="2283">
        <f>W13+AC13</f>
        <v>0</v>
      </c>
      <c r="R13" s="2495">
        <f ca="1">ROUND(SUMIFS(INDIRECT($A13&amp;"!$w:$w"),INDIRECT($A13&amp;"!$f:$f"),R$1,INDIRECT($A13&amp;"!$i:$i"),$C13,INDIRECT($A13&amp;"!$l:$l"),$I$1),4)</f>
        <v>0</v>
      </c>
      <c r="S13" s="2496">
        <v>0</v>
      </c>
      <c r="T13" s="2497">
        <f ca="1">SUMIFS(INDIRECT($A13&amp;"!$w:$w"),INDIRECT($A13&amp;"!$f:$f"),T$1,INDIRECT($A13&amp;"!$i:$i"),$C13,INDIRECT($A13&amp;"!$l:$l"),$I$1)</f>
        <v>0</v>
      </c>
      <c r="U13" s="2496">
        <v>0</v>
      </c>
      <c r="V13" s="2497">
        <f ca="1">SUMIFS(INDIRECT($A13&amp;"!$w:$w"),INDIRECT($A13&amp;"!$f:$f"),V$1,INDIRECT($A13&amp;"!$i:$i"),$C13,INDIRECT($A13&amp;"!$l:$l"),$I$1)</f>
        <v>0.28999340372979882</v>
      </c>
      <c r="W13" s="2498">
        <v>0</v>
      </c>
      <c r="X13" s="2495">
        <f ca="1">SUMIFS(INDIRECT($A13&amp;"!$w:$w"),INDIRECT($A13&amp;"!$f:$f"),X$1,INDIRECT($A13&amp;"!$i:$i"),$C13,INDIRECT($A13&amp;"!$l:$l"),$J$1)</f>
        <v>0</v>
      </c>
      <c r="Y13" s="2496">
        <v>0</v>
      </c>
      <c r="Z13" s="2497">
        <f ca="1">SUMIFS(INDIRECT($A13&amp;"!$w:$w"),INDIRECT($A13&amp;"!$f:$f"),Z$1,INDIRECT($A13&amp;"!$i:$i"),$C13,INDIRECT($A13&amp;"!$l:$l"),$J$1)</f>
        <v>0</v>
      </c>
      <c r="AA13" s="2496">
        <v>0</v>
      </c>
      <c r="AB13" s="2497">
        <f ca="1">SUMIFS(INDIRECT($A13&amp;"!$w:$w"),INDIRECT($A13&amp;"!$f:$f"),AB$1,INDIRECT($A13&amp;"!$i:$i"),$C13,INDIRECT($A13&amp;"!$l:$l"),$K$1)</f>
        <v>0.60554972139033036</v>
      </c>
      <c r="AC13" s="2283">
        <v>0</v>
      </c>
      <c r="AD13" s="2308" t="str">
        <f>Res_Lighting!T1</f>
        <v>RTF</v>
      </c>
      <c r="AE13" s="458">
        <v>1</v>
      </c>
      <c r="AF13" s="2278" t="s">
        <v>851</v>
      </c>
      <c r="AG13" s="2345">
        <v>0</v>
      </c>
      <c r="AH13" s="2345">
        <v>0</v>
      </c>
    </row>
    <row r="14" spans="1:34">
      <c r="A14" s="2298" t="s">
        <v>331</v>
      </c>
      <c r="B14" s="2278" t="s">
        <v>321</v>
      </c>
      <c r="C14" s="2278" t="str">
        <f>INDEX(Programs!B:B,MATCH(' Summary by Program 2020-21'!B14,Programs!$E:$E,0))</f>
        <v>Residential New Construction/Next Step Homes</v>
      </c>
      <c r="D14" s="2304">
        <v>0.7</v>
      </c>
      <c r="E14" s="2304">
        <v>1.2</v>
      </c>
      <c r="F14" s="2304">
        <v>0.65</v>
      </c>
      <c r="G14" s="2304">
        <v>1.2</v>
      </c>
      <c r="H14" s="2699"/>
      <c r="I14" s="2704" t="str">
        <f>INDEX(Programs!B:B,MATCH(' Summary by Program 2020-21'!B14,Programs!$E:$E,0))</f>
        <v>Residential New Construction/Next Step Homes</v>
      </c>
      <c r="J14" s="2309" t="s">
        <v>857</v>
      </c>
      <c r="K14" s="2310">
        <f t="shared" ca="1" si="8"/>
        <v>0</v>
      </c>
      <c r="L14" s="2282"/>
      <c r="M14" s="2311">
        <f t="shared" si="9"/>
        <v>0</v>
      </c>
      <c r="N14" s="2315">
        <f t="shared" ca="1" si="0"/>
        <v>0.49931936315981729</v>
      </c>
      <c r="O14" s="2284">
        <f t="shared" si="0"/>
        <v>0</v>
      </c>
      <c r="P14" s="2311">
        <f t="shared" ca="1" si="1"/>
        <v>0</v>
      </c>
      <c r="Q14" s="2283" t="str">
        <f t="shared" ca="1" si="2"/>
        <v/>
      </c>
      <c r="R14" s="2495">
        <f t="shared" ca="1" si="10"/>
        <v>0</v>
      </c>
      <c r="S14" s="2496">
        <v>0</v>
      </c>
      <c r="T14" s="2497">
        <f ca="1">SUMIFS(INDIRECT($A14&amp;"!$v:$v"),INDIRECT($A14&amp;"!$f:$f"),T$1,INDIRECT($A14&amp;"!$i:$i"),$C14,INDIRECT($A14&amp;"!$l:$l"),$I$1)</f>
        <v>0.1633031097351598</v>
      </c>
      <c r="U14" s="2496">
        <v>0</v>
      </c>
      <c r="V14" s="2497">
        <f t="shared" ca="1" si="4"/>
        <v>0</v>
      </c>
      <c r="W14" s="2498" t="str">
        <f t="shared" ref="W14:W36" ca="1" si="12">IF(V14=0,"","("&amp;TEXT(D14*V14,"#.##")&amp;"-"&amp;TEXT(E14*V14,"#.##")&amp;")")</f>
        <v/>
      </c>
      <c r="X14" s="2495">
        <f t="shared" ca="1" si="5"/>
        <v>0</v>
      </c>
      <c r="Y14" s="2496">
        <v>0</v>
      </c>
      <c r="Z14" s="2497">
        <f t="shared" ca="1" si="6"/>
        <v>0.33601625342465752</v>
      </c>
      <c r="AA14" s="2496">
        <v>0</v>
      </c>
      <c r="AB14" s="2497">
        <f t="shared" ca="1" si="11"/>
        <v>0</v>
      </c>
      <c r="AC14" s="2283" t="str">
        <f t="shared" ca="1" si="7"/>
        <v/>
      </c>
      <c r="AD14" s="2314" t="s">
        <v>2264</v>
      </c>
      <c r="AE14" s="458">
        <v>1</v>
      </c>
      <c r="AF14" s="2278" t="s">
        <v>894</v>
      </c>
      <c r="AG14" s="2345">
        <v>2.0208889596570231E-2</v>
      </c>
      <c r="AH14" s="2345">
        <v>6.1053259999999998E-2</v>
      </c>
    </row>
    <row r="15" spans="1:34">
      <c r="A15" s="2298" t="s">
        <v>775</v>
      </c>
      <c r="B15" s="2278" t="s">
        <v>321</v>
      </c>
      <c r="C15" s="2278" t="str">
        <f>INDEX(Programs!B:B,MATCH(' Summary by Program 2020-21'!B15,Programs!$E:$E,0))</f>
        <v>Residential New Construction/Next Step Homes</v>
      </c>
      <c r="D15" s="2304">
        <v>0.7</v>
      </c>
      <c r="E15" s="2304">
        <v>1.2</v>
      </c>
      <c r="F15" s="2304">
        <v>0.65</v>
      </c>
      <c r="G15" s="2304">
        <v>1.2</v>
      </c>
      <c r="H15" s="2699"/>
      <c r="I15" s="2704"/>
      <c r="J15" s="2309" t="s">
        <v>858</v>
      </c>
      <c r="K15" s="2310">
        <f t="shared" ca="1" si="8"/>
        <v>0.1750692366117404</v>
      </c>
      <c r="L15" s="2280" t="str">
        <f ca="1">TEXT(R15*D15+X15*F15,"0.##")&amp;"-"&amp;TEXT(R15*E15+G15*X15,"0.#0")</f>
        <v>0.12-0.21</v>
      </c>
      <c r="M15" s="2311">
        <f t="shared" si="9"/>
        <v>0</v>
      </c>
      <c r="N15" s="2311">
        <f t="shared" ca="1" si="0"/>
        <v>0</v>
      </c>
      <c r="O15" s="2284">
        <f t="shared" si="0"/>
        <v>0</v>
      </c>
      <c r="P15" s="2311">
        <f t="shared" ca="1" si="1"/>
        <v>0</v>
      </c>
      <c r="Q15" s="2283" t="str">
        <f t="shared" ca="1" si="2"/>
        <v/>
      </c>
      <c r="R15" s="2495">
        <f ca="1">SUMIFS(INDIRECT($A15&amp;"!$v:$v"),INDIRECT($A15&amp;"!$f:$f"),R$1,INDIRECT($A15&amp;"!$i:$i"),$C15,INDIRECT($A15&amp;"!$l:$l"),$I$1)</f>
        <v>0.13537563445680303</v>
      </c>
      <c r="S15" s="2496">
        <v>0</v>
      </c>
      <c r="T15" s="2497">
        <f t="shared" ca="1" si="3"/>
        <v>0</v>
      </c>
      <c r="U15" s="2496">
        <v>0</v>
      </c>
      <c r="V15" s="2497">
        <f t="shared" ca="1" si="4"/>
        <v>0</v>
      </c>
      <c r="W15" s="2498" t="str">
        <f t="shared" ca="1" si="12"/>
        <v/>
      </c>
      <c r="X15" s="2495">
        <f t="shared" ca="1" si="5"/>
        <v>3.9693602154937349E-2</v>
      </c>
      <c r="Y15" s="2501">
        <v>0</v>
      </c>
      <c r="Z15" s="2497">
        <f t="shared" ca="1" si="6"/>
        <v>0</v>
      </c>
      <c r="AA15" s="2496">
        <v>0</v>
      </c>
      <c r="AB15" s="2497">
        <f t="shared" ca="1" si="11"/>
        <v>0</v>
      </c>
      <c r="AC15" s="2283" t="str">
        <f t="shared" ca="1" si="7"/>
        <v/>
      </c>
      <c r="AD15" s="2314" t="s">
        <v>2264</v>
      </c>
      <c r="AE15" s="458">
        <v>1</v>
      </c>
      <c r="AF15" s="2278" t="s">
        <v>857</v>
      </c>
      <c r="AG15" s="2345">
        <v>0</v>
      </c>
      <c r="AH15" s="2345">
        <v>0</v>
      </c>
    </row>
    <row r="16" spans="1:34">
      <c r="A16" s="2298" t="s">
        <v>759</v>
      </c>
      <c r="B16" s="2278" t="s">
        <v>323</v>
      </c>
      <c r="C16" s="2278" t="str">
        <f>INDEX(Programs!B:B,MATCH(' Summary by Program 2020-21'!B16,Programs!$E:$E,0))</f>
        <v>Retail Product Portfolio</v>
      </c>
      <c r="D16" s="2304">
        <v>0.5</v>
      </c>
      <c r="E16" s="2304">
        <v>1.25</v>
      </c>
      <c r="F16" s="2304">
        <v>0.5</v>
      </c>
      <c r="G16" s="2304">
        <v>1.25</v>
      </c>
      <c r="H16" s="2699"/>
      <c r="I16" s="2705" t="str">
        <f>INDEX(Programs!B:B,MATCH(' Summary by Program 2020-21'!B16,Programs!$E:$E,0))</f>
        <v>Retail Product Portfolio</v>
      </c>
      <c r="J16" s="2309" t="s">
        <v>852</v>
      </c>
      <c r="K16" s="2310">
        <f t="shared" ca="1" si="8"/>
        <v>0.12642182674448099</v>
      </c>
      <c r="L16" s="2706" t="str">
        <f ca="1">TEXT(SUM(R16:R21)*D16+SUM(X16:X21)*F16,"0.##")&amp;"-"&amp;TEXT(SUM(R16:R21)*E16+G16*SUM(X16:X21),"0.#0")</f>
        <v>0.3-0.76</v>
      </c>
      <c r="M16" s="2709">
        <f t="shared" si="9"/>
        <v>0</v>
      </c>
      <c r="N16" s="2311">
        <f t="shared" ca="1" si="0"/>
        <v>0</v>
      </c>
      <c r="O16" s="2285">
        <f t="shared" si="0"/>
        <v>0</v>
      </c>
      <c r="P16" s="2311">
        <f t="shared" ca="1" si="1"/>
        <v>0</v>
      </c>
      <c r="Q16" s="2283" t="str">
        <f t="shared" ca="1" si="2"/>
        <v/>
      </c>
      <c r="R16" s="2495">
        <f t="shared" ca="1" si="10"/>
        <v>6.0469899327289321E-2</v>
      </c>
      <c r="S16" s="2695">
        <v>0</v>
      </c>
      <c r="T16" s="2497">
        <f t="shared" ca="1" si="3"/>
        <v>0</v>
      </c>
      <c r="U16" s="2496">
        <v>0</v>
      </c>
      <c r="V16" s="2497">
        <f t="shared" ca="1" si="4"/>
        <v>0</v>
      </c>
      <c r="W16" s="2498" t="str">
        <f t="shared" ca="1" si="12"/>
        <v/>
      </c>
      <c r="X16" s="2495">
        <f t="shared" ca="1" si="5"/>
        <v>6.5951927417191678E-2</v>
      </c>
      <c r="Y16" s="2695">
        <v>0</v>
      </c>
      <c r="Z16" s="2497">
        <f t="shared" ca="1" si="6"/>
        <v>0</v>
      </c>
      <c r="AA16" s="2496">
        <v>0</v>
      </c>
      <c r="AB16" s="2497">
        <f t="shared" ca="1" si="11"/>
        <v>0</v>
      </c>
      <c r="AC16" s="2283" t="str">
        <f t="shared" ca="1" si="7"/>
        <v/>
      </c>
      <c r="AD16" s="2308" t="str">
        <f>Frig_Freezers!S2</f>
        <v>RTF</v>
      </c>
      <c r="AE16" s="458">
        <v>1</v>
      </c>
      <c r="AF16" s="2278" t="s">
        <v>858</v>
      </c>
      <c r="AG16" s="2345">
        <v>0.29817001631840367</v>
      </c>
      <c r="AH16" s="2345">
        <v>0.17228494</v>
      </c>
    </row>
    <row r="17" spans="1:34">
      <c r="A17" s="2298" t="s">
        <v>758</v>
      </c>
      <c r="B17" s="2278" t="s">
        <v>323</v>
      </c>
      <c r="C17" s="2278" t="str">
        <f>INDEX(Programs!B:B,MATCH(' Summary by Program 2020-21'!B17,Programs!$E:$E,0))</f>
        <v>Retail Product Portfolio</v>
      </c>
      <c r="D17" s="2304">
        <v>0.5</v>
      </c>
      <c r="E17" s="2304">
        <v>1.25</v>
      </c>
      <c r="F17" s="2304">
        <v>0.5</v>
      </c>
      <c r="G17" s="2304">
        <v>1.25</v>
      </c>
      <c r="H17" s="2699"/>
      <c r="I17" s="2705"/>
      <c r="J17" s="2309" t="s">
        <v>148</v>
      </c>
      <c r="K17" s="2310">
        <f t="shared" ca="1" si="8"/>
        <v>0.46422087055370637</v>
      </c>
      <c r="L17" s="2707"/>
      <c r="M17" s="2710"/>
      <c r="N17" s="2311">
        <f t="shared" ca="1" si="0"/>
        <v>0</v>
      </c>
      <c r="O17" s="2285">
        <f t="shared" si="0"/>
        <v>0</v>
      </c>
      <c r="P17" s="2311">
        <f t="shared" ca="1" si="1"/>
        <v>0</v>
      </c>
      <c r="Q17" s="2283" t="str">
        <f t="shared" ca="1" si="2"/>
        <v/>
      </c>
      <c r="R17" s="2495">
        <f t="shared" ca="1" si="10"/>
        <v>0.21714109517915309</v>
      </c>
      <c r="S17" s="2696"/>
      <c r="T17" s="2497">
        <f t="shared" ca="1" si="3"/>
        <v>0</v>
      </c>
      <c r="U17" s="2496">
        <v>0</v>
      </c>
      <c r="V17" s="2497">
        <f t="shared" ca="1" si="4"/>
        <v>0</v>
      </c>
      <c r="W17" s="2498" t="str">
        <f t="shared" ca="1" si="12"/>
        <v/>
      </c>
      <c r="X17" s="2495">
        <f ca="1">SUMIFS(INDIRECT($A17&amp;"!$v:$v"),INDIRECT($A17&amp;"!$f:$f"),X$1,INDIRECT($A17&amp;"!$i:$i"),$C17,INDIRECT($A17&amp;"!$l:$l"),$J$1)</f>
        <v>0.24707977537455328</v>
      </c>
      <c r="Y17" s="2696"/>
      <c r="Z17" s="2497">
        <f t="shared" ca="1" si="6"/>
        <v>0</v>
      </c>
      <c r="AA17" s="2496">
        <v>0</v>
      </c>
      <c r="AB17" s="2497">
        <f t="shared" ca="1" si="11"/>
        <v>0</v>
      </c>
      <c r="AC17" s="2283" t="str">
        <f t="shared" ca="1" si="7"/>
        <v/>
      </c>
      <c r="AD17" s="2308" t="str">
        <f>Clothes_Washers!S2</f>
        <v>RTF</v>
      </c>
      <c r="AE17" s="458">
        <v>1</v>
      </c>
      <c r="AF17" s="2278" t="s">
        <v>852</v>
      </c>
      <c r="AG17" s="2345">
        <v>5.8294110980857614E-2</v>
      </c>
      <c r="AH17" s="2345">
        <v>0.64552845999999997</v>
      </c>
    </row>
    <row r="18" spans="1:34">
      <c r="A18" s="2298" t="s">
        <v>773</v>
      </c>
      <c r="B18" s="2278" t="s">
        <v>323</v>
      </c>
      <c r="C18" s="2278" t="str">
        <f>INDEX(Programs!B:B,MATCH(' Summary by Program 2020-21'!B18,Programs!$E:$E,0))</f>
        <v>Retail Product Portfolio</v>
      </c>
      <c r="D18" s="2304">
        <v>0.5</v>
      </c>
      <c r="E18" s="2304">
        <v>1.25</v>
      </c>
      <c r="F18" s="2304">
        <v>0.5</v>
      </c>
      <c r="G18" s="2304">
        <v>1.25</v>
      </c>
      <c r="H18" s="2699"/>
      <c r="I18" s="2705"/>
      <c r="J18" s="2309" t="s">
        <v>853</v>
      </c>
      <c r="K18" s="2310">
        <f t="shared" ca="1" si="8"/>
        <v>6.9773255103296739E-3</v>
      </c>
      <c r="L18" s="2707"/>
      <c r="M18" s="2710"/>
      <c r="N18" s="2311">
        <f t="shared" ca="1" si="0"/>
        <v>0</v>
      </c>
      <c r="O18" s="2285">
        <f t="shared" si="0"/>
        <v>0</v>
      </c>
      <c r="P18" s="2311">
        <f t="shared" ca="1" si="1"/>
        <v>0</v>
      </c>
      <c r="Q18" s="2283" t="str">
        <f t="shared" ca="1" si="2"/>
        <v/>
      </c>
      <c r="R18" s="2495">
        <f t="shared" ca="1" si="10"/>
        <v>3.4715266627940934E-3</v>
      </c>
      <c r="S18" s="2696"/>
      <c r="T18" s="2497">
        <f t="shared" ca="1" si="3"/>
        <v>0</v>
      </c>
      <c r="U18" s="2496">
        <v>0</v>
      </c>
      <c r="V18" s="2497">
        <f t="shared" ca="1" si="4"/>
        <v>0</v>
      </c>
      <c r="W18" s="2498" t="str">
        <f t="shared" ca="1" si="12"/>
        <v/>
      </c>
      <c r="X18" s="2495">
        <f t="shared" ca="1" si="5"/>
        <v>3.5057988475355809E-3</v>
      </c>
      <c r="Y18" s="2696"/>
      <c r="Z18" s="2497">
        <f t="shared" ca="1" si="6"/>
        <v>0</v>
      </c>
      <c r="AA18" s="2496">
        <v>0</v>
      </c>
      <c r="AB18" s="2497">
        <f t="shared" ca="1" si="11"/>
        <v>0</v>
      </c>
      <c r="AC18" s="2283" t="str">
        <f t="shared" ca="1" si="7"/>
        <v/>
      </c>
      <c r="AD18" s="2314" t="s">
        <v>2264</v>
      </c>
      <c r="AE18" s="458">
        <v>1</v>
      </c>
      <c r="AF18" s="2278" t="s">
        <v>148</v>
      </c>
      <c r="AG18" s="2345">
        <v>0.47284027993350675</v>
      </c>
    </row>
    <row r="19" spans="1:34">
      <c r="B19" s="2278"/>
      <c r="C19" s="2278"/>
      <c r="D19" s="2304"/>
      <c r="E19" s="2304"/>
      <c r="F19" s="2304"/>
      <c r="G19" s="2304"/>
      <c r="H19" s="2699"/>
      <c r="I19" s="2705"/>
      <c r="J19" s="2650" t="s">
        <v>2498</v>
      </c>
      <c r="K19" s="2647" t="s">
        <v>483</v>
      </c>
      <c r="L19" s="2707"/>
      <c r="M19" s="2710"/>
      <c r="N19" s="2648" t="s">
        <v>483</v>
      </c>
      <c r="O19" s="2285"/>
      <c r="P19" s="2648" t="s">
        <v>483</v>
      </c>
      <c r="Q19" s="2283"/>
      <c r="R19" s="2649" t="s">
        <v>483</v>
      </c>
      <c r="S19" s="2696"/>
      <c r="T19" s="2648" t="s">
        <v>483</v>
      </c>
      <c r="U19" s="2285"/>
      <c r="V19" s="2648" t="s">
        <v>483</v>
      </c>
      <c r="W19" s="2498"/>
      <c r="X19" s="2649" t="s">
        <v>483</v>
      </c>
      <c r="Y19" s="2696"/>
      <c r="Z19" s="2648" t="s">
        <v>483</v>
      </c>
      <c r="AA19" s="2285"/>
      <c r="AB19" s="2648" t="s">
        <v>483</v>
      </c>
      <c r="AC19" s="2283"/>
      <c r="AD19" s="2314" t="s">
        <v>2500</v>
      </c>
      <c r="AG19" s="2345"/>
    </row>
    <row r="20" spans="1:34">
      <c r="B20" s="2278"/>
      <c r="C20" s="2278"/>
      <c r="D20" s="2304"/>
      <c r="E20" s="2304"/>
      <c r="F20" s="2304"/>
      <c r="G20" s="2304"/>
      <c r="H20" s="2699"/>
      <c r="I20" s="2705"/>
      <c r="J20" s="2650" t="s">
        <v>2499</v>
      </c>
      <c r="K20" s="2647" t="s">
        <v>483</v>
      </c>
      <c r="L20" s="2707"/>
      <c r="M20" s="2710"/>
      <c r="N20" s="2648" t="s">
        <v>483</v>
      </c>
      <c r="O20" s="2285"/>
      <c r="P20" s="2648" t="s">
        <v>483</v>
      </c>
      <c r="Q20" s="2283"/>
      <c r="R20" s="2649" t="s">
        <v>483</v>
      </c>
      <c r="S20" s="2696"/>
      <c r="T20" s="2648" t="s">
        <v>483</v>
      </c>
      <c r="U20" s="2285"/>
      <c r="V20" s="2648" t="s">
        <v>483</v>
      </c>
      <c r="W20" s="2498"/>
      <c r="X20" s="2649" t="s">
        <v>483</v>
      </c>
      <c r="Y20" s="2696"/>
      <c r="Z20" s="2648" t="s">
        <v>483</v>
      </c>
      <c r="AA20" s="2285"/>
      <c r="AB20" s="2648" t="s">
        <v>483</v>
      </c>
      <c r="AC20" s="2283"/>
      <c r="AD20" s="2314" t="s">
        <v>2501</v>
      </c>
      <c r="AG20" s="2345"/>
    </row>
    <row r="21" spans="1:34">
      <c r="A21" s="2298" t="s">
        <v>774</v>
      </c>
      <c r="B21" s="2278" t="s">
        <v>323</v>
      </c>
      <c r="C21" s="2278" t="str">
        <f>INDEX(Programs!B:B,MATCH(' Summary by Program 2020-21'!B21,Programs!$E:$E,0))</f>
        <v>Retail Product Portfolio</v>
      </c>
      <c r="D21" s="2304">
        <v>0.5</v>
      </c>
      <c r="E21" s="2304">
        <v>1.25</v>
      </c>
      <c r="F21" s="2304">
        <v>0.5</v>
      </c>
      <c r="G21" s="2304">
        <v>1.25</v>
      </c>
      <c r="H21" s="2699"/>
      <c r="I21" s="2705"/>
      <c r="J21" s="2309" t="s">
        <v>854</v>
      </c>
      <c r="K21" s="2310">
        <f t="shared" ca="1" si="8"/>
        <v>1.0502884895769881E-2</v>
      </c>
      <c r="L21" s="2708"/>
      <c r="M21" s="2711"/>
      <c r="N21" s="2311">
        <f t="shared" ca="1" si="0"/>
        <v>0</v>
      </c>
      <c r="O21" s="2282">
        <f t="shared" si="0"/>
        <v>0</v>
      </c>
      <c r="P21" s="2311">
        <f t="shared" ca="1" si="1"/>
        <v>0</v>
      </c>
      <c r="Q21" s="2283" t="str">
        <f t="shared" ca="1" si="2"/>
        <v/>
      </c>
      <c r="R21" s="2495">
        <f t="shared" ca="1" si="10"/>
        <v>4.782417436521167E-3</v>
      </c>
      <c r="S21" s="2697"/>
      <c r="T21" s="2497">
        <f t="shared" ca="1" si="3"/>
        <v>0</v>
      </c>
      <c r="U21" s="2496">
        <v>0</v>
      </c>
      <c r="V21" s="2497">
        <f t="shared" ca="1" si="4"/>
        <v>0</v>
      </c>
      <c r="W21" s="2498" t="str">
        <f t="shared" ca="1" si="12"/>
        <v/>
      </c>
      <c r="X21" s="2495">
        <f t="shared" ca="1" si="5"/>
        <v>5.7204674592487136E-3</v>
      </c>
      <c r="Y21" s="2697"/>
      <c r="Z21" s="2497">
        <f t="shared" ca="1" si="6"/>
        <v>0</v>
      </c>
      <c r="AA21" s="2496">
        <v>0</v>
      </c>
      <c r="AB21" s="2497">
        <f t="shared" ca="1" si="11"/>
        <v>0</v>
      </c>
      <c r="AC21" s="2283" t="str">
        <f t="shared" ca="1" si="7"/>
        <v/>
      </c>
      <c r="AD21" s="2314" t="s">
        <v>2264</v>
      </c>
      <c r="AE21" s="458">
        <v>1</v>
      </c>
      <c r="AF21" s="2278" t="s">
        <v>853</v>
      </c>
      <c r="AG21" s="2345">
        <v>4.7513129789791636E-2</v>
      </c>
    </row>
    <row r="22" spans="1:34">
      <c r="A22" s="2298" t="s">
        <v>336</v>
      </c>
      <c r="B22" s="2278" t="s">
        <v>324</v>
      </c>
      <c r="C22" s="2278" t="str">
        <f>INDEX(Programs!B:B,MATCH(' Summary by Program 2020-21'!B22,Programs!$E:$E,0))</f>
        <v>Super-Efficient Dryers</v>
      </c>
      <c r="D22" s="2304">
        <v>0.8</v>
      </c>
      <c r="E22" s="2304">
        <v>1.3431744455489001</v>
      </c>
      <c r="F22" s="2304">
        <v>0.8</v>
      </c>
      <c r="G22" s="2304">
        <v>1.27916152650314</v>
      </c>
      <c r="H22" s="2701"/>
      <c r="I22" s="2606" t="str">
        <f>INDEX(Programs!B:B,MATCH(' Summary by Program 2020-21'!B22,Programs!$E:$E,0))</f>
        <v>Super-Efficient Dryers</v>
      </c>
      <c r="J22" s="2316" t="s">
        <v>430</v>
      </c>
      <c r="K22" s="2317">
        <f t="shared" ca="1" si="8"/>
        <v>0.28693283082486981</v>
      </c>
      <c r="L22" s="2318" t="str">
        <f ca="1">TEXT(R22*D22+X22*F22,"0.##")&amp;"-"&amp;TEXT(R22*E22+G22*X22,"0.#0")</f>
        <v>0.23-0.38</v>
      </c>
      <c r="M22" s="2319">
        <f t="shared" si="9"/>
        <v>0</v>
      </c>
      <c r="N22" s="2319">
        <f t="shared" ca="1" si="0"/>
        <v>0</v>
      </c>
      <c r="O22" s="2286">
        <f t="shared" si="0"/>
        <v>0</v>
      </c>
      <c r="P22" s="2319">
        <f t="shared" ca="1" si="1"/>
        <v>0</v>
      </c>
      <c r="Q22" s="2287" t="str">
        <f t="shared" ca="1" si="2"/>
        <v/>
      </c>
      <c r="R22" s="2502">
        <f t="shared" ca="1" si="10"/>
        <v>0.14360798026500571</v>
      </c>
      <c r="S22" s="2503">
        <v>0</v>
      </c>
      <c r="T22" s="2504">
        <f t="shared" ca="1" si="3"/>
        <v>0</v>
      </c>
      <c r="U22" s="2503">
        <v>0</v>
      </c>
      <c r="V22" s="2504">
        <f t="shared" ca="1" si="4"/>
        <v>0</v>
      </c>
      <c r="W22" s="2505" t="str">
        <f t="shared" ca="1" si="12"/>
        <v/>
      </c>
      <c r="X22" s="2502">
        <f t="shared" ca="1" si="5"/>
        <v>0.1433248505598641</v>
      </c>
      <c r="Y22" s="2503">
        <v>0</v>
      </c>
      <c r="Z22" s="2504">
        <f t="shared" ca="1" si="6"/>
        <v>0</v>
      </c>
      <c r="AA22" s="2503">
        <v>0</v>
      </c>
      <c r="AB22" s="2504">
        <f t="shared" ca="1" si="11"/>
        <v>0</v>
      </c>
      <c r="AC22" s="2287" t="str">
        <f t="shared" ca="1" si="7"/>
        <v/>
      </c>
      <c r="AD22" s="2308" t="str">
        <f>Clothes_Dryers!V2</f>
        <v>RTF</v>
      </c>
      <c r="AE22" s="458">
        <v>1</v>
      </c>
      <c r="AF22" s="2278" t="s">
        <v>854</v>
      </c>
      <c r="AG22" s="2345">
        <v>6.7866936711764268E-3</v>
      </c>
    </row>
    <row r="23" spans="1:34" ht="15" customHeight="1">
      <c r="A23" s="2298" t="s">
        <v>156</v>
      </c>
      <c r="B23" s="2278" t="s">
        <v>307</v>
      </c>
      <c r="C23" s="2278" t="str">
        <f>INDEX(Programs!B:B,MATCH(' Summary by Program 2020-21'!B23,Programs!$E:$E,0))</f>
        <v>Building Operator Certification Expansion</v>
      </c>
      <c r="D23" s="2304">
        <v>0.85</v>
      </c>
      <c r="E23" s="2304">
        <v>1.2</v>
      </c>
      <c r="F23" s="2304">
        <v>1</v>
      </c>
      <c r="G23" s="2304">
        <v>1.2</v>
      </c>
      <c r="H23" s="2698" t="s">
        <v>844</v>
      </c>
      <c r="I23" s="2607" t="str">
        <f>INDEX(Programs!B:B,MATCH(' Summary by Program 2020-21'!B23,Programs!$E:$E,0))</f>
        <v>Building Operator Certification Expansion</v>
      </c>
      <c r="J23" s="2321" t="s">
        <v>855</v>
      </c>
      <c r="K23" s="2322">
        <f t="shared" ca="1" si="8"/>
        <v>0.12625698233774463</v>
      </c>
      <c r="L23" s="2288" t="str">
        <f ca="1">TEXT(R23*D23+X23*F23,"0.##")&amp;"-"&amp;TEXT(R23*E23+G23*X23,"0.#0")</f>
        <v>0.12-0.15</v>
      </c>
      <c r="M23" s="2323">
        <f t="shared" si="9"/>
        <v>0</v>
      </c>
      <c r="N23" s="2324">
        <f t="shared" ca="1" si="0"/>
        <v>0</v>
      </c>
      <c r="O23" s="2288">
        <f t="shared" si="0"/>
        <v>0</v>
      </c>
      <c r="P23" s="2324">
        <f t="shared" ca="1" si="1"/>
        <v>0</v>
      </c>
      <c r="Q23" s="2289" t="str">
        <f t="shared" ca="1" si="2"/>
        <v/>
      </c>
      <c r="R23" s="2506">
        <f t="shared" ca="1" si="10"/>
        <v>6.3128491168872314E-2</v>
      </c>
      <c r="S23" s="2507">
        <v>0</v>
      </c>
      <c r="T23" s="2508">
        <f t="shared" ca="1" si="3"/>
        <v>0</v>
      </c>
      <c r="U23" s="2507">
        <v>0</v>
      </c>
      <c r="V23" s="2508">
        <f t="shared" ca="1" si="4"/>
        <v>0</v>
      </c>
      <c r="W23" s="2509" t="str">
        <f t="shared" ca="1" si="12"/>
        <v/>
      </c>
      <c r="X23" s="2506">
        <f t="shared" ca="1" si="5"/>
        <v>6.3128491168872314E-2</v>
      </c>
      <c r="Y23" s="2507">
        <v>0</v>
      </c>
      <c r="Z23" s="2508">
        <f t="shared" ca="1" si="6"/>
        <v>0</v>
      </c>
      <c r="AA23" s="2507">
        <v>0</v>
      </c>
      <c r="AB23" s="2508">
        <f t="shared" ca="1" si="11"/>
        <v>0</v>
      </c>
      <c r="AC23" s="2289" t="str">
        <f t="shared" ca="1" si="7"/>
        <v/>
      </c>
      <c r="AD23" s="2314" t="s">
        <v>2264</v>
      </c>
      <c r="AE23" s="458">
        <v>1</v>
      </c>
      <c r="AF23" s="2278" t="s">
        <v>430</v>
      </c>
      <c r="AG23" s="2345">
        <v>0.23551219585370944</v>
      </c>
      <c r="AH23" s="2345">
        <v>0.19615580999999999</v>
      </c>
    </row>
    <row r="24" spans="1:34">
      <c r="A24" s="2298" t="s">
        <v>329</v>
      </c>
      <c r="B24" s="2278" t="s">
        <v>309</v>
      </c>
      <c r="C24" s="2278" t="str">
        <f>INDEX(Programs!B:B,MATCH(' Summary by Program 2020-21'!B24,Programs!$E:$E,0))</f>
        <v>Commissioning Buildings</v>
      </c>
      <c r="D24" s="2304">
        <v>0.5</v>
      </c>
      <c r="E24" s="2304">
        <v>1.2</v>
      </c>
      <c r="F24" s="2304">
        <v>0.5</v>
      </c>
      <c r="G24" s="2304">
        <v>1.2</v>
      </c>
      <c r="H24" s="2699"/>
      <c r="I24" s="2605" t="str">
        <f>INDEX(Programs!B:B,MATCH(' Summary by Program 2020-21'!B24,Programs!$E:$E,0))</f>
        <v>Commissioning Buildings</v>
      </c>
      <c r="J24" s="2313" t="s">
        <v>856</v>
      </c>
      <c r="K24" s="2310">
        <f t="shared" ca="1" si="8"/>
        <v>0.1113748148296836</v>
      </c>
      <c r="L24" s="2280" t="str">
        <f ca="1">TEXT(R24*D24+X24*F24,"0.##")&amp;"-"&amp;TEXT(R24*E24+G24*X24,"0.#0")</f>
        <v>0.06-0.13</v>
      </c>
      <c r="M24" s="2311">
        <f t="shared" si="9"/>
        <v>0</v>
      </c>
      <c r="N24" s="2311">
        <f t="shared" ca="1" si="0"/>
        <v>0</v>
      </c>
      <c r="O24" s="2282">
        <f t="shared" si="0"/>
        <v>0</v>
      </c>
      <c r="P24" s="2311">
        <f t="shared" ca="1" si="1"/>
        <v>0</v>
      </c>
      <c r="Q24" s="2283" t="str">
        <f t="shared" ca="1" si="2"/>
        <v/>
      </c>
      <c r="R24" s="2495">
        <f t="shared" ca="1" si="10"/>
        <v>5.7459395423248655E-2</v>
      </c>
      <c r="S24" s="2496">
        <v>0</v>
      </c>
      <c r="T24" s="2497">
        <f t="shared" ca="1" si="3"/>
        <v>0</v>
      </c>
      <c r="U24" s="2496">
        <v>0</v>
      </c>
      <c r="V24" s="2497">
        <f t="shared" ca="1" si="4"/>
        <v>0</v>
      </c>
      <c r="W24" s="2498" t="str">
        <f t="shared" ca="1" si="12"/>
        <v/>
      </c>
      <c r="X24" s="2495">
        <f t="shared" ca="1" si="5"/>
        <v>5.3915419406434947E-2</v>
      </c>
      <c r="Y24" s="2496">
        <v>0</v>
      </c>
      <c r="Z24" s="2497">
        <f t="shared" ca="1" si="6"/>
        <v>0</v>
      </c>
      <c r="AA24" s="2496">
        <v>0</v>
      </c>
      <c r="AB24" s="2497">
        <f t="shared" ca="1" si="11"/>
        <v>0</v>
      </c>
      <c r="AC24" s="2283" t="str">
        <f t="shared" ca="1" si="7"/>
        <v/>
      </c>
      <c r="AD24" s="2314" t="s">
        <v>2264</v>
      </c>
      <c r="AE24" s="458">
        <v>1</v>
      </c>
      <c r="AF24" s="2278" t="s">
        <v>855</v>
      </c>
      <c r="AG24" s="2345">
        <v>0.12387849464255199</v>
      </c>
      <c r="AH24" s="2345">
        <v>0.11925117</v>
      </c>
    </row>
    <row r="25" spans="1:34">
      <c r="A25" s="2298" t="s">
        <v>330</v>
      </c>
      <c r="B25" s="2278" t="s">
        <v>310</v>
      </c>
      <c r="C25" s="2278" t="str">
        <f>INDEX(Programs!B:B,MATCH(' Summary by Program 2020-21'!B25,Programs!$E:$E,0))</f>
        <v>Desktop Power Supplies</v>
      </c>
      <c r="D25" s="2304">
        <v>0.85</v>
      </c>
      <c r="E25" s="2304">
        <v>1.05</v>
      </c>
      <c r="F25" s="2304">
        <v>0.85</v>
      </c>
      <c r="G25" s="2304">
        <v>1.05</v>
      </c>
      <c r="H25" s="2699"/>
      <c r="I25" s="2605" t="str">
        <f>INDEX(Programs!B:B,MATCH(' Summary by Program 2020-21'!B25,Programs!$E:$E,0))</f>
        <v>Desktop Power Supplies</v>
      </c>
      <c r="J25" s="2313" t="s">
        <v>2354</v>
      </c>
      <c r="K25" s="2310">
        <f ca="1">R25+X25</f>
        <v>0.21344876044530314</v>
      </c>
      <c r="L25" s="2280" t="str">
        <f ca="1">TEXT(R25*D25+X25*F25,"0.##")&amp;"-"&amp;TEXT(R25*E25+G25*X25,"0.#0")</f>
        <v>0.18-0.22</v>
      </c>
      <c r="M25" s="2311" t="e">
        <f>S25+Y25</f>
        <v>#VALUE!</v>
      </c>
      <c r="N25" s="2311">
        <f t="shared" ca="1" si="0"/>
        <v>0</v>
      </c>
      <c r="O25" s="2282">
        <f t="shared" si="0"/>
        <v>0</v>
      </c>
      <c r="P25" s="2311">
        <f t="shared" ca="1" si="1"/>
        <v>0</v>
      </c>
      <c r="Q25" s="2283">
        <f>W25+AC25</f>
        <v>0</v>
      </c>
      <c r="R25" s="2495">
        <f ca="1">SUMIFS(INDIRECT($A25&amp;"!$w:$w"),INDIRECT($A25&amp;"!$f:$f"),R$1,INDIRECT($A25&amp;"!$i:$i"),$C25,INDIRECT($A25&amp;"!$l:$l"),$I$1)</f>
        <v>0.21344876044530314</v>
      </c>
      <c r="S25" s="2496" t="e">
        <v>#VALUE!</v>
      </c>
      <c r="T25" s="2497">
        <f ca="1">SUMIFS(INDIRECT($A25&amp;"!$w:$w"),INDIRECT($A25&amp;"!$f:$f"),T$1,INDIRECT($A25&amp;"!$i:$i"),$C25,INDIRECT($A25&amp;"!$l:$l"),$I$1)</f>
        <v>0</v>
      </c>
      <c r="U25" s="2496">
        <v>0</v>
      </c>
      <c r="V25" s="2497">
        <f ca="1">SUMIFS(INDIRECT($A25&amp;"!$w:$w"),INDIRECT($A25&amp;"!$f:$f"),V$1,INDIRECT($A25&amp;"!$i:$i"),$C25,INDIRECT($A25&amp;"!$l:$l"),$I$1)</f>
        <v>0</v>
      </c>
      <c r="W25" s="2498">
        <v>0</v>
      </c>
      <c r="X25" s="2495">
        <f ca="1">SUMIFS(INDIRECT($A25&amp;"!$w:$w"),INDIRECT($A25&amp;"!$f:$f"),X$1,INDIRECT($A25&amp;"!$i:$i"),$C25,INDIRECT($A25&amp;"!$l:$l"),$J$1)</f>
        <v>0</v>
      </c>
      <c r="Y25" s="2496" t="e">
        <v>#VALUE!</v>
      </c>
      <c r="Z25" s="2497">
        <f t="shared" ca="1" si="6"/>
        <v>0</v>
      </c>
      <c r="AA25" s="2496">
        <v>0</v>
      </c>
      <c r="AB25" s="2497">
        <f ca="1">SUMIFS(INDIRECT($A25&amp;"!$w:$w"),INDIRECT($A25&amp;"!$f:$f"),AB$1,INDIRECT($A25&amp;"!$i:$i"),$C25,INDIRECT($A25&amp;"!$l:$l"),$K$1)</f>
        <v>0</v>
      </c>
      <c r="AC25" s="2283">
        <v>0</v>
      </c>
      <c r="AD25" s="2314" t="s">
        <v>272</v>
      </c>
      <c r="AE25" s="458">
        <v>1</v>
      </c>
      <c r="AF25" s="2278" t="s">
        <v>856</v>
      </c>
      <c r="AG25" s="2345">
        <v>0.11671203434061993</v>
      </c>
      <c r="AH25" s="2345">
        <v>0.30864535999999998</v>
      </c>
    </row>
    <row r="26" spans="1:34">
      <c r="A26" s="2298" t="s">
        <v>1607</v>
      </c>
      <c r="B26" s="2278" t="s">
        <v>1401</v>
      </c>
      <c r="C26" s="2278" t="s">
        <v>1455</v>
      </c>
      <c r="D26" s="2312">
        <f>D25</f>
        <v>0.85</v>
      </c>
      <c r="E26" s="2312">
        <f t="shared" ref="E26:G26" si="13">E25</f>
        <v>1.05</v>
      </c>
      <c r="F26" s="2312">
        <f t="shared" si="13"/>
        <v>0.85</v>
      </c>
      <c r="G26" s="2312">
        <f t="shared" si="13"/>
        <v>1.05</v>
      </c>
      <c r="H26" s="2699"/>
      <c r="I26" s="2605" t="s">
        <v>1562</v>
      </c>
      <c r="J26" s="2313" t="s">
        <v>2355</v>
      </c>
      <c r="K26" s="2310">
        <f ca="1">R26+X26</f>
        <v>0</v>
      </c>
      <c r="L26" s="2280" t="str">
        <f ca="1">TEXT(R26*D26+X26*F26,"0.##")&amp;"-"&amp;TEXT(R26*E26+G26*X26,"0.#0")</f>
        <v>0.-0.0</v>
      </c>
      <c r="M26" s="2311">
        <v>0</v>
      </c>
      <c r="N26" s="2311">
        <f t="shared" ca="1" si="0"/>
        <v>0</v>
      </c>
      <c r="O26" s="2282">
        <f>U26+AA26</f>
        <v>0</v>
      </c>
      <c r="P26" s="2311">
        <f t="shared" ca="1" si="1"/>
        <v>3.7264898462345236E-2</v>
      </c>
      <c r="Q26" s="2283">
        <f>W26+AC26</f>
        <v>0</v>
      </c>
      <c r="R26" s="2495">
        <f ca="1">SUMIFS(INDIRECT($A26&amp;"!$w:$w"),INDIRECT($A26&amp;"!$f:$f"),R$1,INDIRECT($A26&amp;"!$j:$j"),$C26,INDIRECT($A26&amp;"!$l:$l"),$I$1)</f>
        <v>0</v>
      </c>
      <c r="S26" s="2500"/>
      <c r="T26" s="2497">
        <f t="shared" ca="1" si="3"/>
        <v>0</v>
      </c>
      <c r="U26" s="2496">
        <v>0</v>
      </c>
      <c r="V26" s="2497">
        <f ca="1">SUMIFS(INDIRECT($A26&amp;"!$w:$w"),INDIRECT($A26&amp;"!$f:$f"),V$1,INDIRECT($A26&amp;"!$j:$j"),$C26,INDIRECT($A26&amp;"!$l:$l"),$I$1)</f>
        <v>1.7227128634773287E-2</v>
      </c>
      <c r="W26" s="2498">
        <v>0</v>
      </c>
      <c r="X26" s="2495">
        <f ca="1">SUMIFS(INDIRECT($A26&amp;"!$w:$w"),INDIRECT($A26&amp;"!$f:$f"),X$1,INDIRECT($A26&amp;"!$j:$j"),$C26,INDIRECT($A26&amp;"!$l:$l"),$J$1)</f>
        <v>0</v>
      </c>
      <c r="Y26" s="2496">
        <v>0</v>
      </c>
      <c r="Z26" s="2497">
        <f t="shared" ca="1" si="6"/>
        <v>0</v>
      </c>
      <c r="AA26" s="2496">
        <v>0</v>
      </c>
      <c r="AB26" s="2497">
        <f ca="1">SUMIFS(INDIRECT($A26&amp;"!$w:$w"),INDIRECT($A26&amp;"!$f:$f"),AB$1,INDIRECT($A26&amp;"!$j:$j"),$C26,INDIRECT($A26&amp;"!$l:$l"),$K$1)</f>
        <v>2.0037769827571945E-2</v>
      </c>
      <c r="AC26" s="2283">
        <v>0</v>
      </c>
      <c r="AD26" s="2314" t="s">
        <v>272</v>
      </c>
      <c r="AE26" s="458">
        <v>0</v>
      </c>
      <c r="AF26" s="2278" t="s">
        <v>1618</v>
      </c>
      <c r="AG26" s="2345">
        <v>0</v>
      </c>
      <c r="AH26" s="2345">
        <v>0</v>
      </c>
    </row>
    <row r="27" spans="1:34">
      <c r="A27" s="2298" t="s">
        <v>845</v>
      </c>
      <c r="B27" s="2278" t="s">
        <v>312</v>
      </c>
      <c r="C27" s="2278" t="str">
        <f>INDEX(Programs!B:B,MATCH(' Summary by Program 2020-21'!B27,Programs!$E:$E,0))</f>
        <v>Luminaire Level Lighting Controls</v>
      </c>
      <c r="D27" s="2304">
        <v>0</v>
      </c>
      <c r="E27" s="2304">
        <v>1</v>
      </c>
      <c r="F27" s="2304">
        <v>0</v>
      </c>
      <c r="G27" s="2304">
        <v>1</v>
      </c>
      <c r="H27" s="2699"/>
      <c r="I27" s="2605" t="str">
        <f>INDEX(Programs!B:B,MATCH(' Summary by Program 2020-21'!B27,Programs!$E:$E,0))</f>
        <v>Luminaire Level Lighting Controls</v>
      </c>
      <c r="J27" s="2313" t="s">
        <v>667</v>
      </c>
      <c r="K27" s="2310">
        <f t="shared" ca="1" si="8"/>
        <v>2.4022302904800001E-2</v>
      </c>
      <c r="L27" s="2280" t="e">
        <f ca="1">TEXT(K27,"0.00")&amp;"-"&amp;TEXT(K27-#REF!,"0.##")</f>
        <v>#REF!</v>
      </c>
      <c r="M27" s="2311">
        <f t="shared" si="9"/>
        <v>0</v>
      </c>
      <c r="N27" s="2311">
        <f t="shared" ca="1" si="0"/>
        <v>0</v>
      </c>
      <c r="O27" s="2282">
        <f t="shared" si="0"/>
        <v>0</v>
      </c>
      <c r="P27" s="2311">
        <f t="shared" ca="1" si="1"/>
        <v>0</v>
      </c>
      <c r="Q27" s="2283" t="str">
        <f t="shared" ca="1" si="2"/>
        <v/>
      </c>
      <c r="R27" s="2495">
        <f t="shared" ca="1" si="10"/>
        <v>1.6274063728000001E-4</v>
      </c>
      <c r="S27" s="2496">
        <v>0</v>
      </c>
      <c r="T27" s="2497">
        <f t="shared" ca="1" si="3"/>
        <v>0</v>
      </c>
      <c r="U27" s="2496">
        <v>0</v>
      </c>
      <c r="V27" s="2497">
        <f t="shared" ca="1" si="4"/>
        <v>0</v>
      </c>
      <c r="W27" s="2498" t="str">
        <f t="shared" ca="1" si="12"/>
        <v/>
      </c>
      <c r="X27" s="2495">
        <f t="shared" ca="1" si="5"/>
        <v>2.385956226752E-2</v>
      </c>
      <c r="Y27" s="2496">
        <v>0</v>
      </c>
      <c r="Z27" s="2497">
        <f t="shared" ca="1" si="6"/>
        <v>0</v>
      </c>
      <c r="AA27" s="2496">
        <v>0</v>
      </c>
      <c r="AB27" s="2497">
        <f t="shared" ca="1" si="11"/>
        <v>0</v>
      </c>
      <c r="AC27" s="2283" t="str">
        <f t="shared" ca="1" si="7"/>
        <v/>
      </c>
      <c r="AD27" s="2314" t="s">
        <v>2264</v>
      </c>
      <c r="AE27" s="458">
        <v>1</v>
      </c>
      <c r="AF27" s="2278" t="s">
        <v>1620</v>
      </c>
      <c r="AG27" s="2345">
        <v>0.14258707067081677</v>
      </c>
      <c r="AH27" s="2345">
        <v>0</v>
      </c>
    </row>
    <row r="28" spans="1:34">
      <c r="A28" s="2298" t="s">
        <v>331</v>
      </c>
      <c r="B28" s="2278" t="s">
        <v>313</v>
      </c>
      <c r="C28" s="2278" t="str">
        <f>INDEX(Programs!B:B,MATCH(' Summary by Program 2020-21'!B28,Programs!$E:$E,0))</f>
        <v>Other Codes (Commercial)</v>
      </c>
      <c r="D28" s="2304">
        <v>0.7</v>
      </c>
      <c r="E28" s="2304">
        <v>1</v>
      </c>
      <c r="F28" s="2304">
        <v>0.8</v>
      </c>
      <c r="G28" s="2304">
        <v>1.25</v>
      </c>
      <c r="H28" s="2699"/>
      <c r="I28" s="2605" t="str">
        <f>INDEX(Programs!B:B,MATCH(' Summary by Program 2020-21'!B28,Programs!$E:$E,0))</f>
        <v>Other Codes (Commercial)</v>
      </c>
      <c r="J28" s="2313" t="s">
        <v>857</v>
      </c>
      <c r="K28" s="2310">
        <f t="shared" ca="1" si="8"/>
        <v>0</v>
      </c>
      <c r="L28" s="2282">
        <v>0</v>
      </c>
      <c r="M28" s="2311">
        <f t="shared" si="9"/>
        <v>0</v>
      </c>
      <c r="N28" s="2315">
        <f ca="1">T28+Z28</f>
        <v>1.0858780424257295</v>
      </c>
      <c r="O28" s="2282">
        <f t="shared" si="0"/>
        <v>0</v>
      </c>
      <c r="P28" s="2311">
        <f t="shared" ca="1" si="1"/>
        <v>0</v>
      </c>
      <c r="Q28" s="2283" t="str">
        <f t="shared" ca="1" si="2"/>
        <v/>
      </c>
      <c r="R28" s="2495">
        <f t="shared" ca="1" si="10"/>
        <v>0</v>
      </c>
      <c r="S28" s="2496">
        <v>0</v>
      </c>
      <c r="T28" s="2497">
        <f ca="1">SUMIFS(INDIRECT($A28&amp;"!$v:$v"),INDIRECT($A28&amp;"!$f:$f"),T$1,INDIRECT($A28&amp;"!$i:$i"),$C28,INDIRECT($A28&amp;"!$l:$l"),$I$1)</f>
        <v>0.49694806493109639</v>
      </c>
      <c r="U28" s="2496">
        <v>0</v>
      </c>
      <c r="V28" s="2497">
        <f t="shared" ca="1" si="4"/>
        <v>0</v>
      </c>
      <c r="W28" s="2498" t="str">
        <f t="shared" ca="1" si="12"/>
        <v/>
      </c>
      <c r="X28" s="2495">
        <f ca="1">SUMIFS(INDIRECT($A28&amp;"!$v:$v"),INDIRECT($A28&amp;"!$f:$f"),X$1,INDIRECT($A28&amp;"!$i:$i"),$C28,INDIRECT($A28&amp;"!$l:$l"),$J$1)</f>
        <v>0</v>
      </c>
      <c r="Y28" s="2496">
        <v>0</v>
      </c>
      <c r="Z28" s="2497">
        <f t="shared" ca="1" si="6"/>
        <v>0.58892997749463305</v>
      </c>
      <c r="AA28" s="2496">
        <v>0</v>
      </c>
      <c r="AB28" s="2497">
        <f t="shared" ca="1" si="11"/>
        <v>0</v>
      </c>
      <c r="AC28" s="2283" t="str">
        <f t="shared" ca="1" si="7"/>
        <v/>
      </c>
      <c r="AD28" s="2314" t="s">
        <v>2264</v>
      </c>
      <c r="AE28" s="458">
        <v>0</v>
      </c>
      <c r="AF28" s="2278" t="s">
        <v>667</v>
      </c>
      <c r="AG28" s="2345">
        <v>8.9996192000000013E-4</v>
      </c>
      <c r="AH28" s="2345">
        <v>1.6298550000000002E-2</v>
      </c>
    </row>
    <row r="29" spans="1:34" ht="27.6">
      <c r="A29" s="2298" t="s">
        <v>877</v>
      </c>
      <c r="B29" s="2278" t="s">
        <v>325</v>
      </c>
      <c r="C29" s="2278" t="str">
        <f>INDEX(Programs!B:B,MATCH(' Summary by Program 2020-21'!B29,Programs!$E:$E,0))</f>
        <v>Other Non-Residential Standards</v>
      </c>
      <c r="D29" s="2304">
        <v>1</v>
      </c>
      <c r="E29" s="2304">
        <v>1.7124543307867244</v>
      </c>
      <c r="F29" s="2304">
        <v>1</v>
      </c>
      <c r="G29" s="2304">
        <v>1.6817700379770852</v>
      </c>
      <c r="H29" s="2700"/>
      <c r="I29" s="2605" t="str">
        <f>INDEX(Programs!B:B,MATCH(' Summary by Program 2020-21'!B29,Programs!$E:$E,0))</f>
        <v>Other Non-Residential Standards</v>
      </c>
      <c r="J29" s="2603" t="s">
        <v>2476</v>
      </c>
      <c r="K29" s="2310">
        <f t="shared" ca="1" si="8"/>
        <v>0</v>
      </c>
      <c r="L29" s="2282">
        <v>0</v>
      </c>
      <c r="M29" s="2311">
        <f t="shared" si="9"/>
        <v>0</v>
      </c>
      <c r="N29" s="2315">
        <f ca="1">T29+Z29</f>
        <v>1.0866861327640207</v>
      </c>
      <c r="O29" s="2282">
        <f t="shared" si="0"/>
        <v>0</v>
      </c>
      <c r="P29" s="2311">
        <f t="shared" ca="1" si="1"/>
        <v>1.8577547782607694E-2</v>
      </c>
      <c r="Q29" s="2283" t="str">
        <f t="shared" ca="1" si="2"/>
        <v>(.02-.03)</v>
      </c>
      <c r="R29" s="2495">
        <f t="shared" ca="1" si="10"/>
        <v>0</v>
      </c>
      <c r="S29" s="2496">
        <v>0</v>
      </c>
      <c r="T29" s="2497">
        <f ca="1">SUMIFS(INDIRECT($A29&amp;"!$v:$v"),INDIRECT($A29&amp;"!$f:$f"),T$1,INDIRECT($A29&amp;"!$i:$i"),$C29,INDIRECT($A29&amp;"!$l:$l"),$I$1,INDIRECT($A29&amp;"!$h:$h"),"Commercial")</f>
        <v>0.52745817894351255</v>
      </c>
      <c r="U29" s="2496">
        <v>0</v>
      </c>
      <c r="V29" s="2497">
        <f t="shared" ca="1" si="4"/>
        <v>9.396205673160107E-3</v>
      </c>
      <c r="W29" s="2498" t="str">
        <f t="shared" ca="1" si="12"/>
        <v>(.01-.02)</v>
      </c>
      <c r="X29" s="2495">
        <f t="shared" ca="1" si="5"/>
        <v>0</v>
      </c>
      <c r="Y29" s="2496">
        <v>0</v>
      </c>
      <c r="Z29" s="2497">
        <f ca="1">SUMIFS(INDIRECT($A29&amp;"!$v:$v"),INDIRECT($A29&amp;"!$f:$f"),Z$1,INDIRECT($A29&amp;"!$i:$i"),$C29,INDIRECT($A29&amp;"!$l:$l"),$J$1,INDIRECT($A29&amp;"!$h:$h"),"Commercial")</f>
        <v>0.55922795382050816</v>
      </c>
      <c r="AA29" s="2496">
        <v>0</v>
      </c>
      <c r="AB29" s="2497">
        <f t="shared" ca="1" si="11"/>
        <v>9.1813421094475867E-3</v>
      </c>
      <c r="AC29" s="2283" t="str">
        <f t="shared" ca="1" si="7"/>
        <v>(.01-.02)</v>
      </c>
      <c r="AD29" s="2314" t="s">
        <v>2264</v>
      </c>
      <c r="AE29" s="458">
        <v>0</v>
      </c>
      <c r="AF29" s="2278" t="s">
        <v>857</v>
      </c>
      <c r="AG29" s="2345">
        <v>0</v>
      </c>
      <c r="AH29" s="2345">
        <v>0</v>
      </c>
    </row>
    <row r="30" spans="1:34" ht="18" customHeight="1">
      <c r="B30" s="2278"/>
      <c r="C30" s="2278"/>
      <c r="D30" s="2304"/>
      <c r="E30" s="2304"/>
      <c r="F30" s="2304"/>
      <c r="G30" s="2304"/>
      <c r="H30" s="2700"/>
      <c r="I30" s="2609" t="s">
        <v>1847</v>
      </c>
      <c r="J30" s="2313" t="s">
        <v>2502</v>
      </c>
      <c r="K30" s="2665" t="s">
        <v>483</v>
      </c>
      <c r="L30" s="2318"/>
      <c r="M30" s="2319"/>
      <c r="N30" s="2648" t="s">
        <v>483</v>
      </c>
      <c r="O30" s="2285"/>
      <c r="P30" s="2648" t="s">
        <v>483</v>
      </c>
      <c r="Q30" s="2287"/>
      <c r="R30" s="2664" t="s">
        <v>483</v>
      </c>
      <c r="S30" s="2503"/>
      <c r="T30" s="2648" t="s">
        <v>483</v>
      </c>
      <c r="U30" s="2285"/>
      <c r="V30" s="2648" t="s">
        <v>483</v>
      </c>
      <c r="W30" s="2505"/>
      <c r="X30" s="2664" t="s">
        <v>483</v>
      </c>
      <c r="Y30" s="2503"/>
      <c r="Z30" s="2648" t="s">
        <v>483</v>
      </c>
      <c r="AA30" s="2285"/>
      <c r="AB30" s="2648" t="s">
        <v>483</v>
      </c>
      <c r="AC30" s="2287"/>
      <c r="AD30" s="2314" t="s">
        <v>2506</v>
      </c>
      <c r="AG30" s="2345"/>
    </row>
    <row r="31" spans="1:34">
      <c r="A31" s="2298" t="s">
        <v>845</v>
      </c>
      <c r="B31" s="2278" t="s">
        <v>314</v>
      </c>
      <c r="C31" s="2278" t="str">
        <f>INDEX(Programs!B:B,MATCH(' Summary by Program 2020-21'!B31,Programs!$E:$E,0))</f>
        <v>Reduced Wattage Lamp Replacement</v>
      </c>
      <c r="D31" s="2304">
        <v>0.46644755479033329</v>
      </c>
      <c r="E31" s="2304">
        <v>2.3861106920166337</v>
      </c>
      <c r="F31" s="2304">
        <v>0.44815999025199815</v>
      </c>
      <c r="G31" s="2304">
        <v>3.0053033891678358</v>
      </c>
      <c r="H31" s="2701"/>
      <c r="I31" s="2606" t="str">
        <f>INDEX(Programs!B:B,MATCH(' Summary by Program 2020-21'!B31,Programs!$E:$E,0))</f>
        <v>Reduced Wattage Lamp Replacement</v>
      </c>
      <c r="J31" s="2325" t="s">
        <v>859</v>
      </c>
      <c r="K31" s="2326">
        <f t="shared" ca="1" si="8"/>
        <v>0.11874654515352953</v>
      </c>
      <c r="L31" s="2327" t="str">
        <f ca="1">TEXT(R31*D31+X31*F31,"0.##")&amp;"-"&amp;TEXT(R31*E31+G31*X31,"0.#0")</f>
        <v>0.05-0.32</v>
      </c>
      <c r="M31" s="2328" t="e">
        <f t="shared" si="9"/>
        <v>#VALUE!</v>
      </c>
      <c r="N31" s="2328">
        <f t="shared" ca="1" si="0"/>
        <v>0</v>
      </c>
      <c r="O31" s="2290">
        <f t="shared" si="0"/>
        <v>0</v>
      </c>
      <c r="P31" s="2328">
        <f t="shared" ca="1" si="1"/>
        <v>0</v>
      </c>
      <c r="Q31" s="2291" t="str">
        <f t="shared" ca="1" si="2"/>
        <v/>
      </c>
      <c r="R31" s="2510">
        <f t="shared" ca="1" si="10"/>
        <v>6.5228981871035999E-2</v>
      </c>
      <c r="S31" s="2511" t="e">
        <v>#VALUE!</v>
      </c>
      <c r="T31" s="2512">
        <f t="shared" ca="1" si="3"/>
        <v>0</v>
      </c>
      <c r="U31" s="2511">
        <v>0</v>
      </c>
      <c r="V31" s="2512">
        <f t="shared" ca="1" si="4"/>
        <v>0</v>
      </c>
      <c r="W31" s="2513" t="str">
        <f t="shared" ca="1" si="12"/>
        <v/>
      </c>
      <c r="X31" s="2510">
        <f t="shared" ca="1" si="5"/>
        <v>5.3517563282493533E-2</v>
      </c>
      <c r="Y31" s="2511" t="e">
        <v>#VALUE!</v>
      </c>
      <c r="Z31" s="2512">
        <f t="shared" ca="1" si="6"/>
        <v>0</v>
      </c>
      <c r="AA31" s="2511">
        <v>0</v>
      </c>
      <c r="AB31" s="2512">
        <f t="shared" ca="1" si="11"/>
        <v>0</v>
      </c>
      <c r="AC31" s="2291" t="str">
        <f t="shared" ca="1" si="7"/>
        <v/>
      </c>
      <c r="AD31" s="2308" t="str">
        <f>Com_Lighting!R3</f>
        <v>RTF</v>
      </c>
      <c r="AE31" s="458">
        <v>1</v>
      </c>
      <c r="AF31" s="2278" t="s">
        <v>1663</v>
      </c>
      <c r="AG31" s="2345">
        <v>0</v>
      </c>
      <c r="AH31" s="2345">
        <v>0</v>
      </c>
    </row>
    <row r="32" spans="1:34">
      <c r="A32" s="2298" t="s">
        <v>328</v>
      </c>
      <c r="B32" s="2278" t="s">
        <v>316</v>
      </c>
      <c r="C32" s="2278" t="str">
        <f>INDEX(Programs!B:B,MATCH(' Summary by Program 2020-21'!B32,Programs!$E:$E,0))</f>
        <v>Certified Refrigeration Energy Specialist (CRES)</v>
      </c>
      <c r="D32" s="2304">
        <v>0.1</v>
      </c>
      <c r="E32" s="2304">
        <v>2</v>
      </c>
      <c r="F32" s="2304">
        <v>0.1</v>
      </c>
      <c r="G32" s="2304">
        <v>2</v>
      </c>
      <c r="H32" s="2702" t="s">
        <v>33</v>
      </c>
      <c r="I32" s="2608" t="str">
        <f>INDEX(Programs!B:B,MATCH(' Summary by Program 2020-21'!B32,Programs!$E:$E,0))</f>
        <v>Certified Refrigeration Energy Specialist (CRES)</v>
      </c>
      <c r="J32" s="2321" t="s">
        <v>855</v>
      </c>
      <c r="K32" s="2322">
        <f t="shared" ca="1" si="8"/>
        <v>1.2405056384E-2</v>
      </c>
      <c r="L32" s="2280" t="str">
        <f ca="1">TEXT(R32*D32+X32*F32,"0.##")&amp;"-"&amp;TEXT(R32*E32+G32*X32,"0.#0")</f>
        <v>0.-0.02</v>
      </c>
      <c r="M32" s="2324">
        <f t="shared" si="9"/>
        <v>0</v>
      </c>
      <c r="N32" s="2324">
        <f t="shared" ca="1" si="0"/>
        <v>0</v>
      </c>
      <c r="O32" s="2288">
        <f t="shared" si="0"/>
        <v>0</v>
      </c>
      <c r="P32" s="2324">
        <f t="shared" ca="1" si="1"/>
        <v>0</v>
      </c>
      <c r="Q32" s="2289" t="str">
        <f t="shared" ca="1" si="2"/>
        <v/>
      </c>
      <c r="R32" s="2506">
        <f t="shared" ca="1" si="10"/>
        <v>5.5133584559999994E-3</v>
      </c>
      <c r="S32" s="2507">
        <v>0</v>
      </c>
      <c r="T32" s="2508">
        <f t="shared" ca="1" si="3"/>
        <v>0</v>
      </c>
      <c r="U32" s="2507">
        <v>0</v>
      </c>
      <c r="V32" s="2508">
        <f t="shared" ca="1" si="4"/>
        <v>0</v>
      </c>
      <c r="W32" s="2509" t="str">
        <f t="shared" ca="1" si="12"/>
        <v/>
      </c>
      <c r="X32" s="2506">
        <f t="shared" ca="1" si="5"/>
        <v>6.8916979280000011E-3</v>
      </c>
      <c r="Y32" s="2507">
        <v>0</v>
      </c>
      <c r="Z32" s="2508">
        <f t="shared" ca="1" si="6"/>
        <v>0</v>
      </c>
      <c r="AA32" s="2507">
        <v>0</v>
      </c>
      <c r="AB32" s="2508">
        <f t="shared" ca="1" si="11"/>
        <v>0</v>
      </c>
      <c r="AC32" s="2289" t="str">
        <f t="shared" ref="AC32:AC36" ca="1" si="14">IF(AB32=0,"","("&amp;TEXT(J32*AB32,"#.##")&amp;"-"&amp;TEXT(K32*AB32,"#.##")&amp;")")</f>
        <v/>
      </c>
      <c r="AD32" s="2314" t="s">
        <v>2264</v>
      </c>
      <c r="AE32" s="458">
        <v>1</v>
      </c>
      <c r="AF32" s="2278" t="s">
        <v>859</v>
      </c>
      <c r="AG32" s="2345">
        <v>0.14186119824350946</v>
      </c>
      <c r="AH32" s="2345">
        <v>0.24352025544645928</v>
      </c>
    </row>
    <row r="33" spans="1:34" ht="15" customHeight="1">
      <c r="A33" s="2298" t="s">
        <v>332</v>
      </c>
      <c r="B33" s="2278" t="s">
        <v>315</v>
      </c>
      <c r="C33" s="2278" t="str">
        <f>INDEX(Programs!B:B,MATCH(' Summary by Program 2020-21'!B33,Programs!$E:$E,0))</f>
        <v>Drive Power</v>
      </c>
      <c r="D33" s="2304">
        <v>0.6</v>
      </c>
      <c r="E33" s="2304">
        <v>1.25</v>
      </c>
      <c r="F33" s="2304">
        <v>0.6</v>
      </c>
      <c r="G33" s="2304">
        <v>1.25</v>
      </c>
      <c r="H33" s="2699"/>
      <c r="I33" s="2605" t="str">
        <f>INDEX(Programs!B:B,MATCH(' Summary by Program 2020-21'!B33,Programs!$E:$E,0))</f>
        <v>Drive Power</v>
      </c>
      <c r="J33" s="2313" t="s">
        <v>860</v>
      </c>
      <c r="K33" s="2310">
        <f t="shared" ca="1" si="8"/>
        <v>1.9648183484064507E-2</v>
      </c>
      <c r="L33" s="2280" t="str">
        <f ca="1">TEXT(R33*D33+X33*F33,"0.##")&amp;"-"&amp;TEXT(R33*E33+G33*X33,"0.#0")</f>
        <v>0.01-0.02</v>
      </c>
      <c r="M33" s="2311">
        <f t="shared" si="9"/>
        <v>0</v>
      </c>
      <c r="N33" s="2311">
        <f t="shared" ca="1" si="0"/>
        <v>0</v>
      </c>
      <c r="O33" s="2282">
        <f t="shared" si="0"/>
        <v>0</v>
      </c>
      <c r="P33" s="2311">
        <f t="shared" ca="1" si="1"/>
        <v>0</v>
      </c>
      <c r="Q33" s="2283" t="str">
        <f t="shared" ca="1" si="2"/>
        <v/>
      </c>
      <c r="R33" s="2495">
        <f t="shared" ca="1" si="10"/>
        <v>9.8240917420322534E-3</v>
      </c>
      <c r="S33" s="2496">
        <v>0</v>
      </c>
      <c r="T33" s="2497">
        <f t="shared" ca="1" si="3"/>
        <v>0</v>
      </c>
      <c r="U33" s="2496">
        <v>0</v>
      </c>
      <c r="V33" s="2497">
        <f t="shared" ca="1" si="4"/>
        <v>0</v>
      </c>
      <c r="W33" s="2498" t="str">
        <f t="shared" ca="1" si="12"/>
        <v/>
      </c>
      <c r="X33" s="2495">
        <f t="shared" ca="1" si="5"/>
        <v>9.8240917420322534E-3</v>
      </c>
      <c r="Y33" s="2496">
        <v>0</v>
      </c>
      <c r="Z33" s="2497">
        <f t="shared" ca="1" si="6"/>
        <v>0</v>
      </c>
      <c r="AA33" s="2496">
        <v>0</v>
      </c>
      <c r="AB33" s="2497">
        <f t="shared" ca="1" si="11"/>
        <v>0</v>
      </c>
      <c r="AC33" s="2283" t="str">
        <f t="shared" ca="1" si="14"/>
        <v/>
      </c>
      <c r="AD33" s="2308" t="str">
        <f>Motor_Rewinds!S2</f>
        <v>RTF</v>
      </c>
      <c r="AE33" s="458">
        <v>1</v>
      </c>
      <c r="AF33" s="2278" t="s">
        <v>855</v>
      </c>
      <c r="AG33" s="2345">
        <v>6.2844024099999993E-2</v>
      </c>
      <c r="AH33" s="2345">
        <v>0.11196422</v>
      </c>
    </row>
    <row r="34" spans="1:34" ht="15" customHeight="1">
      <c r="B34" s="2278"/>
      <c r="C34" s="2278"/>
      <c r="D34" s="2304"/>
      <c r="E34" s="2304"/>
      <c r="F34" s="2304"/>
      <c r="G34" s="2304"/>
      <c r="H34" s="2700"/>
      <c r="I34" s="2605" t="s">
        <v>2503</v>
      </c>
      <c r="J34" s="2313" t="s">
        <v>2504</v>
      </c>
      <c r="K34" s="2666" t="s">
        <v>483</v>
      </c>
      <c r="L34" s="2280"/>
      <c r="M34" s="2311"/>
      <c r="N34" s="2648" t="s">
        <v>483</v>
      </c>
      <c r="O34" s="2285"/>
      <c r="P34" s="2648" t="s">
        <v>483</v>
      </c>
      <c r="Q34" s="2287"/>
      <c r="R34" s="2663" t="s">
        <v>483</v>
      </c>
      <c r="S34" s="2496"/>
      <c r="T34" s="2648" t="s">
        <v>483</v>
      </c>
      <c r="U34" s="2285"/>
      <c r="V34" s="2648" t="s">
        <v>483</v>
      </c>
      <c r="W34" s="2505"/>
      <c r="X34" s="2664" t="s">
        <v>483</v>
      </c>
      <c r="Y34" s="2503"/>
      <c r="Z34" s="2648" t="s">
        <v>483</v>
      </c>
      <c r="AA34" s="2285"/>
      <c r="AB34" s="2648" t="s">
        <v>483</v>
      </c>
      <c r="AC34" s="2287"/>
      <c r="AD34" s="2314" t="s">
        <v>2506</v>
      </c>
      <c r="AG34" s="2345"/>
    </row>
    <row r="35" spans="1:34" ht="15" customHeight="1">
      <c r="A35" s="2298" t="s">
        <v>877</v>
      </c>
      <c r="B35" s="2278" t="s">
        <v>325</v>
      </c>
      <c r="C35" s="2278" t="str">
        <f>INDEX(Programs!B:B,MATCH(' Summary by Program 2020-21'!B35,Programs!$E:$E,0))</f>
        <v>Other Non-Residential Standards</v>
      </c>
      <c r="D35" s="2304">
        <v>1</v>
      </c>
      <c r="E35" s="2304">
        <v>1.7124543307867244</v>
      </c>
      <c r="F35" s="2304">
        <v>1</v>
      </c>
      <c r="G35" s="2304">
        <v>1.6817700379770852</v>
      </c>
      <c r="H35" s="2700"/>
      <c r="I35" s="2605" t="str">
        <f>INDEX(Programs!B:B,MATCH(' Summary by Program 2020-21'!B35,Programs!$E:$E,0))</f>
        <v>Other Non-Residential Standards</v>
      </c>
      <c r="J35" s="2313" t="s">
        <v>2477</v>
      </c>
      <c r="K35" s="2310">
        <f t="shared" ref="K35" ca="1" si="15">R35+X35</f>
        <v>0</v>
      </c>
      <c r="L35" s="2282">
        <v>0</v>
      </c>
      <c r="M35" s="2311">
        <f t="shared" ref="M35" si="16">S35+Y35</f>
        <v>0</v>
      </c>
      <c r="N35" s="2311">
        <f t="shared" ref="N35" ca="1" si="17">T35+Z35</f>
        <v>4.861501229798125E-2</v>
      </c>
      <c r="O35" s="2282">
        <f t="shared" ref="O35" si="18">U35+AA35</f>
        <v>0</v>
      </c>
      <c r="P35" s="2311">
        <f t="shared" ref="P35" ca="1" si="19">V35+AB35</f>
        <v>1.8577547782607694E-2</v>
      </c>
      <c r="Q35" s="2287"/>
      <c r="R35" s="2495">
        <f t="shared" ca="1" si="10"/>
        <v>0</v>
      </c>
      <c r="S35" s="2496">
        <v>0</v>
      </c>
      <c r="T35" s="2497">
        <f ca="1">SUMIFS(INDIRECT($A35&amp;"!$v:$v"),INDIRECT($A35&amp;"!$f:$f"),T$1,INDIRECT($A35&amp;"!$i:$i"),$C35,INDIRECT($A35&amp;"!$l:$l"),$I$1,INDIRECT($A35&amp;"!$h:$h"),"&lt;&gt;Commercial")</f>
        <v>3.8473767243272734E-2</v>
      </c>
      <c r="U35" s="2496">
        <v>0</v>
      </c>
      <c r="V35" s="2497">
        <f t="shared" ca="1" si="4"/>
        <v>9.396205673160107E-3</v>
      </c>
      <c r="W35" s="2505"/>
      <c r="X35" s="2502"/>
      <c r="Y35" s="2503"/>
      <c r="Z35" s="2497">
        <f ca="1">SUMIFS(INDIRECT($A35&amp;"!$v:$v"),INDIRECT($A35&amp;"!$f:$f"),Z$1,INDIRECT($A35&amp;"!$i:$i"),$C35,INDIRECT($A35&amp;"!$l:$l"),$J$1,INDIRECT($A35&amp;"!$h:$h"),"&lt;&gt;Commercial")</f>
        <v>1.0141245054708512E-2</v>
      </c>
      <c r="AA35" s="2503"/>
      <c r="AB35" s="2497">
        <f t="shared" ca="1" si="11"/>
        <v>9.1813421094475867E-3</v>
      </c>
      <c r="AC35" s="2287"/>
      <c r="AD35" s="2314" t="s">
        <v>2264</v>
      </c>
      <c r="AG35" s="2345"/>
    </row>
    <row r="36" spans="1:34">
      <c r="A36" s="2298" t="s">
        <v>846</v>
      </c>
      <c r="B36" s="2278" t="s">
        <v>314</v>
      </c>
      <c r="C36" s="2278" t="str">
        <f>INDEX(Programs!B:B,MATCH(' Summary by Program 2020-21'!B36,Programs!$E:$E,0))</f>
        <v>Reduced Wattage Lamp Replacement</v>
      </c>
      <c r="D36" s="2304">
        <v>0.46644755479033329</v>
      </c>
      <c r="E36" s="2304">
        <v>2.3861106920166337</v>
      </c>
      <c r="F36" s="2304">
        <v>0.44815999025199815</v>
      </c>
      <c r="G36" s="2304">
        <v>3.0053033891678358</v>
      </c>
      <c r="H36" s="2700"/>
      <c r="I36" s="2609" t="str">
        <f>INDEX(Programs!B:B,MATCH(' Summary by Program 2020-21'!B36,Programs!$E:$E,0))</f>
        <v>Reduced Wattage Lamp Replacement</v>
      </c>
      <c r="J36" s="2313" t="s">
        <v>859</v>
      </c>
      <c r="K36" s="2329">
        <f t="shared" ca="1" si="8"/>
        <v>2.1417534206532723E-2</v>
      </c>
      <c r="L36" s="2330" t="str">
        <f ca="1">TEXT(R36*D36+X36*F36,"0.##")&amp;"-"&amp;TEXT(R36*E36+G36*X36,"0.#0")</f>
        <v>0.01-0.06</v>
      </c>
      <c r="M36" s="2331" t="e">
        <f t="shared" si="9"/>
        <v>#VALUE!</v>
      </c>
      <c r="N36" s="2331">
        <f t="shared" ca="1" si="0"/>
        <v>0</v>
      </c>
      <c r="O36" s="2292">
        <f t="shared" si="0"/>
        <v>0</v>
      </c>
      <c r="P36" s="2331">
        <f t="shared" ca="1" si="1"/>
        <v>0</v>
      </c>
      <c r="Q36" s="2293" t="str">
        <f t="shared" ca="1" si="2"/>
        <v/>
      </c>
      <c r="R36" s="2320">
        <f t="shared" ca="1" si="10"/>
        <v>1.1765171215472764E-2</v>
      </c>
      <c r="S36" s="2286" t="e">
        <v>#VALUE!</v>
      </c>
      <c r="T36" s="2319">
        <f t="shared" ca="1" si="3"/>
        <v>0</v>
      </c>
      <c r="U36" s="2286">
        <v>0</v>
      </c>
      <c r="V36" s="2319">
        <f t="shared" ca="1" si="4"/>
        <v>0</v>
      </c>
      <c r="W36" s="2287" t="str">
        <f t="shared" ca="1" si="12"/>
        <v/>
      </c>
      <c r="X36" s="2320">
        <f t="shared" ca="1" si="5"/>
        <v>9.6523629910599575E-3</v>
      </c>
      <c r="Y36" s="2286" t="e">
        <v>#VALUE!</v>
      </c>
      <c r="Z36" s="2319">
        <f t="shared" ca="1" si="6"/>
        <v>0</v>
      </c>
      <c r="AA36" s="2286">
        <v>0</v>
      </c>
      <c r="AB36" s="2319">
        <f t="shared" ca="1" si="11"/>
        <v>0</v>
      </c>
      <c r="AC36" s="2287" t="str">
        <f t="shared" ca="1" si="14"/>
        <v/>
      </c>
      <c r="AD36" s="2332" t="str">
        <f>Ind_Lighting!R2</f>
        <v>RTF</v>
      </c>
      <c r="AE36" s="458">
        <v>1</v>
      </c>
      <c r="AF36" s="2278" t="s">
        <v>860</v>
      </c>
      <c r="AG36" s="2345">
        <v>2.1939068608026732E-2</v>
      </c>
      <c r="AH36" s="2345">
        <v>2.130696E-2</v>
      </c>
    </row>
    <row r="37" spans="1:34">
      <c r="H37" s="2333"/>
      <c r="I37" s="2334" t="s">
        <v>861</v>
      </c>
      <c r="J37" s="2335"/>
      <c r="K37" s="2342">
        <f ca="1">SUM(K7:K36)</f>
        <v>2.6969780068349141</v>
      </c>
      <c r="L37" s="2336" t="str">
        <f ca="1">TEXT(SUMPRODUCT(R7:R36,D7:D36)+SUMPRODUCT(F7:F36,X7:X36),"#.##")&amp;"-"&amp;TEXT(SUMPRODUCT(R7:R36,E7:E36)+SUMPRODUCT(G7:G36,X7:X36),"#.##")</f>
        <v>1.93-3.44</v>
      </c>
      <c r="M37" s="2337" t="e">
        <f t="shared" ref="M37:AC37" si="20">SUM(M7:M36)</f>
        <v>#VALUE!</v>
      </c>
      <c r="N37" s="2338">
        <f t="shared" ca="1" si="20"/>
        <v>2.9544669080262271</v>
      </c>
      <c r="O37" s="2294">
        <f t="shared" si="20"/>
        <v>0</v>
      </c>
      <c r="P37" s="2338">
        <f t="shared" ca="1" si="20"/>
        <v>1.0230959077392796</v>
      </c>
      <c r="Q37" s="2295">
        <f t="shared" ca="1" si="20"/>
        <v>0</v>
      </c>
      <c r="R37" s="2339">
        <f t="shared" ca="1" si="20"/>
        <v>1.4523280841799511</v>
      </c>
      <c r="S37" s="2296" t="e">
        <f t="shared" si="20"/>
        <v>#VALUE!</v>
      </c>
      <c r="T37" s="2340">
        <f t="shared" ca="1" si="20"/>
        <v>1.2938925873493576</v>
      </c>
      <c r="U37" s="2296">
        <f t="shared" si="20"/>
        <v>0</v>
      </c>
      <c r="V37" s="2340">
        <f t="shared" ca="1" si="20"/>
        <v>0.37914573230248211</v>
      </c>
      <c r="W37" s="2297">
        <f t="shared" ca="1" si="20"/>
        <v>0</v>
      </c>
      <c r="X37" s="2339">
        <f t="shared" ca="1" si="20"/>
        <v>1.2446499226549628</v>
      </c>
      <c r="Y37" s="2296" t="e">
        <f t="shared" si="20"/>
        <v>#VALUE!</v>
      </c>
      <c r="Z37" s="2340">
        <f t="shared" ca="1" si="20"/>
        <v>1.6605743206768695</v>
      </c>
      <c r="AA37" s="2296">
        <f t="shared" si="20"/>
        <v>0</v>
      </c>
      <c r="AB37" s="2340">
        <f t="shared" ca="1" si="20"/>
        <v>0.64395017543679745</v>
      </c>
      <c r="AC37" s="2297">
        <f t="shared" ca="1" si="20"/>
        <v>0</v>
      </c>
      <c r="AD37" s="1996"/>
      <c r="AF37" s="2278" t="s">
        <v>859</v>
      </c>
      <c r="AG37" s="2345">
        <v>3.6519725230485647E-2</v>
      </c>
      <c r="AH37" s="2345">
        <v>6.2794044553540679E-2</v>
      </c>
    </row>
    <row r="38" spans="1:34">
      <c r="N38" s="2341"/>
      <c r="AG38" s="2345">
        <v>2.6657319781717401</v>
      </c>
      <c r="AH38" s="2345">
        <v>2.8611689499999997</v>
      </c>
    </row>
    <row r="39" spans="1:34" ht="37.5" customHeight="1">
      <c r="H39" s="2703" t="s">
        <v>2638</v>
      </c>
      <c r="I39" s="2703"/>
      <c r="J39" s="2703"/>
      <c r="K39" s="2703"/>
      <c r="L39" s="2703"/>
      <c r="M39" s="2703"/>
      <c r="N39" s="2703"/>
      <c r="O39" s="2703"/>
      <c r="P39" s="2703"/>
      <c r="Q39" s="2703"/>
      <c r="R39" s="2703"/>
      <c r="S39" s="2703"/>
      <c r="T39" s="2703"/>
      <c r="U39" s="2703"/>
      <c r="V39" s="2703"/>
      <c r="W39" s="2703"/>
      <c r="X39" s="2703"/>
      <c r="Y39" s="2703"/>
      <c r="Z39" s="2703"/>
      <c r="AA39" s="2703"/>
      <c r="AB39" s="2703"/>
      <c r="AC39" s="2703"/>
    </row>
    <row r="40" spans="1:34">
      <c r="A40" s="458"/>
    </row>
    <row r="41" spans="1:34">
      <c r="A41" s="458"/>
    </row>
    <row r="42" spans="1:34">
      <c r="A42" s="458"/>
      <c r="N42" s="2341"/>
    </row>
    <row r="43" spans="1:34">
      <c r="A43" s="458"/>
      <c r="N43" s="2341"/>
    </row>
    <row r="44" spans="1:34">
      <c r="A44" s="458"/>
    </row>
    <row r="45" spans="1:34">
      <c r="A45" s="458"/>
    </row>
    <row r="46" spans="1:34">
      <c r="A46" s="458"/>
    </row>
    <row r="47" spans="1:34">
      <c r="A47" s="458"/>
    </row>
    <row r="48" spans="1:34">
      <c r="A48" s="458"/>
    </row>
    <row r="49" spans="1:1">
      <c r="A49" s="458"/>
    </row>
    <row r="50" spans="1:1">
      <c r="A50" s="458"/>
    </row>
    <row r="51" spans="1:1">
      <c r="A51" s="458"/>
    </row>
    <row r="52" spans="1:1">
      <c r="A52" s="458"/>
    </row>
    <row r="53" spans="1:1">
      <c r="A53" s="458"/>
    </row>
    <row r="54" spans="1:1">
      <c r="A54" s="458"/>
    </row>
    <row r="55" spans="1:1">
      <c r="A55" s="458"/>
    </row>
    <row r="56" spans="1:1">
      <c r="A56" s="458"/>
    </row>
    <row r="57" spans="1:1">
      <c r="A57" s="458"/>
    </row>
    <row r="58" spans="1:1">
      <c r="A58" s="458"/>
    </row>
    <row r="59" spans="1:1">
      <c r="A59" s="458"/>
    </row>
    <row r="60" spans="1:1">
      <c r="A60" s="458"/>
    </row>
    <row r="61" spans="1:1">
      <c r="A61" s="458"/>
    </row>
    <row r="62" spans="1:1">
      <c r="A62" s="458"/>
    </row>
    <row r="63" spans="1:1">
      <c r="A63" s="458"/>
    </row>
  </sheetData>
  <mergeCells count="36">
    <mergeCell ref="D4:E4"/>
    <mergeCell ref="F4:G4"/>
    <mergeCell ref="K4:O4"/>
    <mergeCell ref="P4:Q4"/>
    <mergeCell ref="R4:U4"/>
    <mergeCell ref="K2:AC2"/>
    <mergeCell ref="H3:J4"/>
    <mergeCell ref="K3:Q3"/>
    <mergeCell ref="R3:W3"/>
    <mergeCell ref="X3:AC3"/>
    <mergeCell ref="K6:L6"/>
    <mergeCell ref="V4:W4"/>
    <mergeCell ref="X4:AA4"/>
    <mergeCell ref="AB4:AC4"/>
    <mergeCell ref="H5:H6"/>
    <mergeCell ref="I5:I6"/>
    <mergeCell ref="J5:J6"/>
    <mergeCell ref="K5:M5"/>
    <mergeCell ref="N5:O5"/>
    <mergeCell ref="P5:Q5"/>
    <mergeCell ref="R5:S5"/>
    <mergeCell ref="T5:U5"/>
    <mergeCell ref="V5:W5"/>
    <mergeCell ref="X5:Y5"/>
    <mergeCell ref="Z5:AA5"/>
    <mergeCell ref="AB5:AC5"/>
    <mergeCell ref="Y16:Y21"/>
    <mergeCell ref="H23:H31"/>
    <mergeCell ref="H32:H36"/>
    <mergeCell ref="H39:AC39"/>
    <mergeCell ref="H7:H22"/>
    <mergeCell ref="I14:I15"/>
    <mergeCell ref="I16:I21"/>
    <mergeCell ref="L16:L21"/>
    <mergeCell ref="M16:M21"/>
    <mergeCell ref="S16:S21"/>
  </mergeCells>
  <hyperlinks>
    <hyperlink ref="J7" location="DHP!A1" display="Ductless Heat Pumps"/>
    <hyperlink ref="J8" location="HPWH!A1" display="Heat Pump Water Heaters"/>
    <hyperlink ref="J11" location="Codes!A1" display="Low-rise Multifamily Homes"/>
    <hyperlink ref="J13" location="Res_Lighting!A1" display="Retail Bulb Sales"/>
    <hyperlink ref="J14" location="Codes!A1" display="Codes"/>
    <hyperlink ref="J15" location="Homes_Vol!A1" display="Voluntary"/>
    <hyperlink ref="J16" location="Frig_Freezers!A1" display="Refrigerators and Freezer"/>
    <hyperlink ref="J17" location="Clothes_Washers!A1" display="Clothes Washers"/>
    <hyperlink ref="J18" location="Room_AC!A1" display="Room Air Conditioners"/>
    <hyperlink ref="J22" location="Clothes_Dryers!A1" display="Clothes Dryers"/>
    <hyperlink ref="J23" location="BOC!A1" display="Certifications"/>
    <hyperlink ref="J24" location="Commissioning!A1" display="Retro and New Commissioning"/>
    <hyperlink ref="J25" location="Commercial_Desktops!A1" display="ENERGY STAR 6 Desktops"/>
    <hyperlink ref="J27" location="Com_Lighting!A1" display="Lighting Controls"/>
    <hyperlink ref="J28" location="Codes!A1" display="Codes"/>
    <hyperlink ref="J29" location="Standards!A1" display="Primarily Roof Top Units"/>
    <hyperlink ref="J31" location="Com_Lighting!A1" display="T25 and T28 Lamps"/>
    <hyperlink ref="J32" location="CRES!A1" display="Certifications"/>
    <hyperlink ref="J33" location="Motor_Rewinds!A1" display="Motor Rewinds"/>
    <hyperlink ref="J26" location="Other_ES_Products!A1" display="ENERGY STAR 6 Laptops"/>
    <hyperlink ref="J10" location="Other_ES_Products!A1" display="ENERGY STAR 6 Laptops"/>
    <hyperlink ref="J9" location="Other_ES_Products!A1" display="ENERGY STAR 6 Laptops"/>
    <hyperlink ref="J35" location="Standards!A1" display="Pumps (Ag and Industrial)"/>
    <hyperlink ref="J21" location="Soundbars!A1" display="Sound Bars"/>
    <hyperlink ref="J36" location="Ind_Lighting!A1" display="T25 and T28 Lamps"/>
    <hyperlink ref="J12" location="'Manufactured Homes'!A1" display="Manufactured Homes"/>
    <hyperlink ref="J30" location="Window_Attachmts!A1" display="Commercial Windows"/>
    <hyperlink ref="J34" location="XMP!A1" display="Commercial &amp; Industrial pumps"/>
  </hyperlink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tint="-0.499984740745262"/>
  </sheetPr>
  <dimension ref="A1:G17"/>
  <sheetViews>
    <sheetView workbookViewId="0">
      <selection activeCell="G2" sqref="G2:G6"/>
    </sheetView>
  </sheetViews>
  <sheetFormatPr defaultColWidth="9.109375" defaultRowHeight="14.4"/>
  <cols>
    <col min="1" max="2" width="22.5546875" style="2569" customWidth="1"/>
    <col min="3" max="3" width="62.6640625" style="2569" customWidth="1"/>
    <col min="4" max="6" width="22.5546875" style="2569" customWidth="1"/>
    <col min="7" max="7" width="27.33203125" style="2569" customWidth="1"/>
    <col min="8" max="8" width="29.44140625" style="2569" customWidth="1"/>
    <col min="9" max="9" width="26" style="2569" customWidth="1"/>
    <col min="10" max="16384" width="9.109375" style="2569"/>
  </cols>
  <sheetData>
    <row r="1" spans="1:7" ht="27.6">
      <c r="A1" s="2624" t="s">
        <v>2304</v>
      </c>
      <c r="B1" s="2624" t="s">
        <v>2305</v>
      </c>
      <c r="C1" s="2624" t="s">
        <v>2306</v>
      </c>
      <c r="D1" s="2738" t="s">
        <v>1309</v>
      </c>
      <c r="E1" s="2739"/>
      <c r="F1" s="2740"/>
      <c r="G1" s="2625" t="s">
        <v>2327</v>
      </c>
    </row>
    <row r="2" spans="1:7">
      <c r="A2" s="2743" t="s">
        <v>2307</v>
      </c>
      <c r="B2" s="2626" t="s">
        <v>1</v>
      </c>
      <c r="C2" s="2627" t="s">
        <v>2308</v>
      </c>
      <c r="D2" s="2747" t="s">
        <v>2312</v>
      </c>
      <c r="E2" s="2748"/>
      <c r="F2" s="2749"/>
      <c r="G2" s="2741">
        <f>SUMIFS(Codes!V:V,Codes!H:H,"Residential",Codes!L:L,"&gt;="&amp;LEFT('C&amp;S List'!G1,4))</f>
        <v>0.73328772053849578</v>
      </c>
    </row>
    <row r="3" spans="1:7">
      <c r="A3" s="2744"/>
      <c r="B3" s="2628"/>
      <c r="C3" s="2629" t="s">
        <v>2320</v>
      </c>
      <c r="D3" s="2750"/>
      <c r="E3" s="2751"/>
      <c r="F3" s="2752"/>
      <c r="G3" s="2741"/>
    </row>
    <row r="4" spans="1:7">
      <c r="A4" s="2744"/>
      <c r="B4" s="2628"/>
      <c r="C4" s="2629" t="s">
        <v>2321</v>
      </c>
      <c r="D4" s="2750"/>
      <c r="E4" s="2751"/>
      <c r="F4" s="2752"/>
      <c r="G4" s="2741"/>
    </row>
    <row r="5" spans="1:7" ht="98.25" customHeight="1">
      <c r="A5" s="2745"/>
      <c r="B5" s="2630" t="s">
        <v>1</v>
      </c>
      <c r="C5" s="2631" t="s">
        <v>2309</v>
      </c>
      <c r="D5" s="2753"/>
      <c r="E5" s="2754"/>
      <c r="F5" s="2755"/>
      <c r="G5" s="2741"/>
    </row>
    <row r="6" spans="1:7">
      <c r="A6" s="2746"/>
      <c r="B6" s="2632" t="s">
        <v>1</v>
      </c>
      <c r="C6" s="2633" t="s">
        <v>2311</v>
      </c>
      <c r="D6" s="2756"/>
      <c r="E6" s="2757"/>
      <c r="F6" s="2758"/>
      <c r="G6" s="2741"/>
    </row>
    <row r="7" spans="1:7">
      <c r="A7" s="2759" t="s">
        <v>2328</v>
      </c>
      <c r="B7" s="2634" t="s">
        <v>2</v>
      </c>
      <c r="C7" s="2670" t="s">
        <v>2315</v>
      </c>
      <c r="D7" s="2771" t="s">
        <v>2319</v>
      </c>
      <c r="E7" s="2772"/>
      <c r="F7" s="2773"/>
      <c r="G7" s="2742">
        <f>SUMIFS(Standards!V:V,Standards!L:L,"&gt;="&amp;LEFT($G$1,4))</f>
        <v>1.1538786928446096</v>
      </c>
    </row>
    <row r="8" spans="1:7">
      <c r="A8" s="2760"/>
      <c r="B8" s="2635" t="s">
        <v>2</v>
      </c>
      <c r="C8" s="2670" t="s">
        <v>2316</v>
      </c>
      <c r="D8" s="2771"/>
      <c r="E8" s="2772"/>
      <c r="F8" s="2773"/>
      <c r="G8" s="2742"/>
    </row>
    <row r="9" spans="1:7" ht="38.25" customHeight="1">
      <c r="A9" s="2760"/>
      <c r="B9" s="2636" t="s">
        <v>2</v>
      </c>
      <c r="C9" s="2670" t="s">
        <v>2313</v>
      </c>
      <c r="D9" s="2771"/>
      <c r="E9" s="2772"/>
      <c r="F9" s="2773"/>
      <c r="G9" s="2742"/>
    </row>
    <row r="10" spans="1:7">
      <c r="A10" s="2760"/>
      <c r="B10" s="2637" t="s">
        <v>2</v>
      </c>
      <c r="C10" s="2638" t="s">
        <v>2314</v>
      </c>
      <c r="D10" s="2771"/>
      <c r="E10" s="2772"/>
      <c r="F10" s="2773"/>
      <c r="G10" s="2742"/>
    </row>
    <row r="11" spans="1:7">
      <c r="A11" s="2760"/>
      <c r="B11" s="2637" t="s">
        <v>2</v>
      </c>
      <c r="C11" s="2670" t="s">
        <v>2317</v>
      </c>
      <c r="D11" s="2771"/>
      <c r="E11" s="2772"/>
      <c r="F11" s="2773"/>
      <c r="G11" s="2742"/>
    </row>
    <row r="12" spans="1:7">
      <c r="A12" s="2761"/>
      <c r="B12" s="2637" t="s">
        <v>2</v>
      </c>
      <c r="C12" s="2638" t="s">
        <v>2314</v>
      </c>
      <c r="D12" s="2771"/>
      <c r="E12" s="2772"/>
      <c r="F12" s="2773"/>
      <c r="G12" s="2742"/>
    </row>
    <row r="13" spans="1:7" ht="48.75" customHeight="1">
      <c r="A13" s="2774" t="s">
        <v>1432</v>
      </c>
      <c r="B13" s="2639" t="s">
        <v>1</v>
      </c>
      <c r="C13" s="1735" t="s">
        <v>513</v>
      </c>
      <c r="D13" s="2762" t="s">
        <v>2329</v>
      </c>
      <c r="E13" s="2763"/>
      <c r="F13" s="2764"/>
      <c r="G13" s="2741">
        <f>SUMIFS(Codes!V:V,Codes!H:H,"Commercial",Codes!L:L,"&gt;="&amp;LEFT('C&amp;S List'!G1,4))</f>
        <v>1.0858780424257293</v>
      </c>
    </row>
    <row r="14" spans="1:7" ht="36" customHeight="1">
      <c r="A14" s="2774"/>
      <c r="B14" s="2639" t="s">
        <v>1</v>
      </c>
      <c r="C14" s="2640" t="s">
        <v>1639</v>
      </c>
      <c r="D14" s="2765"/>
      <c r="E14" s="2766"/>
      <c r="F14" s="2767"/>
      <c r="G14" s="2741"/>
    </row>
    <row r="15" spans="1:7" ht="36" customHeight="1">
      <c r="A15" s="2774"/>
      <c r="B15" s="2639" t="s">
        <v>1</v>
      </c>
      <c r="C15" s="2640" t="s">
        <v>528</v>
      </c>
      <c r="D15" s="2765"/>
      <c r="E15" s="2766"/>
      <c r="F15" s="2767"/>
      <c r="G15" s="2741"/>
    </row>
    <row r="16" spans="1:7" ht="36" customHeight="1">
      <c r="A16" s="2774"/>
      <c r="B16" s="2639" t="s">
        <v>1</v>
      </c>
      <c r="C16" s="2641" t="s">
        <v>2310</v>
      </c>
      <c r="D16" s="2765"/>
      <c r="E16" s="2766"/>
      <c r="F16" s="2767"/>
      <c r="G16" s="2741"/>
    </row>
    <row r="17" spans="1:7" ht="36" customHeight="1">
      <c r="A17" s="2775"/>
      <c r="B17" s="2642" t="s">
        <v>1</v>
      </c>
      <c r="C17" s="2633" t="s">
        <v>2311</v>
      </c>
      <c r="D17" s="2768"/>
      <c r="E17" s="2769"/>
      <c r="F17" s="2770"/>
      <c r="G17" s="2741"/>
    </row>
  </sheetData>
  <mergeCells count="10">
    <mergeCell ref="D1:F1"/>
    <mergeCell ref="G2:G6"/>
    <mergeCell ref="G7:G12"/>
    <mergeCell ref="G13:G17"/>
    <mergeCell ref="A2:A6"/>
    <mergeCell ref="D2:F6"/>
    <mergeCell ref="A7:A12"/>
    <mergeCell ref="D13:F17"/>
    <mergeCell ref="D7:F12"/>
    <mergeCell ref="A13:A17"/>
  </mergeCells>
  <hyperlinks>
    <hyperlink ref="A2:A6" location="Codes!A1" display="Next Step Homes/Efficient Homes"/>
    <hyperlink ref="A7:A12" location="Standards!A1" display="Other Standards"/>
    <hyperlink ref="A13:A17" location="Codes!A1" display="Commercial Code Enhancement"/>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theme="0" tint="-0.499984740745262"/>
    <pageSetUpPr fitToPage="1"/>
  </sheetPr>
  <dimension ref="A1:Q96"/>
  <sheetViews>
    <sheetView showGridLines="0" topLeftCell="C1" workbookViewId="0">
      <pane xSplit="4" ySplit="3" topLeftCell="G31" activePane="bottomRight" state="frozen"/>
      <selection activeCell="F110" sqref="F110"/>
      <selection pane="topRight" activeCell="F110" sqref="F110"/>
      <selection pane="bottomLeft" activeCell="F110" sqref="F110"/>
      <selection pane="bottomRight" activeCell="F110" sqref="F110"/>
    </sheetView>
  </sheetViews>
  <sheetFormatPr defaultColWidth="9.109375" defaultRowHeight="14.4" outlineLevelCol="1"/>
  <cols>
    <col min="1" max="1" width="9.109375" style="2568" hidden="1" customWidth="1" outlineLevel="1"/>
    <col min="2" max="2" width="17.6640625" style="2568" hidden="1" customWidth="1" outlineLevel="1"/>
    <col min="3" max="3" width="8.88671875" style="2597" customWidth="1" collapsed="1"/>
    <col min="4" max="4" width="23.5546875" style="458" customWidth="1"/>
    <col min="5" max="5" width="49.5546875" style="458" customWidth="1"/>
    <col min="6" max="6" width="56.6640625" style="458" customWidth="1"/>
    <col min="7" max="7" width="11" style="458" customWidth="1"/>
    <col min="8" max="8" width="33.6640625" style="458" customWidth="1"/>
    <col min="9" max="9" width="30.5546875" style="458" customWidth="1"/>
    <col min="10" max="11" width="12.44140625" style="458" bestFit="1" customWidth="1"/>
    <col min="12" max="12" width="64.44140625" style="458" customWidth="1"/>
    <col min="13" max="13" width="53" style="458" customWidth="1"/>
    <col min="14" max="14" width="3.109375" style="2569" bestFit="1" customWidth="1"/>
    <col min="15" max="15" width="9.109375" style="2569"/>
    <col min="16" max="16" width="17.5546875" style="2569" customWidth="1"/>
    <col min="17" max="17" width="9.109375" style="2569" customWidth="1"/>
    <col min="18" max="16384" width="9.109375" style="458"/>
  </cols>
  <sheetData>
    <row r="1" spans="1:17" ht="46.5" customHeight="1">
      <c r="C1" s="2776" t="s">
        <v>2460</v>
      </c>
      <c r="D1" s="2777"/>
      <c r="E1" s="2777"/>
      <c r="F1" s="2777"/>
      <c r="G1" s="2777"/>
      <c r="H1" s="2777"/>
      <c r="I1" s="2777"/>
      <c r="J1" s="2777"/>
      <c r="K1" s="2777"/>
      <c r="L1" s="2777"/>
      <c r="M1" s="2777"/>
    </row>
    <row r="2" spans="1:17" s="2569" customFormat="1" ht="21.75" customHeight="1">
      <c r="A2" s="2598"/>
      <c r="B2" s="2598"/>
      <c r="C2" s="2778" t="s">
        <v>2461</v>
      </c>
      <c r="D2" s="2779"/>
      <c r="E2" s="2779"/>
      <c r="F2" s="2780"/>
      <c r="G2" s="2781" t="s">
        <v>1145</v>
      </c>
      <c r="H2" s="2782"/>
      <c r="I2" s="2783"/>
      <c r="J2" s="2784" t="s">
        <v>10</v>
      </c>
      <c r="K2" s="2785"/>
      <c r="L2" s="2785"/>
      <c r="M2" s="2786"/>
    </row>
    <row r="3" spans="1:17" s="924" customFormat="1" ht="41.4">
      <c r="A3" s="2570" t="s">
        <v>1146</v>
      </c>
      <c r="B3" s="2570" t="s">
        <v>1147</v>
      </c>
      <c r="C3" s="2571" t="s">
        <v>1148</v>
      </c>
      <c r="D3" s="2566" t="s">
        <v>4</v>
      </c>
      <c r="E3" s="2566" t="s">
        <v>5</v>
      </c>
      <c r="F3" s="2567" t="s">
        <v>1149</v>
      </c>
      <c r="G3" s="2565" t="s">
        <v>1150</v>
      </c>
      <c r="H3" s="2566" t="s">
        <v>1151</v>
      </c>
      <c r="I3" s="2572" t="s">
        <v>1152</v>
      </c>
      <c r="J3" s="2565">
        <v>2020</v>
      </c>
      <c r="K3" s="2566">
        <v>2021</v>
      </c>
      <c r="L3" s="2566" t="s">
        <v>1151</v>
      </c>
      <c r="M3" s="2567" t="s">
        <v>1152</v>
      </c>
      <c r="N3" s="2569"/>
      <c r="O3" s="2569"/>
      <c r="P3" s="2569"/>
      <c r="Q3" s="2569"/>
    </row>
    <row r="4" spans="1:17">
      <c r="A4" s="2568">
        <v>1</v>
      </c>
      <c r="B4" s="2568" t="s">
        <v>27</v>
      </c>
      <c r="C4" s="2573" t="s">
        <v>9</v>
      </c>
      <c r="D4" s="2551" t="s">
        <v>141</v>
      </c>
      <c r="E4" s="2551" t="s">
        <v>2508</v>
      </c>
      <c r="F4" s="2574" t="s">
        <v>623</v>
      </c>
      <c r="G4" s="2575">
        <v>0.19</v>
      </c>
      <c r="H4" s="2551" t="s">
        <v>1155</v>
      </c>
      <c r="I4" s="2576" t="s">
        <v>1156</v>
      </c>
      <c r="J4" s="2549">
        <f>BOC!R6</f>
        <v>39875.205810649946</v>
      </c>
      <c r="K4" s="2550">
        <f>BOC!R7</f>
        <v>38861.928401091543</v>
      </c>
      <c r="L4" s="2551" t="s">
        <v>1232</v>
      </c>
      <c r="M4" s="2545" t="s">
        <v>2417</v>
      </c>
    </row>
    <row r="5" spans="1:17">
      <c r="A5" s="2568">
        <v>2</v>
      </c>
      <c r="B5" s="2568" t="s">
        <v>39</v>
      </c>
      <c r="C5" s="2577" t="s">
        <v>9</v>
      </c>
      <c r="D5" s="2554" t="s">
        <v>147</v>
      </c>
      <c r="E5" s="2554" t="s">
        <v>2509</v>
      </c>
      <c r="F5" s="2555" t="s">
        <v>2510</v>
      </c>
      <c r="G5" s="2578">
        <v>0</v>
      </c>
      <c r="H5" s="2554" t="s">
        <v>1159</v>
      </c>
      <c r="I5" s="2579" t="s">
        <v>1160</v>
      </c>
      <c r="J5" s="2552" t="s">
        <v>1665</v>
      </c>
      <c r="K5" s="2553" t="str">
        <f>J5</f>
        <v>Unevaluated site-based savings from RETA's RCD database. RCD savings capped at 80% of total to provide proxy for possible 2018 validation changes (validation to be received 4/1/2019).</v>
      </c>
      <c r="L5" s="2554" t="s">
        <v>1666</v>
      </c>
      <c r="M5" s="2555" t="s">
        <v>2458</v>
      </c>
    </row>
    <row r="6" spans="1:17">
      <c r="A6" s="2568">
        <v>3</v>
      </c>
      <c r="B6" s="2568" t="s">
        <v>21</v>
      </c>
      <c r="C6" s="2577" t="s">
        <v>9</v>
      </c>
      <c r="D6" s="2554" t="s">
        <v>138</v>
      </c>
      <c r="E6" s="2554" t="s">
        <v>2511</v>
      </c>
      <c r="F6" s="2555" t="s">
        <v>2512</v>
      </c>
      <c r="G6" s="2578">
        <v>0</v>
      </c>
      <c r="H6" s="2554" t="s">
        <v>1168</v>
      </c>
      <c r="I6" s="2579" t="s">
        <v>1169</v>
      </c>
      <c r="J6" s="2556">
        <f>Codes!R32</f>
        <v>0.16939866000000001</v>
      </c>
      <c r="K6" s="2557">
        <f>Codes!R37</f>
        <v>0.16939866000000001</v>
      </c>
      <c r="L6" s="2554" t="s">
        <v>2406</v>
      </c>
      <c r="M6" s="2546" t="s">
        <v>1335</v>
      </c>
    </row>
    <row r="7" spans="1:17">
      <c r="A7" s="2568">
        <v>3</v>
      </c>
      <c r="B7" s="2568" t="s">
        <v>1417</v>
      </c>
      <c r="C7" s="2580" t="s">
        <v>9</v>
      </c>
      <c r="D7" s="2554" t="s">
        <v>138</v>
      </c>
      <c r="E7" s="2554" t="s">
        <v>2513</v>
      </c>
      <c r="F7" s="2555" t="s">
        <v>2513</v>
      </c>
      <c r="G7" s="2581">
        <v>0</v>
      </c>
      <c r="H7" s="2582" t="s">
        <v>1314</v>
      </c>
      <c r="I7" s="2583" t="s">
        <v>1169</v>
      </c>
      <c r="J7" s="2556">
        <f>Codes!R33</f>
        <v>0.44898012999999998</v>
      </c>
      <c r="K7" s="2557">
        <f>Codes!R38</f>
        <v>0.45122251000000002</v>
      </c>
      <c r="L7" s="2554" t="s">
        <v>2406</v>
      </c>
      <c r="M7" s="2546" t="s">
        <v>1335</v>
      </c>
    </row>
    <row r="8" spans="1:17">
      <c r="B8" s="2568" t="s">
        <v>23</v>
      </c>
      <c r="C8" s="2580" t="s">
        <v>9</v>
      </c>
      <c r="D8" s="2554" t="s">
        <v>138</v>
      </c>
      <c r="E8" s="2554" t="s">
        <v>2514</v>
      </c>
      <c r="F8" s="2555" t="s">
        <v>2515</v>
      </c>
      <c r="G8" s="2578">
        <v>0</v>
      </c>
      <c r="H8" s="2554" t="s">
        <v>1168</v>
      </c>
      <c r="I8" s="2579" t="s">
        <v>1169</v>
      </c>
      <c r="J8" s="2556">
        <f>Codes!R34</f>
        <v>0.25890120999999999</v>
      </c>
      <c r="K8" s="2557">
        <f>Codes!R39</f>
        <v>0.25890120999999999</v>
      </c>
      <c r="L8" s="2554" t="s">
        <v>2406</v>
      </c>
      <c r="M8" s="2546" t="s">
        <v>1335</v>
      </c>
    </row>
    <row r="9" spans="1:17">
      <c r="B9" s="2568" t="s">
        <v>24</v>
      </c>
      <c r="C9" s="2580" t="s">
        <v>9</v>
      </c>
      <c r="D9" s="2554" t="s">
        <v>138</v>
      </c>
      <c r="E9" s="2554" t="s">
        <v>2516</v>
      </c>
      <c r="F9" s="2555" t="s">
        <v>2517</v>
      </c>
      <c r="G9" s="2581">
        <v>0</v>
      </c>
      <c r="H9" s="2582" t="s">
        <v>1314</v>
      </c>
      <c r="I9" s="2583" t="s">
        <v>1169</v>
      </c>
      <c r="J9" s="2556">
        <f>Codes!R35</f>
        <v>0.62415204000000002</v>
      </c>
      <c r="K9" s="2557">
        <f>Codes!R40</f>
        <v>0.62415204000000002</v>
      </c>
      <c r="L9" s="2554" t="s">
        <v>2441</v>
      </c>
      <c r="M9" s="2546" t="s">
        <v>2438</v>
      </c>
    </row>
    <row r="10" spans="1:17">
      <c r="B10" s="2568" t="s">
        <v>1426</v>
      </c>
      <c r="C10" s="2580" t="s">
        <v>9</v>
      </c>
      <c r="D10" s="2554" t="s">
        <v>138</v>
      </c>
      <c r="E10" s="2554" t="s">
        <v>2518</v>
      </c>
      <c r="F10" s="2555" t="s">
        <v>2518</v>
      </c>
      <c r="G10" s="2581">
        <v>0</v>
      </c>
      <c r="H10" s="2582" t="s">
        <v>1314</v>
      </c>
      <c r="I10" s="2583" t="s">
        <v>1169</v>
      </c>
      <c r="J10" s="2556">
        <f>Codes!R36</f>
        <v>0.27444899</v>
      </c>
      <c r="K10" s="2557">
        <f>Codes!R41</f>
        <v>0.27555355999999998</v>
      </c>
      <c r="L10" s="2554" t="s">
        <v>2404</v>
      </c>
      <c r="M10" s="2546" t="s">
        <v>2405</v>
      </c>
    </row>
    <row r="11" spans="1:17">
      <c r="A11" s="2568">
        <v>3</v>
      </c>
      <c r="B11" s="2568" t="s">
        <v>19</v>
      </c>
      <c r="C11" s="2577" t="s">
        <v>9</v>
      </c>
      <c r="D11" s="2554" t="s">
        <v>137</v>
      </c>
      <c r="E11" s="2554" t="s">
        <v>329</v>
      </c>
      <c r="F11" s="2555" t="s">
        <v>2519</v>
      </c>
      <c r="G11" s="2578">
        <v>0.19</v>
      </c>
      <c r="H11" s="2554" t="s">
        <v>1155</v>
      </c>
      <c r="I11" s="2579" t="s">
        <v>1156</v>
      </c>
      <c r="J11" s="2556">
        <f>Commissioning!R6</f>
        <v>0.43437652929726744</v>
      </c>
      <c r="K11" s="2557">
        <f>Commissioning!R8</f>
        <v>0.43437652929726744</v>
      </c>
      <c r="L11" s="2554" t="s">
        <v>1646</v>
      </c>
      <c r="M11" s="2546" t="s">
        <v>2442</v>
      </c>
    </row>
    <row r="12" spans="1:17">
      <c r="A12" s="2568">
        <v>3</v>
      </c>
      <c r="B12" s="2568" t="s">
        <v>20</v>
      </c>
      <c r="C12" s="2577" t="s">
        <v>9</v>
      </c>
      <c r="D12" s="2554" t="s">
        <v>137</v>
      </c>
      <c r="E12" s="2554" t="s">
        <v>2520</v>
      </c>
      <c r="F12" s="2555" t="s">
        <v>2521</v>
      </c>
      <c r="G12" s="2578">
        <v>0.19</v>
      </c>
      <c r="H12" s="2554" t="s">
        <v>1155</v>
      </c>
      <c r="I12" s="2579" t="s">
        <v>1156</v>
      </c>
      <c r="J12" s="2556">
        <f>Commissioning!R7</f>
        <v>0.41337028570257123</v>
      </c>
      <c r="K12" s="2557">
        <f>Commissioning!R9</f>
        <v>0.41337028570257123</v>
      </c>
      <c r="L12" s="2554" t="s">
        <v>1647</v>
      </c>
      <c r="M12" s="2546" t="s">
        <v>2442</v>
      </c>
    </row>
    <row r="13" spans="1:17" ht="13.5" customHeight="1">
      <c r="A13" s="2568">
        <v>1</v>
      </c>
      <c r="B13" s="2568" t="s">
        <v>71</v>
      </c>
      <c r="C13" s="2577" t="s">
        <v>9</v>
      </c>
      <c r="D13" s="2554" t="s">
        <v>139</v>
      </c>
      <c r="E13" s="2554" t="s">
        <v>2522</v>
      </c>
      <c r="F13" s="2555" t="s">
        <v>2522</v>
      </c>
      <c r="G13" s="2578">
        <v>0</v>
      </c>
      <c r="H13" s="2554" t="s">
        <v>1536</v>
      </c>
      <c r="I13" s="2579" t="s">
        <v>1541</v>
      </c>
      <c r="J13" s="2552">
        <f>Commercial_Desktops!S6</f>
        <v>30.87885098400001</v>
      </c>
      <c r="K13" s="2553">
        <f>J13</f>
        <v>30.87885098400001</v>
      </c>
      <c r="L13" s="2554" t="s">
        <v>1654</v>
      </c>
      <c r="M13" s="2555" t="s">
        <v>1177</v>
      </c>
    </row>
    <row r="14" spans="1:17" s="1116" customFormat="1">
      <c r="A14" s="2568">
        <v>3</v>
      </c>
      <c r="B14" s="2568" t="s">
        <v>37</v>
      </c>
      <c r="C14" s="2577" t="s">
        <v>9</v>
      </c>
      <c r="D14" s="2554" t="s">
        <v>146</v>
      </c>
      <c r="E14" s="2554" t="s">
        <v>2523</v>
      </c>
      <c r="F14" s="2555" t="s">
        <v>2524</v>
      </c>
      <c r="G14" s="2578">
        <v>0</v>
      </c>
      <c r="H14" s="2554" t="s">
        <v>2455</v>
      </c>
      <c r="I14" s="2579" t="s">
        <v>2456</v>
      </c>
      <c r="J14" s="2552">
        <f>Motor_Rewinds!R6</f>
        <v>4388.655772967335</v>
      </c>
      <c r="K14" s="2553">
        <f>Motor_Rewinds!R7</f>
        <v>4388.655772967335</v>
      </c>
      <c r="L14" s="2554" t="s">
        <v>2457</v>
      </c>
      <c r="M14" s="2555" t="s">
        <v>2456</v>
      </c>
      <c r="N14" s="2569"/>
      <c r="O14" s="2569"/>
      <c r="P14" s="2569"/>
      <c r="Q14" s="2569"/>
    </row>
    <row r="15" spans="1:17">
      <c r="A15" s="2568">
        <v>1</v>
      </c>
      <c r="B15" s="2568" t="s">
        <v>52</v>
      </c>
      <c r="C15" s="2577" t="s">
        <v>9</v>
      </c>
      <c r="D15" s="2554" t="s">
        <v>151</v>
      </c>
      <c r="E15" s="2554" t="s">
        <v>2525</v>
      </c>
      <c r="F15" s="2555" t="s">
        <v>2526</v>
      </c>
      <c r="G15" s="2578">
        <v>0</v>
      </c>
      <c r="H15" s="2554" t="s">
        <v>1231</v>
      </c>
      <c r="I15" s="2579" t="s">
        <v>1183</v>
      </c>
      <c r="J15" s="2552">
        <f>DHP!R12</f>
        <v>2364.7929155970751</v>
      </c>
      <c r="K15" s="2553">
        <f>DHP!R15</f>
        <v>2364.7929155970751</v>
      </c>
      <c r="L15" s="2554" t="s">
        <v>2407</v>
      </c>
      <c r="M15" s="2555" t="s">
        <v>2415</v>
      </c>
    </row>
    <row r="16" spans="1:17">
      <c r="A16" s="2568">
        <v>1</v>
      </c>
      <c r="B16" s="2568" t="s">
        <v>53</v>
      </c>
      <c r="C16" s="2577" t="s">
        <v>9</v>
      </c>
      <c r="D16" s="2554" t="s">
        <v>151</v>
      </c>
      <c r="E16" s="2554" t="s">
        <v>2527</v>
      </c>
      <c r="F16" s="2555" t="s">
        <v>2528</v>
      </c>
      <c r="G16" s="2578">
        <v>0</v>
      </c>
      <c r="H16" s="2554" t="s">
        <v>1231</v>
      </c>
      <c r="I16" s="2579" t="s">
        <v>1183</v>
      </c>
      <c r="J16" s="2552">
        <f>DHP!R13</f>
        <v>2877.0548649874468</v>
      </c>
      <c r="K16" s="2553">
        <f>DHP!R16</f>
        <v>2877.0548649874468</v>
      </c>
      <c r="L16" s="2554" t="s">
        <v>2407</v>
      </c>
      <c r="M16" s="2555" t="s">
        <v>2415</v>
      </c>
    </row>
    <row r="17" spans="1:13">
      <c r="A17" s="2568">
        <v>1</v>
      </c>
      <c r="B17" s="2568" t="s">
        <v>51</v>
      </c>
      <c r="C17" s="2577" t="s">
        <v>9</v>
      </c>
      <c r="D17" s="2554" t="s">
        <v>151</v>
      </c>
      <c r="E17" s="2554" t="s">
        <v>2529</v>
      </c>
      <c r="F17" s="2555" t="s">
        <v>2530</v>
      </c>
      <c r="G17" s="2578">
        <v>0</v>
      </c>
      <c r="H17" s="2554" t="s">
        <v>1231</v>
      </c>
      <c r="I17" s="2579" t="s">
        <v>1183</v>
      </c>
      <c r="J17" s="2552">
        <f>DHP!R11</f>
        <v>2123.2057880977891</v>
      </c>
      <c r="K17" s="2553">
        <f>DHP!R14</f>
        <v>2106.9146127680133</v>
      </c>
      <c r="L17" s="2554" t="s">
        <v>2408</v>
      </c>
      <c r="M17" s="2555" t="s">
        <v>2416</v>
      </c>
    </row>
    <row r="18" spans="1:13">
      <c r="A18" s="2568">
        <v>1</v>
      </c>
      <c r="C18" s="2577" t="s">
        <v>9</v>
      </c>
      <c r="D18" s="2554" t="s">
        <v>153</v>
      </c>
      <c r="E18" s="2554" t="s">
        <v>1282</v>
      </c>
      <c r="F18" s="2555" t="s">
        <v>158</v>
      </c>
      <c r="G18" s="2584">
        <v>0</v>
      </c>
      <c r="H18" s="2554" t="s">
        <v>1800</v>
      </c>
      <c r="I18" s="2579" t="s">
        <v>2446</v>
      </c>
      <c r="J18" s="2552">
        <f>SUMIFS(HPWH!$R$6:$R$69,HPWH!$J$6:$J$69,$E18,HPWH!$L$6:$L$69,'Data Sources 20-21'!J$3,HPWH!$K$6:$K$69,'Data Sources 20-21'!$F18)</f>
        <v>934.91575546526076</v>
      </c>
      <c r="K18" s="2553">
        <f>SUMIFS(HPWH!$R$6:$R$69,HPWH!$J$6:$J$69,$E18,HPWH!$L$6:$L$69,'Data Sources 20-21'!K$3,HPWH!$K$6:$K$69,'Data Sources 20-21'!$F18)</f>
        <v>934.91575546526076</v>
      </c>
      <c r="L18" s="2554" t="s">
        <v>1299</v>
      </c>
      <c r="M18" s="2555" t="s">
        <v>2446</v>
      </c>
    </row>
    <row r="19" spans="1:13">
      <c r="A19" s="2568">
        <v>1</v>
      </c>
      <c r="C19" s="2577" t="s">
        <v>9</v>
      </c>
      <c r="D19" s="2554" t="s">
        <v>153</v>
      </c>
      <c r="E19" s="2554" t="s">
        <v>1282</v>
      </c>
      <c r="F19" s="2555" t="s">
        <v>160</v>
      </c>
      <c r="G19" s="2584">
        <v>0</v>
      </c>
      <c r="H19" s="2554" t="s">
        <v>1800</v>
      </c>
      <c r="I19" s="2579" t="s">
        <v>2446</v>
      </c>
      <c r="J19" s="2552">
        <f>SUMIFS(HPWH!$R$6:$R$69,HPWH!$J$6:$J$69,$E19,HPWH!$L$6:$L$69,'Data Sources 20-21'!J$3,HPWH!$K$6:$K$69,'Data Sources 20-21'!$F19)</f>
        <v>270.93782804489194</v>
      </c>
      <c r="K19" s="2553">
        <f>SUMIFS(HPWH!$R$6:$R$69,HPWH!$J$6:$J$69,$E19,HPWH!$L$6:$L$69,'Data Sources 20-21'!K$3,HPWH!$K$6:$K$69,'Data Sources 20-21'!$F19)</f>
        <v>270.93782804489194</v>
      </c>
      <c r="L19" s="2554" t="s">
        <v>1299</v>
      </c>
      <c r="M19" s="2555" t="s">
        <v>2446</v>
      </c>
    </row>
    <row r="20" spans="1:13">
      <c r="A20" s="2568">
        <v>1</v>
      </c>
      <c r="C20" s="2577" t="s">
        <v>9</v>
      </c>
      <c r="D20" s="2554" t="s">
        <v>153</v>
      </c>
      <c r="E20" s="2554" t="s">
        <v>1282</v>
      </c>
      <c r="F20" s="2555" t="s">
        <v>1296</v>
      </c>
      <c r="G20" s="2584">
        <v>0</v>
      </c>
      <c r="H20" s="2554" t="s">
        <v>1800</v>
      </c>
      <c r="I20" s="2579" t="s">
        <v>2446</v>
      </c>
      <c r="J20" s="2552">
        <f>SUMIFS(HPWH!$R$6:$R$69,HPWH!$J$6:$J$69,$E20,HPWH!$L$6:$L$69,'Data Sources 20-21'!J$3,HPWH!$K$6:$K$69,'Data Sources 20-21'!$F20)</f>
        <v>165.26166691085132</v>
      </c>
      <c r="K20" s="2553">
        <f>SUMIFS(HPWH!$R$6:$R$69,HPWH!$J$6:$J$69,$E20,HPWH!$L$6:$L$69,'Data Sources 20-21'!K$3,HPWH!$K$6:$K$69,'Data Sources 20-21'!$F20)</f>
        <v>165.26166691085132</v>
      </c>
      <c r="L20" s="2554" t="s">
        <v>1299</v>
      </c>
      <c r="M20" s="2555" t="s">
        <v>2446</v>
      </c>
    </row>
    <row r="21" spans="1:13">
      <c r="A21" s="2568">
        <v>1</v>
      </c>
      <c r="C21" s="2577" t="s">
        <v>9</v>
      </c>
      <c r="D21" s="2554" t="s">
        <v>153</v>
      </c>
      <c r="E21" s="2554" t="s">
        <v>1282</v>
      </c>
      <c r="F21" s="2555" t="s">
        <v>1297</v>
      </c>
      <c r="G21" s="2584">
        <v>0</v>
      </c>
      <c r="H21" s="2554" t="s">
        <v>1800</v>
      </c>
      <c r="I21" s="2579" t="s">
        <v>2446</v>
      </c>
      <c r="J21" s="2552">
        <f>SUMIFS(HPWH!$R$6:$R$69,HPWH!$J$6:$J$69,$E21,HPWH!$L$6:$L$69,'Data Sources 20-21'!J$3,HPWH!$K$6:$K$69,'Data Sources 20-21'!$F21)</f>
        <v>423.47074957899622</v>
      </c>
      <c r="K21" s="2553">
        <f>SUMIFS(HPWH!$R$6:$R$69,HPWH!$J$6:$J$69,$E21,HPWH!$L$6:$L$69,'Data Sources 20-21'!K$3,HPWH!$K$6:$K$69,'Data Sources 20-21'!$F21)</f>
        <v>423.47074957899622</v>
      </c>
      <c r="L21" s="2554" t="s">
        <v>1299</v>
      </c>
      <c r="M21" s="2555" t="s">
        <v>2446</v>
      </c>
    </row>
    <row r="22" spans="1:13">
      <c r="A22" s="2568">
        <v>1</v>
      </c>
      <c r="C22" s="2577" t="s">
        <v>9</v>
      </c>
      <c r="D22" s="2554" t="s">
        <v>153</v>
      </c>
      <c r="E22" s="2554" t="s">
        <v>1284</v>
      </c>
      <c r="F22" s="2555" t="s">
        <v>158</v>
      </c>
      <c r="G22" s="2584">
        <v>0</v>
      </c>
      <c r="H22" s="2554" t="s">
        <v>1800</v>
      </c>
      <c r="I22" s="2579" t="s">
        <v>2447</v>
      </c>
      <c r="J22" s="2552">
        <f>SUMIFS(HPWH!$R$6:$R$69,HPWH!$J$6:$J$69,$E22,HPWH!$L$6:$L$69,'Data Sources 20-21'!J$3,HPWH!$K$6:$K$69,'Data Sources 20-21'!$F22)</f>
        <v>493.8258016559663</v>
      </c>
      <c r="K22" s="2553">
        <f>SUMIFS(HPWH!$R$6:$R$69,HPWH!$J$6:$J$69,$E22,HPWH!$L$6:$L$69,'Data Sources 20-21'!K$3,HPWH!$K$6:$K$69,'Data Sources 20-21'!$F22)</f>
        <v>508.84804682049736</v>
      </c>
      <c r="L22" s="2554" t="s">
        <v>1300</v>
      </c>
      <c r="M22" s="2555" t="s">
        <v>2447</v>
      </c>
    </row>
    <row r="23" spans="1:13">
      <c r="A23" s="2568">
        <v>1</v>
      </c>
      <c r="C23" s="2577" t="s">
        <v>9</v>
      </c>
      <c r="D23" s="2554" t="s">
        <v>153</v>
      </c>
      <c r="E23" s="2554" t="s">
        <v>1284</v>
      </c>
      <c r="F23" s="2555" t="s">
        <v>160</v>
      </c>
      <c r="G23" s="2584">
        <v>0</v>
      </c>
      <c r="H23" s="2554" t="s">
        <v>1800</v>
      </c>
      <c r="I23" s="2579" t="s">
        <v>2447</v>
      </c>
      <c r="J23" s="2552">
        <f>SUMIFS(HPWH!$R$6:$R$69,HPWH!$J$6:$J$69,$E23,HPWH!$L$6:$L$69,'Data Sources 20-21'!J$3,HPWH!$K$6:$K$69,'Data Sources 20-21'!$F23)</f>
        <v>143.11031700028576</v>
      </c>
      <c r="K23" s="2553">
        <f>SUMIFS(HPWH!$R$6:$R$69,HPWH!$J$6:$J$69,$E23,HPWH!$L$6:$L$69,'Data Sources 20-21'!K$3,HPWH!$K$6:$K$69,'Data Sources 20-21'!$F23)</f>
        <v>147.46375147119213</v>
      </c>
      <c r="L23" s="2554" t="s">
        <v>1300</v>
      </c>
      <c r="M23" s="2555" t="s">
        <v>2447</v>
      </c>
    </row>
    <row r="24" spans="1:13">
      <c r="A24" s="2568">
        <v>1</v>
      </c>
      <c r="C24" s="2577" t="s">
        <v>9</v>
      </c>
      <c r="D24" s="2554" t="s">
        <v>153</v>
      </c>
      <c r="E24" s="2554" t="s">
        <v>1284</v>
      </c>
      <c r="F24" s="2555" t="s">
        <v>1296</v>
      </c>
      <c r="G24" s="2584">
        <v>0</v>
      </c>
      <c r="H24" s="2554" t="s">
        <v>1800</v>
      </c>
      <c r="I24" s="2579" t="s">
        <v>2447</v>
      </c>
      <c r="J24" s="2552">
        <f>SUMIFS(HPWH!$R$6:$R$69,HPWH!$J$6:$J$69,$E24,HPWH!$L$6:$L$69,'Data Sources 20-21'!J$3,HPWH!$K$6:$K$69,'Data Sources 20-21'!$F24)</f>
        <v>87.291795724031815</v>
      </c>
      <c r="K24" s="2553">
        <f>SUMIFS(HPWH!$R$6:$R$69,HPWH!$J$6:$J$69,$E24,HPWH!$L$6:$L$69,'Data Sources 20-21'!K$3,HPWH!$K$6:$K$69,'Data Sources 20-21'!$F24)</f>
        <v>89.947223512173451</v>
      </c>
      <c r="L24" s="2554" t="s">
        <v>1301</v>
      </c>
      <c r="M24" s="2555" t="s">
        <v>2447</v>
      </c>
    </row>
    <row r="25" spans="1:13">
      <c r="A25" s="2568">
        <v>1</v>
      </c>
      <c r="C25" s="2577" t="s">
        <v>9</v>
      </c>
      <c r="D25" s="2554" t="s">
        <v>153</v>
      </c>
      <c r="E25" s="2554" t="s">
        <v>1284</v>
      </c>
      <c r="F25" s="2555" t="s">
        <v>1297</v>
      </c>
      <c r="G25" s="2584">
        <v>0</v>
      </c>
      <c r="H25" s="2554" t="s">
        <v>1800</v>
      </c>
      <c r="I25" s="2579" t="s">
        <v>2447</v>
      </c>
      <c r="J25" s="2552">
        <f>SUMIFS(HPWH!$R$6:$R$69,HPWH!$J$6:$J$69,$E25,HPWH!$L$6:$L$69,'Data Sources 20-21'!J$3,HPWH!$K$6:$K$69,'Data Sources 20-21'!$F25)</f>
        <v>223.67874449247228</v>
      </c>
      <c r="K25" s="2553">
        <f>SUMIFS(HPWH!$R$6:$R$69,HPWH!$J$6:$J$69,$E25,HPWH!$L$6:$L$69,'Data Sources 20-21'!K$3,HPWH!$K$6:$K$69,'Data Sources 20-21'!$F25)</f>
        <v>230.48308101476957</v>
      </c>
      <c r="L25" s="2554" t="s">
        <v>1301</v>
      </c>
      <c r="M25" s="2555" t="s">
        <v>2447</v>
      </c>
    </row>
    <row r="26" spans="1:13">
      <c r="A26" s="2568">
        <v>1</v>
      </c>
      <c r="C26" s="2577" t="s">
        <v>9</v>
      </c>
      <c r="D26" s="2554" t="s">
        <v>153</v>
      </c>
      <c r="E26" s="2554" t="s">
        <v>1283</v>
      </c>
      <c r="F26" s="2555" t="s">
        <v>158</v>
      </c>
      <c r="G26" s="2584">
        <v>0</v>
      </c>
      <c r="H26" s="2554" t="s">
        <v>1800</v>
      </c>
      <c r="I26" s="2579" t="s">
        <v>2446</v>
      </c>
      <c r="J26" s="2552">
        <f>SUMIFS(HPWH!$R$6:$R$69,HPWH!$J$6:$J$69,$E26,HPWH!$L$6:$L$69,'Data Sources 20-21'!J$3,HPWH!$K$6:$K$69,'Data Sources 20-21'!$F26)</f>
        <v>934.91575546526076</v>
      </c>
      <c r="K26" s="2553">
        <f>SUMIFS(HPWH!$R$6:$R$69,HPWH!$J$6:$J$69,$E26,HPWH!$L$6:$L$69,'Data Sources 20-21'!K$3,HPWH!$K$6:$K$69,'Data Sources 20-21'!$F26)</f>
        <v>934.91575546526076</v>
      </c>
      <c r="L26" s="2554" t="s">
        <v>1299</v>
      </c>
      <c r="M26" s="2555" t="s">
        <v>2446</v>
      </c>
    </row>
    <row r="27" spans="1:13">
      <c r="A27" s="2568">
        <v>1</v>
      </c>
      <c r="C27" s="2577" t="s">
        <v>9</v>
      </c>
      <c r="D27" s="2554" t="s">
        <v>153</v>
      </c>
      <c r="E27" s="2554" t="s">
        <v>1283</v>
      </c>
      <c r="F27" s="2555" t="s">
        <v>160</v>
      </c>
      <c r="G27" s="2584">
        <v>0</v>
      </c>
      <c r="H27" s="2554" t="s">
        <v>1800</v>
      </c>
      <c r="I27" s="2579" t="s">
        <v>2446</v>
      </c>
      <c r="J27" s="2552">
        <f>SUMIFS(HPWH!$R$6:$R$69,HPWH!$J$6:$J$69,$E27,HPWH!$L$6:$L$69,'Data Sources 20-21'!J$3,HPWH!$K$6:$K$69,'Data Sources 20-21'!$F27)</f>
        <v>270.93782804489194</v>
      </c>
      <c r="K27" s="2553">
        <f>SUMIFS(HPWH!$R$6:$R$69,HPWH!$J$6:$J$69,$E27,HPWH!$L$6:$L$69,'Data Sources 20-21'!K$3,HPWH!$K$6:$K$69,'Data Sources 20-21'!$F27)</f>
        <v>270.93782804489194</v>
      </c>
      <c r="L27" s="2554" t="s">
        <v>1299</v>
      </c>
      <c r="M27" s="2555" t="s">
        <v>2446</v>
      </c>
    </row>
    <row r="28" spans="1:13">
      <c r="A28" s="2568">
        <v>1</v>
      </c>
      <c r="C28" s="2577" t="s">
        <v>9</v>
      </c>
      <c r="D28" s="2554" t="s">
        <v>153</v>
      </c>
      <c r="E28" s="2554" t="s">
        <v>1283</v>
      </c>
      <c r="F28" s="2555" t="s">
        <v>1296</v>
      </c>
      <c r="G28" s="2584">
        <v>0</v>
      </c>
      <c r="H28" s="2554" t="s">
        <v>1800</v>
      </c>
      <c r="I28" s="2579" t="s">
        <v>2446</v>
      </c>
      <c r="J28" s="2552">
        <f>SUMIFS(HPWH!$R$6:$R$69,HPWH!$J$6:$J$69,$E28,HPWH!$L$6:$L$69,'Data Sources 20-21'!J$3,HPWH!$K$6:$K$69,'Data Sources 20-21'!$F28)</f>
        <v>165.26166691085132</v>
      </c>
      <c r="K28" s="2553">
        <f>SUMIFS(HPWH!$R$6:$R$69,HPWH!$J$6:$J$69,$E28,HPWH!$L$6:$L$69,'Data Sources 20-21'!K$3,HPWH!$K$6:$K$69,'Data Sources 20-21'!$F28)</f>
        <v>165.26166691085132</v>
      </c>
      <c r="L28" s="2554" t="s">
        <v>1299</v>
      </c>
      <c r="M28" s="2555" t="s">
        <v>2446</v>
      </c>
    </row>
    <row r="29" spans="1:13">
      <c r="A29" s="2568">
        <v>1</v>
      </c>
      <c r="C29" s="2577" t="s">
        <v>9</v>
      </c>
      <c r="D29" s="2554" t="s">
        <v>153</v>
      </c>
      <c r="E29" s="2554" t="s">
        <v>1283</v>
      </c>
      <c r="F29" s="2555" t="s">
        <v>1297</v>
      </c>
      <c r="G29" s="2584">
        <v>0</v>
      </c>
      <c r="H29" s="2554" t="s">
        <v>1800</v>
      </c>
      <c r="I29" s="2579" t="s">
        <v>2446</v>
      </c>
      <c r="J29" s="2552">
        <f>SUMIFS(HPWH!$R$6:$R$69,HPWH!$J$6:$J$69,$E29,HPWH!$L$6:$L$69,'Data Sources 20-21'!J$3,HPWH!$K$6:$K$69,'Data Sources 20-21'!$F29)</f>
        <v>423.47074957899622</v>
      </c>
      <c r="K29" s="2553">
        <f>SUMIFS(HPWH!$R$6:$R$69,HPWH!$J$6:$J$69,$E29,HPWH!$L$6:$L$69,'Data Sources 20-21'!K$3,HPWH!$K$6:$K$69,'Data Sources 20-21'!$F29)</f>
        <v>423.47074957899622</v>
      </c>
      <c r="L29" s="2554" t="s">
        <v>1299</v>
      </c>
      <c r="M29" s="2555" t="s">
        <v>2446</v>
      </c>
    </row>
    <row r="30" spans="1:13">
      <c r="A30" s="2568">
        <v>1</v>
      </c>
      <c r="C30" s="2577" t="s">
        <v>9</v>
      </c>
      <c r="D30" s="2554" t="s">
        <v>153</v>
      </c>
      <c r="E30" s="2554" t="s">
        <v>1285</v>
      </c>
      <c r="F30" s="2555" t="s">
        <v>158</v>
      </c>
      <c r="G30" s="2584">
        <v>0</v>
      </c>
      <c r="H30" s="2554" t="s">
        <v>1800</v>
      </c>
      <c r="I30" s="2579" t="s">
        <v>2447</v>
      </c>
      <c r="J30" s="2552">
        <f>SUMIFS(HPWH!$R$6:$R$69,HPWH!$J$6:$J$69,$E30,HPWH!$L$6:$L$69,'Data Sources 20-21'!J$3,HPWH!$K$6:$K$69,'Data Sources 20-21'!$F30)</f>
        <v>372.24983231906316</v>
      </c>
      <c r="K30" s="2553">
        <f>SUMIFS(HPWH!$R$6:$R$69,HPWH!$J$6:$J$69,$E30,HPWH!$L$6:$L$69,'Data Sources 20-21'!K$3,HPWH!$K$6:$K$69,'Data Sources 20-21'!$F30)</f>
        <v>364.74835688550814</v>
      </c>
      <c r="L30" s="2554" t="s">
        <v>1300</v>
      </c>
      <c r="M30" s="2555" t="s">
        <v>2447</v>
      </c>
    </row>
    <row r="31" spans="1:13">
      <c r="A31" s="2568">
        <v>1</v>
      </c>
      <c r="C31" s="2577" t="s">
        <v>9</v>
      </c>
      <c r="D31" s="2554" t="s">
        <v>153</v>
      </c>
      <c r="E31" s="2554" t="s">
        <v>1285</v>
      </c>
      <c r="F31" s="2555" t="s">
        <v>160</v>
      </c>
      <c r="G31" s="2584">
        <v>0</v>
      </c>
      <c r="H31" s="2554" t="s">
        <v>1800</v>
      </c>
      <c r="I31" s="2579" t="s">
        <v>2447</v>
      </c>
      <c r="J31" s="2552">
        <f>SUMIFS(HPWH!$R$6:$R$69,HPWH!$J$6:$J$69,$E31,HPWH!$L$6:$L$69,'Data Sources 20-21'!J$3,HPWH!$K$6:$K$69,'Data Sources 20-21'!$F31)</f>
        <v>107.87769964194359</v>
      </c>
      <c r="K31" s="2553">
        <f>SUMIFS(HPWH!$R$6:$R$69,HPWH!$J$6:$J$69,$E31,HPWH!$L$6:$L$69,'Data Sources 20-21'!K$3,HPWH!$K$6:$K$69,'Data Sources 20-21'!$F31)</f>
        <v>105.70377814236628</v>
      </c>
      <c r="L31" s="2554" t="s">
        <v>1300</v>
      </c>
      <c r="M31" s="2555" t="s">
        <v>2447</v>
      </c>
    </row>
    <row r="32" spans="1:13">
      <c r="A32" s="2568">
        <v>1</v>
      </c>
      <c r="B32" s="2568" t="s">
        <v>55</v>
      </c>
      <c r="C32" s="2577" t="s">
        <v>9</v>
      </c>
      <c r="D32" s="2554" t="s">
        <v>153</v>
      </c>
      <c r="E32" s="2554" t="s">
        <v>1285</v>
      </c>
      <c r="F32" s="2555" t="s">
        <v>1296</v>
      </c>
      <c r="G32" s="2584">
        <v>0</v>
      </c>
      <c r="H32" s="2554" t="s">
        <v>1800</v>
      </c>
      <c r="I32" s="2579" t="s">
        <v>2447</v>
      </c>
      <c r="J32" s="2552">
        <f>SUMIFS(HPWH!$R$6:$R$69,HPWH!$J$6:$J$69,$E32,HPWH!$L$6:$L$69,'Data Sources 20-21'!J$3,HPWH!$K$6:$K$69,'Data Sources 20-21'!$F32)</f>
        <v>65.801252612026559</v>
      </c>
      <c r="K32" s="2553">
        <f>SUMIFS(HPWH!$R$6:$R$69,HPWH!$J$6:$J$69,$E32,HPWH!$L$6:$L$69,'Data Sources 20-21'!K$3,HPWH!$K$6:$K$69,'Data Sources 20-21'!$F32)</f>
        <v>64.475244009440587</v>
      </c>
      <c r="L32" s="2554" t="s">
        <v>1301</v>
      </c>
      <c r="M32" s="2555" t="s">
        <v>2447</v>
      </c>
    </row>
    <row r="33" spans="1:13">
      <c r="A33" s="2568">
        <v>1</v>
      </c>
      <c r="C33" s="2577" t="s">
        <v>9</v>
      </c>
      <c r="D33" s="2554" t="s">
        <v>153</v>
      </c>
      <c r="E33" s="2554" t="s">
        <v>1285</v>
      </c>
      <c r="F33" s="2555" t="s">
        <v>1297</v>
      </c>
      <c r="G33" s="2584">
        <v>0</v>
      </c>
      <c r="H33" s="2554" t="s">
        <v>1800</v>
      </c>
      <c r="I33" s="2579" t="s">
        <v>2447</v>
      </c>
      <c r="J33" s="2552">
        <f>SUMIFS(HPWH!$R$6:$R$69,HPWH!$J$6:$J$69,$E33,HPWH!$L$6:$L$69,'Data Sources 20-21'!J$3,HPWH!$K$6:$K$69,'Data Sources 20-21'!$F33)</f>
        <v>168.61082359700026</v>
      </c>
      <c r="K33" s="2553">
        <f>SUMIFS(HPWH!$R$6:$R$69,HPWH!$J$6:$J$69,$E33,HPWH!$L$6:$L$69,'Data Sources 20-21'!K$3,HPWH!$K$6:$K$69,'Data Sources 20-21'!$F33)</f>
        <v>165.21302501865125</v>
      </c>
      <c r="L33" s="2554" t="s">
        <v>1301</v>
      </c>
      <c r="M33" s="2555" t="s">
        <v>2447</v>
      </c>
    </row>
    <row r="34" spans="1:13">
      <c r="A34" s="2568">
        <v>3</v>
      </c>
      <c r="B34" s="2568" t="s">
        <v>1154</v>
      </c>
      <c r="C34" s="2577" t="s">
        <v>9</v>
      </c>
      <c r="D34" s="2554" t="s">
        <v>154</v>
      </c>
      <c r="E34" s="2554" t="s">
        <v>1187</v>
      </c>
      <c r="F34" s="2555" t="s">
        <v>2395</v>
      </c>
      <c r="G34" s="2578">
        <v>0</v>
      </c>
      <c r="H34" s="2554" t="s">
        <v>2396</v>
      </c>
      <c r="I34" s="2585" t="s">
        <v>1653</v>
      </c>
      <c r="J34" s="2547" t="s">
        <v>2397</v>
      </c>
      <c r="K34" s="2548" t="s">
        <v>2397</v>
      </c>
      <c r="L34" s="2554" t="s">
        <v>1188</v>
      </c>
      <c r="M34" s="2555" t="s">
        <v>2430</v>
      </c>
    </row>
    <row r="35" spans="1:13">
      <c r="A35" s="2568">
        <v>1</v>
      </c>
      <c r="B35" s="2568" t="s">
        <v>85</v>
      </c>
      <c r="C35" s="2580" t="s">
        <v>9</v>
      </c>
      <c r="D35" s="2554" t="s">
        <v>154</v>
      </c>
      <c r="E35" s="2554" t="s">
        <v>2531</v>
      </c>
      <c r="F35" s="2546" t="s">
        <v>1327</v>
      </c>
      <c r="G35" s="2578">
        <v>0</v>
      </c>
      <c r="H35" s="2554" t="s">
        <v>1328</v>
      </c>
      <c r="I35" s="2579" t="s">
        <v>1169</v>
      </c>
      <c r="J35" s="2552">
        <f>Codes!R48</f>
        <v>914</v>
      </c>
      <c r="K35" s="2553">
        <f t="shared" ref="K35:K41" si="0">J35</f>
        <v>914</v>
      </c>
      <c r="L35" s="2554" t="s">
        <v>2398</v>
      </c>
      <c r="M35" s="2555" t="s">
        <v>2428</v>
      </c>
    </row>
    <row r="36" spans="1:13">
      <c r="A36" s="2568">
        <v>1</v>
      </c>
      <c r="B36" s="2568" t="s">
        <v>1210</v>
      </c>
      <c r="C36" s="2580" t="s">
        <v>9</v>
      </c>
      <c r="D36" s="2554" t="s">
        <v>150</v>
      </c>
      <c r="E36" s="2554" t="s">
        <v>2532</v>
      </c>
      <c r="F36" s="2555" t="s">
        <v>2533</v>
      </c>
      <c r="G36" s="2578">
        <v>0</v>
      </c>
      <c r="H36" s="2554" t="s">
        <v>1189</v>
      </c>
      <c r="I36" s="2579" t="s">
        <v>1169</v>
      </c>
      <c r="J36" s="2552">
        <f>Codes!R45</f>
        <v>515</v>
      </c>
      <c r="K36" s="2553">
        <f t="shared" si="0"/>
        <v>515</v>
      </c>
      <c r="L36" s="2554" t="s">
        <v>1192</v>
      </c>
      <c r="M36" s="2555" t="str">
        <f>M35</f>
        <v>Ecotope. 2018. OR_Code_Impact_2018-05-09.xlsx.</v>
      </c>
    </row>
    <row r="37" spans="1:13">
      <c r="A37" s="2568">
        <v>1</v>
      </c>
      <c r="B37" s="2568" t="s">
        <v>67</v>
      </c>
      <c r="C37" s="2577" t="s">
        <v>9</v>
      </c>
      <c r="D37" s="2554" t="s">
        <v>154</v>
      </c>
      <c r="E37" s="2554" t="s">
        <v>2534</v>
      </c>
      <c r="F37" s="2555" t="s">
        <v>2535</v>
      </c>
      <c r="G37" s="2578">
        <v>0</v>
      </c>
      <c r="H37" s="2554" t="s">
        <v>1189</v>
      </c>
      <c r="I37" s="2579" t="s">
        <v>1169</v>
      </c>
      <c r="J37" s="2552">
        <f>Codes!R47</f>
        <v>914</v>
      </c>
      <c r="K37" s="2553">
        <f t="shared" si="0"/>
        <v>914</v>
      </c>
      <c r="L37" s="2554" t="s">
        <v>1190</v>
      </c>
      <c r="M37" s="2555" t="s">
        <v>2429</v>
      </c>
    </row>
    <row r="38" spans="1:13">
      <c r="A38" s="2568">
        <v>1</v>
      </c>
      <c r="B38" s="2568" t="s">
        <v>72</v>
      </c>
      <c r="C38" s="2577" t="s">
        <v>9</v>
      </c>
      <c r="D38" s="2554" t="s">
        <v>150</v>
      </c>
      <c r="E38" s="2554" t="s">
        <v>2536</v>
      </c>
      <c r="F38" s="2555" t="s">
        <v>2537</v>
      </c>
      <c r="G38" s="2578">
        <v>0</v>
      </c>
      <c r="H38" s="2554" t="s">
        <v>1189</v>
      </c>
      <c r="I38" s="2579" t="s">
        <v>1169</v>
      </c>
      <c r="J38" s="2552">
        <f>Codes!R53</f>
        <v>542</v>
      </c>
      <c r="K38" s="2553">
        <f t="shared" si="0"/>
        <v>542</v>
      </c>
      <c r="L38" s="2554" t="s">
        <v>1192</v>
      </c>
      <c r="M38" s="2555" t="s">
        <v>2429</v>
      </c>
    </row>
    <row r="39" spans="1:13">
      <c r="A39" s="2568">
        <v>1</v>
      </c>
      <c r="B39" s="2568" t="s">
        <v>1454</v>
      </c>
      <c r="C39" s="2577" t="s">
        <v>9</v>
      </c>
      <c r="D39" s="2554" t="s">
        <v>1399</v>
      </c>
      <c r="E39" s="2554" t="s">
        <v>2538</v>
      </c>
      <c r="F39" s="2555" t="s">
        <v>2538</v>
      </c>
      <c r="G39" s="2578">
        <v>0</v>
      </c>
      <c r="H39" s="2554" t="s">
        <v>1538</v>
      </c>
      <c r="I39" s="2579" t="s">
        <v>1541</v>
      </c>
      <c r="J39" s="2558">
        <f>Other_ES_Products!S7</f>
        <v>3.6858213897599987</v>
      </c>
      <c r="K39" s="2559">
        <f t="shared" si="0"/>
        <v>3.6858213897599987</v>
      </c>
      <c r="L39" s="2554" t="s">
        <v>1542</v>
      </c>
      <c r="M39" s="2555" t="s">
        <v>1177</v>
      </c>
    </row>
    <row r="40" spans="1:13">
      <c r="A40" s="2568">
        <v>1</v>
      </c>
      <c r="B40" s="2568" t="s">
        <v>1518</v>
      </c>
      <c r="C40" s="2577" t="s">
        <v>9</v>
      </c>
      <c r="D40" s="2554" t="s">
        <v>1399</v>
      </c>
      <c r="E40" s="2554" t="s">
        <v>2539</v>
      </c>
      <c r="F40" s="2555" t="s">
        <v>2539</v>
      </c>
      <c r="G40" s="2578">
        <v>0</v>
      </c>
      <c r="H40" s="2554" t="s">
        <v>1539</v>
      </c>
      <c r="I40" s="2579" t="s">
        <v>1183</v>
      </c>
      <c r="J40" s="2558">
        <f>Other_ES_Products!S9</f>
        <v>47.681234319245519</v>
      </c>
      <c r="K40" s="2559">
        <f t="shared" si="0"/>
        <v>47.681234319245519</v>
      </c>
      <c r="L40" s="2554" t="s">
        <v>1542</v>
      </c>
      <c r="M40" s="2555" t="s">
        <v>1543</v>
      </c>
    </row>
    <row r="41" spans="1:13">
      <c r="A41" s="2568">
        <v>1</v>
      </c>
      <c r="B41" s="2568" t="s">
        <v>1456</v>
      </c>
      <c r="C41" s="2577" t="s">
        <v>9</v>
      </c>
      <c r="D41" s="2554" t="s">
        <v>1399</v>
      </c>
      <c r="E41" s="2554" t="s">
        <v>2540</v>
      </c>
      <c r="F41" s="2555" t="s">
        <v>2540</v>
      </c>
      <c r="G41" s="2578">
        <v>0</v>
      </c>
      <c r="H41" s="2554" t="s">
        <v>1540</v>
      </c>
      <c r="I41" s="2579" t="s">
        <v>1183</v>
      </c>
      <c r="J41" s="2558">
        <f>Other_ES_Products!S11</f>
        <v>4.7763039519126247</v>
      </c>
      <c r="K41" s="2559">
        <f t="shared" si="0"/>
        <v>4.7763039519126247</v>
      </c>
      <c r="L41" s="2554" t="s">
        <v>1542</v>
      </c>
      <c r="M41" s="2555" t="s">
        <v>1543</v>
      </c>
    </row>
    <row r="42" spans="1:13">
      <c r="A42" s="2568">
        <v>1</v>
      </c>
      <c r="B42" s="2568" t="s">
        <v>31</v>
      </c>
      <c r="C42" s="2577" t="s">
        <v>9</v>
      </c>
      <c r="D42" s="2554" t="s">
        <v>144</v>
      </c>
      <c r="E42" s="2554" t="s">
        <v>2541</v>
      </c>
      <c r="F42" s="2555" t="s">
        <v>2542</v>
      </c>
      <c r="G42" s="2578">
        <v>0</v>
      </c>
      <c r="H42" s="2554" t="s">
        <v>2444</v>
      </c>
      <c r="I42" s="2579" t="s">
        <v>2445</v>
      </c>
      <c r="J42" s="2556">
        <f>Com_Lighting!R16</f>
        <v>4.8861867783629416</v>
      </c>
      <c r="K42" s="2557">
        <f>Com_Lighting!R18</f>
        <v>4.8861867783629416</v>
      </c>
      <c r="L42" s="2554" t="s">
        <v>2381</v>
      </c>
      <c r="M42" s="2555" t="s">
        <v>2445</v>
      </c>
    </row>
    <row r="43" spans="1:13">
      <c r="A43" s="2568">
        <v>1</v>
      </c>
      <c r="B43" s="2568" t="s">
        <v>30</v>
      </c>
      <c r="C43" s="2577" t="s">
        <v>9</v>
      </c>
      <c r="D43" s="2554" t="s">
        <v>144</v>
      </c>
      <c r="E43" s="2554" t="s">
        <v>2543</v>
      </c>
      <c r="F43" s="2555" t="s">
        <v>2544</v>
      </c>
      <c r="G43" s="2578">
        <v>0</v>
      </c>
      <c r="H43" s="2554" t="s">
        <v>2444</v>
      </c>
      <c r="I43" s="2579" t="s">
        <v>2445</v>
      </c>
      <c r="J43" s="2556">
        <f>Com_Lighting!R15</f>
        <v>6.5824512834158035</v>
      </c>
      <c r="K43" s="2557">
        <f>Com_Lighting!R17</f>
        <v>6.5824512834158035</v>
      </c>
      <c r="L43" s="2554" t="s">
        <v>2381</v>
      </c>
      <c r="M43" s="2555" t="s">
        <v>2445</v>
      </c>
    </row>
    <row r="44" spans="1:13">
      <c r="A44" s="2568">
        <v>1</v>
      </c>
      <c r="B44" s="2568" t="s">
        <v>95</v>
      </c>
      <c r="C44" s="2577" t="s">
        <v>9</v>
      </c>
      <c r="D44" s="2554" t="s">
        <v>155</v>
      </c>
      <c r="E44" s="2554" t="s">
        <v>2545</v>
      </c>
      <c r="F44" s="2555" t="s">
        <v>2546</v>
      </c>
      <c r="G44" s="2578">
        <v>0</v>
      </c>
      <c r="H44" s="2554" t="s">
        <v>2380</v>
      </c>
      <c r="I44" s="2579" t="s">
        <v>2382</v>
      </c>
      <c r="J44" s="2552">
        <f>SUMIFS(Frig_Freezers!$J$161:$J$188,Frig_Freezers!$K$161:$K$188,B44)</f>
        <v>21.033818272949325</v>
      </c>
      <c r="K44" s="2553">
        <f t="shared" ref="K44:K49" si="1">J44</f>
        <v>21.033818272949325</v>
      </c>
      <c r="L44" s="2554" t="s">
        <v>2381</v>
      </c>
      <c r="M44" s="2555" t="s">
        <v>2382</v>
      </c>
    </row>
    <row r="45" spans="1:13">
      <c r="A45" s="2568">
        <v>1</v>
      </c>
      <c r="B45" s="2568" t="s">
        <v>96</v>
      </c>
      <c r="C45" s="2577" t="s">
        <v>9</v>
      </c>
      <c r="D45" s="2554" t="s">
        <v>155</v>
      </c>
      <c r="E45" s="2554" t="s">
        <v>2547</v>
      </c>
      <c r="F45" s="2555" t="s">
        <v>2548</v>
      </c>
      <c r="G45" s="2578">
        <v>0</v>
      </c>
      <c r="H45" s="2554" t="s">
        <v>2380</v>
      </c>
      <c r="I45" s="2579" t="s">
        <v>2382</v>
      </c>
      <c r="J45" s="2552">
        <f>SUMIFS(Frig_Freezers!$J$161:$J$188,Frig_Freezers!$K$161:$K$188,B45)</f>
        <v>26.07814889846286</v>
      </c>
      <c r="K45" s="2553">
        <f t="shared" si="1"/>
        <v>26.07814889846286</v>
      </c>
      <c r="L45" s="2554" t="s">
        <v>2381</v>
      </c>
      <c r="M45" s="2555" t="s">
        <v>2382</v>
      </c>
    </row>
    <row r="46" spans="1:13">
      <c r="A46" s="2568">
        <v>1</v>
      </c>
      <c r="B46" s="2568" t="s">
        <v>603</v>
      </c>
      <c r="C46" s="2577" t="s">
        <v>9</v>
      </c>
      <c r="D46" s="2554" t="s">
        <v>155</v>
      </c>
      <c r="E46" s="2554" t="s">
        <v>2549</v>
      </c>
      <c r="F46" s="2555" t="s">
        <v>2550</v>
      </c>
      <c r="G46" s="2578">
        <v>0</v>
      </c>
      <c r="H46" s="2554" t="s">
        <v>2380</v>
      </c>
      <c r="I46" s="2579" t="s">
        <v>2382</v>
      </c>
      <c r="J46" s="2552">
        <f>SUMIFS(Frig_Freezers!$J$161:$J$188,Frig_Freezers!$K$161:$K$188,B46)</f>
        <v>44.588844622442167</v>
      </c>
      <c r="K46" s="2553">
        <f t="shared" si="1"/>
        <v>44.588844622442167</v>
      </c>
      <c r="L46" s="2554" t="s">
        <v>2381</v>
      </c>
      <c r="M46" s="2555" t="s">
        <v>2382</v>
      </c>
    </row>
    <row r="47" spans="1:13">
      <c r="A47" s="2568">
        <v>1</v>
      </c>
      <c r="B47" s="2568" t="s">
        <v>604</v>
      </c>
      <c r="C47" s="2577" t="s">
        <v>9</v>
      </c>
      <c r="D47" s="2554" t="s">
        <v>155</v>
      </c>
      <c r="E47" s="2554" t="s">
        <v>2551</v>
      </c>
      <c r="F47" s="2555" t="s">
        <v>2552</v>
      </c>
      <c r="G47" s="2578">
        <v>0</v>
      </c>
      <c r="H47" s="2554" t="s">
        <v>2380</v>
      </c>
      <c r="I47" s="2579" t="s">
        <v>2382</v>
      </c>
      <c r="J47" s="2552">
        <f>SUMIFS(Frig_Freezers!$J$161:$J$188,Frig_Freezers!$K$161:$K$188,B47)</f>
        <v>124.09592218330684</v>
      </c>
      <c r="K47" s="2553">
        <f t="shared" si="1"/>
        <v>124.09592218330684</v>
      </c>
      <c r="L47" s="2554" t="s">
        <v>2381</v>
      </c>
      <c r="M47" s="2555" t="s">
        <v>2382</v>
      </c>
    </row>
    <row r="48" spans="1:13">
      <c r="A48" s="2568">
        <v>1</v>
      </c>
      <c r="B48" s="2568" t="s">
        <v>601</v>
      </c>
      <c r="C48" s="2577" t="s">
        <v>9</v>
      </c>
      <c r="D48" s="2554" t="s">
        <v>155</v>
      </c>
      <c r="E48" s="2554" t="s">
        <v>2553</v>
      </c>
      <c r="F48" s="2555" t="s">
        <v>2554</v>
      </c>
      <c r="G48" s="2578">
        <v>0</v>
      </c>
      <c r="H48" s="2554" t="s">
        <v>2380</v>
      </c>
      <c r="I48" s="2579" t="s">
        <v>2382</v>
      </c>
      <c r="J48" s="2552">
        <f>SUMIFS(Frig_Freezers!$J$161:$J$188,Frig_Freezers!$K$161:$K$188,B48)</f>
        <v>7.057765410106402</v>
      </c>
      <c r="K48" s="2553">
        <f t="shared" si="1"/>
        <v>7.057765410106402</v>
      </c>
      <c r="L48" s="2554" t="s">
        <v>2381</v>
      </c>
      <c r="M48" s="2555" t="s">
        <v>2382</v>
      </c>
    </row>
    <row r="49" spans="1:13">
      <c r="A49" s="2568">
        <v>1</v>
      </c>
      <c r="B49" s="2568" t="s">
        <v>601</v>
      </c>
      <c r="C49" s="2577" t="s">
        <v>9</v>
      </c>
      <c r="D49" s="2554" t="s">
        <v>155</v>
      </c>
      <c r="E49" s="2554" t="s">
        <v>2553</v>
      </c>
      <c r="F49" s="2555" t="s">
        <v>2554</v>
      </c>
      <c r="G49" s="2578">
        <v>0</v>
      </c>
      <c r="H49" s="2554" t="s">
        <v>2380</v>
      </c>
      <c r="I49" s="2579" t="s">
        <v>2382</v>
      </c>
      <c r="J49" s="2552">
        <f>SUMIFS(Frig_Freezers!$J$161:$J$188,Frig_Freezers!$K$161:$K$188,B49)</f>
        <v>7.057765410106402</v>
      </c>
      <c r="K49" s="2553">
        <f t="shared" si="1"/>
        <v>7.057765410106402</v>
      </c>
      <c r="L49" s="2554" t="s">
        <v>2381</v>
      </c>
      <c r="M49" s="2555" t="s">
        <v>2382</v>
      </c>
    </row>
    <row r="50" spans="1:13">
      <c r="A50" s="2568">
        <v>1</v>
      </c>
      <c r="B50" s="460" t="s">
        <v>102</v>
      </c>
      <c r="C50" s="2577" t="s">
        <v>9</v>
      </c>
      <c r="D50" s="2554" t="s">
        <v>149</v>
      </c>
      <c r="E50" s="2554" t="s">
        <v>2555</v>
      </c>
      <c r="F50" s="2555" t="s">
        <v>2556</v>
      </c>
      <c r="G50" s="2584">
        <v>0</v>
      </c>
      <c r="H50" s="2554" t="s">
        <v>1801</v>
      </c>
      <c r="I50" s="2579" t="s">
        <v>2453</v>
      </c>
      <c r="J50" s="2552">
        <v>10.797799783425619</v>
      </c>
      <c r="K50" s="2553">
        <v>10.797799783425619</v>
      </c>
      <c r="L50" s="2554" t="s">
        <v>1798</v>
      </c>
      <c r="M50" s="2555" t="s">
        <v>2453</v>
      </c>
    </row>
    <row r="51" spans="1:13">
      <c r="A51" s="2568">
        <v>1</v>
      </c>
      <c r="B51" s="460" t="s">
        <v>103</v>
      </c>
      <c r="C51" s="2577" t="s">
        <v>9</v>
      </c>
      <c r="D51" s="2554" t="s">
        <v>149</v>
      </c>
      <c r="E51" s="2554" t="s">
        <v>2557</v>
      </c>
      <c r="F51" s="2555" t="s">
        <v>2558</v>
      </c>
      <c r="G51" s="2584">
        <v>0</v>
      </c>
      <c r="H51" s="2554" t="s">
        <v>1801</v>
      </c>
      <c r="I51" s="2579" t="s">
        <v>2453</v>
      </c>
      <c r="J51" s="2552">
        <v>16.566945737759969</v>
      </c>
      <c r="K51" s="2553">
        <v>16.566945737759969</v>
      </c>
      <c r="L51" s="2554" t="s">
        <v>1798</v>
      </c>
      <c r="M51" s="2555" t="s">
        <v>2453</v>
      </c>
    </row>
    <row r="52" spans="1:13">
      <c r="A52" s="2568">
        <v>1</v>
      </c>
      <c r="B52" s="2568" t="s">
        <v>45</v>
      </c>
      <c r="C52" s="2577" t="s">
        <v>9</v>
      </c>
      <c r="D52" s="2554" t="s">
        <v>149</v>
      </c>
      <c r="E52" s="2554" t="s">
        <v>2559</v>
      </c>
      <c r="F52" s="2555" t="s">
        <v>2560</v>
      </c>
      <c r="G52" s="2578">
        <v>0</v>
      </c>
      <c r="H52" s="2554" t="s">
        <v>1801</v>
      </c>
      <c r="I52" s="2579" t="s">
        <v>2453</v>
      </c>
      <c r="J52" s="2552">
        <f>Res_Lighting!S6</f>
        <v>10.478339776432536</v>
      </c>
      <c r="K52" s="2553">
        <f>J52</f>
        <v>10.478339776432536</v>
      </c>
      <c r="L52" s="2554" t="s">
        <v>1798</v>
      </c>
      <c r="M52" s="2555" t="s">
        <v>2453</v>
      </c>
    </row>
    <row r="53" spans="1:13">
      <c r="A53" s="2568">
        <v>1</v>
      </c>
      <c r="B53" s="2568" t="s">
        <v>46</v>
      </c>
      <c r="C53" s="2577" t="s">
        <v>9</v>
      </c>
      <c r="D53" s="2554" t="s">
        <v>149</v>
      </c>
      <c r="E53" s="2554" t="s">
        <v>2561</v>
      </c>
      <c r="F53" s="2555" t="s">
        <v>2562</v>
      </c>
      <c r="G53" s="2578">
        <v>0</v>
      </c>
      <c r="H53" s="2554" t="s">
        <v>1801</v>
      </c>
      <c r="I53" s="2579" t="s">
        <v>2453</v>
      </c>
      <c r="J53" s="2552">
        <v>10.217843948316546</v>
      </c>
      <c r="K53" s="2553">
        <v>10.217843948316546</v>
      </c>
      <c r="L53" s="2554" t="s">
        <v>1798</v>
      </c>
      <c r="M53" s="2555" t="s">
        <v>2453</v>
      </c>
    </row>
    <row r="54" spans="1:13">
      <c r="A54" s="2568">
        <v>2</v>
      </c>
      <c r="B54" s="2568" t="s">
        <v>771</v>
      </c>
      <c r="C54" s="2577" t="s">
        <v>9</v>
      </c>
      <c r="D54" s="2554" t="s">
        <v>155</v>
      </c>
      <c r="E54" s="2554" t="s">
        <v>2390</v>
      </c>
      <c r="F54" s="2555" t="s">
        <v>2391</v>
      </c>
      <c r="G54" s="2578">
        <v>0</v>
      </c>
      <c r="H54" s="2554" t="s">
        <v>2384</v>
      </c>
      <c r="I54" s="2579" t="s">
        <v>2385</v>
      </c>
      <c r="J54" s="2552">
        <f>Soundbars!R12</f>
        <v>10.211368643969383</v>
      </c>
      <c r="K54" s="2553">
        <f>Soundbars!R15</f>
        <v>10.211368643969383</v>
      </c>
      <c r="L54" s="2554" t="s">
        <v>2384</v>
      </c>
      <c r="M54" s="2555" t="s">
        <v>2385</v>
      </c>
    </row>
    <row r="55" spans="1:13">
      <c r="A55" s="2568">
        <v>1</v>
      </c>
      <c r="B55" s="2568" t="s">
        <v>371</v>
      </c>
      <c r="C55" s="2577" t="s">
        <v>9</v>
      </c>
      <c r="D55" s="2554" t="s">
        <v>155</v>
      </c>
      <c r="E55" s="2554" t="s">
        <v>2563</v>
      </c>
      <c r="F55" s="2555" t="s">
        <v>2564</v>
      </c>
      <c r="G55" s="2578">
        <v>0</v>
      </c>
      <c r="H55" s="2554" t="s">
        <v>2386</v>
      </c>
      <c r="I55" s="2579" t="s">
        <v>2379</v>
      </c>
      <c r="J55" s="2552">
        <f>SUMIFS(Clothes_Washers!$J$139:$J$218,Clothes_Washers!$L$139:$L$218,B55)</f>
        <v>26.087175854208262</v>
      </c>
      <c r="K55" s="2553">
        <f t="shared" ref="K55:K70" si="2">J55</f>
        <v>26.087175854208262</v>
      </c>
      <c r="L55" s="2554" t="s">
        <v>2381</v>
      </c>
      <c r="M55" s="2555" t="s">
        <v>2379</v>
      </c>
    </row>
    <row r="56" spans="1:13">
      <c r="A56" s="2568">
        <v>1</v>
      </c>
      <c r="B56" s="2568" t="s">
        <v>372</v>
      </c>
      <c r="C56" s="2577" t="s">
        <v>9</v>
      </c>
      <c r="D56" s="2554" t="s">
        <v>155</v>
      </c>
      <c r="E56" s="2554" t="s">
        <v>2565</v>
      </c>
      <c r="F56" s="2555" t="s">
        <v>2566</v>
      </c>
      <c r="G56" s="2578">
        <v>0</v>
      </c>
      <c r="H56" s="2554" t="s">
        <v>2380</v>
      </c>
      <c r="I56" s="2579" t="s">
        <v>2379</v>
      </c>
      <c r="J56" s="2552">
        <f>SUMIFS(Clothes_Washers!$J$139:$J$218,Clothes_Washers!$L$139:$L$218,B56)</f>
        <v>118.92522564123846</v>
      </c>
      <c r="K56" s="2553">
        <f t="shared" si="2"/>
        <v>118.92522564123846</v>
      </c>
      <c r="L56" s="2554" t="s">
        <v>2381</v>
      </c>
      <c r="M56" s="2555" t="s">
        <v>2379</v>
      </c>
    </row>
    <row r="57" spans="1:13" ht="12" customHeight="1">
      <c r="A57" s="2568">
        <v>1</v>
      </c>
      <c r="B57" s="2568" t="s">
        <v>98</v>
      </c>
      <c r="C57" s="2577" t="s">
        <v>9</v>
      </c>
      <c r="D57" s="2554" t="s">
        <v>155</v>
      </c>
      <c r="E57" s="2554" t="s">
        <v>2567</v>
      </c>
      <c r="F57" s="2555" t="s">
        <v>2568</v>
      </c>
      <c r="G57" s="2578">
        <v>0</v>
      </c>
      <c r="H57" s="2554" t="s">
        <v>2380</v>
      </c>
      <c r="I57" s="2579" t="s">
        <v>2379</v>
      </c>
      <c r="J57" s="2552">
        <f>SUMIFS(Clothes_Washers!$J$139:$J$218,Clothes_Washers!$L$139:$L$218,B57)</f>
        <v>135.36177864225328</v>
      </c>
      <c r="K57" s="2553">
        <f t="shared" si="2"/>
        <v>135.36177864225328</v>
      </c>
      <c r="L57" s="2554" t="s">
        <v>2381</v>
      </c>
      <c r="M57" s="2555" t="s">
        <v>2379</v>
      </c>
    </row>
    <row r="58" spans="1:13">
      <c r="A58" s="2568">
        <v>1</v>
      </c>
      <c r="B58" s="2568" t="s">
        <v>99</v>
      </c>
      <c r="C58" s="2577" t="s">
        <v>9</v>
      </c>
      <c r="D58" s="2554" t="s">
        <v>155</v>
      </c>
      <c r="E58" s="2554" t="s">
        <v>2569</v>
      </c>
      <c r="F58" s="2555" t="s">
        <v>2570</v>
      </c>
      <c r="G58" s="2578">
        <v>0</v>
      </c>
      <c r="H58" s="2554" t="s">
        <v>2380</v>
      </c>
      <c r="I58" s="2579" t="s">
        <v>2379</v>
      </c>
      <c r="J58" s="2552">
        <f>SUMIFS(Clothes_Washers!$J$139:$J$218,Clothes_Washers!$L$139:$L$218,B58)</f>
        <v>152.12586663317194</v>
      </c>
      <c r="K58" s="2553">
        <f t="shared" si="2"/>
        <v>152.12586663317194</v>
      </c>
      <c r="L58" s="2554" t="s">
        <v>2381</v>
      </c>
      <c r="M58" s="2555" t="s">
        <v>2379</v>
      </c>
    </row>
    <row r="59" spans="1:13">
      <c r="A59" s="2568">
        <v>1</v>
      </c>
      <c r="B59" s="2568" t="s">
        <v>711</v>
      </c>
      <c r="C59" s="2577" t="s">
        <v>9</v>
      </c>
      <c r="D59" s="2554" t="s">
        <v>155</v>
      </c>
      <c r="E59" s="2554" t="s">
        <v>2571</v>
      </c>
      <c r="F59" s="2555" t="s">
        <v>2572</v>
      </c>
      <c r="G59" s="2578">
        <v>0</v>
      </c>
      <c r="H59" s="2554" t="s">
        <v>2380</v>
      </c>
      <c r="I59" s="2579" t="s">
        <v>2382</v>
      </c>
      <c r="J59" s="2552">
        <f>SUMIFS(Frig_Freezers!$J$161:$J$188,Frig_Freezers!$K$161:$K$188,B59)</f>
        <v>10.561401586196409</v>
      </c>
      <c r="K59" s="2553">
        <f t="shared" si="2"/>
        <v>10.561401586196409</v>
      </c>
      <c r="L59" s="2554" t="s">
        <v>2381</v>
      </c>
      <c r="M59" s="2555" t="s">
        <v>2382</v>
      </c>
    </row>
    <row r="60" spans="1:13">
      <c r="A60" s="2568">
        <v>1</v>
      </c>
      <c r="B60" s="2568" t="s">
        <v>712</v>
      </c>
      <c r="C60" s="2577" t="s">
        <v>9</v>
      </c>
      <c r="D60" s="2554" t="s">
        <v>155</v>
      </c>
      <c r="E60" s="2554" t="s">
        <v>2573</v>
      </c>
      <c r="F60" s="2555" t="s">
        <v>2574</v>
      </c>
      <c r="G60" s="2578">
        <v>0</v>
      </c>
      <c r="H60" s="2554" t="s">
        <v>2380</v>
      </c>
      <c r="I60" s="2579" t="s">
        <v>2382</v>
      </c>
      <c r="J60" s="2552">
        <f>SUMIFS(Frig_Freezers!$J$161:$J$188,Frig_Freezers!$K$161:$K$188,B60)</f>
        <v>32.705986960460983</v>
      </c>
      <c r="K60" s="2553">
        <f t="shared" si="2"/>
        <v>32.705986960460983</v>
      </c>
      <c r="L60" s="2554" t="s">
        <v>2381</v>
      </c>
      <c r="M60" s="2555" t="s">
        <v>2382</v>
      </c>
    </row>
    <row r="61" spans="1:13">
      <c r="A61" s="2568">
        <v>1</v>
      </c>
      <c r="B61" s="2568" t="s">
        <v>713</v>
      </c>
      <c r="C61" s="2577" t="s">
        <v>9</v>
      </c>
      <c r="D61" s="2554" t="s">
        <v>155</v>
      </c>
      <c r="E61" s="2554" t="s">
        <v>2575</v>
      </c>
      <c r="F61" s="2555" t="s">
        <v>2576</v>
      </c>
      <c r="G61" s="2578">
        <v>0</v>
      </c>
      <c r="H61" s="2554" t="s">
        <v>2380</v>
      </c>
      <c r="I61" s="2579" t="s">
        <v>2382</v>
      </c>
      <c r="J61" s="2552">
        <f>SUMIFS(Frig_Freezers!$J$161:$J$188,Frig_Freezers!$K$161:$K$188,B61)</f>
        <v>17.860705994535618</v>
      </c>
      <c r="K61" s="2553">
        <f t="shared" si="2"/>
        <v>17.860705994535618</v>
      </c>
      <c r="L61" s="2554" t="s">
        <v>2381</v>
      </c>
      <c r="M61" s="2555" t="s">
        <v>2382</v>
      </c>
    </row>
    <row r="62" spans="1:13">
      <c r="A62" s="2568">
        <v>1</v>
      </c>
      <c r="B62" s="2568" t="s">
        <v>714</v>
      </c>
      <c r="C62" s="2577" t="s">
        <v>9</v>
      </c>
      <c r="D62" s="2554" t="s">
        <v>155</v>
      </c>
      <c r="E62" s="2554" t="s">
        <v>2577</v>
      </c>
      <c r="F62" s="2555" t="s">
        <v>2578</v>
      </c>
      <c r="G62" s="2578">
        <v>0</v>
      </c>
      <c r="H62" s="2554" t="s">
        <v>2380</v>
      </c>
      <c r="I62" s="2579" t="s">
        <v>2382</v>
      </c>
      <c r="J62" s="2552">
        <f>SUMIFS(Frig_Freezers!$J$161:$J$188,Frig_Freezers!$K$161:$K$188,B62)</f>
        <v>66.576667417123048</v>
      </c>
      <c r="K62" s="2553">
        <f t="shared" si="2"/>
        <v>66.576667417123048</v>
      </c>
      <c r="L62" s="2554" t="s">
        <v>2381</v>
      </c>
      <c r="M62" s="2555" t="s">
        <v>2382</v>
      </c>
    </row>
    <row r="63" spans="1:13">
      <c r="A63" s="2568">
        <v>1</v>
      </c>
      <c r="B63" s="2568" t="s">
        <v>715</v>
      </c>
      <c r="C63" s="2577" t="s">
        <v>9</v>
      </c>
      <c r="D63" s="2554" t="s">
        <v>155</v>
      </c>
      <c r="E63" s="2554" t="s">
        <v>2579</v>
      </c>
      <c r="F63" s="2555" t="s">
        <v>2580</v>
      </c>
      <c r="G63" s="2578">
        <v>0</v>
      </c>
      <c r="H63" s="2554" t="s">
        <v>2380</v>
      </c>
      <c r="I63" s="2579" t="s">
        <v>2382</v>
      </c>
      <c r="J63" s="2552">
        <f>SUMIFS(Frig_Freezers!$J$161:$J$188,Frig_Freezers!$K$161:$K$188,B63)</f>
        <v>25.571254161654139</v>
      </c>
      <c r="K63" s="2553">
        <f t="shared" si="2"/>
        <v>25.571254161654139</v>
      </c>
      <c r="L63" s="2554" t="s">
        <v>2381</v>
      </c>
      <c r="M63" s="2555" t="s">
        <v>2382</v>
      </c>
    </row>
    <row r="64" spans="1:13">
      <c r="A64" s="2568">
        <v>1</v>
      </c>
      <c r="B64" s="2568" t="s">
        <v>716</v>
      </c>
      <c r="C64" s="2577" t="s">
        <v>9</v>
      </c>
      <c r="D64" s="2554" t="s">
        <v>155</v>
      </c>
      <c r="E64" s="2554" t="s">
        <v>2581</v>
      </c>
      <c r="F64" s="2555" t="s">
        <v>2582</v>
      </c>
      <c r="G64" s="2578">
        <v>0</v>
      </c>
      <c r="H64" s="2554" t="s">
        <v>2380</v>
      </c>
      <c r="I64" s="2579" t="s">
        <v>2382</v>
      </c>
      <c r="J64" s="2552">
        <f>SUMIFS(Frig_Freezers!$J$161:$J$188,Frig_Freezers!$K$161:$K$188,B64)</f>
        <v>53.209669820802617</v>
      </c>
      <c r="K64" s="2553">
        <f t="shared" si="2"/>
        <v>53.209669820802617</v>
      </c>
      <c r="L64" s="2554" t="s">
        <v>2381</v>
      </c>
      <c r="M64" s="2555" t="s">
        <v>2382</v>
      </c>
    </row>
    <row r="65" spans="1:17">
      <c r="A65" s="2568">
        <v>1</v>
      </c>
      <c r="B65" s="2568" t="s">
        <v>95</v>
      </c>
      <c r="C65" s="2577" t="s">
        <v>9</v>
      </c>
      <c r="D65" s="2554" t="s">
        <v>155</v>
      </c>
      <c r="E65" s="2554" t="s">
        <v>2545</v>
      </c>
      <c r="F65" s="2555" t="s">
        <v>2546</v>
      </c>
      <c r="G65" s="2578">
        <v>0</v>
      </c>
      <c r="H65" s="2554" t="s">
        <v>2380</v>
      </c>
      <c r="I65" s="2579" t="s">
        <v>2382</v>
      </c>
      <c r="J65" s="2552">
        <f>SUMIFS(Frig_Freezers!$J$161:$J$188,Frig_Freezers!$K$161:$K$188,B65)</f>
        <v>21.033818272949325</v>
      </c>
      <c r="K65" s="2553">
        <f t="shared" si="2"/>
        <v>21.033818272949325</v>
      </c>
      <c r="L65" s="2554" t="s">
        <v>2381</v>
      </c>
      <c r="M65" s="2555" t="s">
        <v>2382</v>
      </c>
    </row>
    <row r="66" spans="1:17">
      <c r="A66" s="2568">
        <v>1</v>
      </c>
      <c r="B66" s="2568" t="s">
        <v>96</v>
      </c>
      <c r="C66" s="2577" t="s">
        <v>9</v>
      </c>
      <c r="D66" s="2554" t="s">
        <v>155</v>
      </c>
      <c r="E66" s="2554" t="s">
        <v>2547</v>
      </c>
      <c r="F66" s="2555" t="s">
        <v>2548</v>
      </c>
      <c r="G66" s="2578">
        <v>0</v>
      </c>
      <c r="H66" s="2554" t="s">
        <v>2380</v>
      </c>
      <c r="I66" s="2579" t="s">
        <v>2382</v>
      </c>
      <c r="J66" s="2552">
        <f>SUMIFS(Frig_Freezers!$J$161:$J$188,Frig_Freezers!$K$161:$K$188,B66)</f>
        <v>26.07814889846286</v>
      </c>
      <c r="K66" s="2553">
        <f t="shared" si="2"/>
        <v>26.07814889846286</v>
      </c>
      <c r="L66" s="2554" t="s">
        <v>2381</v>
      </c>
      <c r="M66" s="2555" t="s">
        <v>2382</v>
      </c>
    </row>
    <row r="67" spans="1:17">
      <c r="A67" s="2568">
        <v>1</v>
      </c>
      <c r="B67" s="2568" t="s">
        <v>603</v>
      </c>
      <c r="C67" s="2577" t="s">
        <v>9</v>
      </c>
      <c r="D67" s="2554" t="s">
        <v>155</v>
      </c>
      <c r="E67" s="2554" t="s">
        <v>2549</v>
      </c>
      <c r="F67" s="2555" t="s">
        <v>2550</v>
      </c>
      <c r="G67" s="2578">
        <v>0</v>
      </c>
      <c r="H67" s="2554" t="s">
        <v>2380</v>
      </c>
      <c r="I67" s="2579" t="s">
        <v>2382</v>
      </c>
      <c r="J67" s="2552">
        <f>SUMIFS(Frig_Freezers!$J$161:$J$188,Frig_Freezers!$K$161:$K$188,B67)</f>
        <v>44.588844622442167</v>
      </c>
      <c r="K67" s="2553">
        <f t="shared" si="2"/>
        <v>44.588844622442167</v>
      </c>
      <c r="L67" s="2554" t="s">
        <v>2381</v>
      </c>
      <c r="M67" s="2555" t="s">
        <v>2382</v>
      </c>
    </row>
    <row r="68" spans="1:17">
      <c r="A68" s="2568">
        <v>1</v>
      </c>
      <c r="B68" s="2568" t="s">
        <v>604</v>
      </c>
      <c r="C68" s="2577" t="s">
        <v>9</v>
      </c>
      <c r="D68" s="2554" t="s">
        <v>155</v>
      </c>
      <c r="E68" s="2554" t="s">
        <v>2551</v>
      </c>
      <c r="F68" s="2555" t="s">
        <v>2552</v>
      </c>
      <c r="G68" s="2578">
        <v>0</v>
      </c>
      <c r="H68" s="2554" t="s">
        <v>2380</v>
      </c>
      <c r="I68" s="2579" t="s">
        <v>2382</v>
      </c>
      <c r="J68" s="2552">
        <f>SUMIFS(Frig_Freezers!$J$161:$J$188,Frig_Freezers!$K$161:$K$188,B68)</f>
        <v>124.09592218330684</v>
      </c>
      <c r="K68" s="2553">
        <f t="shared" si="2"/>
        <v>124.09592218330684</v>
      </c>
      <c r="L68" s="2554" t="s">
        <v>2381</v>
      </c>
      <c r="M68" s="2555" t="s">
        <v>2382</v>
      </c>
    </row>
    <row r="69" spans="1:17">
      <c r="A69" s="2568">
        <v>1</v>
      </c>
      <c r="B69" s="2568" t="s">
        <v>601</v>
      </c>
      <c r="C69" s="2577" t="s">
        <v>9</v>
      </c>
      <c r="D69" s="2554" t="s">
        <v>155</v>
      </c>
      <c r="E69" s="2554" t="s">
        <v>2553</v>
      </c>
      <c r="F69" s="2555" t="s">
        <v>2554</v>
      </c>
      <c r="G69" s="2578">
        <v>0</v>
      </c>
      <c r="H69" s="2554" t="s">
        <v>2380</v>
      </c>
      <c r="I69" s="2579" t="s">
        <v>2382</v>
      </c>
      <c r="J69" s="2552">
        <f>SUMIFS(Frig_Freezers!$J$161:$J$188,Frig_Freezers!$K$161:$K$188,B69)</f>
        <v>7.057765410106402</v>
      </c>
      <c r="K69" s="2553">
        <f t="shared" si="2"/>
        <v>7.057765410106402</v>
      </c>
      <c r="L69" s="2554" t="s">
        <v>2381</v>
      </c>
      <c r="M69" s="2555" t="s">
        <v>2382</v>
      </c>
    </row>
    <row r="70" spans="1:17">
      <c r="A70" s="2568">
        <v>1</v>
      </c>
      <c r="B70" s="2568" t="s">
        <v>602</v>
      </c>
      <c r="C70" s="2577" t="s">
        <v>9</v>
      </c>
      <c r="D70" s="2554" t="s">
        <v>155</v>
      </c>
      <c r="E70" s="2554" t="s">
        <v>2583</v>
      </c>
      <c r="F70" s="2555" t="s">
        <v>2584</v>
      </c>
      <c r="G70" s="2578">
        <v>0</v>
      </c>
      <c r="H70" s="2554" t="s">
        <v>2380</v>
      </c>
      <c r="I70" s="2579" t="s">
        <v>2382</v>
      </c>
      <c r="J70" s="2552">
        <f>SUMIFS(Frig_Freezers!$J$161:$J$188,Frig_Freezers!$K$161:$K$188,B70)</f>
        <v>58.261695916851224</v>
      </c>
      <c r="K70" s="2553">
        <f t="shared" si="2"/>
        <v>58.261695916851224</v>
      </c>
      <c r="L70" s="2554" t="s">
        <v>2381</v>
      </c>
      <c r="M70" s="2555" t="s">
        <v>2382</v>
      </c>
    </row>
    <row r="71" spans="1:17">
      <c r="A71" s="2568">
        <v>2</v>
      </c>
      <c r="B71" s="2568" t="s">
        <v>760</v>
      </c>
      <c r="C71" s="2577" t="s">
        <v>9</v>
      </c>
      <c r="D71" s="2554" t="s">
        <v>155</v>
      </c>
      <c r="E71" s="2554" t="s">
        <v>2585</v>
      </c>
      <c r="F71" s="2555" t="s">
        <v>2586</v>
      </c>
      <c r="G71" s="2578">
        <v>0</v>
      </c>
      <c r="H71" s="2554" t="s">
        <v>2387</v>
      </c>
      <c r="I71" s="2579" t="s">
        <v>2394</v>
      </c>
      <c r="J71" s="2552">
        <f>Room_AC!R8</f>
        <v>10.410872659457814</v>
      </c>
      <c r="K71" s="2553">
        <f>Room_AC!R9</f>
        <v>10.410872659457814</v>
      </c>
      <c r="L71" s="2554" t="s">
        <v>2393</v>
      </c>
      <c r="M71" s="2555" t="s">
        <v>2394</v>
      </c>
    </row>
    <row r="72" spans="1:17">
      <c r="A72" s="2568">
        <v>2</v>
      </c>
      <c r="B72" s="2568" t="s">
        <v>770</v>
      </c>
      <c r="C72" s="2577" t="s">
        <v>9</v>
      </c>
      <c r="D72" s="2554" t="s">
        <v>155</v>
      </c>
      <c r="E72" s="2554" t="s">
        <v>2392</v>
      </c>
      <c r="F72" s="2555" t="s">
        <v>2391</v>
      </c>
      <c r="G72" s="2578">
        <v>0</v>
      </c>
      <c r="H72" s="2554" t="s">
        <v>2384</v>
      </c>
      <c r="I72" s="2579" t="s">
        <v>2385</v>
      </c>
      <c r="J72" s="2552">
        <f>Soundbars!R12</f>
        <v>10.211368643969383</v>
      </c>
      <c r="K72" s="2553">
        <f>Soundbars!R15</f>
        <v>10.211368643969383</v>
      </c>
      <c r="L72" s="2554" t="s">
        <v>2384</v>
      </c>
      <c r="M72" s="2555" t="s">
        <v>2385</v>
      </c>
    </row>
    <row r="73" spans="1:17">
      <c r="A73" s="2568">
        <v>1</v>
      </c>
      <c r="B73" s="2568" t="s">
        <v>54</v>
      </c>
      <c r="C73" s="2577" t="s">
        <v>9</v>
      </c>
      <c r="D73" s="2554" t="s">
        <v>152</v>
      </c>
      <c r="E73" s="2554" t="s">
        <v>2587</v>
      </c>
      <c r="F73" s="2555" t="s">
        <v>2588</v>
      </c>
      <c r="G73" s="2578">
        <v>0</v>
      </c>
      <c r="H73" s="2554" t="s">
        <v>1208</v>
      </c>
      <c r="I73" s="2579" t="s">
        <v>1209</v>
      </c>
      <c r="J73" s="2552">
        <f>Clothes_Dryers!R18</f>
        <v>67.565806103717364</v>
      </c>
      <c r="K73" s="2553">
        <f>Clothes_Dryers!R24</f>
        <v>67.565806103717364</v>
      </c>
      <c r="L73" s="2554" t="s">
        <v>2410</v>
      </c>
      <c r="M73" s="2555" t="s">
        <v>2414</v>
      </c>
    </row>
    <row r="74" spans="1:17">
      <c r="A74" s="2568">
        <v>1</v>
      </c>
      <c r="B74" s="2568" t="s">
        <v>88</v>
      </c>
      <c r="C74" s="2577" t="s">
        <v>9</v>
      </c>
      <c r="D74" s="2554" t="s">
        <v>152</v>
      </c>
      <c r="E74" s="2554" t="s">
        <v>2589</v>
      </c>
      <c r="F74" s="2555" t="s">
        <v>2590</v>
      </c>
      <c r="G74" s="2578">
        <v>0</v>
      </c>
      <c r="H74" s="2554" t="s">
        <v>1199</v>
      </c>
      <c r="I74" s="2579" t="s">
        <v>940</v>
      </c>
      <c r="J74" s="2552">
        <f>Clothes_Dryers!R19</f>
        <v>323.88953563203387</v>
      </c>
      <c r="K74" s="2553">
        <f>Clothes_Dryers!R25</f>
        <v>323.88953563203387</v>
      </c>
      <c r="L74" s="2554" t="s">
        <v>2410</v>
      </c>
      <c r="M74" s="2555" t="s">
        <v>2414</v>
      </c>
    </row>
    <row r="75" spans="1:17">
      <c r="A75" s="2568">
        <v>1</v>
      </c>
      <c r="B75" s="2568" t="s">
        <v>89</v>
      </c>
      <c r="C75" s="2577" t="s">
        <v>9</v>
      </c>
      <c r="D75" s="2554" t="s">
        <v>152</v>
      </c>
      <c r="E75" s="2554" t="s">
        <v>2591</v>
      </c>
      <c r="F75" s="2555" t="s">
        <v>2592</v>
      </c>
      <c r="G75" s="2578">
        <v>0</v>
      </c>
      <c r="H75" s="2554" t="s">
        <v>1199</v>
      </c>
      <c r="I75" s="2579" t="s">
        <v>940</v>
      </c>
      <c r="J75" s="2552">
        <f>Clothes_Dryers!R20</f>
        <v>434.79864307026338</v>
      </c>
      <c r="K75" s="2553">
        <f>Clothes_Dryers!R26</f>
        <v>434.79864307026338</v>
      </c>
      <c r="L75" s="2554" t="s">
        <v>2410</v>
      </c>
      <c r="M75" s="2555" t="s">
        <v>2414</v>
      </c>
    </row>
    <row r="76" spans="1:17">
      <c r="A76" s="2568">
        <v>1</v>
      </c>
      <c r="B76" s="2568" t="s">
        <v>90</v>
      </c>
      <c r="C76" s="2577" t="s">
        <v>9</v>
      </c>
      <c r="D76" s="2554" t="s">
        <v>152</v>
      </c>
      <c r="E76" s="2554" t="s">
        <v>2593</v>
      </c>
      <c r="F76" s="2555" t="s">
        <v>2594</v>
      </c>
      <c r="G76" s="2578">
        <v>0</v>
      </c>
      <c r="H76" s="2554" t="s">
        <v>1199</v>
      </c>
      <c r="I76" s="2579" t="s">
        <v>940</v>
      </c>
      <c r="J76" s="2552">
        <f>Clothes_Dryers!R21</f>
        <v>534.14988628424771</v>
      </c>
      <c r="K76" s="2553">
        <f>Clothes_Dryers!R27</f>
        <v>534.14988628424771</v>
      </c>
      <c r="L76" s="2554" t="s">
        <v>2410</v>
      </c>
      <c r="M76" s="2555" t="s">
        <v>2414</v>
      </c>
    </row>
    <row r="77" spans="1:17">
      <c r="A77" s="2568">
        <v>1</v>
      </c>
      <c r="B77" s="2568" t="s">
        <v>91</v>
      </c>
      <c r="C77" s="2577" t="s">
        <v>9</v>
      </c>
      <c r="D77" s="2554" t="s">
        <v>152</v>
      </c>
      <c r="E77" s="2554" t="s">
        <v>2595</v>
      </c>
      <c r="F77" s="2555" t="s">
        <v>2596</v>
      </c>
      <c r="G77" s="2578">
        <v>0</v>
      </c>
      <c r="H77" s="2554" t="s">
        <v>1199</v>
      </c>
      <c r="I77" s="2579" t="s">
        <v>940</v>
      </c>
      <c r="J77" s="2552">
        <f>Clothes_Dryers!R22</f>
        <v>584.49959083596605</v>
      </c>
      <c r="K77" s="2553">
        <f>Clothes_Dryers!R28</f>
        <v>584.49959083596605</v>
      </c>
      <c r="L77" s="2554" t="s">
        <v>2410</v>
      </c>
      <c r="M77" s="2555" t="s">
        <v>2414</v>
      </c>
    </row>
    <row r="78" spans="1:17">
      <c r="A78" s="2568">
        <v>1</v>
      </c>
      <c r="B78" s="2568" t="s">
        <v>117</v>
      </c>
      <c r="C78" s="2577" t="s">
        <v>9</v>
      </c>
      <c r="D78" s="2554" t="s">
        <v>152</v>
      </c>
      <c r="E78" s="2554" t="s">
        <v>2597</v>
      </c>
      <c r="F78" s="2555" t="s">
        <v>2598</v>
      </c>
      <c r="G78" s="2578">
        <v>0</v>
      </c>
      <c r="H78" s="2554" t="s">
        <v>1199</v>
      </c>
      <c r="I78" s="2579" t="s">
        <v>940</v>
      </c>
      <c r="J78" s="2552">
        <f>Clothes_Dryers!R23</f>
        <v>623.87140898542452</v>
      </c>
      <c r="K78" s="2553">
        <f>Clothes_Dryers!R29</f>
        <v>623.87140898542452</v>
      </c>
      <c r="L78" s="2554" t="s">
        <v>2410</v>
      </c>
      <c r="M78" s="2555" t="s">
        <v>2414</v>
      </c>
    </row>
    <row r="79" spans="1:17" s="2588" customFormat="1">
      <c r="A79" s="2586">
        <v>1</v>
      </c>
      <c r="B79" s="2587" t="s">
        <v>122</v>
      </c>
      <c r="C79" s="2577" t="s">
        <v>9</v>
      </c>
      <c r="D79" s="2554" t="s">
        <v>142</v>
      </c>
      <c r="E79" s="2554" t="s">
        <v>2599</v>
      </c>
      <c r="F79" s="2555" t="s">
        <v>2600</v>
      </c>
      <c r="G79" s="2578">
        <v>0</v>
      </c>
      <c r="H79" s="2554" t="s">
        <v>1240</v>
      </c>
      <c r="I79" s="2579" t="s">
        <v>1169</v>
      </c>
      <c r="J79" s="2552">
        <v>8760000</v>
      </c>
      <c r="K79" s="2553">
        <v>8760000</v>
      </c>
      <c r="L79" s="2554" t="s">
        <v>2443</v>
      </c>
      <c r="M79" s="2555" t="s">
        <v>2420</v>
      </c>
      <c r="N79" s="2569"/>
      <c r="O79" s="2569"/>
      <c r="P79" s="2569"/>
      <c r="Q79" s="2569"/>
    </row>
    <row r="80" spans="1:17" s="727" customFormat="1">
      <c r="A80" s="2589">
        <v>1</v>
      </c>
      <c r="B80" s="2590" t="s">
        <v>1227</v>
      </c>
      <c r="C80" s="2577" t="s">
        <v>9</v>
      </c>
      <c r="D80" s="2554" t="s">
        <v>142</v>
      </c>
      <c r="E80" s="2554" t="s">
        <v>2601</v>
      </c>
      <c r="F80" s="2555" t="s">
        <v>2313</v>
      </c>
      <c r="G80" s="2578">
        <v>0</v>
      </c>
      <c r="H80" s="2554" t="s">
        <v>1240</v>
      </c>
      <c r="I80" s="2579" t="s">
        <v>1169</v>
      </c>
      <c r="J80" s="2552">
        <f>Standards!R16</f>
        <v>248.88078547999999</v>
      </c>
      <c r="K80" s="2553">
        <f>Standards!R23</f>
        <v>248.88078547999999</v>
      </c>
      <c r="L80" s="2554" t="s">
        <v>2432</v>
      </c>
      <c r="M80" s="2555" t="s">
        <v>2418</v>
      </c>
      <c r="N80" s="2569"/>
      <c r="O80" s="2569"/>
      <c r="P80" s="2569"/>
      <c r="Q80" s="2569"/>
    </row>
    <row r="81" spans="1:17" s="727" customFormat="1">
      <c r="A81" s="2589"/>
      <c r="B81" s="2590" t="s">
        <v>1921</v>
      </c>
      <c r="C81" s="2577" t="s">
        <v>9</v>
      </c>
      <c r="D81" s="2554" t="s">
        <v>142</v>
      </c>
      <c r="E81" s="2554" t="s">
        <v>2602</v>
      </c>
      <c r="F81" s="2555" t="s">
        <v>2603</v>
      </c>
      <c r="G81" s="2578">
        <v>0</v>
      </c>
      <c r="H81" s="2554" t="s">
        <v>1240</v>
      </c>
      <c r="I81" s="2579" t="s">
        <v>1169</v>
      </c>
      <c r="J81" s="2552">
        <f>Standards!R17</f>
        <v>1008.0959436000001</v>
      </c>
      <c r="K81" s="2553">
        <f>Standards!R24</f>
        <v>1008.0959436000001</v>
      </c>
      <c r="L81" s="2554" t="s">
        <v>2431</v>
      </c>
      <c r="M81" s="2555"/>
      <c r="N81" s="2569"/>
      <c r="O81" s="2569"/>
      <c r="P81" s="2569"/>
      <c r="Q81" s="2569"/>
    </row>
    <row r="82" spans="1:17" s="727" customFormat="1">
      <c r="A82" s="2589"/>
      <c r="B82" s="2590" t="s">
        <v>1919</v>
      </c>
      <c r="C82" s="2577" t="s">
        <v>9</v>
      </c>
      <c r="D82" s="2554" t="s">
        <v>142</v>
      </c>
      <c r="E82" s="2554" t="s">
        <v>2604</v>
      </c>
      <c r="F82" s="2555" t="s">
        <v>2605</v>
      </c>
      <c r="G82" s="2578">
        <v>0</v>
      </c>
      <c r="H82" s="2554" t="s">
        <v>1240</v>
      </c>
      <c r="I82" s="2579" t="s">
        <v>1169</v>
      </c>
      <c r="J82" s="2552">
        <f>Standards!R14</f>
        <v>162.03073144000001</v>
      </c>
      <c r="K82" s="2553">
        <f>Standards!R21</f>
        <v>161.99258717000001</v>
      </c>
      <c r="L82" s="2554" t="s">
        <v>2434</v>
      </c>
      <c r="M82" s="2555" t="s">
        <v>2435</v>
      </c>
      <c r="N82" s="2569"/>
      <c r="O82" s="2569"/>
      <c r="P82" s="2569"/>
      <c r="Q82" s="2569"/>
    </row>
    <row r="83" spans="1:17" s="727" customFormat="1">
      <c r="A83" s="2589"/>
      <c r="B83" s="2590" t="s">
        <v>1920</v>
      </c>
      <c r="C83" s="2577" t="s">
        <v>9</v>
      </c>
      <c r="D83" s="2554" t="s">
        <v>142</v>
      </c>
      <c r="E83" s="2554" t="s">
        <v>2606</v>
      </c>
      <c r="F83" s="2555" t="s">
        <v>2607</v>
      </c>
      <c r="G83" s="2578">
        <v>0</v>
      </c>
      <c r="H83" s="2554" t="s">
        <v>1240</v>
      </c>
      <c r="I83" s="2579" t="s">
        <v>1169</v>
      </c>
      <c r="J83" s="2552">
        <f>Standards!R15</f>
        <v>162.03073144000001</v>
      </c>
      <c r="K83" s="2553">
        <f>Standards!R22</f>
        <v>161.99258717000001</v>
      </c>
      <c r="L83" s="2554" t="s">
        <v>2434</v>
      </c>
      <c r="M83" s="2555" t="s">
        <v>2435</v>
      </c>
      <c r="N83" s="2569"/>
      <c r="O83" s="2569"/>
      <c r="P83" s="2569"/>
      <c r="Q83" s="2569"/>
    </row>
    <row r="84" spans="1:17" s="727" customFormat="1">
      <c r="A84" s="2589"/>
      <c r="B84" s="2590" t="s">
        <v>1918</v>
      </c>
      <c r="C84" s="2577" t="s">
        <v>9</v>
      </c>
      <c r="D84" s="2554" t="s">
        <v>142</v>
      </c>
      <c r="E84" s="2554" t="s">
        <v>2608</v>
      </c>
      <c r="F84" s="2555" t="s">
        <v>2609</v>
      </c>
      <c r="G84" s="2578">
        <v>0</v>
      </c>
      <c r="H84" s="2554" t="s">
        <v>1240</v>
      </c>
      <c r="I84" s="2579" t="s">
        <v>1169</v>
      </c>
      <c r="J84" s="2552">
        <f>Standards!R13</f>
        <v>162.03073144000001</v>
      </c>
      <c r="K84" s="2553">
        <f>Standards!R20</f>
        <v>161.99258717000001</v>
      </c>
      <c r="L84" s="2554" t="s">
        <v>2434</v>
      </c>
      <c r="M84" s="2555" t="s">
        <v>2435</v>
      </c>
      <c r="N84" s="2569"/>
      <c r="O84" s="2569"/>
      <c r="P84" s="2569"/>
      <c r="Q84" s="2569"/>
    </row>
    <row r="85" spans="1:17" s="616" customFormat="1">
      <c r="A85" s="2591">
        <v>1</v>
      </c>
      <c r="B85" s="2592" t="s">
        <v>1429</v>
      </c>
      <c r="C85" s="2577" t="s">
        <v>9</v>
      </c>
      <c r="D85" s="2554" t="s">
        <v>142</v>
      </c>
      <c r="E85" s="2554" t="s">
        <v>2610</v>
      </c>
      <c r="F85" s="2555" t="s">
        <v>2314</v>
      </c>
      <c r="G85" s="2578">
        <v>0</v>
      </c>
      <c r="H85" s="2554" t="s">
        <v>1240</v>
      </c>
      <c r="I85" s="2579" t="s">
        <v>1169</v>
      </c>
      <c r="J85" s="2552">
        <f>Standards!R18</f>
        <v>348.00828630000001</v>
      </c>
      <c r="K85" s="2553">
        <f>Standards!R25</f>
        <v>336.68352598000001</v>
      </c>
      <c r="L85" s="2554" t="s">
        <v>2433</v>
      </c>
      <c r="M85" s="2555" t="s">
        <v>2419</v>
      </c>
      <c r="N85" s="2569"/>
      <c r="O85" s="2569"/>
      <c r="P85" s="2569"/>
      <c r="Q85" s="2569"/>
    </row>
    <row r="86" spans="1:17" ht="13.5" customHeight="1">
      <c r="A86" s="2568">
        <v>1</v>
      </c>
      <c r="B86" s="2568" t="s">
        <v>65</v>
      </c>
      <c r="C86" s="2577" t="s">
        <v>9</v>
      </c>
      <c r="D86" s="2554" t="s">
        <v>154</v>
      </c>
      <c r="E86" s="2554" t="s">
        <v>2611</v>
      </c>
      <c r="F86" s="2555" t="s">
        <v>2612</v>
      </c>
      <c r="G86" s="2578">
        <v>0</v>
      </c>
      <c r="H86" s="2554" t="s">
        <v>1189</v>
      </c>
      <c r="I86" s="2579" t="s">
        <v>1169</v>
      </c>
      <c r="J86" s="2552">
        <f>Codes!R58</f>
        <v>1015.22</v>
      </c>
      <c r="K86" s="2553">
        <f>J86</f>
        <v>1015.22</v>
      </c>
      <c r="L86" s="2554" t="s">
        <v>2398</v>
      </c>
      <c r="M86" s="2555" t="s">
        <v>2425</v>
      </c>
    </row>
    <row r="87" spans="1:17">
      <c r="A87" s="2568">
        <v>1</v>
      </c>
      <c r="B87" s="2568" t="s">
        <v>68</v>
      </c>
      <c r="C87" s="2577" t="s">
        <v>9</v>
      </c>
      <c r="D87" s="2554" t="s">
        <v>154</v>
      </c>
      <c r="E87" s="2554" t="s">
        <v>2613</v>
      </c>
      <c r="F87" s="2555" t="s">
        <v>2614</v>
      </c>
      <c r="G87" s="2578">
        <v>0</v>
      </c>
      <c r="H87" s="2554" t="s">
        <v>1189</v>
      </c>
      <c r="I87" s="2579" t="s">
        <v>1169</v>
      </c>
      <c r="J87" s="2552">
        <f>Codes!R23</f>
        <v>1045</v>
      </c>
      <c r="K87" s="2553">
        <f>J87</f>
        <v>1045</v>
      </c>
      <c r="L87" s="2554" t="s">
        <v>2423</v>
      </c>
      <c r="M87" s="2555" t="s">
        <v>2426</v>
      </c>
    </row>
    <row r="88" spans="1:17">
      <c r="A88" s="2568">
        <v>1</v>
      </c>
      <c r="B88" s="2568" t="s">
        <v>1845</v>
      </c>
      <c r="C88" s="2577" t="s">
        <v>9</v>
      </c>
      <c r="D88" s="2554" t="s">
        <v>139</v>
      </c>
      <c r="E88" s="2554" t="s">
        <v>2615</v>
      </c>
      <c r="F88" s="2555" t="s">
        <v>2615</v>
      </c>
      <c r="G88" s="2578">
        <v>0</v>
      </c>
      <c r="H88" s="2554" t="s">
        <v>2421</v>
      </c>
      <c r="I88" s="2579" t="s">
        <v>2422</v>
      </c>
      <c r="J88" s="2558">
        <f>Commercial_Desktops!S11</f>
        <v>58.005892711679365</v>
      </c>
      <c r="K88" s="2559">
        <f>Commercial_Desktops!S12</f>
        <v>58.005892711679365</v>
      </c>
      <c r="L88" s="2554" t="s">
        <v>2424</v>
      </c>
      <c r="M88" s="2555" t="s">
        <v>2402</v>
      </c>
    </row>
    <row r="89" spans="1:17">
      <c r="A89" s="2568">
        <v>1</v>
      </c>
      <c r="B89" s="2568" t="s">
        <v>2440</v>
      </c>
      <c r="C89" s="2577" t="s">
        <v>9</v>
      </c>
      <c r="D89" s="2554" t="s">
        <v>150</v>
      </c>
      <c r="E89" s="2554" t="s">
        <v>2616</v>
      </c>
      <c r="F89" s="2555" t="s">
        <v>2617</v>
      </c>
      <c r="G89" s="2578">
        <v>0</v>
      </c>
      <c r="H89" s="2554" t="s">
        <v>1189</v>
      </c>
      <c r="I89" s="2579" t="s">
        <v>1169</v>
      </c>
      <c r="J89" s="2552">
        <f>Codes!R49</f>
        <v>0</v>
      </c>
      <c r="K89" s="2553">
        <f>J89</f>
        <v>0</v>
      </c>
      <c r="L89" s="2554" t="s">
        <v>2398</v>
      </c>
      <c r="M89" s="2555" t="s">
        <v>2425</v>
      </c>
    </row>
    <row r="90" spans="1:17">
      <c r="A90" s="2568">
        <v>1</v>
      </c>
      <c r="B90" s="2568" t="s">
        <v>73</v>
      </c>
      <c r="C90" s="2577" t="s">
        <v>9</v>
      </c>
      <c r="D90" s="2554" t="s">
        <v>150</v>
      </c>
      <c r="E90" s="2554" t="s">
        <v>2618</v>
      </c>
      <c r="F90" s="2555" t="s">
        <v>2619</v>
      </c>
      <c r="G90" s="2578">
        <v>0</v>
      </c>
      <c r="H90" s="2554" t="s">
        <v>1189</v>
      </c>
      <c r="I90" s="2579" t="s">
        <v>1169</v>
      </c>
      <c r="J90" s="2552">
        <f>Codes!R57</f>
        <v>1015.22</v>
      </c>
      <c r="K90" s="2553">
        <f>J90</f>
        <v>1015.22</v>
      </c>
      <c r="L90" s="2554" t="s">
        <v>2423</v>
      </c>
      <c r="M90" s="2555" t="s">
        <v>2426</v>
      </c>
    </row>
    <row r="91" spans="1:17">
      <c r="A91" s="2568">
        <v>1</v>
      </c>
      <c r="B91" s="2568" t="s">
        <v>2451</v>
      </c>
      <c r="C91" s="2577" t="s">
        <v>9</v>
      </c>
      <c r="D91" s="2554" t="s">
        <v>150</v>
      </c>
      <c r="E91" s="2554" t="s">
        <v>2620</v>
      </c>
      <c r="F91" s="2555" t="s">
        <v>2621</v>
      </c>
      <c r="G91" s="2578">
        <v>0</v>
      </c>
      <c r="H91" s="2554" t="s">
        <v>1189</v>
      </c>
      <c r="I91" s="2579" t="s">
        <v>1169</v>
      </c>
      <c r="J91" s="2552">
        <f>Codes!R18</f>
        <v>0</v>
      </c>
      <c r="K91" s="2553">
        <f>J91</f>
        <v>0</v>
      </c>
      <c r="L91" s="2554" t="s">
        <v>2423</v>
      </c>
      <c r="M91" s="2560" t="s">
        <v>2425</v>
      </c>
    </row>
    <row r="92" spans="1:17">
      <c r="A92" s="2568">
        <v>1</v>
      </c>
      <c r="B92" s="2568" t="s">
        <v>74</v>
      </c>
      <c r="C92" s="2577" t="s">
        <v>9</v>
      </c>
      <c r="D92" s="2554" t="s">
        <v>150</v>
      </c>
      <c r="E92" s="2554" t="s">
        <v>2622</v>
      </c>
      <c r="F92" s="2555" t="s">
        <v>2623</v>
      </c>
      <c r="G92" s="2578">
        <v>0</v>
      </c>
      <c r="H92" s="2554" t="s">
        <v>1189</v>
      </c>
      <c r="I92" s="2579" t="s">
        <v>1169</v>
      </c>
      <c r="J92" s="2552">
        <f>Codes!R23</f>
        <v>1045</v>
      </c>
      <c r="K92" s="2553">
        <f t="shared" ref="K92:K94" si="3">J92</f>
        <v>1045</v>
      </c>
      <c r="L92" s="2554" t="s">
        <v>2423</v>
      </c>
      <c r="M92" s="2560" t="s">
        <v>2425</v>
      </c>
    </row>
    <row r="93" spans="1:17">
      <c r="A93" s="2568">
        <v>1</v>
      </c>
      <c r="B93" s="2568" t="s">
        <v>2452</v>
      </c>
      <c r="C93" s="2577" t="s">
        <v>9</v>
      </c>
      <c r="D93" s="2554" t="s">
        <v>150</v>
      </c>
      <c r="E93" s="2554" t="s">
        <v>2624</v>
      </c>
      <c r="F93" s="2555" t="s">
        <v>2625</v>
      </c>
      <c r="G93" s="2578">
        <v>0</v>
      </c>
      <c r="H93" s="2554" t="s">
        <v>1189</v>
      </c>
      <c r="I93" s="2579" t="s">
        <v>1169</v>
      </c>
      <c r="J93" s="2552">
        <f>Codes!R20</f>
        <v>0</v>
      </c>
      <c r="K93" s="2553">
        <f t="shared" si="3"/>
        <v>0</v>
      </c>
      <c r="L93" s="2554" t="s">
        <v>2423</v>
      </c>
      <c r="M93" s="2560" t="s">
        <v>2425</v>
      </c>
    </row>
    <row r="94" spans="1:17">
      <c r="A94" s="2568">
        <v>1</v>
      </c>
      <c r="B94" s="2568" t="s">
        <v>75</v>
      </c>
      <c r="C94" s="2577" t="s">
        <v>9</v>
      </c>
      <c r="D94" s="2554" t="s">
        <v>150</v>
      </c>
      <c r="E94" s="2554" t="s">
        <v>2626</v>
      </c>
      <c r="F94" s="2555" t="s">
        <v>2627</v>
      </c>
      <c r="G94" s="2578">
        <v>0</v>
      </c>
      <c r="H94" s="2554" t="s">
        <v>1189</v>
      </c>
      <c r="I94" s="2579" t="s">
        <v>1169</v>
      </c>
      <c r="J94" s="2552">
        <f>Codes!R30</f>
        <v>579</v>
      </c>
      <c r="K94" s="2553">
        <f t="shared" si="3"/>
        <v>579</v>
      </c>
      <c r="L94" s="2554" t="s">
        <v>2423</v>
      </c>
      <c r="M94" s="2560" t="s">
        <v>2425</v>
      </c>
    </row>
    <row r="95" spans="1:17">
      <c r="A95" s="2568">
        <v>1</v>
      </c>
      <c r="B95" s="2568" t="s">
        <v>63</v>
      </c>
      <c r="C95" s="2577" t="s">
        <v>9</v>
      </c>
      <c r="D95" s="2554" t="s">
        <v>154</v>
      </c>
      <c r="E95" s="2554" t="s">
        <v>2628</v>
      </c>
      <c r="F95" s="2555" t="s">
        <v>2629</v>
      </c>
      <c r="G95" s="2578">
        <v>0</v>
      </c>
      <c r="H95" s="2554" t="s">
        <v>1189</v>
      </c>
      <c r="I95" s="2579" t="s">
        <v>1169</v>
      </c>
      <c r="J95" s="2552">
        <f>Codes!R43</f>
        <v>363</v>
      </c>
      <c r="K95" s="2553">
        <f t="shared" ref="K95:K96" si="4">J95</f>
        <v>363</v>
      </c>
      <c r="L95" s="2554" t="s">
        <v>2423</v>
      </c>
      <c r="M95" s="2560" t="s">
        <v>2425</v>
      </c>
    </row>
    <row r="96" spans="1:17">
      <c r="A96" s="2568">
        <v>1</v>
      </c>
      <c r="B96" s="2568" t="s">
        <v>62</v>
      </c>
      <c r="C96" s="2593" t="s">
        <v>9</v>
      </c>
      <c r="D96" s="2563" t="s">
        <v>154</v>
      </c>
      <c r="E96" s="2563" t="s">
        <v>2630</v>
      </c>
      <c r="F96" s="2594" t="s">
        <v>2631</v>
      </c>
      <c r="G96" s="2595">
        <v>0</v>
      </c>
      <c r="H96" s="2563" t="s">
        <v>1189</v>
      </c>
      <c r="I96" s="2596" t="s">
        <v>1169</v>
      </c>
      <c r="J96" s="2561">
        <f>Codes!R44</f>
        <v>1007</v>
      </c>
      <c r="K96" s="2562">
        <f t="shared" si="4"/>
        <v>1007</v>
      </c>
      <c r="L96" s="2563" t="s">
        <v>2423</v>
      </c>
      <c r="M96" s="2564" t="s">
        <v>2425</v>
      </c>
    </row>
  </sheetData>
  <autoFilter ref="A3:P96"/>
  <mergeCells count="4">
    <mergeCell ref="C1:M1"/>
    <mergeCell ref="C2:F2"/>
    <mergeCell ref="G2:I2"/>
    <mergeCell ref="J2:M2"/>
  </mergeCells>
  <hyperlinks>
    <hyperlink ref="J34" location="Homes_Vol!A1" display="See Vol Homes Tab"/>
    <hyperlink ref="K34" location="Homes_Vol!A1" display="See Vol Homes Tab"/>
  </hyperlinks>
  <pageMargins left="0.7" right="0.7" top="0.75" bottom="0.75" header="0.3" footer="0.3"/>
  <pageSetup paperSize="5" scale="36" fitToHeight="0"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1:P26"/>
  <sheetViews>
    <sheetView showGridLines="0" workbookViewId="0">
      <selection activeCell="A2" sqref="A2:P2"/>
    </sheetView>
  </sheetViews>
  <sheetFormatPr defaultColWidth="9.109375" defaultRowHeight="13.8"/>
  <cols>
    <col min="1" max="1" width="11.6640625" style="458" customWidth="1"/>
    <col min="2" max="16384" width="9.109375" style="458"/>
  </cols>
  <sheetData>
    <row r="1" spans="1:16">
      <c r="A1" s="2644">
        <v>43707</v>
      </c>
    </row>
    <row r="2" spans="1:16" ht="14.4">
      <c r="A2" s="2788" t="s">
        <v>1394</v>
      </c>
      <c r="B2" s="2788"/>
      <c r="C2" s="2788"/>
      <c r="D2" s="2788"/>
      <c r="E2" s="2788"/>
      <c r="F2" s="2788"/>
      <c r="G2" s="2788"/>
      <c r="H2" s="2788"/>
      <c r="I2" s="2788"/>
      <c r="J2" s="2788"/>
      <c r="K2" s="2788"/>
      <c r="L2" s="2788"/>
      <c r="M2" s="2788"/>
      <c r="N2" s="2788"/>
      <c r="O2" s="2788"/>
      <c r="P2" s="2788"/>
    </row>
    <row r="3" spans="1:16" ht="67.5" customHeight="1">
      <c r="A3" s="2789" t="s">
        <v>2497</v>
      </c>
      <c r="B3" s="2789"/>
      <c r="C3" s="2789"/>
      <c r="D3" s="2789"/>
      <c r="E3" s="2789"/>
      <c r="F3" s="2789"/>
      <c r="G3" s="2789"/>
      <c r="H3" s="2789"/>
      <c r="I3" s="2789"/>
      <c r="J3" s="2789"/>
      <c r="K3" s="2789"/>
      <c r="L3" s="2789"/>
      <c r="M3" s="2789"/>
      <c r="N3" s="2789"/>
      <c r="O3" s="2789"/>
      <c r="P3" s="2789"/>
    </row>
    <row r="4" spans="1:16" ht="52.5" customHeight="1">
      <c r="A4" s="2791" t="s">
        <v>2480</v>
      </c>
      <c r="B4" s="2791"/>
      <c r="C4" s="2791"/>
      <c r="D4" s="2791"/>
      <c r="E4" s="2791"/>
      <c r="F4" s="2791"/>
      <c r="G4" s="2791"/>
      <c r="H4" s="2791"/>
      <c r="I4" s="2791"/>
      <c r="J4" s="2791"/>
      <c r="K4" s="2791"/>
      <c r="L4" s="2791"/>
      <c r="M4" s="2791"/>
      <c r="N4" s="2791"/>
      <c r="O4" s="2791"/>
      <c r="P4" s="2791"/>
    </row>
    <row r="5" spans="1:16" ht="30.75" customHeight="1">
      <c r="A5" s="490" t="s">
        <v>1086</v>
      </c>
      <c r="B5" s="462"/>
      <c r="C5" s="462"/>
      <c r="D5" s="462"/>
      <c r="E5" s="462"/>
      <c r="F5" s="462"/>
      <c r="G5" s="462"/>
      <c r="H5" s="462"/>
      <c r="I5" s="462"/>
      <c r="J5" s="462"/>
      <c r="K5" s="462"/>
      <c r="L5" s="462"/>
      <c r="M5" s="462"/>
      <c r="N5" s="462"/>
      <c r="O5" s="462"/>
      <c r="P5" s="462"/>
    </row>
    <row r="6" spans="1:16">
      <c r="A6" s="462"/>
      <c r="B6" s="462"/>
      <c r="C6" s="462"/>
      <c r="D6" s="462"/>
      <c r="E6" s="462"/>
      <c r="F6" s="462"/>
      <c r="G6" s="462"/>
      <c r="H6" s="462"/>
      <c r="I6" s="462"/>
      <c r="J6" s="462"/>
      <c r="K6" s="462"/>
      <c r="L6" s="462"/>
      <c r="M6" s="462"/>
      <c r="N6" s="462"/>
      <c r="O6" s="462"/>
      <c r="P6" s="462"/>
    </row>
    <row r="7" spans="1:16">
      <c r="A7" s="2790" t="s">
        <v>867</v>
      </c>
      <c r="B7" s="2790"/>
      <c r="C7" s="2790"/>
      <c r="D7" s="2790"/>
      <c r="E7" s="2790"/>
      <c r="F7" s="2790"/>
      <c r="G7" s="2790"/>
      <c r="H7" s="2790"/>
      <c r="I7" s="2790"/>
      <c r="J7" s="2790"/>
      <c r="K7" s="2790"/>
      <c r="L7" s="2790"/>
      <c r="M7" s="2790"/>
      <c r="N7" s="2790"/>
      <c r="O7" s="2790"/>
      <c r="P7" s="2790"/>
    </row>
    <row r="8" spans="1:16" ht="45.75" customHeight="1">
      <c r="A8" s="2789" t="s">
        <v>866</v>
      </c>
      <c r="B8" s="2789"/>
      <c r="C8" s="2789"/>
      <c r="D8" s="2789"/>
      <c r="E8" s="2789"/>
      <c r="F8" s="2789"/>
      <c r="G8" s="2789"/>
      <c r="H8" s="2789"/>
      <c r="I8" s="2789"/>
      <c r="J8" s="2789"/>
      <c r="K8" s="2789"/>
      <c r="L8" s="2789"/>
      <c r="M8" s="2789"/>
      <c r="N8" s="2789"/>
      <c r="O8" s="2789"/>
      <c r="P8" s="2789"/>
    </row>
    <row r="9" spans="1:16">
      <c r="A9" s="2792" t="s">
        <v>883</v>
      </c>
      <c r="B9" s="2792"/>
      <c r="C9" s="2792" t="s">
        <v>884</v>
      </c>
      <c r="D9" s="2792"/>
      <c r="E9" s="2619"/>
      <c r="F9" s="2619"/>
      <c r="G9" s="2619"/>
      <c r="H9" s="2619"/>
      <c r="I9" s="2619"/>
      <c r="J9" s="2619"/>
      <c r="K9" s="2619"/>
      <c r="L9" s="2619"/>
      <c r="M9" s="2619"/>
      <c r="N9" s="2619"/>
      <c r="O9" s="2619"/>
      <c r="P9" s="2619"/>
    </row>
    <row r="10" spans="1:16">
      <c r="A10" s="2793" t="s">
        <v>2505</v>
      </c>
      <c r="B10" s="2793"/>
      <c r="C10" s="2787">
        <f>Frig_Freezers!Q37</f>
        <v>0.13985600000000001</v>
      </c>
      <c r="D10" s="2787"/>
      <c r="E10" s="2619"/>
      <c r="F10" s="2619"/>
      <c r="G10" s="2619"/>
      <c r="H10" s="2619"/>
      <c r="I10" s="2619"/>
      <c r="J10" s="2619"/>
      <c r="K10" s="2619"/>
      <c r="L10" s="2619"/>
      <c r="M10" s="2619"/>
      <c r="N10" s="2619"/>
      <c r="O10" s="2619"/>
      <c r="P10" s="2619"/>
    </row>
    <row r="11" spans="1:16">
      <c r="A11" s="2793" t="s">
        <v>881</v>
      </c>
      <c r="B11" s="2793"/>
      <c r="C11" s="2787">
        <f>DHP!Q6</f>
        <v>0.14199999999999999</v>
      </c>
      <c r="D11" s="2787"/>
      <c r="E11" s="2619"/>
      <c r="F11" s="2619"/>
      <c r="G11" s="2619"/>
      <c r="H11" s="2619"/>
      <c r="I11" s="2619"/>
      <c r="J11" s="2619"/>
      <c r="K11" s="2619"/>
      <c r="L11" s="2619"/>
      <c r="M11" s="2619"/>
      <c r="N11" s="2619"/>
      <c r="O11" s="2619"/>
      <c r="P11" s="2619"/>
    </row>
    <row r="12" spans="1:16">
      <c r="A12" s="2793" t="s">
        <v>880</v>
      </c>
      <c r="B12" s="2793"/>
      <c r="C12" s="2787">
        <f>Commercial_Desktops!R7</f>
        <v>0.13800000000000001</v>
      </c>
      <c r="D12" s="2787"/>
      <c r="E12" s="2619"/>
      <c r="F12" s="2619"/>
      <c r="G12" s="2619"/>
      <c r="H12" s="2619"/>
      <c r="I12" s="2619"/>
      <c r="J12" s="2619"/>
      <c r="K12" s="2619"/>
      <c r="L12" s="2619"/>
      <c r="M12" s="2619"/>
      <c r="N12" s="2619"/>
      <c r="O12" s="2619"/>
      <c r="P12" s="2619"/>
    </row>
    <row r="13" spans="1:16">
      <c r="A13" s="2793" t="s">
        <v>882</v>
      </c>
      <c r="B13" s="2793"/>
      <c r="C13" s="2787">
        <f>Motor_Rewinds!Q6</f>
        <v>0.1037</v>
      </c>
      <c r="D13" s="2787"/>
      <c r="E13" s="2619"/>
      <c r="F13" s="2619"/>
      <c r="G13" s="2619"/>
      <c r="H13" s="2619"/>
      <c r="I13" s="2619"/>
      <c r="J13" s="2619"/>
      <c r="K13" s="2619"/>
      <c r="L13" s="2619"/>
      <c r="M13" s="2619"/>
      <c r="N13" s="2619"/>
      <c r="O13" s="2619"/>
      <c r="P13" s="2619"/>
    </row>
    <row r="14" spans="1:16">
      <c r="A14" s="2645" t="s">
        <v>2481</v>
      </c>
      <c r="B14" s="462"/>
      <c r="C14" s="462"/>
      <c r="D14" s="462"/>
      <c r="E14" s="462"/>
      <c r="F14" s="462"/>
      <c r="G14" s="462"/>
      <c r="H14" s="462"/>
      <c r="I14" s="462"/>
      <c r="J14" s="462"/>
      <c r="K14" s="462"/>
      <c r="L14" s="462"/>
      <c r="M14" s="462"/>
      <c r="N14" s="462"/>
      <c r="O14" s="462"/>
      <c r="P14" s="462"/>
    </row>
    <row r="15" spans="1:16">
      <c r="A15" s="2790" t="s">
        <v>868</v>
      </c>
      <c r="B15" s="2790"/>
      <c r="C15" s="2790"/>
      <c r="D15" s="2790"/>
      <c r="E15" s="2790"/>
      <c r="F15" s="2790"/>
      <c r="G15" s="2790"/>
      <c r="H15" s="2790"/>
      <c r="I15" s="2790"/>
      <c r="J15" s="2790"/>
      <c r="K15" s="2790"/>
      <c r="L15" s="2790"/>
      <c r="M15" s="2790"/>
      <c r="N15" s="2790"/>
      <c r="O15" s="2790"/>
      <c r="P15" s="2790"/>
    </row>
    <row r="16" spans="1:16" ht="54" customHeight="1">
      <c r="A16" s="2789" t="s">
        <v>1069</v>
      </c>
      <c r="B16" s="2789"/>
      <c r="C16" s="2789"/>
      <c r="D16" s="2789"/>
      <c r="E16" s="2789"/>
      <c r="F16" s="2789"/>
      <c r="G16" s="2789"/>
      <c r="H16" s="2789"/>
      <c r="I16" s="2789"/>
      <c r="J16" s="2789"/>
      <c r="K16" s="2789"/>
      <c r="L16" s="2789"/>
      <c r="M16" s="2789"/>
      <c r="N16" s="2789"/>
      <c r="O16" s="2789"/>
      <c r="P16" s="2789"/>
    </row>
    <row r="26" spans="6:6">
      <c r="F26" s="2646"/>
    </row>
  </sheetData>
  <mergeCells count="17">
    <mergeCell ref="A10:B10"/>
    <mergeCell ref="C10:D10"/>
    <mergeCell ref="A2:P2"/>
    <mergeCell ref="A16:P16"/>
    <mergeCell ref="A3:P3"/>
    <mergeCell ref="A7:P7"/>
    <mergeCell ref="A8:P8"/>
    <mergeCell ref="A15:P15"/>
    <mergeCell ref="A4:P4"/>
    <mergeCell ref="A9:B9"/>
    <mergeCell ref="C9:D9"/>
    <mergeCell ref="A11:B11"/>
    <mergeCell ref="A12:B12"/>
    <mergeCell ref="A13:B13"/>
    <mergeCell ref="C11:D11"/>
    <mergeCell ref="C12:D12"/>
    <mergeCell ref="C13:D1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3373BFD101A3F4A96EA36E6F6EA7143" ma:contentTypeVersion="48" ma:contentTypeDescription="" ma:contentTypeScope="" ma:versionID="433c296a9994f86bf111b576e0c07887">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customXsn xmlns="http://schemas.microsoft.com/office/2006/metadata/customXsn">
  <xsnLocation/>
  <cached>True</cached>
  <openByDefault>False</openByDefault>
  <xsnScope/>
</customXsn>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150</IndustryCode>
    <CaseStatus xmlns="dc463f71-b30c-4ab2-9473-d307f9d35888">Closed</CaseStatus>
    <OpenedDate xmlns="dc463f71-b30c-4ab2-9473-d307f9d35888">2019-11-04T08:00:00+00:00</OpenedDate>
    <SignificantOrder xmlns="dc463f71-b30c-4ab2-9473-d307f9d35888">false</SignificantOrder>
    <Date1 xmlns="dc463f71-b30c-4ab2-9473-d307f9d35888">2019-11-01T07:00:00+00:00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190913</DocketNumber>
    <DelegatedOrder xmlns="dc463f71-b30c-4ab2-9473-d307f9d35888">false</DelegatedOrder>
  </documentManagement>
</p:properties>
</file>

<file path=customXml/item5.xml><?xml version="1.0" encoding="utf-8"?>
<ct:contentTypeSchema xmlns:ct="http://schemas.microsoft.com/office/2006/metadata/contentType" xmlns:ma="http://schemas.microsoft.com/office/2006/metadata/properties/metaAttributes" ct:_="" ma:_="" ma:contentTypeName="NEEA Core Document" ma:contentTypeID="0x010100F6262F0A7F2EBC449AADF4C50ACDDB6A00E5EE98EF5F1FAE40AD5665F6942AC79C" ma:contentTypeVersion="26" ma:contentTypeDescription="NEEA's core content type" ma:contentTypeScope="" ma:versionID="3dfdbb6ef91b34eaf80b8fc74cd2ce75">
  <xsd:schema xmlns:xsd="http://www.w3.org/2001/XMLSchema" xmlns:xs="http://www.w3.org/2001/XMLSchema" xmlns:p="http://schemas.microsoft.com/office/2006/metadata/properties" xmlns:ns2="b0026184-765f-4768-b711-70a371f96413" xmlns:ns3="a2770165-4f9f-4d0d-8964-a1977d2be980" targetNamespace="http://schemas.microsoft.com/office/2006/metadata/properties" ma:root="true" ma:fieldsID="01799b11c51a8c8663741da3953ed6d5" ns2:_="" ns3:_="">
    <xsd:import namespace="b0026184-765f-4768-b711-70a371f96413"/>
    <xsd:import namespace="a2770165-4f9f-4d0d-8964-a1977d2be980"/>
    <xsd:element name="properties">
      <xsd:complexType>
        <xsd:sequence>
          <xsd:element name="documentManagement">
            <xsd:complexType>
              <xsd:all>
                <xsd:element ref="ns2:Document_x0020_Owner" minOccurs="0"/>
                <xsd:element ref="ns2:Document_x0020_Status" minOccurs="0"/>
                <xsd:element ref="ns2:af37d51591e54ee792e4452031f0e71e" minOccurs="0"/>
                <xsd:element ref="ns2:TaxCatchAll" minOccurs="0"/>
                <xsd:element ref="ns2:TaxCatchAllLabel" minOccurs="0"/>
                <xsd:element ref="ns3:m5b4d59df2a246028bf46a1c783858f6" minOccurs="0"/>
                <xsd:element ref="ns3:Report_x0020_Type" minOccurs="0"/>
                <xsd:element ref="ns3:Annual_x0020_Report_x0020_Year" minOccurs="0"/>
                <xsd:element ref="ns3:Date_x0020_Sent" minOccurs="0"/>
                <xsd:element ref="ns3:Baseline" minOccurs="0"/>
                <xsd:element ref="ns3:Allocation" minOccurs="0"/>
                <xsd:element ref="ns3:Notes0" minOccurs="0"/>
                <xsd:element ref="ns3:Update_x0020_Year" minOccurs="0"/>
                <xsd:element ref="ns3:Report_x0020_Designation" minOccurs="0"/>
                <xsd:element ref="ns3:Report_x0020_Source" minOccurs="0"/>
                <xsd:element ref="ns2:SharedWithUsers" minOccurs="0"/>
                <xsd:element ref="ns2:_dlc_DocId" minOccurs="0"/>
                <xsd:element ref="ns2:_dlc_DocIdUrl" minOccurs="0"/>
                <xsd:element ref="ns2:_dlc_DocIdPersistId" minOccurs="0"/>
                <xsd:element ref="ns3:AMMO_x0020_Report_x0020_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026184-765f-4768-b711-70a371f96413" elementFormDefault="qualified">
    <xsd:import namespace="http://schemas.microsoft.com/office/2006/documentManagement/types"/>
    <xsd:import namespace="http://schemas.microsoft.com/office/infopath/2007/PartnerControls"/>
    <xsd:element name="Document_x0020_Owner" ma:index="2" nillable="true" ma:displayName="Asset Owner" ma:description="The NEEA Employee responsible for the content of this file." ma:list="UserInfo" ma:SharePointGroup="0" ma:internalName="Document_x0020_Owner"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ocument_x0020_Status" ma:index="4" nillable="true" ma:displayName="Document Status" ma:default="Draft" ma:format="Dropdown" ma:internalName="Document_x0020_Status">
      <xsd:simpleType>
        <xsd:restriction base="dms:Choice">
          <xsd:enumeration value="Draft"/>
          <xsd:enumeration value="Final"/>
          <xsd:enumeration value="Expired"/>
        </xsd:restriction>
      </xsd:simpleType>
    </xsd:element>
    <xsd:element name="af37d51591e54ee792e4452031f0e71e" ma:index="8" nillable="true" ma:taxonomy="true" ma:internalName="af37d51591e54ee792e4452031f0e71e" ma:taxonomyFieldName="Classification_x0020_Level" ma:displayName="Classification Level" ma:readOnly="false" ma:default="" ma:fieldId="{af37d515-91e5-4ee7-92e4-452031f0e71e}" ma:sspId="a0d54e93-d257-444a-897f-4bd885f63bd7" ma:termSetId="1b8bac97-d0b1-4a0d-81f6-dbb4ea88b68e" ma:anchorId="00000000-0000-0000-0000-000000000000" ma:open="false" ma:isKeyword="false">
      <xsd:complexType>
        <xsd:sequence>
          <xsd:element ref="pc:Terms" minOccurs="0" maxOccurs="1"/>
        </xsd:sequence>
      </xsd:complexType>
    </xsd:element>
    <xsd:element name="TaxCatchAll" ma:index="9" nillable="true" ma:displayName="Taxonomy Catch All Column" ma:description="" ma:hidden="true" ma:list="{ee390a5f-87e8-4c27-80a2-66d0e998c21b}" ma:internalName="TaxCatchAll" ma:showField="CatchAllData" ma:web="b0026184-765f-4768-b711-70a371f9641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ee390a5f-87e8-4c27-80a2-66d0e998c21b}" ma:internalName="TaxCatchAllLabel" ma:readOnly="true" ma:showField="CatchAllDataLabel" ma:web="b0026184-765f-4768-b711-70a371f96413">
      <xsd:complexType>
        <xsd:complexContent>
          <xsd:extension base="dms:MultiChoiceLookup">
            <xsd:sequence>
              <xsd:element name="Value" type="dms:Lookup" maxOccurs="unbounded" minOccurs="0" nillable="true"/>
            </xsd:sequence>
          </xsd:extension>
        </xsd:complexContent>
      </xsd:complexType>
    </xsd:element>
    <xsd:element name="SharedWithUsers" ma:index="2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 ma:index="26" nillable="true" ma:displayName="Document ID Value" ma:description="The value of the document ID assigned to this item." ma:internalName="_dlc_DocId" ma:readOnly="true">
      <xsd:simpleType>
        <xsd:restriction base="dms:Text"/>
      </xsd:simpleType>
    </xsd:element>
    <xsd:element name="_dlc_DocIdUrl" ma:index="2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8"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a2770165-4f9f-4d0d-8964-a1977d2be980" elementFormDefault="qualified">
    <xsd:import namespace="http://schemas.microsoft.com/office/2006/documentManagement/types"/>
    <xsd:import namespace="http://schemas.microsoft.com/office/infopath/2007/PartnerControls"/>
    <xsd:element name="m5b4d59df2a246028bf46a1c783858f6" ma:index="15" nillable="true" ma:taxonomy="true" ma:internalName="m5b4d59df2a246028bf46a1c783858f6" ma:taxonomyFieldName="Stakeholder" ma:displayName="Stakeholder" ma:default="" ma:fieldId="{65b4d59d-f2a2-4602-8bf4-6a1c783858f6}" ma:taxonomyMulti="true" ma:sspId="a0d54e93-d257-444a-897f-4bd885f63bd7" ma:termSetId="42e7ebb9-0f6c-4031-95c8-bb5f782f9bb0" ma:anchorId="00000000-0000-0000-0000-000000000000" ma:open="false" ma:isKeyword="false">
      <xsd:complexType>
        <xsd:sequence>
          <xsd:element ref="pc:Terms" minOccurs="0" maxOccurs="1"/>
        </xsd:sequence>
      </xsd:complexType>
    </xsd:element>
    <xsd:element name="Report_x0020_Type" ma:index="16" nillable="true" ma:displayName="Report Type" ma:format="Dropdown" ma:internalName="Report_x0020_Type">
      <xsd:simpleType>
        <xsd:restriction base="dms:Choice">
          <xsd:enumeration value="Annual Report"/>
          <xsd:enumeration value="Interim Savings Report"/>
          <xsd:enumeration value="Ad Hoc Request"/>
          <xsd:enumeration value="Public Utility Commission Request"/>
          <xsd:enumeration value="Initiative Level Request"/>
          <xsd:enumeration value="Local Program Survey"/>
          <xsd:enumeration value="Service Territory Allocation Survey"/>
        </xsd:restriction>
      </xsd:simpleType>
    </xsd:element>
    <xsd:element name="Annual_x0020_Report_x0020_Year" ma:index="17" nillable="true" ma:displayName="Annual Report Year" ma:format="Dropdown" ma:internalName="Annual_x0020_Report_x0020_Year">
      <xsd:simpleType>
        <xsd:restriction base="dms:Choice">
          <xsd:enumeration value="1997"/>
          <xsd:enumeration value="1998"/>
          <xsd:enumeration value="1999"/>
          <xsd:enumeration value="2000"/>
          <xsd:enumeration value="2001"/>
          <xsd:enumeration value="2002"/>
          <xsd:enumeration value="2003"/>
          <xsd:enumeration value="2004"/>
          <xsd:enumeration value="2005"/>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restriction>
      </xsd:simpleType>
    </xsd:element>
    <xsd:element name="Date_x0020_Sent" ma:index="18" nillable="true" ma:displayName="Date Emailed to Funder" ma:format="DateOnly" ma:internalName="Date_x0020_Sent">
      <xsd:simpleType>
        <xsd:restriction base="dms:DateTime"/>
      </xsd:simpleType>
    </xsd:element>
    <xsd:element name="Baseline" ma:index="19" nillable="true" ma:displayName="Baseline" ma:default="NEEA" ma:format="Dropdown" ma:internalName="Baseline">
      <xsd:simpleType>
        <xsd:restriction base="dms:Choice">
          <xsd:enumeration value="NEEA"/>
          <xsd:enumeration value="6th Power Plan"/>
          <xsd:enumeration value="7th Power Plan"/>
          <xsd:enumeration value="5th Power Plan"/>
          <xsd:enumeration value="Custom"/>
        </xsd:restriction>
      </xsd:simpleType>
    </xsd:element>
    <xsd:element name="Allocation" ma:index="20" nillable="true" ma:displayName="Allocation" ma:format="Dropdown" ma:internalName="Allocation">
      <xsd:simpleType>
        <xsd:restriction base="dms:Choice">
          <xsd:enumeration value="Funder Share"/>
          <xsd:enumeration value="Service Territory"/>
          <xsd:enumeration value="Custom"/>
        </xsd:restriction>
      </xsd:simpleType>
    </xsd:element>
    <xsd:element name="Notes0" ma:index="21" nillable="true" ma:displayName="Notes" ma:internalName="Notes0">
      <xsd:simpleType>
        <xsd:restriction base="dms:Note"/>
      </xsd:simpleType>
    </xsd:element>
    <xsd:element name="Update_x0020_Year" ma:index="22" nillable="true" ma:displayName="Update Year" ma:format="Dropdown" ma:internalName="Update_x0020_Year">
      <xsd:simpleType>
        <xsd:restriction base="dms:Choice">
          <xsd:enumeration value="2015"/>
          <xsd:enumeration value="2016"/>
          <xsd:enumeration value="2017"/>
          <xsd:enumeration value="2018"/>
          <xsd:enumeration value="2019"/>
          <xsd:enumeration value="2020"/>
        </xsd:restriction>
      </xsd:simpleType>
    </xsd:element>
    <xsd:element name="Report_x0020_Designation" ma:index="23" nillable="true" ma:displayName="Report Designation" ma:format="Dropdown" ma:internalName="Report_x0020_Designation">
      <xsd:simpleType>
        <xsd:restriction base="dms:Choice">
          <xsd:enumeration value="Survey"/>
          <xsd:enumeration value="Response"/>
          <xsd:enumeration value="Summary"/>
        </xsd:restriction>
      </xsd:simpleType>
    </xsd:element>
    <xsd:element name="Report_x0020_Source" ma:index="24" nillable="true" ma:displayName="Report Source" ma:default="Planning" ma:format="Dropdown" ma:internalName="Report_x0020_Source">
      <xsd:simpleType>
        <xsd:restriction base="dms:Choice">
          <xsd:enumeration value="AMMO Stakeholders"/>
          <xsd:enumeration value="Planning"/>
          <xsd:enumeration value="NWPCC"/>
          <xsd:enumeration value="Bonneville"/>
        </xsd:restriction>
      </xsd:simpleType>
    </xsd:element>
    <xsd:element name="AMMO_x0020_Report_x0020_Name" ma:index="29" nillable="true" ma:displayName="AMMO Report Name" ma:internalName="AMMO_x0020_Report_x0020_Name">
      <xsd:simpleType>
        <xsd:restriction base="dms:Text">
          <xsd:maxLength value="10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C5B5F9F6-BEA3-4289-99B8-E11E69C47A1C}"/>
</file>

<file path=customXml/itemProps2.xml><?xml version="1.0" encoding="utf-8"?>
<ds:datastoreItem xmlns:ds="http://schemas.openxmlformats.org/officeDocument/2006/customXml" ds:itemID="{375C0082-6F53-47BE-AB60-C4952D8CFB27}">
  <ds:schemaRefs>
    <ds:schemaRef ds:uri="http://schemas.microsoft.com/sharepoint/v3/contenttype/forms"/>
  </ds:schemaRefs>
</ds:datastoreItem>
</file>

<file path=customXml/itemProps3.xml><?xml version="1.0" encoding="utf-8"?>
<ds:datastoreItem xmlns:ds="http://schemas.openxmlformats.org/officeDocument/2006/customXml" ds:itemID="{B626E194-9ECA-4BF0-A9AA-5DA9F15CCB82}">
  <ds:schemaRefs>
    <ds:schemaRef ds:uri="http://schemas.microsoft.com/office/2006/metadata/customXsn"/>
  </ds:schemaRefs>
</ds:datastoreItem>
</file>

<file path=customXml/itemProps4.xml><?xml version="1.0" encoding="utf-8"?>
<ds:datastoreItem xmlns:ds="http://schemas.openxmlformats.org/officeDocument/2006/customXml" ds:itemID="{14DA3914-D8E0-47E5-BAF5-A0078AFA14D6}">
  <ds:schemaRefs>
    <ds:schemaRef ds:uri="http://schemas.microsoft.com/office/2006/documentManagement/types"/>
    <ds:schemaRef ds:uri="http://purl.org/dc/terms/"/>
    <ds:schemaRef ds:uri="http://schemas.microsoft.com/office/2006/metadata/properties"/>
    <ds:schemaRef ds:uri="http://schemas.microsoft.com/office/infopath/2007/PartnerControls"/>
    <ds:schemaRef ds:uri="http://purl.org/dc/dcmitype/"/>
    <ds:schemaRef ds:uri="a2770165-4f9f-4d0d-8964-a1977d2be980"/>
    <ds:schemaRef ds:uri="http://schemas.openxmlformats.org/package/2006/metadata/core-properties"/>
    <ds:schemaRef ds:uri="b0026184-765f-4768-b711-70a371f96413"/>
    <ds:schemaRef ds:uri="http://www.w3.org/XML/1998/namespace"/>
    <ds:schemaRef ds:uri="http://purl.org/dc/elements/1.1/"/>
  </ds:schemaRefs>
</ds:datastoreItem>
</file>

<file path=customXml/itemProps5.xml><?xml version="1.0" encoding="utf-8"?>
<ds:datastoreItem xmlns:ds="http://schemas.openxmlformats.org/officeDocument/2006/customXml" ds:itemID="{52FED749-21B1-4709-8DD0-B400D63A5C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026184-765f-4768-b711-70a371f96413"/>
    <ds:schemaRef ds:uri="a2770165-4f9f-4d0d-8964-a1977d2be9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67F7800E-C3FB-4185-A4D7-ADE6ECDAB3B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11</vt:i4>
      </vt:variant>
    </vt:vector>
  </HeadingPairs>
  <TitlesOfParts>
    <vt:vector size="53" baseType="lpstr">
      <vt:lpstr>Copyright Notice</vt:lpstr>
      <vt:lpstr>Cover Page</vt:lpstr>
      <vt:lpstr>Outline</vt:lpstr>
      <vt:lpstr>Summary 2020-21 scratch</vt:lpstr>
      <vt:lpstr>Summary 2020-21</vt:lpstr>
      <vt:lpstr> Summary by Program 2020-21</vt:lpstr>
      <vt:lpstr>C&amp;S List</vt:lpstr>
      <vt:lpstr>Data Sources 20-21</vt:lpstr>
      <vt:lpstr>Methodology</vt:lpstr>
      <vt:lpstr>Common Qs</vt:lpstr>
      <vt:lpstr>Selection</vt:lpstr>
      <vt:lpstr> Summary by Program</vt:lpstr>
      <vt:lpstr>Overview</vt:lpstr>
      <vt:lpstr>Summary</vt:lpstr>
      <vt:lpstr>Key Assumptions 18-19</vt:lpstr>
      <vt:lpstr>List</vt:lpstr>
      <vt:lpstr>Programs</vt:lpstr>
      <vt:lpstr>Funder Share Table</vt:lpstr>
      <vt:lpstr>DHP</vt:lpstr>
      <vt:lpstr>HPWH</vt:lpstr>
      <vt:lpstr>Clothes_Dryers</vt:lpstr>
      <vt:lpstr>Codes</vt:lpstr>
      <vt:lpstr>Res_Lighting</vt:lpstr>
      <vt:lpstr>Homes_Vol</vt:lpstr>
      <vt:lpstr>Room_AC</vt:lpstr>
      <vt:lpstr>Soundbars</vt:lpstr>
      <vt:lpstr>Standards</vt:lpstr>
      <vt:lpstr>Clothes_Washers</vt:lpstr>
      <vt:lpstr>Frig_Freezers</vt:lpstr>
      <vt:lpstr>BOC</vt:lpstr>
      <vt:lpstr>Com_Lighting</vt:lpstr>
      <vt:lpstr>Commissioning</vt:lpstr>
      <vt:lpstr>Commercial_Desktops</vt:lpstr>
      <vt:lpstr>Other_ES_Products</vt:lpstr>
      <vt:lpstr>Motor_Rewinds</vt:lpstr>
      <vt:lpstr>CRES</vt:lpstr>
      <vt:lpstr>Market Adoption Units</vt:lpstr>
      <vt:lpstr>2. Report Detail 7thPP</vt:lpstr>
      <vt:lpstr>Ind_Lighting</vt:lpstr>
      <vt:lpstr>Window_Attachmts</vt:lpstr>
      <vt:lpstr>XMP</vt:lpstr>
      <vt:lpstr>Manufactured Homes</vt:lpstr>
      <vt:lpstr>Adjustments</vt:lpstr>
      <vt:lpstr>hpwhrtf</vt:lpstr>
      <vt:lpstr>Period_List</vt:lpstr>
      <vt:lpstr>'Data Sources 20-21'!Print_Area</vt:lpstr>
      <vt:lpstr>'Key Assumptions 18-19'!Print_Area</vt:lpstr>
      <vt:lpstr>'Data Sources 20-21'!Print_Titles</vt:lpstr>
      <vt:lpstr>'Key Assumptions 18-19'!Print_Titles</vt:lpstr>
      <vt:lpstr>Source_list</vt:lpstr>
      <vt:lpstr>Stakeholders_List</vt:lpstr>
      <vt:lpstr>State_List</vt:lpstr>
      <vt:lpstr>Year_list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Targets</dc:title>
  <dc:creator>Christina Steinhoff</dc:creator>
  <cp:lastModifiedBy>Andy Hemstreet</cp:lastModifiedBy>
  <dcterms:created xsi:type="dcterms:W3CDTF">2017-06-13T23:05:40Z</dcterms:created>
  <dcterms:modified xsi:type="dcterms:W3CDTF">2019-09-06T21:35:40Z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be082a55-e543-4b92-b787-8edc2a318d15</vt:lpwstr>
  </property>
  <property fmtid="{D5CDD505-2E9C-101B-9397-08002B2CF9AE}" pid="3" name="ContentTypeId">
    <vt:lpwstr>0x0101006E56B4D1795A2E4DB2F0B01679ED314A0023373BFD101A3F4A96EA36E6F6EA7143</vt:lpwstr>
  </property>
  <property fmtid="{D5CDD505-2E9C-101B-9397-08002B2CF9AE}" pid="4" name="Stakeholder">
    <vt:lpwstr>69;#Puget Sound Energy|c0ac7aaa-71a2-49ba-b246-0bd1593370f2</vt:lpwstr>
  </property>
  <property fmtid="{D5CDD505-2E9C-101B-9397-08002B2CF9AE}" pid="5" name="Classification Level">
    <vt:lpwstr/>
  </property>
  <property fmtid="{D5CDD505-2E9C-101B-9397-08002B2CF9AE}" pid="6" name="_docset_NoMedatataSyncRequired">
    <vt:lpwstr>False</vt:lpwstr>
  </property>
  <property fmtid="{D5CDD505-2E9C-101B-9397-08002B2CF9AE}" pid="7" name="IsEFSEC">
    <vt:bool>false</vt:bool>
  </property>
</Properties>
</file>